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activeTab="7"/>
  </bookViews>
  <sheets>
    <sheet name="raw data HILIC" sheetId="1" r:id="rId1"/>
    <sheet name="raw data pHILIC" sheetId="9" r:id="rId2"/>
    <sheet name="cel growth" sheetId="3" r:id="rId3"/>
    <sheet name="std curves HILIC" sheetId="4" r:id="rId4"/>
    <sheet name="std curves pHILIC" sheetId="8" r:id="rId5"/>
    <sheet name="CoRe_cell number" sheetId="5" r:id="rId6"/>
    <sheet name="CoRe_cell volume" sheetId="6" r:id="rId7"/>
    <sheet name="CoRe_biomass" sheetId="7" r:id="rId8"/>
  </sheets>
  <calcPr calcId="145621"/>
</workbook>
</file>

<file path=xl/calcChain.xml><?xml version="1.0" encoding="utf-8"?>
<calcChain xmlns="http://schemas.openxmlformats.org/spreadsheetml/2006/main">
  <c r="F60" i="5" l="1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K119" i="9"/>
  <c r="C20" i="7"/>
  <c r="C24" i="7"/>
  <c r="C21" i="7"/>
  <c r="C28" i="7"/>
  <c r="O29" i="7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AF117" i="9"/>
  <c r="Y64" i="9"/>
  <c r="Y88" i="9"/>
  <c r="AD58" i="9"/>
  <c r="Y34" i="9"/>
  <c r="AD88" i="9"/>
  <c r="AF88" i="9"/>
  <c r="AF87" i="9"/>
  <c r="AF64" i="9"/>
  <c r="AF58" i="9"/>
  <c r="AF34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93" i="9"/>
  <c r="AF77" i="9"/>
  <c r="AF78" i="9"/>
  <c r="AF79" i="9"/>
  <c r="AF80" i="9"/>
  <c r="AF46" i="9"/>
  <c r="AF76" i="9" s="1"/>
  <c r="AF47" i="9"/>
  <c r="AF48" i="9"/>
  <c r="AF49" i="9"/>
  <c r="AF50" i="9"/>
  <c r="AF51" i="9"/>
  <c r="AF52" i="9"/>
  <c r="AF53" i="9"/>
  <c r="AF83" i="9" s="1"/>
  <c r="AF65" i="9"/>
  <c r="AF66" i="9"/>
  <c r="AF67" i="9"/>
  <c r="AF68" i="9"/>
  <c r="AF69" i="9"/>
  <c r="AF70" i="9"/>
  <c r="AF71" i="9"/>
  <c r="AF72" i="9"/>
  <c r="AF73" i="9"/>
  <c r="AF74" i="9"/>
  <c r="AF75" i="9"/>
  <c r="AF81" i="9"/>
  <c r="AF82" i="9"/>
  <c r="AF84" i="9"/>
  <c r="AF85" i="9"/>
  <c r="AF86" i="9"/>
  <c r="AF57" i="9"/>
  <c r="AF56" i="9"/>
  <c r="AF55" i="9"/>
  <c r="AF54" i="9"/>
  <c r="AF45" i="9"/>
  <c r="AF44" i="9"/>
  <c r="AF43" i="9"/>
  <c r="AF42" i="9"/>
  <c r="AF41" i="9"/>
  <c r="AF40" i="9"/>
  <c r="AF39" i="9"/>
  <c r="AF38" i="9"/>
  <c r="AF37" i="9"/>
  <c r="AF36" i="9"/>
  <c r="AF35" i="9"/>
  <c r="Y93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C17" i="7"/>
  <c r="C60" i="5" l="1"/>
  <c r="C93" i="5"/>
  <c r="C3" i="6"/>
  <c r="I92" i="5"/>
  <c r="I93" i="5"/>
  <c r="I60" i="5"/>
  <c r="D36" i="5"/>
  <c r="C68" i="5"/>
  <c r="C69" i="5"/>
  <c r="J51" i="3" l="1"/>
  <c r="I51" i="3"/>
  <c r="J56" i="3"/>
  <c r="I48" i="3" l="1"/>
  <c r="I49" i="3"/>
  <c r="I50" i="3"/>
  <c r="I52" i="3"/>
  <c r="I53" i="3"/>
  <c r="I54" i="3"/>
  <c r="I55" i="3"/>
  <c r="I56" i="3"/>
  <c r="I47" i="3"/>
  <c r="L43" i="3" l="1"/>
  <c r="L33" i="3"/>
  <c r="L42" i="3"/>
  <c r="G47" i="3"/>
  <c r="G48" i="3"/>
  <c r="G49" i="3"/>
  <c r="G50" i="3"/>
  <c r="G51" i="3"/>
  <c r="G52" i="3"/>
  <c r="G53" i="3"/>
  <c r="G54" i="3"/>
  <c r="G55" i="3"/>
  <c r="G56" i="3"/>
  <c r="F52" i="3"/>
  <c r="F53" i="3"/>
  <c r="F54" i="3"/>
  <c r="F55" i="3"/>
  <c r="F56" i="3"/>
  <c r="F48" i="3"/>
  <c r="F49" i="3"/>
  <c r="F50" i="3"/>
  <c r="F51" i="3"/>
  <c r="F47" i="3"/>
  <c r="H56" i="3" l="1"/>
  <c r="H51" i="3"/>
  <c r="AD60" i="5" l="1"/>
  <c r="AF34" i="5"/>
  <c r="AF35" i="5"/>
  <c r="AF68" i="5" s="1"/>
  <c r="AF36" i="5"/>
  <c r="AF69" i="5" s="1"/>
  <c r="AF37" i="5"/>
  <c r="AF70" i="5" s="1"/>
  <c r="AF38" i="5"/>
  <c r="AF71" i="5" s="1"/>
  <c r="AF39" i="5"/>
  <c r="AF72" i="5" s="1"/>
  <c r="AF40" i="5"/>
  <c r="AF41" i="5"/>
  <c r="AF74" i="5" s="1"/>
  <c r="AF42" i="5"/>
  <c r="AF75" i="5" s="1"/>
  <c r="AF43" i="5"/>
  <c r="AF76" i="5" s="1"/>
  <c r="AF44" i="5"/>
  <c r="AF77" i="5" s="1"/>
  <c r="AF45" i="5"/>
  <c r="AF78" i="5" s="1"/>
  <c r="AF46" i="5"/>
  <c r="AF79" i="5" s="1"/>
  <c r="AF47" i="5"/>
  <c r="AF80" i="5" s="1"/>
  <c r="AF48" i="5"/>
  <c r="AF81" i="5" s="1"/>
  <c r="AF49" i="5"/>
  <c r="AF82" i="5" s="1"/>
  <c r="AF50" i="5"/>
  <c r="AF51" i="5"/>
  <c r="AF52" i="5"/>
  <c r="AF85" i="5" s="1"/>
  <c r="AF53" i="5"/>
  <c r="AF86" i="5" s="1"/>
  <c r="AF54" i="5"/>
  <c r="AF87" i="5" s="1"/>
  <c r="AF55" i="5"/>
  <c r="AF88" i="5" s="1"/>
  <c r="AF93" i="5" s="1"/>
  <c r="AF56" i="5"/>
  <c r="AF57" i="5"/>
  <c r="AF90" i="5" s="1"/>
  <c r="AF58" i="5"/>
  <c r="AF91" i="5" s="1"/>
  <c r="AF59" i="5"/>
  <c r="AF92" i="5" s="1"/>
  <c r="AE34" i="5"/>
  <c r="AE35" i="5"/>
  <c r="AE68" i="5" s="1"/>
  <c r="AE36" i="5"/>
  <c r="AE69" i="5" s="1"/>
  <c r="AE37" i="5"/>
  <c r="AE70" i="5" s="1"/>
  <c r="AE38" i="5"/>
  <c r="AE71" i="5" s="1"/>
  <c r="AE39" i="5"/>
  <c r="AE72" i="5" s="1"/>
  <c r="AE40" i="5"/>
  <c r="AE41" i="5"/>
  <c r="AE74" i="5" s="1"/>
  <c r="AE42" i="5"/>
  <c r="AE75" i="5" s="1"/>
  <c r="AE43" i="5"/>
  <c r="AE76" i="5" s="1"/>
  <c r="AE44" i="5"/>
  <c r="AE77" i="5" s="1"/>
  <c r="AE45" i="5"/>
  <c r="AE78" i="5" s="1"/>
  <c r="AE46" i="5"/>
  <c r="AE79" i="5" s="1"/>
  <c r="AE47" i="5"/>
  <c r="AE80" i="5" s="1"/>
  <c r="AE48" i="5"/>
  <c r="AE81" i="5" s="1"/>
  <c r="AE49" i="5"/>
  <c r="AE82" i="5" s="1"/>
  <c r="AE50" i="5"/>
  <c r="AE51" i="5"/>
  <c r="AE84" i="5" s="1"/>
  <c r="AE52" i="5"/>
  <c r="AE85" i="5" s="1"/>
  <c r="AE53" i="5"/>
  <c r="AE86" i="5" s="1"/>
  <c r="AE54" i="5"/>
  <c r="AE87" i="5" s="1"/>
  <c r="AE55" i="5"/>
  <c r="AE56" i="5"/>
  <c r="AE89" i="5" s="1"/>
  <c r="AE57" i="5"/>
  <c r="AE90" i="5" s="1"/>
  <c r="AE58" i="5"/>
  <c r="AE91" i="5" s="1"/>
  <c r="AE59" i="5"/>
  <c r="AE92" i="5" s="1"/>
  <c r="AD119" i="9"/>
  <c r="BM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C119" i="9"/>
  <c r="D119" i="9"/>
  <c r="E119" i="9"/>
  <c r="F119" i="9"/>
  <c r="G119" i="9"/>
  <c r="H119" i="9"/>
  <c r="I119" i="9"/>
  <c r="J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E119" i="9"/>
  <c r="AF119" i="9"/>
  <c r="AG119" i="9"/>
  <c r="AH119" i="9"/>
  <c r="AI119" i="9"/>
  <c r="AJ119" i="9"/>
  <c r="BM88" i="9"/>
  <c r="BM93" i="9"/>
  <c r="BM64" i="9"/>
  <c r="BM117" i="9"/>
  <c r="BM116" i="9"/>
  <c r="BM115" i="9"/>
  <c r="BM113" i="9"/>
  <c r="BM112" i="9"/>
  <c r="BM111" i="9"/>
  <c r="BM110" i="9"/>
  <c r="BM108" i="9"/>
  <c r="BM107" i="9"/>
  <c r="BM106" i="9"/>
  <c r="BM105" i="9"/>
  <c r="BM104" i="9"/>
  <c r="BM103" i="9"/>
  <c r="BM102" i="9"/>
  <c r="BM101" i="9"/>
  <c r="BM100" i="9"/>
  <c r="BM99" i="9"/>
  <c r="BM98" i="9"/>
  <c r="BM97" i="9"/>
  <c r="BM96" i="9"/>
  <c r="BM95" i="9"/>
  <c r="BM94" i="9"/>
  <c r="BH88" i="9"/>
  <c r="BH117" i="9" s="1"/>
  <c r="BH93" i="9"/>
  <c r="BH94" i="9"/>
  <c r="BH95" i="9"/>
  <c r="BH96" i="9"/>
  <c r="BH97" i="9"/>
  <c r="BH98" i="9"/>
  <c r="BH99" i="9"/>
  <c r="BH100" i="9"/>
  <c r="BH101" i="9"/>
  <c r="BH102" i="9"/>
  <c r="BH103" i="9"/>
  <c r="BH104" i="9"/>
  <c r="BH105" i="9"/>
  <c r="BH106" i="9"/>
  <c r="BH107" i="9"/>
  <c r="BH108" i="9"/>
  <c r="BH109" i="9"/>
  <c r="BH110" i="9"/>
  <c r="BH111" i="9"/>
  <c r="BH112" i="9"/>
  <c r="BH113" i="9"/>
  <c r="BH114" i="9"/>
  <c r="BH115" i="9"/>
  <c r="BH116" i="9"/>
  <c r="AJ93" i="9"/>
  <c r="AD93" i="9"/>
  <c r="AD94" i="9"/>
  <c r="AD65" i="9"/>
  <c r="AD66" i="9"/>
  <c r="AD67" i="9"/>
  <c r="AD68" i="9"/>
  <c r="AD69" i="9"/>
  <c r="AD70" i="9"/>
  <c r="AD71" i="9"/>
  <c r="AD72" i="9"/>
  <c r="AD102" i="9" s="1"/>
  <c r="AD73" i="9"/>
  <c r="AD74" i="9"/>
  <c r="AD75" i="9"/>
  <c r="AD76" i="9"/>
  <c r="AD78" i="9"/>
  <c r="AD79" i="9"/>
  <c r="AD81" i="9"/>
  <c r="AD82" i="9"/>
  <c r="AD83" i="9"/>
  <c r="AD84" i="9"/>
  <c r="AD85" i="9"/>
  <c r="AD86" i="9"/>
  <c r="AD87" i="9"/>
  <c r="AD117" i="9" s="1"/>
  <c r="AD64" i="9"/>
  <c r="AD34" i="9"/>
  <c r="AD116" i="9"/>
  <c r="AD115" i="9"/>
  <c r="AD114" i="9"/>
  <c r="AD113" i="9"/>
  <c r="AD112" i="9"/>
  <c r="AD111" i="9"/>
  <c r="AD109" i="9"/>
  <c r="AD108" i="9"/>
  <c r="AD106" i="9"/>
  <c r="AD105" i="9"/>
  <c r="AD104" i="9"/>
  <c r="AD103" i="9"/>
  <c r="AD101" i="9"/>
  <c r="AD100" i="9"/>
  <c r="AD99" i="9"/>
  <c r="AD98" i="9"/>
  <c r="AD97" i="9"/>
  <c r="AD96" i="9"/>
  <c r="AD95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93" i="9"/>
  <c r="AD57" i="9"/>
  <c r="AD56" i="9"/>
  <c r="AD55" i="9"/>
  <c r="AD54" i="9"/>
  <c r="AD53" i="9"/>
  <c r="AD52" i="9"/>
  <c r="AD51" i="9"/>
  <c r="AD49" i="9"/>
  <c r="AD48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63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34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63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34" i="9"/>
  <c r="BM65" i="9"/>
  <c r="BM66" i="9"/>
  <c r="BM67" i="9"/>
  <c r="BM68" i="9"/>
  <c r="BM69" i="9"/>
  <c r="BM70" i="9"/>
  <c r="BM71" i="9"/>
  <c r="BM72" i="9"/>
  <c r="BM73" i="9"/>
  <c r="BM74" i="9"/>
  <c r="BM75" i="9"/>
  <c r="BM76" i="9"/>
  <c r="BM77" i="9"/>
  <c r="BM78" i="9"/>
  <c r="BM79" i="9"/>
  <c r="BM81" i="9"/>
  <c r="BM82" i="9"/>
  <c r="BM83" i="9"/>
  <c r="BM84" i="9"/>
  <c r="BM86" i="9"/>
  <c r="BM87" i="9"/>
  <c r="BM51" i="9"/>
  <c r="BM52" i="9"/>
  <c r="BM53" i="9"/>
  <c r="BM54" i="9"/>
  <c r="BM56" i="9"/>
  <c r="BH87" i="9"/>
  <c r="BM35" i="9"/>
  <c r="BM36" i="9"/>
  <c r="BM37" i="9"/>
  <c r="BM38" i="9"/>
  <c r="BM39" i="9"/>
  <c r="BM40" i="9"/>
  <c r="BM41" i="9"/>
  <c r="BM42" i="9"/>
  <c r="BM43" i="9"/>
  <c r="BM44" i="9"/>
  <c r="BM45" i="9"/>
  <c r="BM46" i="9"/>
  <c r="BM47" i="9"/>
  <c r="BM48" i="9"/>
  <c r="BM49" i="9"/>
  <c r="BM57" i="9"/>
  <c r="BM58" i="9"/>
  <c r="BM3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BH85" i="9"/>
  <c r="BH86" i="9"/>
  <c r="BH64" i="9"/>
  <c r="X20" i="8"/>
  <c r="W20" i="8"/>
  <c r="X19" i="8"/>
  <c r="W19" i="8"/>
  <c r="X18" i="8"/>
  <c r="W18" i="8"/>
  <c r="X17" i="8"/>
  <c r="W17" i="8"/>
  <c r="X16" i="8"/>
  <c r="W16" i="8"/>
  <c r="X15" i="8"/>
  <c r="W15" i="8"/>
  <c r="X14" i="8"/>
  <c r="W14" i="8"/>
  <c r="X4" i="8"/>
  <c r="X5" i="8"/>
  <c r="X6" i="8"/>
  <c r="X7" i="8"/>
  <c r="X8" i="8"/>
  <c r="X9" i="8"/>
  <c r="W4" i="8"/>
  <c r="W5" i="8"/>
  <c r="W6" i="8"/>
  <c r="W7" i="8"/>
  <c r="W8" i="8"/>
  <c r="W9" i="8"/>
  <c r="X3" i="8"/>
  <c r="W3" i="8"/>
  <c r="L106" i="8"/>
  <c r="L107" i="8" s="1"/>
  <c r="L108" i="8" s="1"/>
  <c r="L109" i="8" s="1"/>
  <c r="L84" i="8"/>
  <c r="L85" i="8" s="1"/>
  <c r="L86" i="8" s="1"/>
  <c r="L87" i="8" s="1"/>
  <c r="N26" i="8"/>
  <c r="F232" i="8"/>
  <c r="F233" i="8"/>
  <c r="E232" i="8"/>
  <c r="C232" i="8"/>
  <c r="AF119" i="5" l="1"/>
  <c r="AF150" i="5" s="1"/>
  <c r="AF111" i="5"/>
  <c r="AF142" i="5" s="1"/>
  <c r="AF103" i="5"/>
  <c r="AF134" i="5" s="1"/>
  <c r="AE83" i="5"/>
  <c r="AE73" i="5"/>
  <c r="AF83" i="5"/>
  <c r="AF115" i="5" s="1"/>
  <c r="AF73" i="5"/>
  <c r="AE60" i="5"/>
  <c r="AF113" i="5"/>
  <c r="AF144" i="5" s="1"/>
  <c r="AF105" i="5"/>
  <c r="AF112" i="5"/>
  <c r="AF143" i="5" s="1"/>
  <c r="AF104" i="5"/>
  <c r="AF135" i="5" s="1"/>
  <c r="AF118" i="5"/>
  <c r="AF149" i="5" s="1"/>
  <c r="AF110" i="5"/>
  <c r="AF102" i="5"/>
  <c r="AF133" i="5" s="1"/>
  <c r="AF117" i="5"/>
  <c r="AF148" i="5" s="1"/>
  <c r="AF109" i="5"/>
  <c r="AF140" i="5" s="1"/>
  <c r="AF101" i="5"/>
  <c r="AF132" i="5" s="1"/>
  <c r="AF108" i="5"/>
  <c r="AF139" i="5" s="1"/>
  <c r="AF100" i="5"/>
  <c r="AF107" i="5"/>
  <c r="AF138" i="5" s="1"/>
  <c r="AF114" i="5"/>
  <c r="AF145" i="5" s="1"/>
  <c r="AF106" i="5"/>
  <c r="AF137" i="5" s="1"/>
  <c r="AF60" i="5"/>
  <c r="AE88" i="5"/>
  <c r="AE93" i="5" s="1"/>
  <c r="AE117" i="5" s="1"/>
  <c r="AE148" i="5" s="1"/>
  <c r="L111" i="8"/>
  <c r="L112" i="8" s="1"/>
  <c r="L110" i="8"/>
  <c r="L89" i="8"/>
  <c r="L90" i="8" s="1"/>
  <c r="L88" i="8"/>
  <c r="F103" i="8"/>
  <c r="F104" i="8"/>
  <c r="F105" i="8"/>
  <c r="F106" i="8"/>
  <c r="F107" i="8"/>
  <c r="F108" i="8"/>
  <c r="F109" i="8"/>
  <c r="E103" i="8"/>
  <c r="E104" i="8"/>
  <c r="E105" i="8"/>
  <c r="E106" i="8"/>
  <c r="E107" i="8"/>
  <c r="E108" i="8"/>
  <c r="E109" i="8"/>
  <c r="AE110" i="5" l="1"/>
  <c r="AE100" i="5"/>
  <c r="AE118" i="5"/>
  <c r="AE149" i="5" s="1"/>
  <c r="AE101" i="5"/>
  <c r="AE132" i="5" s="1"/>
  <c r="AE108" i="5"/>
  <c r="AE139" i="5" s="1"/>
  <c r="AF123" i="5"/>
  <c r="AF136" i="5"/>
  <c r="AE116" i="5"/>
  <c r="AE147" i="5" s="1"/>
  <c r="AF146" i="5"/>
  <c r="AF125" i="5"/>
  <c r="AF122" i="5"/>
  <c r="AF131" i="5"/>
  <c r="AE107" i="5"/>
  <c r="AE138" i="5" s="1"/>
  <c r="AE109" i="5"/>
  <c r="AE140" i="5" s="1"/>
  <c r="AE103" i="5"/>
  <c r="AE134" i="5" s="1"/>
  <c r="AE115" i="5"/>
  <c r="AE111" i="5"/>
  <c r="AE142" i="5" s="1"/>
  <c r="AE104" i="5"/>
  <c r="AE135" i="5" s="1"/>
  <c r="AE106" i="5"/>
  <c r="AE137" i="5" s="1"/>
  <c r="AE119" i="5"/>
  <c r="AE150" i="5" s="1"/>
  <c r="AE105" i="5"/>
  <c r="AE113" i="5"/>
  <c r="AE144" i="5" s="1"/>
  <c r="AE112" i="5"/>
  <c r="AE143" i="5" s="1"/>
  <c r="AE114" i="5"/>
  <c r="AE145" i="5" s="1"/>
  <c r="AF141" i="5"/>
  <c r="AF124" i="5"/>
  <c r="AE102" i="5"/>
  <c r="AE133" i="5" s="1"/>
  <c r="E81" i="8"/>
  <c r="E82" i="8"/>
  <c r="E83" i="8"/>
  <c r="E84" i="8"/>
  <c r="E85" i="8"/>
  <c r="E86" i="8"/>
  <c r="E87" i="8"/>
  <c r="E80" i="8"/>
  <c r="E68" i="8"/>
  <c r="E69" i="8"/>
  <c r="E70" i="8"/>
  <c r="E71" i="8"/>
  <c r="E72" i="8"/>
  <c r="E73" i="8"/>
  <c r="E74" i="8"/>
  <c r="E67" i="8"/>
  <c r="F67" i="8"/>
  <c r="B36" i="1"/>
  <c r="F55" i="8"/>
  <c r="F56" i="8"/>
  <c r="F57" i="8"/>
  <c r="F58" i="8"/>
  <c r="F59" i="8"/>
  <c r="F60" i="8"/>
  <c r="F61" i="8"/>
  <c r="F54" i="8"/>
  <c r="E54" i="8"/>
  <c r="F42" i="8"/>
  <c r="F43" i="8"/>
  <c r="F44" i="8"/>
  <c r="F45" i="8"/>
  <c r="F46" i="8"/>
  <c r="F47" i="8"/>
  <c r="F48" i="8"/>
  <c r="F41" i="8"/>
  <c r="E42" i="8"/>
  <c r="E43" i="8"/>
  <c r="E44" i="8"/>
  <c r="E45" i="8"/>
  <c r="E46" i="8"/>
  <c r="E47" i="8"/>
  <c r="E48" i="8"/>
  <c r="E41" i="8"/>
  <c r="F29" i="8"/>
  <c r="G29" i="8"/>
  <c r="G30" i="8"/>
  <c r="G31" i="8"/>
  <c r="G32" i="8"/>
  <c r="G33" i="8"/>
  <c r="G34" i="8"/>
  <c r="G35" i="8"/>
  <c r="G28" i="8"/>
  <c r="F30" i="8"/>
  <c r="F31" i="8"/>
  <c r="F32" i="8"/>
  <c r="F33" i="8"/>
  <c r="F34" i="8"/>
  <c r="F35" i="8"/>
  <c r="F28" i="8"/>
  <c r="E4" i="8"/>
  <c r="AE146" i="5" l="1"/>
  <c r="AE125" i="5"/>
  <c r="AF153" i="5"/>
  <c r="AF158" i="5"/>
  <c r="AF163" i="5"/>
  <c r="AF168" i="5"/>
  <c r="AE136" i="5"/>
  <c r="AE123" i="5"/>
  <c r="AF152" i="5"/>
  <c r="AF157" i="5"/>
  <c r="AF162" i="5"/>
  <c r="AF167" i="5"/>
  <c r="AE122" i="5"/>
  <c r="AE131" i="5"/>
  <c r="AF154" i="5"/>
  <c r="AF159" i="5"/>
  <c r="AF164" i="5"/>
  <c r="AF169" i="5"/>
  <c r="AF155" i="5"/>
  <c r="AF160" i="5"/>
  <c r="AF165" i="5"/>
  <c r="AF170" i="5"/>
  <c r="AE124" i="5"/>
  <c r="AE141" i="5"/>
  <c r="AJ114" i="9"/>
  <c r="AJ65" i="9"/>
  <c r="AJ66" i="9"/>
  <c r="AJ67" i="9"/>
  <c r="AJ96" i="9" s="1"/>
  <c r="AJ68" i="9"/>
  <c r="AJ69" i="9"/>
  <c r="AJ70" i="9"/>
  <c r="AJ99" i="9" s="1"/>
  <c r="AJ71" i="9"/>
  <c r="AJ72" i="9"/>
  <c r="AJ101" i="9" s="1"/>
  <c r="AJ73" i="9"/>
  <c r="AJ74" i="9"/>
  <c r="AJ75" i="9"/>
  <c r="AJ104" i="9" s="1"/>
  <c r="AJ76" i="9"/>
  <c r="AJ105" i="9" s="1"/>
  <c r="AJ77" i="9"/>
  <c r="AJ78" i="9"/>
  <c r="AJ79" i="9"/>
  <c r="AJ108" i="9" s="1"/>
  <c r="AJ80" i="9"/>
  <c r="AJ81" i="9"/>
  <c r="AJ82" i="9"/>
  <c r="AJ83" i="9"/>
  <c r="AJ112" i="9" s="1"/>
  <c r="AJ84" i="9"/>
  <c r="AJ85" i="9"/>
  <c r="AJ86" i="9"/>
  <c r="AJ115" i="9" s="1"/>
  <c r="AJ87" i="9"/>
  <c r="AJ64" i="9"/>
  <c r="AJ97" i="9"/>
  <c r="AJ109" i="9"/>
  <c r="AJ113" i="9"/>
  <c r="AJ117" i="9"/>
  <c r="N38" i="8"/>
  <c r="W44" i="4"/>
  <c r="N39" i="8"/>
  <c r="AJ34" i="9"/>
  <c r="J122" i="5"/>
  <c r="AJ94" i="9"/>
  <c r="AJ95" i="9"/>
  <c r="AJ98" i="9"/>
  <c r="AJ100" i="9"/>
  <c r="AJ102" i="9"/>
  <c r="AJ103" i="9"/>
  <c r="AJ106" i="9"/>
  <c r="AJ107" i="9"/>
  <c r="AJ110" i="9"/>
  <c r="AJ111" i="9"/>
  <c r="AJ116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E154" i="5" l="1"/>
  <c r="AE159" i="5"/>
  <c r="AE164" i="5"/>
  <c r="AE169" i="5"/>
  <c r="AE152" i="5"/>
  <c r="AE157" i="5"/>
  <c r="AE162" i="5"/>
  <c r="AE167" i="5"/>
  <c r="AE153" i="5"/>
  <c r="AE158" i="5"/>
  <c r="AE163" i="5"/>
  <c r="AE168" i="5"/>
  <c r="AE155" i="5"/>
  <c r="AE160" i="5"/>
  <c r="AE165" i="5"/>
  <c r="AE170" i="5"/>
  <c r="E236" i="8"/>
  <c r="F235" i="8"/>
  <c r="E235" i="8"/>
  <c r="F234" i="8"/>
  <c r="E234" i="8"/>
  <c r="E233" i="8"/>
  <c r="F231" i="8"/>
  <c r="E231" i="8"/>
  <c r="F230" i="8"/>
  <c r="E230" i="8"/>
  <c r="F229" i="8"/>
  <c r="E229" i="8"/>
  <c r="F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N112" i="8"/>
  <c r="N111" i="8"/>
  <c r="N110" i="8"/>
  <c r="N109" i="8"/>
  <c r="N108" i="8"/>
  <c r="N107" i="8"/>
  <c r="O107" i="8"/>
  <c r="N106" i="8"/>
  <c r="O106" i="8"/>
  <c r="F102" i="8"/>
  <c r="E102" i="8"/>
  <c r="O101" i="8"/>
  <c r="N101" i="8"/>
  <c r="O100" i="8"/>
  <c r="N100" i="8"/>
  <c r="O99" i="8"/>
  <c r="N99" i="8"/>
  <c r="O98" i="8"/>
  <c r="N98" i="8"/>
  <c r="O97" i="8"/>
  <c r="N97" i="8"/>
  <c r="O96" i="8"/>
  <c r="N96" i="8"/>
  <c r="F96" i="8"/>
  <c r="E96" i="8"/>
  <c r="O95" i="8"/>
  <c r="N95" i="8"/>
  <c r="F95" i="8"/>
  <c r="E95" i="8"/>
  <c r="F94" i="8"/>
  <c r="E94" i="8"/>
  <c r="F93" i="8"/>
  <c r="E93" i="8"/>
  <c r="F92" i="8"/>
  <c r="E92" i="8"/>
  <c r="F91" i="8"/>
  <c r="E91" i="8"/>
  <c r="N90" i="8"/>
  <c r="N89" i="8"/>
  <c r="N88" i="8"/>
  <c r="N87" i="8"/>
  <c r="F87" i="8"/>
  <c r="N86" i="8"/>
  <c r="F86" i="8"/>
  <c r="N85" i="8"/>
  <c r="F85" i="8"/>
  <c r="N84" i="8"/>
  <c r="O84" i="8"/>
  <c r="F84" i="8"/>
  <c r="F83" i="8"/>
  <c r="F82" i="8"/>
  <c r="F81" i="8"/>
  <c r="F80" i="8"/>
  <c r="O79" i="8"/>
  <c r="N79" i="8"/>
  <c r="O78" i="8"/>
  <c r="N78" i="8"/>
  <c r="O77" i="8"/>
  <c r="N77" i="8"/>
  <c r="O76" i="8"/>
  <c r="N76" i="8"/>
  <c r="O75" i="8"/>
  <c r="N75" i="8"/>
  <c r="O74" i="8"/>
  <c r="N74" i="8"/>
  <c r="F74" i="8"/>
  <c r="O73" i="8"/>
  <c r="N73" i="8"/>
  <c r="F73" i="8"/>
  <c r="F72" i="8"/>
  <c r="F71" i="8"/>
  <c r="F70" i="8"/>
  <c r="F69" i="8"/>
  <c r="F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E61" i="8"/>
  <c r="E60" i="8"/>
  <c r="E59" i="8"/>
  <c r="E58" i="8"/>
  <c r="E57" i="8"/>
  <c r="O56" i="8"/>
  <c r="N56" i="8"/>
  <c r="E56" i="8"/>
  <c r="O55" i="8"/>
  <c r="N55" i="8"/>
  <c r="E55" i="8"/>
  <c r="O54" i="8"/>
  <c r="N54" i="8"/>
  <c r="O53" i="8"/>
  <c r="N53" i="8"/>
  <c r="O52" i="8"/>
  <c r="N52" i="8"/>
  <c r="O51" i="8"/>
  <c r="N51" i="8"/>
  <c r="O50" i="8"/>
  <c r="N50" i="8"/>
  <c r="O44" i="8"/>
  <c r="N44" i="8"/>
  <c r="O43" i="8"/>
  <c r="N43" i="8"/>
  <c r="O42" i="8"/>
  <c r="N42" i="8"/>
  <c r="O41" i="8"/>
  <c r="N41" i="8"/>
  <c r="O40" i="8"/>
  <c r="N40" i="8"/>
  <c r="O39" i="8"/>
  <c r="O38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F11" i="8"/>
  <c r="E11" i="8"/>
  <c r="F10" i="8"/>
  <c r="E10" i="8"/>
  <c r="O9" i="8"/>
  <c r="N9" i="8"/>
  <c r="F9" i="8"/>
  <c r="E9" i="8"/>
  <c r="O8" i="8"/>
  <c r="N8" i="8"/>
  <c r="F8" i="8"/>
  <c r="E8" i="8"/>
  <c r="O7" i="8"/>
  <c r="N7" i="8"/>
  <c r="F7" i="8"/>
  <c r="E7" i="8"/>
  <c r="O6" i="8"/>
  <c r="N6" i="8"/>
  <c r="F6" i="8"/>
  <c r="E6" i="8"/>
  <c r="O5" i="8"/>
  <c r="N5" i="8"/>
  <c r="F5" i="8"/>
  <c r="E5" i="8"/>
  <c r="O4" i="8"/>
  <c r="N4" i="8"/>
  <c r="F4" i="8"/>
  <c r="O3" i="8"/>
  <c r="N3" i="8"/>
  <c r="O108" i="8" l="1"/>
  <c r="O85" i="8"/>
  <c r="O86" i="8" l="1"/>
  <c r="O109" i="8"/>
  <c r="O110" i="8"/>
  <c r="D3" i="7"/>
  <c r="D17" i="7" s="1"/>
  <c r="E3" i="7"/>
  <c r="E17" i="7" s="1"/>
  <c r="G3" i="7"/>
  <c r="G17" i="7" s="1"/>
  <c r="H3" i="7"/>
  <c r="H17" i="7" s="1"/>
  <c r="I3" i="7"/>
  <c r="I17" i="7" s="1"/>
  <c r="J3" i="7"/>
  <c r="J17" i="7" s="1"/>
  <c r="K3" i="7"/>
  <c r="K17" i="7" s="1"/>
  <c r="L3" i="7"/>
  <c r="L17" i="7" s="1"/>
  <c r="N3" i="7"/>
  <c r="N17" i="7" s="1"/>
  <c r="P3" i="7"/>
  <c r="P17" i="7" s="1"/>
  <c r="Q3" i="7"/>
  <c r="Q17" i="7" s="1"/>
  <c r="R3" i="7"/>
  <c r="R17" i="7" s="1"/>
  <c r="S3" i="7"/>
  <c r="S17" i="7" s="1"/>
  <c r="T3" i="7"/>
  <c r="T17" i="7" s="1"/>
  <c r="T34" i="7" s="1"/>
  <c r="U3" i="7"/>
  <c r="U17" i="7" s="1"/>
  <c r="V3" i="7"/>
  <c r="V17" i="7" s="1"/>
  <c r="W3" i="7"/>
  <c r="W17" i="7" s="1"/>
  <c r="X3" i="7"/>
  <c r="X17" i="7" s="1"/>
  <c r="Y3" i="7"/>
  <c r="Y17" i="7" s="1"/>
  <c r="Z3" i="7"/>
  <c r="Z17" i="7" s="1"/>
  <c r="AA3" i="7"/>
  <c r="AA17" i="7" s="1"/>
  <c r="AB3" i="7"/>
  <c r="AB17" i="7" s="1"/>
  <c r="AB37" i="7" s="1"/>
  <c r="AC3" i="7"/>
  <c r="AC17" i="7" s="1"/>
  <c r="AD3" i="7"/>
  <c r="AD17" i="7" s="1"/>
  <c r="D4" i="7"/>
  <c r="D18" i="7" s="1"/>
  <c r="E4" i="7"/>
  <c r="E18" i="7" s="1"/>
  <c r="G4" i="7"/>
  <c r="G18" i="7" s="1"/>
  <c r="H4" i="7"/>
  <c r="H18" i="7" s="1"/>
  <c r="I4" i="7"/>
  <c r="I18" i="7" s="1"/>
  <c r="J4" i="7"/>
  <c r="J18" i="7" s="1"/>
  <c r="K4" i="7"/>
  <c r="K18" i="7" s="1"/>
  <c r="L4" i="7"/>
  <c r="L18" i="7" s="1"/>
  <c r="N4" i="7"/>
  <c r="N18" i="7" s="1"/>
  <c r="P4" i="7"/>
  <c r="P18" i="7" s="1"/>
  <c r="Q4" i="7"/>
  <c r="Q18" i="7" s="1"/>
  <c r="R4" i="7"/>
  <c r="R18" i="7" s="1"/>
  <c r="S4" i="7"/>
  <c r="S18" i="7" s="1"/>
  <c r="T4" i="7"/>
  <c r="T18" i="7" s="1"/>
  <c r="U4" i="7"/>
  <c r="U18" i="7" s="1"/>
  <c r="U34" i="7" s="1"/>
  <c r="V4" i="7"/>
  <c r="V18" i="7" s="1"/>
  <c r="W4" i="7"/>
  <c r="W18" i="7" s="1"/>
  <c r="X4" i="7"/>
  <c r="X18" i="7" s="1"/>
  <c r="Y4" i="7"/>
  <c r="Y18" i="7" s="1"/>
  <c r="Y28" i="7" s="1"/>
  <c r="Z4" i="7"/>
  <c r="Z18" i="7" s="1"/>
  <c r="AA4" i="7"/>
  <c r="AA18" i="7" s="1"/>
  <c r="AB4" i="7"/>
  <c r="AB18" i="7" s="1"/>
  <c r="AC4" i="7"/>
  <c r="AC18" i="7" s="1"/>
  <c r="AD4" i="7"/>
  <c r="AD18" i="7" s="1"/>
  <c r="D5" i="7"/>
  <c r="D19" i="7" s="1"/>
  <c r="E5" i="7"/>
  <c r="E19" i="7" s="1"/>
  <c r="G5" i="7"/>
  <c r="G19" i="7" s="1"/>
  <c r="H5" i="7"/>
  <c r="H19" i="7" s="1"/>
  <c r="I5" i="7"/>
  <c r="I19" i="7" s="1"/>
  <c r="J5" i="7"/>
  <c r="J19" i="7" s="1"/>
  <c r="K5" i="7"/>
  <c r="K19" i="7" s="1"/>
  <c r="L5" i="7"/>
  <c r="L19" i="7" s="1"/>
  <c r="N5" i="7"/>
  <c r="N19" i="7" s="1"/>
  <c r="P5" i="7"/>
  <c r="P19" i="7" s="1"/>
  <c r="Q5" i="7"/>
  <c r="Q19" i="7" s="1"/>
  <c r="R5" i="7"/>
  <c r="R19" i="7" s="1"/>
  <c r="S5" i="7"/>
  <c r="S19" i="7" s="1"/>
  <c r="T5" i="7"/>
  <c r="T19" i="7" s="1"/>
  <c r="U5" i="7"/>
  <c r="U19" i="7" s="1"/>
  <c r="V5" i="7"/>
  <c r="V19" i="7" s="1"/>
  <c r="W5" i="7"/>
  <c r="W19" i="7" s="1"/>
  <c r="X5" i="7"/>
  <c r="X19" i="7" s="1"/>
  <c r="Y5" i="7"/>
  <c r="Y19" i="7" s="1"/>
  <c r="Z5" i="7"/>
  <c r="Z19" i="7" s="1"/>
  <c r="AA5" i="7"/>
  <c r="AA19" i="7" s="1"/>
  <c r="AB5" i="7"/>
  <c r="AB19" i="7" s="1"/>
  <c r="AC5" i="7"/>
  <c r="AC19" i="7" s="1"/>
  <c r="AD5" i="7"/>
  <c r="AD19" i="7" s="1"/>
  <c r="D6" i="7"/>
  <c r="D20" i="7" s="1"/>
  <c r="E6" i="7"/>
  <c r="E20" i="7" s="1"/>
  <c r="G6" i="7"/>
  <c r="G20" i="7" s="1"/>
  <c r="H6" i="7"/>
  <c r="H20" i="7" s="1"/>
  <c r="I6" i="7"/>
  <c r="I20" i="7" s="1"/>
  <c r="J6" i="7"/>
  <c r="J20" i="7" s="1"/>
  <c r="K6" i="7"/>
  <c r="K20" i="7" s="1"/>
  <c r="L6" i="7"/>
  <c r="L20" i="7" s="1"/>
  <c r="N6" i="7"/>
  <c r="N20" i="7" s="1"/>
  <c r="P6" i="7"/>
  <c r="P20" i="7" s="1"/>
  <c r="Q6" i="7"/>
  <c r="Q20" i="7" s="1"/>
  <c r="R6" i="7"/>
  <c r="R20" i="7" s="1"/>
  <c r="S6" i="7"/>
  <c r="S20" i="7" s="1"/>
  <c r="T6" i="7"/>
  <c r="T20" i="7" s="1"/>
  <c r="U6" i="7"/>
  <c r="U20" i="7" s="1"/>
  <c r="V6" i="7"/>
  <c r="V20" i="7" s="1"/>
  <c r="W6" i="7"/>
  <c r="W20" i="7" s="1"/>
  <c r="X6" i="7"/>
  <c r="X20" i="7" s="1"/>
  <c r="Y6" i="7"/>
  <c r="Y20" i="7" s="1"/>
  <c r="Z6" i="7"/>
  <c r="Z20" i="7" s="1"/>
  <c r="AA6" i="7"/>
  <c r="AA20" i="7" s="1"/>
  <c r="AB6" i="7"/>
  <c r="AB20" i="7" s="1"/>
  <c r="AC6" i="7"/>
  <c r="AC20" i="7" s="1"/>
  <c r="AD6" i="7"/>
  <c r="AD20" i="7" s="1"/>
  <c r="D7" i="7"/>
  <c r="D21" i="7" s="1"/>
  <c r="E7" i="7"/>
  <c r="E21" i="7" s="1"/>
  <c r="G7" i="7"/>
  <c r="G21" i="7" s="1"/>
  <c r="H7" i="7"/>
  <c r="H21" i="7" s="1"/>
  <c r="I7" i="7"/>
  <c r="I21" i="7" s="1"/>
  <c r="J7" i="7"/>
  <c r="J21" i="7" s="1"/>
  <c r="K7" i="7"/>
  <c r="K21" i="7" s="1"/>
  <c r="L7" i="7"/>
  <c r="L21" i="7" s="1"/>
  <c r="N7" i="7"/>
  <c r="N21" i="7" s="1"/>
  <c r="P7" i="7"/>
  <c r="P21" i="7" s="1"/>
  <c r="Q7" i="7"/>
  <c r="Q21" i="7" s="1"/>
  <c r="R7" i="7"/>
  <c r="R21" i="7" s="1"/>
  <c r="S7" i="7"/>
  <c r="S21" i="7" s="1"/>
  <c r="T7" i="7"/>
  <c r="T21" i="7" s="1"/>
  <c r="U7" i="7"/>
  <c r="U21" i="7" s="1"/>
  <c r="V7" i="7"/>
  <c r="V21" i="7" s="1"/>
  <c r="W7" i="7"/>
  <c r="W21" i="7" s="1"/>
  <c r="X7" i="7"/>
  <c r="X21" i="7" s="1"/>
  <c r="Y7" i="7"/>
  <c r="Y21" i="7" s="1"/>
  <c r="Z7" i="7"/>
  <c r="Z21" i="7" s="1"/>
  <c r="AA7" i="7"/>
  <c r="AA21" i="7" s="1"/>
  <c r="AB7" i="7"/>
  <c r="AB21" i="7" s="1"/>
  <c r="AC7" i="7"/>
  <c r="AC21" i="7" s="1"/>
  <c r="AD7" i="7"/>
  <c r="AD21" i="7" s="1"/>
  <c r="D8" i="7"/>
  <c r="D22" i="7" s="1"/>
  <c r="E8" i="7"/>
  <c r="E22" i="7" s="1"/>
  <c r="G8" i="7"/>
  <c r="G22" i="7" s="1"/>
  <c r="H8" i="7"/>
  <c r="H22" i="7" s="1"/>
  <c r="I8" i="7"/>
  <c r="I22" i="7" s="1"/>
  <c r="J8" i="7"/>
  <c r="J22" i="7" s="1"/>
  <c r="K8" i="7"/>
  <c r="K22" i="7" s="1"/>
  <c r="L8" i="7"/>
  <c r="L22" i="7" s="1"/>
  <c r="N8" i="7"/>
  <c r="N22" i="7" s="1"/>
  <c r="P8" i="7"/>
  <c r="P22" i="7" s="1"/>
  <c r="Q8" i="7"/>
  <c r="Q22" i="7" s="1"/>
  <c r="R8" i="7"/>
  <c r="R22" i="7" s="1"/>
  <c r="S8" i="7"/>
  <c r="S22" i="7" s="1"/>
  <c r="T8" i="7"/>
  <c r="T22" i="7" s="1"/>
  <c r="U8" i="7"/>
  <c r="U22" i="7" s="1"/>
  <c r="V8" i="7"/>
  <c r="V22" i="7" s="1"/>
  <c r="W8" i="7"/>
  <c r="W22" i="7" s="1"/>
  <c r="X8" i="7"/>
  <c r="X22" i="7" s="1"/>
  <c r="Y8" i="7"/>
  <c r="Y22" i="7" s="1"/>
  <c r="Z8" i="7"/>
  <c r="Z22" i="7" s="1"/>
  <c r="AA8" i="7"/>
  <c r="AA22" i="7" s="1"/>
  <c r="AB8" i="7"/>
  <c r="AB22" i="7" s="1"/>
  <c r="AC8" i="7"/>
  <c r="AC22" i="7" s="1"/>
  <c r="AD8" i="7"/>
  <c r="AD22" i="7" s="1"/>
  <c r="D9" i="7"/>
  <c r="D23" i="7" s="1"/>
  <c r="E9" i="7"/>
  <c r="E23" i="7" s="1"/>
  <c r="G9" i="7"/>
  <c r="G23" i="7" s="1"/>
  <c r="H9" i="7"/>
  <c r="H23" i="7" s="1"/>
  <c r="I9" i="7"/>
  <c r="I23" i="7" s="1"/>
  <c r="J9" i="7"/>
  <c r="J23" i="7" s="1"/>
  <c r="K9" i="7"/>
  <c r="K23" i="7" s="1"/>
  <c r="L9" i="7"/>
  <c r="L23" i="7" s="1"/>
  <c r="N9" i="7"/>
  <c r="N23" i="7" s="1"/>
  <c r="P9" i="7"/>
  <c r="P23" i="7" s="1"/>
  <c r="Q9" i="7"/>
  <c r="Q23" i="7" s="1"/>
  <c r="R9" i="7"/>
  <c r="R23" i="7" s="1"/>
  <c r="R38" i="7" s="1"/>
  <c r="S9" i="7"/>
  <c r="S23" i="7" s="1"/>
  <c r="T9" i="7"/>
  <c r="T23" i="7" s="1"/>
  <c r="U9" i="7"/>
  <c r="U23" i="7" s="1"/>
  <c r="V9" i="7"/>
  <c r="V23" i="7" s="1"/>
  <c r="W9" i="7"/>
  <c r="W23" i="7" s="1"/>
  <c r="X9" i="7"/>
  <c r="X23" i="7" s="1"/>
  <c r="Y9" i="7"/>
  <c r="Y23" i="7" s="1"/>
  <c r="Z9" i="7"/>
  <c r="Z23" i="7" s="1"/>
  <c r="AA9" i="7"/>
  <c r="AA23" i="7" s="1"/>
  <c r="AB9" i="7"/>
  <c r="AB23" i="7" s="1"/>
  <c r="AC9" i="7"/>
  <c r="AC23" i="7" s="1"/>
  <c r="AD9" i="7"/>
  <c r="AD23" i="7" s="1"/>
  <c r="D10" i="7"/>
  <c r="D24" i="7" s="1"/>
  <c r="E10" i="7"/>
  <c r="E24" i="7" s="1"/>
  <c r="G10" i="7"/>
  <c r="G24" i="7" s="1"/>
  <c r="H10" i="7"/>
  <c r="H24" i="7" s="1"/>
  <c r="I10" i="7"/>
  <c r="I24" i="7" s="1"/>
  <c r="J10" i="7"/>
  <c r="J24" i="7" s="1"/>
  <c r="K10" i="7"/>
  <c r="K24" i="7" s="1"/>
  <c r="L10" i="7"/>
  <c r="L24" i="7" s="1"/>
  <c r="N10" i="7"/>
  <c r="N24" i="7" s="1"/>
  <c r="P10" i="7"/>
  <c r="P24" i="7" s="1"/>
  <c r="Q10" i="7"/>
  <c r="Q24" i="7" s="1"/>
  <c r="R10" i="7"/>
  <c r="R24" i="7" s="1"/>
  <c r="S10" i="7"/>
  <c r="S24" i="7" s="1"/>
  <c r="T10" i="7"/>
  <c r="T24" i="7" s="1"/>
  <c r="U10" i="7"/>
  <c r="U24" i="7" s="1"/>
  <c r="V10" i="7"/>
  <c r="V24" i="7" s="1"/>
  <c r="W10" i="7"/>
  <c r="W24" i="7" s="1"/>
  <c r="X10" i="7"/>
  <c r="X24" i="7" s="1"/>
  <c r="Y10" i="7"/>
  <c r="Y24" i="7" s="1"/>
  <c r="Z10" i="7"/>
  <c r="Z24" i="7" s="1"/>
  <c r="AA10" i="7"/>
  <c r="AA24" i="7" s="1"/>
  <c r="AB10" i="7"/>
  <c r="AB24" i="7" s="1"/>
  <c r="AC10" i="7"/>
  <c r="AC24" i="7" s="1"/>
  <c r="AD10" i="7"/>
  <c r="AD24" i="7" s="1"/>
  <c r="D11" i="7"/>
  <c r="D25" i="7" s="1"/>
  <c r="E11" i="7"/>
  <c r="E25" i="7" s="1"/>
  <c r="G11" i="7"/>
  <c r="G25" i="7" s="1"/>
  <c r="H11" i="7"/>
  <c r="H25" i="7" s="1"/>
  <c r="I11" i="7"/>
  <c r="I25" i="7" s="1"/>
  <c r="J11" i="7"/>
  <c r="J25" i="7" s="1"/>
  <c r="K11" i="7"/>
  <c r="K25" i="7" s="1"/>
  <c r="L11" i="7"/>
  <c r="L25" i="7" s="1"/>
  <c r="N11" i="7"/>
  <c r="N25" i="7" s="1"/>
  <c r="P11" i="7"/>
  <c r="P25" i="7" s="1"/>
  <c r="Q11" i="7"/>
  <c r="Q25" i="7" s="1"/>
  <c r="R11" i="7"/>
  <c r="R25" i="7" s="1"/>
  <c r="S11" i="7"/>
  <c r="S25" i="7" s="1"/>
  <c r="T11" i="7"/>
  <c r="T25" i="7" s="1"/>
  <c r="U11" i="7"/>
  <c r="U25" i="7" s="1"/>
  <c r="V11" i="7"/>
  <c r="V25" i="7" s="1"/>
  <c r="W11" i="7"/>
  <c r="W25" i="7" s="1"/>
  <c r="X11" i="7"/>
  <c r="X25" i="7" s="1"/>
  <c r="Y11" i="7"/>
  <c r="Y25" i="7" s="1"/>
  <c r="Z11" i="7"/>
  <c r="Z25" i="7" s="1"/>
  <c r="AA11" i="7"/>
  <c r="AA25" i="7" s="1"/>
  <c r="AB11" i="7"/>
  <c r="AB25" i="7" s="1"/>
  <c r="AC11" i="7"/>
  <c r="AC25" i="7" s="1"/>
  <c r="AD11" i="7"/>
  <c r="AD25" i="7" s="1"/>
  <c r="D12" i="7"/>
  <c r="D26" i="7" s="1"/>
  <c r="E12" i="7"/>
  <c r="E26" i="7" s="1"/>
  <c r="G12" i="7"/>
  <c r="G26" i="7" s="1"/>
  <c r="H12" i="7"/>
  <c r="H26" i="7" s="1"/>
  <c r="I12" i="7"/>
  <c r="I26" i="7" s="1"/>
  <c r="J12" i="7"/>
  <c r="J26" i="7" s="1"/>
  <c r="K12" i="7"/>
  <c r="K26" i="7" s="1"/>
  <c r="L12" i="7"/>
  <c r="L26" i="7" s="1"/>
  <c r="N12" i="7"/>
  <c r="N26" i="7" s="1"/>
  <c r="P12" i="7"/>
  <c r="P26" i="7" s="1"/>
  <c r="Q12" i="7"/>
  <c r="Q26" i="7" s="1"/>
  <c r="R12" i="7"/>
  <c r="R26" i="7" s="1"/>
  <c r="S12" i="7"/>
  <c r="S26" i="7" s="1"/>
  <c r="T12" i="7"/>
  <c r="T26" i="7" s="1"/>
  <c r="U12" i="7"/>
  <c r="U26" i="7" s="1"/>
  <c r="V12" i="7"/>
  <c r="V26" i="7" s="1"/>
  <c r="W12" i="7"/>
  <c r="W26" i="7" s="1"/>
  <c r="X12" i="7"/>
  <c r="X26" i="7" s="1"/>
  <c r="Y12" i="7"/>
  <c r="Y26" i="7" s="1"/>
  <c r="Z12" i="7"/>
  <c r="Z26" i="7" s="1"/>
  <c r="AA12" i="7"/>
  <c r="AA26" i="7" s="1"/>
  <c r="AB12" i="7"/>
  <c r="AB26" i="7" s="1"/>
  <c r="AC12" i="7"/>
  <c r="AC26" i="7" s="1"/>
  <c r="AD12" i="7"/>
  <c r="AD26" i="7" s="1"/>
  <c r="D167" i="5"/>
  <c r="E167" i="5"/>
  <c r="G167" i="5"/>
  <c r="H167" i="5"/>
  <c r="I167" i="5"/>
  <c r="J167" i="5"/>
  <c r="K167" i="5"/>
  <c r="L167" i="5"/>
  <c r="N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D168" i="5"/>
  <c r="E168" i="5"/>
  <c r="G168" i="5"/>
  <c r="H168" i="5"/>
  <c r="I168" i="5"/>
  <c r="J168" i="5"/>
  <c r="K168" i="5"/>
  <c r="L168" i="5"/>
  <c r="N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D169" i="5"/>
  <c r="E169" i="5"/>
  <c r="G169" i="5"/>
  <c r="H169" i="5"/>
  <c r="I169" i="5"/>
  <c r="J169" i="5"/>
  <c r="K169" i="5"/>
  <c r="L169" i="5"/>
  <c r="N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D170" i="5"/>
  <c r="E170" i="5"/>
  <c r="G170" i="5"/>
  <c r="H170" i="5"/>
  <c r="I170" i="5"/>
  <c r="J170" i="5"/>
  <c r="K170" i="5"/>
  <c r="L170" i="5"/>
  <c r="N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D162" i="5"/>
  <c r="E162" i="5"/>
  <c r="G162" i="5"/>
  <c r="H162" i="5"/>
  <c r="I162" i="5"/>
  <c r="J162" i="5"/>
  <c r="K162" i="5"/>
  <c r="L162" i="5"/>
  <c r="N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D163" i="5"/>
  <c r="E163" i="5"/>
  <c r="G163" i="5"/>
  <c r="H163" i="5"/>
  <c r="I163" i="5"/>
  <c r="J163" i="5"/>
  <c r="K163" i="5"/>
  <c r="L163" i="5"/>
  <c r="N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D164" i="5"/>
  <c r="E164" i="5"/>
  <c r="G164" i="5"/>
  <c r="H164" i="5"/>
  <c r="I164" i="5"/>
  <c r="J164" i="5"/>
  <c r="K164" i="5"/>
  <c r="L164" i="5"/>
  <c r="N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D165" i="5"/>
  <c r="E165" i="5"/>
  <c r="G165" i="5"/>
  <c r="H165" i="5"/>
  <c r="I165" i="5"/>
  <c r="J165" i="5"/>
  <c r="K165" i="5"/>
  <c r="L165" i="5"/>
  <c r="N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D157" i="5"/>
  <c r="E157" i="5"/>
  <c r="G157" i="5"/>
  <c r="H157" i="5"/>
  <c r="I157" i="5"/>
  <c r="J157" i="5"/>
  <c r="K157" i="5"/>
  <c r="L157" i="5"/>
  <c r="N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D158" i="5"/>
  <c r="E158" i="5"/>
  <c r="G158" i="5"/>
  <c r="H158" i="5"/>
  <c r="I158" i="5"/>
  <c r="J158" i="5"/>
  <c r="K158" i="5"/>
  <c r="L158" i="5"/>
  <c r="N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D159" i="5"/>
  <c r="E159" i="5"/>
  <c r="G159" i="5"/>
  <c r="H159" i="5"/>
  <c r="I159" i="5"/>
  <c r="J159" i="5"/>
  <c r="K159" i="5"/>
  <c r="L159" i="5"/>
  <c r="N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D160" i="5"/>
  <c r="E160" i="5"/>
  <c r="G160" i="5"/>
  <c r="H160" i="5"/>
  <c r="I160" i="5"/>
  <c r="J160" i="5"/>
  <c r="K160" i="5"/>
  <c r="L160" i="5"/>
  <c r="N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Y29" i="7" l="1"/>
  <c r="T32" i="7"/>
  <c r="W29" i="7"/>
  <c r="G38" i="7"/>
  <c r="V31" i="7"/>
  <c r="V32" i="7"/>
  <c r="E31" i="7"/>
  <c r="AA37" i="7"/>
  <c r="K34" i="7"/>
  <c r="J35" i="7"/>
  <c r="Q28" i="7"/>
  <c r="I37" i="7"/>
  <c r="L32" i="7"/>
  <c r="Q29" i="7"/>
  <c r="I35" i="7"/>
  <c r="Z38" i="7"/>
  <c r="E32" i="7"/>
  <c r="X38" i="7"/>
  <c r="P35" i="7"/>
  <c r="H38" i="7"/>
  <c r="L34" i="7"/>
  <c r="D34" i="7"/>
  <c r="W37" i="7"/>
  <c r="G34" i="7"/>
  <c r="J32" i="7"/>
  <c r="V29" i="7"/>
  <c r="N29" i="7"/>
  <c r="Y37" i="7"/>
  <c r="I38" i="7"/>
  <c r="X31" i="7"/>
  <c r="P31" i="7"/>
  <c r="H28" i="7"/>
  <c r="N28" i="7"/>
  <c r="H35" i="7"/>
  <c r="AD32" i="7"/>
  <c r="U31" i="7"/>
  <c r="S34" i="7"/>
  <c r="X28" i="7"/>
  <c r="AB34" i="7"/>
  <c r="D29" i="7"/>
  <c r="AC38" i="7"/>
  <c r="L38" i="7"/>
  <c r="V28" i="7"/>
  <c r="N38" i="7"/>
  <c r="AC31" i="7"/>
  <c r="Z29" i="7"/>
  <c r="AC29" i="7"/>
  <c r="E38" i="7"/>
  <c r="I31" i="7"/>
  <c r="D28" i="7"/>
  <c r="W28" i="7"/>
  <c r="Y38" i="7"/>
  <c r="I32" i="7"/>
  <c r="T29" i="7"/>
  <c r="AA34" i="7"/>
  <c r="G37" i="7"/>
  <c r="U32" i="7"/>
  <c r="T38" i="7"/>
  <c r="W38" i="7"/>
  <c r="G35" i="7"/>
  <c r="S28" i="7"/>
  <c r="AD37" i="7"/>
  <c r="Q35" i="7"/>
  <c r="U28" i="7"/>
  <c r="L31" i="7"/>
  <c r="Q38" i="7"/>
  <c r="R32" i="7"/>
  <c r="U29" i="7"/>
  <c r="Q34" i="7"/>
  <c r="L28" i="7"/>
  <c r="I34" i="7"/>
  <c r="Q32" i="7"/>
  <c r="L29" i="7"/>
  <c r="X37" i="7"/>
  <c r="H34" i="7"/>
  <c r="K31" i="7"/>
  <c r="AD31" i="7"/>
  <c r="H37" i="7"/>
  <c r="AB38" i="7"/>
  <c r="D35" i="7"/>
  <c r="AA28" i="7"/>
  <c r="K37" i="7"/>
  <c r="N31" i="7"/>
  <c r="E28" i="7"/>
  <c r="AC32" i="7"/>
  <c r="P38" i="7"/>
  <c r="AD29" i="7"/>
  <c r="V38" i="7"/>
  <c r="E34" i="7"/>
  <c r="Z35" i="7"/>
  <c r="J29" i="7"/>
  <c r="Y31" i="7"/>
  <c r="AB31" i="7"/>
  <c r="T31" i="7"/>
  <c r="AB35" i="7"/>
  <c r="Y35" i="7"/>
  <c r="AB32" i="7"/>
  <c r="D38" i="7"/>
  <c r="P34" i="7"/>
  <c r="S31" i="7"/>
  <c r="AC34" i="7"/>
  <c r="P37" i="7"/>
  <c r="E29" i="7"/>
  <c r="D31" i="7"/>
  <c r="Q37" i="7"/>
  <c r="P28" i="7"/>
  <c r="D32" i="7"/>
  <c r="N32" i="7"/>
  <c r="L35" i="7"/>
  <c r="J38" i="7"/>
  <c r="AB28" i="7"/>
  <c r="H29" i="7"/>
  <c r="G31" i="7"/>
  <c r="X32" i="7"/>
  <c r="W34" i="7"/>
  <c r="V35" i="7"/>
  <c r="U37" i="7"/>
  <c r="AD38" i="7"/>
  <c r="K28" i="7"/>
  <c r="T28" i="7"/>
  <c r="AC28" i="7"/>
  <c r="I29" i="7"/>
  <c r="R29" i="7"/>
  <c r="AB29" i="7"/>
  <c r="H31" i="7"/>
  <c r="Q31" i="7"/>
  <c r="AA31" i="7"/>
  <c r="G32" i="7"/>
  <c r="P32" i="7"/>
  <c r="Y32" i="7"/>
  <c r="X34" i="7"/>
  <c r="E35" i="7"/>
  <c r="N35" i="7"/>
  <c r="W35" i="7"/>
  <c r="D37" i="7"/>
  <c r="V37" i="7"/>
  <c r="AA35" i="7"/>
  <c r="S35" i="7"/>
  <c r="K35" i="7"/>
  <c r="Z37" i="7"/>
  <c r="R37" i="7"/>
  <c r="J37" i="7"/>
  <c r="R35" i="7"/>
  <c r="G28" i="7"/>
  <c r="X29" i="7"/>
  <c r="W31" i="7"/>
  <c r="AD34" i="7"/>
  <c r="T35" i="7"/>
  <c r="P29" i="7"/>
  <c r="W32" i="7"/>
  <c r="V34" i="7"/>
  <c r="U35" i="7"/>
  <c r="T37" i="7"/>
  <c r="I28" i="7"/>
  <c r="N34" i="7"/>
  <c r="L37" i="7"/>
  <c r="AD28" i="7"/>
  <c r="H32" i="7"/>
  <c r="Z32" i="7"/>
  <c r="Y34" i="7"/>
  <c r="X35" i="7"/>
  <c r="E37" i="7"/>
  <c r="N37" i="7"/>
  <c r="AC35" i="7"/>
  <c r="S37" i="7"/>
  <c r="G29" i="7"/>
  <c r="AD35" i="7"/>
  <c r="AC37" i="7"/>
  <c r="U38" i="7"/>
  <c r="O112" i="8"/>
  <c r="O111" i="8"/>
  <c r="O88" i="8"/>
  <c r="O87" i="8"/>
  <c r="J28" i="7"/>
  <c r="R28" i="7"/>
  <c r="Z28" i="7"/>
  <c r="J31" i="7"/>
  <c r="R31" i="7"/>
  <c r="Z31" i="7"/>
  <c r="J34" i="7"/>
  <c r="R34" i="7"/>
  <c r="Z34" i="7"/>
  <c r="K38" i="7"/>
  <c r="S38" i="7"/>
  <c r="AA38" i="7"/>
  <c r="K29" i="7"/>
  <c r="S29" i="7"/>
  <c r="AA29" i="7"/>
  <c r="K32" i="7"/>
  <c r="S32" i="7"/>
  <c r="AA32" i="7"/>
  <c r="K8" i="6"/>
  <c r="L8" i="6"/>
  <c r="N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K9" i="6"/>
  <c r="L9" i="6"/>
  <c r="N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K10" i="6"/>
  <c r="L10" i="6"/>
  <c r="N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K11" i="6"/>
  <c r="L11" i="6"/>
  <c r="N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K12" i="6"/>
  <c r="L12" i="6"/>
  <c r="N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K3" i="6"/>
  <c r="L3" i="6"/>
  <c r="N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K4" i="6"/>
  <c r="L4" i="6"/>
  <c r="N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K5" i="6"/>
  <c r="L5" i="6"/>
  <c r="N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K6" i="6"/>
  <c r="L6" i="6"/>
  <c r="N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K7" i="6"/>
  <c r="L7" i="6"/>
  <c r="N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O89" i="8" l="1"/>
  <c r="O90" i="8"/>
  <c r="F18" i="3"/>
  <c r="F19" i="3"/>
  <c r="F20" i="3"/>
  <c r="F21" i="3"/>
  <c r="F22" i="3"/>
  <c r="F23" i="3"/>
  <c r="F24" i="3"/>
  <c r="F25" i="3"/>
  <c r="F26" i="3"/>
  <c r="F17" i="3"/>
  <c r="E26" i="3"/>
  <c r="E18" i="3"/>
  <c r="E19" i="3"/>
  <c r="E20" i="3"/>
  <c r="E21" i="3"/>
  <c r="E22" i="3"/>
  <c r="E23" i="3"/>
  <c r="E24" i="3"/>
  <c r="E25" i="3"/>
  <c r="E17" i="3"/>
  <c r="L28" i="3" l="1"/>
  <c r="L29" i="3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N16" i="6"/>
  <c r="L16" i="6"/>
  <c r="K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N15" i="6"/>
  <c r="L15" i="6"/>
  <c r="K15" i="6"/>
  <c r="C36" i="3"/>
  <c r="B36" i="3"/>
  <c r="C35" i="3"/>
  <c r="B35" i="3"/>
  <c r="D36" i="3" l="1"/>
  <c r="G36" i="3" s="1"/>
  <c r="D35" i="3"/>
  <c r="H35" i="3" s="1"/>
  <c r="H36" i="3" l="1"/>
  <c r="G35" i="3"/>
  <c r="K93" i="5"/>
  <c r="S93" i="5"/>
  <c r="AA93" i="5"/>
  <c r="O93" i="5"/>
  <c r="O103" i="5" s="1"/>
  <c r="O134" i="5" s="1"/>
  <c r="W93" i="5"/>
  <c r="W103" i="5" s="1"/>
  <c r="W134" i="5" s="1"/>
  <c r="L93" i="5"/>
  <c r="T93" i="5"/>
  <c r="AB93" i="5"/>
  <c r="N93" i="5"/>
  <c r="N106" i="5" s="1"/>
  <c r="N137" i="5" s="1"/>
  <c r="Q93" i="5"/>
  <c r="Q105" i="5" s="1"/>
  <c r="V93" i="5"/>
  <c r="V106" i="5" s="1"/>
  <c r="V137" i="5" s="1"/>
  <c r="Y93" i="5"/>
  <c r="Y105" i="5" s="1"/>
  <c r="AD93" i="5"/>
  <c r="AD106" i="5" s="1"/>
  <c r="AD137" i="5" s="1"/>
  <c r="AD104" i="5" l="1"/>
  <c r="AD135" i="5" s="1"/>
  <c r="AD119" i="5"/>
  <c r="AD150" i="5" s="1"/>
  <c r="V112" i="5"/>
  <c r="V143" i="5" s="1"/>
  <c r="Q118" i="5"/>
  <c r="Q149" i="5" s="1"/>
  <c r="N112" i="5"/>
  <c r="N143" i="5" s="1"/>
  <c r="N119" i="5"/>
  <c r="N150" i="5" s="1"/>
  <c r="T104" i="5"/>
  <c r="T135" i="5" s="1"/>
  <c r="T110" i="5"/>
  <c r="T119" i="5"/>
  <c r="T150" i="5" s="1"/>
  <c r="T118" i="5"/>
  <c r="T149" i="5" s="1"/>
  <c r="T102" i="5"/>
  <c r="T133" i="5" s="1"/>
  <c r="L104" i="5"/>
  <c r="L135" i="5" s="1"/>
  <c r="L118" i="5"/>
  <c r="L149" i="5" s="1"/>
  <c r="L102" i="5"/>
  <c r="L133" i="5" s="1"/>
  <c r="L119" i="5"/>
  <c r="L150" i="5" s="1"/>
  <c r="L110" i="5"/>
  <c r="AB104" i="5"/>
  <c r="AB135" i="5" s="1"/>
  <c r="AB110" i="5"/>
  <c r="AB119" i="5"/>
  <c r="AB150" i="5" s="1"/>
  <c r="AB118" i="5"/>
  <c r="AB149" i="5" s="1"/>
  <c r="AB102" i="5"/>
  <c r="AB133" i="5" s="1"/>
  <c r="V104" i="5"/>
  <c r="V135" i="5" s="1"/>
  <c r="Y111" i="5"/>
  <c r="Y142" i="5" s="1"/>
  <c r="Q136" i="5"/>
  <c r="Q111" i="5"/>
  <c r="Q142" i="5" s="1"/>
  <c r="N104" i="5"/>
  <c r="N135" i="5" s="1"/>
  <c r="Y119" i="5"/>
  <c r="Y150" i="5" s="1"/>
  <c r="Z93" i="5"/>
  <c r="Z100" i="5" s="1"/>
  <c r="AC93" i="5"/>
  <c r="AC101" i="5" s="1"/>
  <c r="AC132" i="5" s="1"/>
  <c r="AB117" i="5"/>
  <c r="AB148" i="5" s="1"/>
  <c r="T117" i="5"/>
  <c r="T148" i="5" s="1"/>
  <c r="L117" i="5"/>
  <c r="L148" i="5" s="1"/>
  <c r="W116" i="5"/>
  <c r="W147" i="5" s="1"/>
  <c r="O116" i="5"/>
  <c r="AD111" i="5"/>
  <c r="AD142" i="5" s="1"/>
  <c r="V111" i="5"/>
  <c r="V142" i="5" s="1"/>
  <c r="N111" i="5"/>
  <c r="N142" i="5" s="1"/>
  <c r="Y110" i="5"/>
  <c r="Q110" i="5"/>
  <c r="AB109" i="5"/>
  <c r="AB140" i="5" s="1"/>
  <c r="T109" i="5"/>
  <c r="T140" i="5" s="1"/>
  <c r="L109" i="5"/>
  <c r="L140" i="5" s="1"/>
  <c r="W108" i="5"/>
  <c r="W139" i="5" s="1"/>
  <c r="O108" i="5"/>
  <c r="AD103" i="5"/>
  <c r="AD134" i="5" s="1"/>
  <c r="V103" i="5"/>
  <c r="V134" i="5" s="1"/>
  <c r="N103" i="5"/>
  <c r="N134" i="5" s="1"/>
  <c r="Y102" i="5"/>
  <c r="Y133" i="5" s="1"/>
  <c r="Q102" i="5"/>
  <c r="Q133" i="5" s="1"/>
  <c r="AB101" i="5"/>
  <c r="AB132" i="5" s="1"/>
  <c r="T101" i="5"/>
  <c r="T132" i="5" s="1"/>
  <c r="L101" i="5"/>
  <c r="L132" i="5" s="1"/>
  <c r="W100" i="5"/>
  <c r="O100" i="5"/>
  <c r="Y136" i="5"/>
  <c r="M93" i="5"/>
  <c r="M112" i="5" s="1"/>
  <c r="M143" i="5" s="1"/>
  <c r="P93" i="5"/>
  <c r="P109" i="5" s="1"/>
  <c r="P140" i="5" s="1"/>
  <c r="V119" i="5"/>
  <c r="V150" i="5" s="1"/>
  <c r="Y118" i="5"/>
  <c r="Y149" i="5" s="1"/>
  <c r="Y103" i="5"/>
  <c r="Y134" i="5" s="1"/>
  <c r="R93" i="5"/>
  <c r="R113" i="5" s="1"/>
  <c r="R144" i="5" s="1"/>
  <c r="U93" i="5"/>
  <c r="U112" i="5" s="1"/>
  <c r="U143" i="5" s="1"/>
  <c r="X93" i="5"/>
  <c r="X103" i="5" s="1"/>
  <c r="X134" i="5" s="1"/>
  <c r="Q119" i="5"/>
  <c r="Q150" i="5" s="1"/>
  <c r="AD112" i="5"/>
  <c r="AD143" i="5" s="1"/>
  <c r="Q103" i="5"/>
  <c r="Q134" i="5" s="1"/>
  <c r="U109" i="5"/>
  <c r="U140" i="5" s="1"/>
  <c r="U107" i="5"/>
  <c r="U138" i="5" s="1"/>
  <c r="U115" i="5"/>
  <c r="X110" i="5"/>
  <c r="AC109" i="5"/>
  <c r="AC140" i="5" s="1"/>
  <c r="AC112" i="5"/>
  <c r="AC143" i="5" s="1"/>
  <c r="AC118" i="5"/>
  <c r="AC149" i="5" s="1"/>
  <c r="AC113" i="5"/>
  <c r="AC144" i="5" s="1"/>
  <c r="AC116" i="5"/>
  <c r="AC147" i="5" s="1"/>
  <c r="AC103" i="5"/>
  <c r="AC134" i="5" s="1"/>
  <c r="AC119" i="5"/>
  <c r="AC150" i="5" s="1"/>
  <c r="S107" i="5"/>
  <c r="S138" i="5" s="1"/>
  <c r="S115" i="5"/>
  <c r="S102" i="5"/>
  <c r="S133" i="5" s="1"/>
  <c r="S110" i="5"/>
  <c r="S118" i="5"/>
  <c r="S149" i="5" s="1"/>
  <c r="S100" i="5"/>
  <c r="S108" i="5"/>
  <c r="S139" i="5" s="1"/>
  <c r="S116" i="5"/>
  <c r="S147" i="5" s="1"/>
  <c r="S105" i="5"/>
  <c r="S103" i="5"/>
  <c r="S134" i="5" s="1"/>
  <c r="S111" i="5"/>
  <c r="S142" i="5" s="1"/>
  <c r="S119" i="5"/>
  <c r="S150" i="5" s="1"/>
  <c r="S113" i="5"/>
  <c r="S144" i="5" s="1"/>
  <c r="S106" i="5"/>
  <c r="S137" i="5" s="1"/>
  <c r="S114" i="5"/>
  <c r="S145" i="5" s="1"/>
  <c r="S101" i="5"/>
  <c r="S132" i="5" s="1"/>
  <c r="S109" i="5"/>
  <c r="S140" i="5" s="1"/>
  <c r="S117" i="5"/>
  <c r="S148" i="5" s="1"/>
  <c r="M104" i="5"/>
  <c r="M135" i="5" s="1"/>
  <c r="AA107" i="5"/>
  <c r="AA138" i="5" s="1"/>
  <c r="AA115" i="5"/>
  <c r="AA102" i="5"/>
  <c r="AA133" i="5" s="1"/>
  <c r="AA110" i="5"/>
  <c r="AA118" i="5"/>
  <c r="AA149" i="5" s="1"/>
  <c r="AA100" i="5"/>
  <c r="AA108" i="5"/>
  <c r="AA139" i="5" s="1"/>
  <c r="AA116" i="5"/>
  <c r="AA147" i="5" s="1"/>
  <c r="AA103" i="5"/>
  <c r="AA134" i="5" s="1"/>
  <c r="AA111" i="5"/>
  <c r="AA142" i="5" s="1"/>
  <c r="AA119" i="5"/>
  <c r="AA150" i="5" s="1"/>
  <c r="AA106" i="5"/>
  <c r="AA137" i="5" s="1"/>
  <c r="AA114" i="5"/>
  <c r="AA145" i="5" s="1"/>
  <c r="AA105" i="5"/>
  <c r="AA113" i="5"/>
  <c r="AA144" i="5" s="1"/>
  <c r="AA101" i="5"/>
  <c r="AA132" i="5" s="1"/>
  <c r="AA109" i="5"/>
  <c r="AA140" i="5" s="1"/>
  <c r="AA117" i="5"/>
  <c r="AA148" i="5" s="1"/>
  <c r="AA104" i="5"/>
  <c r="AA135" i="5" s="1"/>
  <c r="Z102" i="5"/>
  <c r="Z133" i="5" s="1"/>
  <c r="Z105" i="5"/>
  <c r="Z119" i="5"/>
  <c r="Z150" i="5" s="1"/>
  <c r="Z101" i="5"/>
  <c r="Z132" i="5" s="1"/>
  <c r="Z112" i="5"/>
  <c r="Z143" i="5" s="1"/>
  <c r="K107" i="5"/>
  <c r="K138" i="5" s="1"/>
  <c r="K115" i="5"/>
  <c r="K113" i="5"/>
  <c r="K144" i="5" s="1"/>
  <c r="K102" i="5"/>
  <c r="K133" i="5" s="1"/>
  <c r="K110" i="5"/>
  <c r="K118" i="5"/>
  <c r="K149" i="5" s="1"/>
  <c r="K100" i="5"/>
  <c r="K108" i="5"/>
  <c r="K139" i="5" s="1"/>
  <c r="K116" i="5"/>
  <c r="K147" i="5" s="1"/>
  <c r="K103" i="5"/>
  <c r="K134" i="5" s="1"/>
  <c r="K111" i="5"/>
  <c r="K142" i="5" s="1"/>
  <c r="K119" i="5"/>
  <c r="K150" i="5" s="1"/>
  <c r="K105" i="5"/>
  <c r="K106" i="5"/>
  <c r="K137" i="5" s="1"/>
  <c r="K114" i="5"/>
  <c r="K145" i="5" s="1"/>
  <c r="K101" i="5"/>
  <c r="K132" i="5" s="1"/>
  <c r="K109" i="5"/>
  <c r="K140" i="5" s="1"/>
  <c r="K117" i="5"/>
  <c r="K148" i="5" s="1"/>
  <c r="U114" i="5"/>
  <c r="U145" i="5" s="1"/>
  <c r="X113" i="5"/>
  <c r="X144" i="5" s="1"/>
  <c r="S112" i="5"/>
  <c r="S143" i="5" s="1"/>
  <c r="U106" i="5"/>
  <c r="U137" i="5" s="1"/>
  <c r="S104" i="5"/>
  <c r="S135" i="5" s="1"/>
  <c r="Z115" i="5"/>
  <c r="AC114" i="5"/>
  <c r="AC145" i="5" s="1"/>
  <c r="AA112" i="5"/>
  <c r="AA143" i="5" s="1"/>
  <c r="K112" i="5"/>
  <c r="K143" i="5" s="1"/>
  <c r="AC106" i="5"/>
  <c r="AC137" i="5" s="1"/>
  <c r="X105" i="5"/>
  <c r="K104" i="5"/>
  <c r="K135" i="5" s="1"/>
  <c r="W101" i="5"/>
  <c r="W132" i="5" s="1"/>
  <c r="AD116" i="5"/>
  <c r="AD147" i="5" s="1"/>
  <c r="V116" i="5"/>
  <c r="V147" i="5" s="1"/>
  <c r="N116" i="5"/>
  <c r="N147" i="5" s="1"/>
  <c r="Y115" i="5"/>
  <c r="Q115" i="5"/>
  <c r="AB114" i="5"/>
  <c r="AB145" i="5" s="1"/>
  <c r="T114" i="5"/>
  <c r="T145" i="5" s="1"/>
  <c r="L114" i="5"/>
  <c r="L145" i="5" s="1"/>
  <c r="W113" i="5"/>
  <c r="W144" i="5" s="1"/>
  <c r="O113" i="5"/>
  <c r="O144" i="5" s="1"/>
  <c r="AD108" i="5"/>
  <c r="AD139" i="5" s="1"/>
  <c r="V108" i="5"/>
  <c r="V139" i="5" s="1"/>
  <c r="N108" i="5"/>
  <c r="N139" i="5" s="1"/>
  <c r="Y107" i="5"/>
  <c r="Y138" i="5" s="1"/>
  <c r="Q107" i="5"/>
  <c r="Q138" i="5" s="1"/>
  <c r="AB106" i="5"/>
  <c r="AB137" i="5" s="1"/>
  <c r="T106" i="5"/>
  <c r="T137" i="5" s="1"/>
  <c r="L106" i="5"/>
  <c r="L137" i="5" s="1"/>
  <c r="W105" i="5"/>
  <c r="O105" i="5"/>
  <c r="AD100" i="5"/>
  <c r="V100" i="5"/>
  <c r="N100" i="5"/>
  <c r="W118" i="5"/>
  <c r="W149" i="5" s="1"/>
  <c r="O118" i="5"/>
  <c r="AD113" i="5"/>
  <c r="AD144" i="5" s="1"/>
  <c r="V113" i="5"/>
  <c r="V144" i="5" s="1"/>
  <c r="N113" i="5"/>
  <c r="N144" i="5" s="1"/>
  <c r="Y112" i="5"/>
  <c r="Y143" i="5" s="1"/>
  <c r="Q112" i="5"/>
  <c r="Q143" i="5" s="1"/>
  <c r="AB111" i="5"/>
  <c r="AB142" i="5" s="1"/>
  <c r="T111" i="5"/>
  <c r="T142" i="5" s="1"/>
  <c r="L111" i="5"/>
  <c r="L142" i="5" s="1"/>
  <c r="W110" i="5"/>
  <c r="O110" i="5"/>
  <c r="AD105" i="5"/>
  <c r="V105" i="5"/>
  <c r="N105" i="5"/>
  <c r="Y104" i="5"/>
  <c r="Y135" i="5" s="1"/>
  <c r="Q104" i="5"/>
  <c r="Q135" i="5" s="1"/>
  <c r="AB103" i="5"/>
  <c r="AB134" i="5" s="1"/>
  <c r="T103" i="5"/>
  <c r="T134" i="5" s="1"/>
  <c r="L103" i="5"/>
  <c r="L134" i="5" s="1"/>
  <c r="W102" i="5"/>
  <c r="W133" i="5" s="1"/>
  <c r="O102" i="5"/>
  <c r="O133" i="5" s="1"/>
  <c r="O117" i="5"/>
  <c r="AD118" i="5"/>
  <c r="AD149" i="5" s="1"/>
  <c r="V118" i="5"/>
  <c r="V149" i="5" s="1"/>
  <c r="N118" i="5"/>
  <c r="N149" i="5" s="1"/>
  <c r="Y117" i="5"/>
  <c r="Y148" i="5" s="1"/>
  <c r="Q117" i="5"/>
  <c r="Q148" i="5" s="1"/>
  <c r="AB116" i="5"/>
  <c r="AB147" i="5" s="1"/>
  <c r="T116" i="5"/>
  <c r="T147" i="5" s="1"/>
  <c r="L116" i="5"/>
  <c r="L147" i="5" s="1"/>
  <c r="W115" i="5"/>
  <c r="O115" i="5"/>
  <c r="AD110" i="5"/>
  <c r="V110" i="5"/>
  <c r="N110" i="5"/>
  <c r="Y109" i="5"/>
  <c r="Y140" i="5" s="1"/>
  <c r="Q109" i="5"/>
  <c r="Q140" i="5" s="1"/>
  <c r="AB108" i="5"/>
  <c r="AB139" i="5" s="1"/>
  <c r="T108" i="5"/>
  <c r="T139" i="5" s="1"/>
  <c r="L108" i="5"/>
  <c r="L139" i="5" s="1"/>
  <c r="W107" i="5"/>
  <c r="W138" i="5" s="1"/>
  <c r="O107" i="5"/>
  <c r="AD102" i="5"/>
  <c r="AD133" i="5" s="1"/>
  <c r="V102" i="5"/>
  <c r="V133" i="5" s="1"/>
  <c r="N102" i="5"/>
  <c r="N133" i="5" s="1"/>
  <c r="Y101" i="5"/>
  <c r="Y132" i="5" s="1"/>
  <c r="Q101" i="5"/>
  <c r="Q132" i="5" s="1"/>
  <c r="AB100" i="5"/>
  <c r="T100" i="5"/>
  <c r="L100" i="5"/>
  <c r="O101" i="5"/>
  <c r="O132" i="5" s="1"/>
  <c r="AD115" i="5"/>
  <c r="V115" i="5"/>
  <c r="N115" i="5"/>
  <c r="Y114" i="5"/>
  <c r="Y145" i="5" s="1"/>
  <c r="Q114" i="5"/>
  <c r="Q145" i="5" s="1"/>
  <c r="AB113" i="5"/>
  <c r="AB144" i="5" s="1"/>
  <c r="T113" i="5"/>
  <c r="T144" i="5" s="1"/>
  <c r="L113" i="5"/>
  <c r="L144" i="5" s="1"/>
  <c r="W112" i="5"/>
  <c r="W143" i="5" s="1"/>
  <c r="O112" i="5"/>
  <c r="O143" i="5" s="1"/>
  <c r="AD107" i="5"/>
  <c r="AD138" i="5" s="1"/>
  <c r="V107" i="5"/>
  <c r="V138" i="5" s="1"/>
  <c r="N107" i="5"/>
  <c r="N138" i="5" s="1"/>
  <c r="Y106" i="5"/>
  <c r="Y137" i="5" s="1"/>
  <c r="Q106" i="5"/>
  <c r="Q137" i="5" s="1"/>
  <c r="AB105" i="5"/>
  <c r="T105" i="5"/>
  <c r="L105" i="5"/>
  <c r="W104" i="5"/>
  <c r="W135" i="5" s="1"/>
  <c r="O104" i="5"/>
  <c r="O135" i="5" s="1"/>
  <c r="W109" i="5"/>
  <c r="W140" i="5" s="1"/>
  <c r="AD117" i="5"/>
  <c r="AD148" i="5" s="1"/>
  <c r="V117" i="5"/>
  <c r="V148" i="5" s="1"/>
  <c r="N117" i="5"/>
  <c r="N148" i="5" s="1"/>
  <c r="Y116" i="5"/>
  <c r="Y147" i="5" s="1"/>
  <c r="Q116" i="5"/>
  <c r="Q147" i="5" s="1"/>
  <c r="AB115" i="5"/>
  <c r="T115" i="5"/>
  <c r="L115" i="5"/>
  <c r="W114" i="5"/>
  <c r="W145" i="5" s="1"/>
  <c r="O114" i="5"/>
  <c r="O145" i="5" s="1"/>
  <c r="AD109" i="5"/>
  <c r="AD140" i="5" s="1"/>
  <c r="V109" i="5"/>
  <c r="V140" i="5" s="1"/>
  <c r="N109" i="5"/>
  <c r="N140" i="5" s="1"/>
  <c r="Y108" i="5"/>
  <c r="Y139" i="5" s="1"/>
  <c r="Q108" i="5"/>
  <c r="Q139" i="5" s="1"/>
  <c r="AB107" i="5"/>
  <c r="AB138" i="5" s="1"/>
  <c r="T107" i="5"/>
  <c r="T138" i="5" s="1"/>
  <c r="L107" i="5"/>
  <c r="L138" i="5" s="1"/>
  <c r="W106" i="5"/>
  <c r="W137" i="5" s="1"/>
  <c r="O106" i="5"/>
  <c r="AD101" i="5"/>
  <c r="AD132" i="5" s="1"/>
  <c r="V101" i="5"/>
  <c r="V132" i="5" s="1"/>
  <c r="N101" i="5"/>
  <c r="N132" i="5" s="1"/>
  <c r="Y100" i="5"/>
  <c r="Q100" i="5"/>
  <c r="W117" i="5"/>
  <c r="W148" i="5" s="1"/>
  <c r="O109" i="5"/>
  <c r="W119" i="5"/>
  <c r="W150" i="5" s="1"/>
  <c r="O119" i="5"/>
  <c r="AD114" i="5"/>
  <c r="AD145" i="5" s="1"/>
  <c r="V114" i="5"/>
  <c r="V145" i="5" s="1"/>
  <c r="N114" i="5"/>
  <c r="N145" i="5" s="1"/>
  <c r="Y113" i="5"/>
  <c r="Y144" i="5" s="1"/>
  <c r="Q113" i="5"/>
  <c r="Q144" i="5" s="1"/>
  <c r="AB112" i="5"/>
  <c r="AB143" i="5" s="1"/>
  <c r="T112" i="5"/>
  <c r="T143" i="5" s="1"/>
  <c r="L112" i="5"/>
  <c r="L143" i="5" s="1"/>
  <c r="W111" i="5"/>
  <c r="W142" i="5" s="1"/>
  <c r="O111" i="5"/>
  <c r="O142" i="5" s="1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9" i="5"/>
  <c r="C90" i="5"/>
  <c r="C91" i="5"/>
  <c r="C92" i="5"/>
  <c r="O149" i="5" l="1"/>
  <c r="O11" i="7"/>
  <c r="O25" i="7" s="1"/>
  <c r="O11" i="6"/>
  <c r="O8" i="7"/>
  <c r="O22" i="7" s="1"/>
  <c r="O8" i="6"/>
  <c r="O139" i="5"/>
  <c r="O6" i="7"/>
  <c r="O20" i="7" s="1"/>
  <c r="O6" i="6"/>
  <c r="O3" i="7"/>
  <c r="O17" i="7" s="1"/>
  <c r="O3" i="6"/>
  <c r="O140" i="5"/>
  <c r="O7" i="7"/>
  <c r="O21" i="7" s="1"/>
  <c r="O7" i="6"/>
  <c r="O147" i="5"/>
  <c r="O9" i="7"/>
  <c r="O23" i="7" s="1"/>
  <c r="O9" i="6"/>
  <c r="O148" i="5"/>
  <c r="O10" i="7"/>
  <c r="O24" i="7" s="1"/>
  <c r="O10" i="6"/>
  <c r="O150" i="5"/>
  <c r="O12" i="7"/>
  <c r="O26" i="7" s="1"/>
  <c r="O12" i="6"/>
  <c r="O137" i="5"/>
  <c r="O4" i="7"/>
  <c r="O18" i="7" s="1"/>
  <c r="O4" i="6"/>
  <c r="O138" i="5"/>
  <c r="O5" i="7"/>
  <c r="O19" i="7" s="1"/>
  <c r="O5" i="6"/>
  <c r="M119" i="5"/>
  <c r="M111" i="5"/>
  <c r="M142" i="5" s="1"/>
  <c r="M107" i="5"/>
  <c r="M106" i="5"/>
  <c r="M100" i="5"/>
  <c r="M131" i="5" s="1"/>
  <c r="M118" i="5"/>
  <c r="M116" i="5"/>
  <c r="M114" i="5"/>
  <c r="M145" i="5" s="1"/>
  <c r="M102" i="5"/>
  <c r="M133" i="5" s="1"/>
  <c r="C88" i="5"/>
  <c r="C104" i="5" s="1"/>
  <c r="C135" i="5" s="1"/>
  <c r="Z106" i="5"/>
  <c r="Z137" i="5" s="1"/>
  <c r="Z118" i="5"/>
  <c r="Z149" i="5" s="1"/>
  <c r="Z107" i="5"/>
  <c r="Z138" i="5" s="1"/>
  <c r="Z108" i="5"/>
  <c r="Z139" i="5" s="1"/>
  <c r="Z110" i="5"/>
  <c r="Z104" i="5"/>
  <c r="Z135" i="5" s="1"/>
  <c r="Z111" i="5"/>
  <c r="Z142" i="5" s="1"/>
  <c r="Z116" i="5"/>
  <c r="Z147" i="5" s="1"/>
  <c r="Z117" i="5"/>
  <c r="Z148" i="5" s="1"/>
  <c r="Z103" i="5"/>
  <c r="Z134" i="5" s="1"/>
  <c r="R111" i="5"/>
  <c r="R142" i="5" s="1"/>
  <c r="Z109" i="5"/>
  <c r="Z140" i="5" s="1"/>
  <c r="Z113" i="5"/>
  <c r="Z144" i="5" s="1"/>
  <c r="Z114" i="5"/>
  <c r="Z145" i="5" s="1"/>
  <c r="U103" i="5"/>
  <c r="U134" i="5" s="1"/>
  <c r="AC115" i="5"/>
  <c r="AC146" i="5" s="1"/>
  <c r="AC110" i="5"/>
  <c r="AC107" i="5"/>
  <c r="AC138" i="5" s="1"/>
  <c r="AC102" i="5"/>
  <c r="AC133" i="5" s="1"/>
  <c r="AC108" i="5"/>
  <c r="AC139" i="5" s="1"/>
  <c r="AC104" i="5"/>
  <c r="AC135" i="5" s="1"/>
  <c r="AC100" i="5"/>
  <c r="AC117" i="5"/>
  <c r="AC148" i="5" s="1"/>
  <c r="AC111" i="5"/>
  <c r="AC142" i="5" s="1"/>
  <c r="AC105" i="5"/>
  <c r="AC136" i="5" s="1"/>
  <c r="X100" i="5"/>
  <c r="X115" i="5"/>
  <c r="X117" i="5"/>
  <c r="X148" i="5" s="1"/>
  <c r="X101" i="5"/>
  <c r="X132" i="5" s="1"/>
  <c r="U119" i="5"/>
  <c r="U150" i="5" s="1"/>
  <c r="U110" i="5"/>
  <c r="U111" i="5"/>
  <c r="U142" i="5" s="1"/>
  <c r="U104" i="5"/>
  <c r="U135" i="5" s="1"/>
  <c r="U100" i="5"/>
  <c r="U117" i="5"/>
  <c r="U148" i="5" s="1"/>
  <c r="U113" i="5"/>
  <c r="U144" i="5" s="1"/>
  <c r="U101" i="5"/>
  <c r="U132" i="5" s="1"/>
  <c r="U105" i="5"/>
  <c r="U118" i="5"/>
  <c r="U149" i="5" s="1"/>
  <c r="R112" i="5"/>
  <c r="R143" i="5" s="1"/>
  <c r="R108" i="5"/>
  <c r="R139" i="5" s="1"/>
  <c r="Q153" i="5"/>
  <c r="P110" i="5"/>
  <c r="P101" i="5"/>
  <c r="P132" i="5" s="1"/>
  <c r="P103" i="5"/>
  <c r="P134" i="5" s="1"/>
  <c r="P113" i="5"/>
  <c r="P144" i="5" s="1"/>
  <c r="P102" i="5"/>
  <c r="P133" i="5" s="1"/>
  <c r="P119" i="5"/>
  <c r="P150" i="5" s="1"/>
  <c r="P115" i="5"/>
  <c r="P111" i="5"/>
  <c r="P142" i="5" s="1"/>
  <c r="P105" i="5"/>
  <c r="P116" i="5"/>
  <c r="P147" i="5" s="1"/>
  <c r="P114" i="5"/>
  <c r="P145" i="5" s="1"/>
  <c r="P104" i="5"/>
  <c r="P135" i="5" s="1"/>
  <c r="P108" i="5"/>
  <c r="P139" i="5" s="1"/>
  <c r="P112" i="5"/>
  <c r="P143" i="5" s="1"/>
  <c r="P106" i="5"/>
  <c r="P137" i="5" s="1"/>
  <c r="P117" i="5"/>
  <c r="P148" i="5" s="1"/>
  <c r="P100" i="5"/>
  <c r="P107" i="5"/>
  <c r="P138" i="5" s="1"/>
  <c r="P118" i="5"/>
  <c r="P149" i="5" s="1"/>
  <c r="M115" i="5"/>
  <c r="M113" i="5"/>
  <c r="M144" i="5" s="1"/>
  <c r="M117" i="5"/>
  <c r="M105" i="5"/>
  <c r="M109" i="5"/>
  <c r="M101" i="5"/>
  <c r="M132" i="5" s="1"/>
  <c r="M103" i="5"/>
  <c r="M134" i="5" s="1"/>
  <c r="M110" i="5"/>
  <c r="M141" i="5" s="1"/>
  <c r="M108" i="5"/>
  <c r="V123" i="5"/>
  <c r="V136" i="5"/>
  <c r="V153" i="5" s="1"/>
  <c r="AB125" i="5"/>
  <c r="AB146" i="5"/>
  <c r="AB155" i="5" s="1"/>
  <c r="L131" i="5"/>
  <c r="L152" i="5" s="1"/>
  <c r="L122" i="5"/>
  <c r="W141" i="5"/>
  <c r="W154" i="5" s="1"/>
  <c r="W124" i="5"/>
  <c r="K125" i="5"/>
  <c r="K146" i="5"/>
  <c r="K155" i="5" s="1"/>
  <c r="Z123" i="5"/>
  <c r="Z136" i="5"/>
  <c r="R101" i="5"/>
  <c r="R132" i="5" s="1"/>
  <c r="R105" i="5"/>
  <c r="X114" i="5"/>
  <c r="X145" i="5" s="1"/>
  <c r="X116" i="5"/>
  <c r="X147" i="5" s="1"/>
  <c r="U131" i="5"/>
  <c r="Y123" i="5"/>
  <c r="T131" i="5"/>
  <c r="T152" i="5" s="1"/>
  <c r="T122" i="5"/>
  <c r="O146" i="5"/>
  <c r="O125" i="5"/>
  <c r="N131" i="5"/>
  <c r="N152" i="5" s="1"/>
  <c r="N122" i="5"/>
  <c r="P146" i="5"/>
  <c r="P136" i="5"/>
  <c r="Z131" i="5"/>
  <c r="Z152" i="5" s="1"/>
  <c r="Z122" i="5"/>
  <c r="AA136" i="5"/>
  <c r="AA153" i="5" s="1"/>
  <c r="AA123" i="5"/>
  <c r="AA131" i="5"/>
  <c r="AA152" i="5" s="1"/>
  <c r="AA122" i="5"/>
  <c r="R114" i="5"/>
  <c r="R145" i="5" s="1"/>
  <c r="R118" i="5"/>
  <c r="R149" i="5" s="1"/>
  <c r="S131" i="5"/>
  <c r="S152" i="5" s="1"/>
  <c r="S122" i="5"/>
  <c r="X118" i="5"/>
  <c r="X149" i="5" s="1"/>
  <c r="X106" i="5"/>
  <c r="X137" i="5" s="1"/>
  <c r="X108" i="5"/>
  <c r="X139" i="5" s="1"/>
  <c r="U146" i="5"/>
  <c r="O131" i="5"/>
  <c r="O122" i="5"/>
  <c r="N146" i="5"/>
  <c r="N155" i="5" s="1"/>
  <c r="N125" i="5"/>
  <c r="V131" i="5"/>
  <c r="V152" i="5" s="1"/>
  <c r="V122" i="5"/>
  <c r="Q125" i="5"/>
  <c r="Q146" i="5"/>
  <c r="Q155" i="5" s="1"/>
  <c r="X136" i="5"/>
  <c r="R106" i="5"/>
  <c r="R137" i="5" s="1"/>
  <c r="R110" i="5"/>
  <c r="X141" i="5"/>
  <c r="X131" i="5"/>
  <c r="W131" i="5"/>
  <c r="W152" i="5" s="1"/>
  <c r="W122" i="5"/>
  <c r="AB131" i="5"/>
  <c r="AB152" i="5" s="1"/>
  <c r="AB122" i="5"/>
  <c r="W146" i="5"/>
  <c r="W155" i="5" s="1"/>
  <c r="W125" i="5"/>
  <c r="V146" i="5"/>
  <c r="V155" i="5" s="1"/>
  <c r="V125" i="5"/>
  <c r="N123" i="5"/>
  <c r="N136" i="5"/>
  <c r="AD131" i="5"/>
  <c r="AD152" i="5" s="1"/>
  <c r="AD122" i="5"/>
  <c r="Y125" i="5"/>
  <c r="Y146" i="5"/>
  <c r="Y155" i="5" s="1"/>
  <c r="Z125" i="5"/>
  <c r="Z146" i="5"/>
  <c r="R107" i="5"/>
  <c r="R138" i="5" s="1"/>
  <c r="K131" i="5"/>
  <c r="K152" i="5" s="1"/>
  <c r="K122" i="5"/>
  <c r="Z141" i="5"/>
  <c r="AA124" i="5"/>
  <c r="AA141" i="5"/>
  <c r="AA154" i="5" s="1"/>
  <c r="R116" i="5"/>
  <c r="R147" i="5" s="1"/>
  <c r="R119" i="5"/>
  <c r="R150" i="5" s="1"/>
  <c r="R102" i="5"/>
  <c r="R133" i="5" s="1"/>
  <c r="S124" i="5"/>
  <c r="S141" i="5"/>
  <c r="S154" i="5" s="1"/>
  <c r="X102" i="5"/>
  <c r="X133" i="5" s="1"/>
  <c r="X109" i="5"/>
  <c r="X140" i="5" s="1"/>
  <c r="U136" i="5"/>
  <c r="Y153" i="5"/>
  <c r="L136" i="5"/>
  <c r="L153" i="5" s="1"/>
  <c r="L123" i="5"/>
  <c r="N141" i="5"/>
  <c r="N154" i="5" s="1"/>
  <c r="N124" i="5"/>
  <c r="AD123" i="5"/>
  <c r="AD136" i="5"/>
  <c r="AD153" i="5" s="1"/>
  <c r="O123" i="5"/>
  <c r="O136" i="5"/>
  <c r="P131" i="5"/>
  <c r="K136" i="5"/>
  <c r="K153" i="5" s="1"/>
  <c r="K123" i="5"/>
  <c r="K124" i="5"/>
  <c r="K141" i="5"/>
  <c r="K154" i="5" s="1"/>
  <c r="AA125" i="5"/>
  <c r="AA146" i="5"/>
  <c r="AA155" i="5" s="1"/>
  <c r="M146" i="5"/>
  <c r="R104" i="5"/>
  <c r="R135" i="5" s="1"/>
  <c r="R103" i="5"/>
  <c r="R134" i="5" s="1"/>
  <c r="S125" i="5"/>
  <c r="S146" i="5"/>
  <c r="S155" i="5" s="1"/>
  <c r="X107" i="5"/>
  <c r="X138" i="5" s="1"/>
  <c r="X119" i="5"/>
  <c r="X150" i="5" s="1"/>
  <c r="U141" i="5"/>
  <c r="U124" i="5"/>
  <c r="Q123" i="5"/>
  <c r="X146" i="5"/>
  <c r="Q122" i="5"/>
  <c r="Q131" i="5"/>
  <c r="Q152" i="5" s="1"/>
  <c r="L125" i="5"/>
  <c r="L146" i="5"/>
  <c r="L155" i="5" s="1"/>
  <c r="T136" i="5"/>
  <c r="T153" i="5" s="1"/>
  <c r="T123" i="5"/>
  <c r="V141" i="5"/>
  <c r="V154" i="5" s="1"/>
  <c r="V124" i="5"/>
  <c r="W123" i="5"/>
  <c r="W136" i="5"/>
  <c r="W153" i="5" s="1"/>
  <c r="R117" i="5"/>
  <c r="R148" i="5" s="1"/>
  <c r="R100" i="5"/>
  <c r="S136" i="5"/>
  <c r="S153" i="5" s="1"/>
  <c r="S123" i="5"/>
  <c r="AC131" i="5"/>
  <c r="AC122" i="5"/>
  <c r="X112" i="5"/>
  <c r="X143" i="5" s="1"/>
  <c r="X111" i="5"/>
  <c r="X142" i="5" s="1"/>
  <c r="U116" i="5"/>
  <c r="U147" i="5" s="1"/>
  <c r="U102" i="5"/>
  <c r="U133" i="5" s="1"/>
  <c r="Q141" i="5"/>
  <c r="Q154" i="5" s="1"/>
  <c r="Q124" i="5"/>
  <c r="L141" i="5"/>
  <c r="L154" i="5" s="1"/>
  <c r="L124" i="5"/>
  <c r="T141" i="5"/>
  <c r="T154" i="5" s="1"/>
  <c r="T124" i="5"/>
  <c r="AD146" i="5"/>
  <c r="AD155" i="5" s="1"/>
  <c r="AD125" i="5"/>
  <c r="AB141" i="5"/>
  <c r="AB154" i="5" s="1"/>
  <c r="AB124" i="5"/>
  <c r="Y122" i="5"/>
  <c r="Y131" i="5"/>
  <c r="Y152" i="5" s="1"/>
  <c r="N153" i="5"/>
  <c r="T125" i="5"/>
  <c r="T146" i="5"/>
  <c r="T155" i="5" s="1"/>
  <c r="AB136" i="5"/>
  <c r="AB153" i="5" s="1"/>
  <c r="AB123" i="5"/>
  <c r="AD141" i="5"/>
  <c r="AD154" i="5" s="1"/>
  <c r="AD124" i="5"/>
  <c r="O141" i="5"/>
  <c r="O124" i="5"/>
  <c r="P141" i="5"/>
  <c r="P154" i="5" s="1"/>
  <c r="R115" i="5"/>
  <c r="M136" i="5"/>
  <c r="R109" i="5"/>
  <c r="R140" i="5" s="1"/>
  <c r="X104" i="5"/>
  <c r="X135" i="5" s="1"/>
  <c r="U108" i="5"/>
  <c r="U139" i="5" s="1"/>
  <c r="Y141" i="5"/>
  <c r="Y154" i="5" s="1"/>
  <c r="Y124" i="5"/>
  <c r="O16" i="6" l="1"/>
  <c r="O153" i="5"/>
  <c r="O168" i="5"/>
  <c r="O163" i="5"/>
  <c r="O158" i="5"/>
  <c r="O152" i="5"/>
  <c r="O162" i="5"/>
  <c r="O167" i="5"/>
  <c r="O157" i="5"/>
  <c r="O154" i="5"/>
  <c r="O159" i="5"/>
  <c r="O169" i="5"/>
  <c r="O164" i="5"/>
  <c r="O15" i="6"/>
  <c r="O38" i="7"/>
  <c r="O35" i="7"/>
  <c r="O32" i="7"/>
  <c r="O155" i="5"/>
  <c r="O170" i="5"/>
  <c r="O160" i="5"/>
  <c r="O165" i="5"/>
  <c r="O37" i="7"/>
  <c r="O31" i="7"/>
  <c r="O34" i="7"/>
  <c r="O28" i="7"/>
  <c r="M162" i="5"/>
  <c r="M167" i="5"/>
  <c r="M157" i="5"/>
  <c r="M139" i="5"/>
  <c r="M6" i="7"/>
  <c r="M20" i="7" s="1"/>
  <c r="M6" i="6"/>
  <c r="M8" i="7"/>
  <c r="M22" i="7" s="1"/>
  <c r="M8" i="6"/>
  <c r="M169" i="5"/>
  <c r="M159" i="5"/>
  <c r="M164" i="5"/>
  <c r="M147" i="5"/>
  <c r="M170" i="5" s="1"/>
  <c r="M9" i="7"/>
  <c r="M23" i="7" s="1"/>
  <c r="M9" i="6"/>
  <c r="M149" i="5"/>
  <c r="M11" i="7"/>
  <c r="M25" i="7" s="1"/>
  <c r="M11" i="6"/>
  <c r="M123" i="5"/>
  <c r="M140" i="5"/>
  <c r="M7" i="7"/>
  <c r="M21" i="7" s="1"/>
  <c r="M7" i="6"/>
  <c r="M168" i="5"/>
  <c r="M158" i="5"/>
  <c r="M3" i="7"/>
  <c r="M17" i="7" s="1"/>
  <c r="M3" i="6"/>
  <c r="M138" i="5"/>
  <c r="M5" i="7"/>
  <c r="M19" i="7" s="1"/>
  <c r="M5" i="6"/>
  <c r="M150" i="5"/>
  <c r="M12" i="7"/>
  <c r="M26" i="7" s="1"/>
  <c r="M12" i="6"/>
  <c r="M137" i="5"/>
  <c r="M153" i="5" s="1"/>
  <c r="M4" i="7"/>
  <c r="M18" i="7" s="1"/>
  <c r="M4" i="6"/>
  <c r="M148" i="5"/>
  <c r="M155" i="5" s="1"/>
  <c r="M10" i="7"/>
  <c r="M24" i="7" s="1"/>
  <c r="M10" i="6"/>
  <c r="C110" i="5"/>
  <c r="C141" i="5" s="1"/>
  <c r="C112" i="5"/>
  <c r="C143" i="5" s="1"/>
  <c r="C115" i="5"/>
  <c r="AC153" i="5"/>
  <c r="AC155" i="5"/>
  <c r="AC152" i="5"/>
  <c r="Z153" i="5"/>
  <c r="C146" i="5"/>
  <c r="C100" i="5"/>
  <c r="C118" i="5"/>
  <c r="C108" i="5"/>
  <c r="C6" i="7" s="1"/>
  <c r="C107" i="5"/>
  <c r="C5" i="7" s="1"/>
  <c r="C19" i="7" s="1"/>
  <c r="C119" i="5"/>
  <c r="C12" i="7" s="1"/>
  <c r="C26" i="7" s="1"/>
  <c r="C109" i="5"/>
  <c r="C7" i="7" s="1"/>
  <c r="C113" i="5"/>
  <c r="C144" i="5" s="1"/>
  <c r="C114" i="5"/>
  <c r="C145" i="5" s="1"/>
  <c r="C102" i="5"/>
  <c r="C133" i="5" s="1"/>
  <c r="C106" i="5"/>
  <c r="C4" i="7" s="1"/>
  <c r="C18" i="7" s="1"/>
  <c r="C105" i="5"/>
  <c r="C3" i="7" s="1"/>
  <c r="C117" i="5"/>
  <c r="C10" i="7" s="1"/>
  <c r="C103" i="5"/>
  <c r="C134" i="5" s="1"/>
  <c r="C101" i="5"/>
  <c r="C132" i="5" s="1"/>
  <c r="C111" i="5"/>
  <c r="C142" i="5" s="1"/>
  <c r="C154" i="5" s="1"/>
  <c r="C116" i="5"/>
  <c r="C9" i="7" s="1"/>
  <c r="C23" i="7" s="1"/>
  <c r="U154" i="5"/>
  <c r="M125" i="5"/>
  <c r="P125" i="5"/>
  <c r="M154" i="5"/>
  <c r="Z124" i="5"/>
  <c r="AC125" i="5"/>
  <c r="Z154" i="5"/>
  <c r="P153" i="5"/>
  <c r="Z155" i="5"/>
  <c r="P123" i="5"/>
  <c r="AC124" i="5"/>
  <c r="AC141" i="5"/>
  <c r="AC154" i="5" s="1"/>
  <c r="AC123" i="5"/>
  <c r="X153" i="5"/>
  <c r="X155" i="5"/>
  <c r="X124" i="5"/>
  <c r="P122" i="5"/>
  <c r="P152" i="5"/>
  <c r="P155" i="5"/>
  <c r="P124" i="5"/>
  <c r="M152" i="5"/>
  <c r="M124" i="5"/>
  <c r="M122" i="5"/>
  <c r="X154" i="5"/>
  <c r="X123" i="5"/>
  <c r="R125" i="5"/>
  <c r="R146" i="5"/>
  <c r="R155" i="5" s="1"/>
  <c r="U123" i="5"/>
  <c r="U153" i="5"/>
  <c r="R123" i="5"/>
  <c r="R136" i="5"/>
  <c r="R153" i="5" s="1"/>
  <c r="R131" i="5"/>
  <c r="R152" i="5" s="1"/>
  <c r="R122" i="5"/>
  <c r="X125" i="5"/>
  <c r="X122" i="5"/>
  <c r="U125" i="5"/>
  <c r="U122" i="5"/>
  <c r="X152" i="5"/>
  <c r="R141" i="5"/>
  <c r="R154" i="5" s="1"/>
  <c r="R124" i="5"/>
  <c r="U155" i="5"/>
  <c r="U152" i="5"/>
  <c r="M163" i="5" l="1"/>
  <c r="M32" i="7"/>
  <c r="M38" i="7"/>
  <c r="M35" i="7"/>
  <c r="M29" i="7"/>
  <c r="M16" i="6"/>
  <c r="M165" i="5"/>
  <c r="M160" i="5"/>
  <c r="M15" i="6"/>
  <c r="M37" i="7"/>
  <c r="M34" i="7"/>
  <c r="M31" i="7"/>
  <c r="M28" i="7"/>
  <c r="C149" i="5"/>
  <c r="C11" i="7"/>
  <c r="C25" i="7" s="1"/>
  <c r="C124" i="5"/>
  <c r="C34" i="7"/>
  <c r="C37" i="7"/>
  <c r="C31" i="7"/>
  <c r="C8" i="6"/>
  <c r="C8" i="7"/>
  <c r="C22" i="7" s="1"/>
  <c r="C164" i="5"/>
  <c r="C169" i="5"/>
  <c r="C159" i="5"/>
  <c r="C148" i="5"/>
  <c r="C160" i="5" s="1"/>
  <c r="C10" i="6"/>
  <c r="C140" i="5"/>
  <c r="C7" i="6"/>
  <c r="C123" i="5"/>
  <c r="C136" i="5"/>
  <c r="C150" i="5"/>
  <c r="C12" i="6"/>
  <c r="C139" i="5"/>
  <c r="C6" i="6"/>
  <c r="C147" i="5"/>
  <c r="C170" i="5" s="1"/>
  <c r="C9" i="6"/>
  <c r="C11" i="6"/>
  <c r="C137" i="5"/>
  <c r="C4" i="6"/>
  <c r="C131" i="5"/>
  <c r="C122" i="5"/>
  <c r="C138" i="5"/>
  <c r="C5" i="6"/>
  <c r="C125" i="5"/>
  <c r="B88" i="4"/>
  <c r="D69" i="5"/>
  <c r="D37" i="5"/>
  <c r="D70" i="5" s="1"/>
  <c r="D38" i="5"/>
  <c r="D71" i="5" s="1"/>
  <c r="D39" i="5"/>
  <c r="D72" i="5" s="1"/>
  <c r="D40" i="5"/>
  <c r="D73" i="5" s="1"/>
  <c r="D41" i="5"/>
  <c r="D74" i="5" s="1"/>
  <c r="D42" i="5"/>
  <c r="D75" i="5" s="1"/>
  <c r="D43" i="5"/>
  <c r="D76" i="5" s="1"/>
  <c r="D44" i="5"/>
  <c r="D77" i="5" s="1"/>
  <c r="D45" i="5"/>
  <c r="D78" i="5" s="1"/>
  <c r="D46" i="5"/>
  <c r="D79" i="5" s="1"/>
  <c r="D47" i="5"/>
  <c r="D80" i="5" s="1"/>
  <c r="D48" i="5"/>
  <c r="D81" i="5" s="1"/>
  <c r="D49" i="5"/>
  <c r="D82" i="5" s="1"/>
  <c r="D50" i="5"/>
  <c r="D83" i="5" s="1"/>
  <c r="D51" i="5"/>
  <c r="D84" i="5" s="1"/>
  <c r="D52" i="5"/>
  <c r="D85" i="5" s="1"/>
  <c r="D53" i="5"/>
  <c r="D86" i="5" s="1"/>
  <c r="D54" i="5"/>
  <c r="D87" i="5" s="1"/>
  <c r="D55" i="5"/>
  <c r="D88" i="5" s="1"/>
  <c r="D56" i="5"/>
  <c r="D89" i="5" s="1"/>
  <c r="D57" i="5"/>
  <c r="D90" i="5" s="1"/>
  <c r="D58" i="5"/>
  <c r="D91" i="5" s="1"/>
  <c r="D59" i="5"/>
  <c r="D92" i="5" s="1"/>
  <c r="D35" i="5"/>
  <c r="D68" i="5" s="1"/>
  <c r="E36" i="5"/>
  <c r="E69" i="5" s="1"/>
  <c r="E37" i="5"/>
  <c r="E70" i="5" s="1"/>
  <c r="E38" i="5"/>
  <c r="E71" i="5" s="1"/>
  <c r="E39" i="5"/>
  <c r="E72" i="5" s="1"/>
  <c r="E40" i="5"/>
  <c r="E73" i="5" s="1"/>
  <c r="E41" i="5"/>
  <c r="E74" i="5" s="1"/>
  <c r="E42" i="5"/>
  <c r="E75" i="5" s="1"/>
  <c r="E43" i="5"/>
  <c r="E76" i="5" s="1"/>
  <c r="E44" i="5"/>
  <c r="E77" i="5" s="1"/>
  <c r="E45" i="5"/>
  <c r="E78" i="5" s="1"/>
  <c r="E46" i="5"/>
  <c r="E79" i="5" s="1"/>
  <c r="E47" i="5"/>
  <c r="E80" i="5" s="1"/>
  <c r="E48" i="5"/>
  <c r="E81" i="5" s="1"/>
  <c r="E49" i="5"/>
  <c r="E82" i="5" s="1"/>
  <c r="E50" i="5"/>
  <c r="E83" i="5" s="1"/>
  <c r="E51" i="5"/>
  <c r="E84" i="5" s="1"/>
  <c r="E52" i="5"/>
  <c r="E85" i="5" s="1"/>
  <c r="E53" i="5"/>
  <c r="E86" i="5" s="1"/>
  <c r="E54" i="5"/>
  <c r="E87" i="5" s="1"/>
  <c r="E55" i="5"/>
  <c r="E88" i="5" s="1"/>
  <c r="E56" i="5"/>
  <c r="E89" i="5" s="1"/>
  <c r="E57" i="5"/>
  <c r="E90" i="5" s="1"/>
  <c r="E58" i="5"/>
  <c r="E91" i="5" s="1"/>
  <c r="E59" i="5"/>
  <c r="E92" i="5" s="1"/>
  <c r="E35" i="5"/>
  <c r="E68" i="5" s="1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68" i="5"/>
  <c r="G36" i="5"/>
  <c r="G69" i="5" s="1"/>
  <c r="G37" i="5"/>
  <c r="G70" i="5" s="1"/>
  <c r="G38" i="5"/>
  <c r="G71" i="5" s="1"/>
  <c r="G39" i="5"/>
  <c r="G72" i="5" s="1"/>
  <c r="G40" i="5"/>
  <c r="G73" i="5" s="1"/>
  <c r="G41" i="5"/>
  <c r="G74" i="5" s="1"/>
  <c r="G42" i="5"/>
  <c r="G75" i="5" s="1"/>
  <c r="G43" i="5"/>
  <c r="G76" i="5" s="1"/>
  <c r="G44" i="5"/>
  <c r="G77" i="5" s="1"/>
  <c r="G45" i="5"/>
  <c r="G78" i="5" s="1"/>
  <c r="G46" i="5"/>
  <c r="G79" i="5" s="1"/>
  <c r="G47" i="5"/>
  <c r="G80" i="5" s="1"/>
  <c r="G48" i="5"/>
  <c r="G81" i="5" s="1"/>
  <c r="G49" i="5"/>
  <c r="G82" i="5" s="1"/>
  <c r="G50" i="5"/>
  <c r="G83" i="5" s="1"/>
  <c r="G51" i="5"/>
  <c r="G84" i="5" s="1"/>
  <c r="G52" i="5"/>
  <c r="G85" i="5" s="1"/>
  <c r="G53" i="5"/>
  <c r="G86" i="5" s="1"/>
  <c r="G54" i="5"/>
  <c r="G87" i="5" s="1"/>
  <c r="G55" i="5"/>
  <c r="G88" i="5" s="1"/>
  <c r="G93" i="5" s="1"/>
  <c r="G103" i="5" s="1"/>
  <c r="G134" i="5" s="1"/>
  <c r="G56" i="5"/>
  <c r="G89" i="5" s="1"/>
  <c r="G57" i="5"/>
  <c r="G90" i="5" s="1"/>
  <c r="G58" i="5"/>
  <c r="G91" i="5" s="1"/>
  <c r="G59" i="5"/>
  <c r="G92" i="5" s="1"/>
  <c r="G35" i="5"/>
  <c r="G68" i="5" s="1"/>
  <c r="H36" i="5"/>
  <c r="H69" i="5" s="1"/>
  <c r="H37" i="5"/>
  <c r="H70" i="5" s="1"/>
  <c r="H38" i="5"/>
  <c r="H71" i="5" s="1"/>
  <c r="H39" i="5"/>
  <c r="H72" i="5" s="1"/>
  <c r="H40" i="5"/>
  <c r="H73" i="5" s="1"/>
  <c r="H41" i="5"/>
  <c r="H74" i="5" s="1"/>
  <c r="H42" i="5"/>
  <c r="H75" i="5" s="1"/>
  <c r="H43" i="5"/>
  <c r="H76" i="5" s="1"/>
  <c r="H44" i="5"/>
  <c r="H77" i="5" s="1"/>
  <c r="H45" i="5"/>
  <c r="H78" i="5" s="1"/>
  <c r="H46" i="5"/>
  <c r="H79" i="5" s="1"/>
  <c r="H47" i="5"/>
  <c r="H80" i="5" s="1"/>
  <c r="H48" i="5"/>
  <c r="H81" i="5" s="1"/>
  <c r="H49" i="5"/>
  <c r="H82" i="5" s="1"/>
  <c r="H50" i="5"/>
  <c r="H83" i="5" s="1"/>
  <c r="H51" i="5"/>
  <c r="H84" i="5" s="1"/>
  <c r="H52" i="5"/>
  <c r="H85" i="5" s="1"/>
  <c r="H53" i="5"/>
  <c r="H86" i="5" s="1"/>
  <c r="H54" i="5"/>
  <c r="H87" i="5" s="1"/>
  <c r="H55" i="5"/>
  <c r="H88" i="5" s="1"/>
  <c r="H56" i="5"/>
  <c r="H89" i="5" s="1"/>
  <c r="H57" i="5"/>
  <c r="H90" i="5" s="1"/>
  <c r="H58" i="5"/>
  <c r="H91" i="5" s="1"/>
  <c r="H59" i="5"/>
  <c r="H92" i="5" s="1"/>
  <c r="H35" i="5"/>
  <c r="H68" i="5" s="1"/>
  <c r="I36" i="5"/>
  <c r="I69" i="5" s="1"/>
  <c r="I37" i="5"/>
  <c r="I70" i="5" s="1"/>
  <c r="I38" i="5"/>
  <c r="I71" i="5" s="1"/>
  <c r="I39" i="5"/>
  <c r="I72" i="5" s="1"/>
  <c r="I40" i="5"/>
  <c r="I73" i="5" s="1"/>
  <c r="I41" i="5"/>
  <c r="I74" i="5" s="1"/>
  <c r="I42" i="5"/>
  <c r="I75" i="5" s="1"/>
  <c r="I43" i="5"/>
  <c r="I76" i="5" s="1"/>
  <c r="I44" i="5"/>
  <c r="I77" i="5" s="1"/>
  <c r="I45" i="5"/>
  <c r="I78" i="5" s="1"/>
  <c r="I46" i="5"/>
  <c r="I79" i="5" s="1"/>
  <c r="I47" i="5"/>
  <c r="I80" i="5" s="1"/>
  <c r="I48" i="5"/>
  <c r="I81" i="5" s="1"/>
  <c r="I49" i="5"/>
  <c r="I82" i="5" s="1"/>
  <c r="I50" i="5"/>
  <c r="I83" i="5" s="1"/>
  <c r="I51" i="5"/>
  <c r="I84" i="5" s="1"/>
  <c r="I52" i="5"/>
  <c r="I85" i="5" s="1"/>
  <c r="I53" i="5"/>
  <c r="I86" i="5" s="1"/>
  <c r="I54" i="5"/>
  <c r="I87" i="5" s="1"/>
  <c r="I55" i="5"/>
  <c r="I88" i="5" s="1"/>
  <c r="I56" i="5"/>
  <c r="I89" i="5" s="1"/>
  <c r="I57" i="5"/>
  <c r="I90" i="5" s="1"/>
  <c r="I58" i="5"/>
  <c r="I91" i="5" s="1"/>
  <c r="I59" i="5"/>
  <c r="I35" i="5"/>
  <c r="I68" i="5" s="1"/>
  <c r="J35" i="5"/>
  <c r="J68" i="5" s="1"/>
  <c r="J36" i="5"/>
  <c r="J69" i="5" s="1"/>
  <c r="J37" i="5"/>
  <c r="J70" i="5" s="1"/>
  <c r="J38" i="5"/>
  <c r="J71" i="5" s="1"/>
  <c r="J39" i="5"/>
  <c r="J72" i="5" s="1"/>
  <c r="J40" i="5"/>
  <c r="J73" i="5" s="1"/>
  <c r="J41" i="5"/>
  <c r="J74" i="5" s="1"/>
  <c r="J42" i="5"/>
  <c r="J75" i="5" s="1"/>
  <c r="J43" i="5"/>
  <c r="J76" i="5" s="1"/>
  <c r="J44" i="5"/>
  <c r="J77" i="5" s="1"/>
  <c r="J45" i="5"/>
  <c r="J78" i="5" s="1"/>
  <c r="J46" i="5"/>
  <c r="J79" i="5" s="1"/>
  <c r="J47" i="5"/>
  <c r="J80" i="5" s="1"/>
  <c r="J48" i="5"/>
  <c r="J81" i="5" s="1"/>
  <c r="J49" i="5"/>
  <c r="J82" i="5" s="1"/>
  <c r="J50" i="5"/>
  <c r="J83" i="5" s="1"/>
  <c r="J51" i="5"/>
  <c r="J84" i="5" s="1"/>
  <c r="J52" i="5"/>
  <c r="J85" i="5" s="1"/>
  <c r="J53" i="5"/>
  <c r="J86" i="5" s="1"/>
  <c r="J54" i="5"/>
  <c r="J87" i="5" s="1"/>
  <c r="J55" i="5"/>
  <c r="J88" i="5" s="1"/>
  <c r="J56" i="5"/>
  <c r="J89" i="5" s="1"/>
  <c r="J57" i="5"/>
  <c r="J90" i="5" s="1"/>
  <c r="J58" i="5"/>
  <c r="J91" i="5" s="1"/>
  <c r="J59" i="5"/>
  <c r="J92" i="5" s="1"/>
  <c r="C35" i="7" l="1"/>
  <c r="C32" i="7"/>
  <c r="C29" i="7"/>
  <c r="C38" i="7"/>
  <c r="C165" i="5"/>
  <c r="C158" i="5"/>
  <c r="C163" i="5"/>
  <c r="C168" i="5"/>
  <c r="C152" i="5"/>
  <c r="C157" i="5"/>
  <c r="C162" i="5"/>
  <c r="C167" i="5"/>
  <c r="C155" i="5"/>
  <c r="C153" i="5"/>
  <c r="G112" i="5"/>
  <c r="G143" i="5" s="1"/>
  <c r="J115" i="5"/>
  <c r="G119" i="5"/>
  <c r="G111" i="5"/>
  <c r="G142" i="5" s="1"/>
  <c r="F93" i="5"/>
  <c r="F106" i="5" s="1"/>
  <c r="F4" i="7" s="1"/>
  <c r="F18" i="7" s="1"/>
  <c r="G118" i="5"/>
  <c r="G110" i="5"/>
  <c r="G102" i="5"/>
  <c r="G133" i="5" s="1"/>
  <c r="E93" i="5"/>
  <c r="E106" i="5" s="1"/>
  <c r="C16" i="6"/>
  <c r="G100" i="5"/>
  <c r="G117" i="5"/>
  <c r="G109" i="5"/>
  <c r="G101" i="5"/>
  <c r="G132" i="5" s="1"/>
  <c r="F102" i="5"/>
  <c r="F133" i="5" s="1"/>
  <c r="E119" i="5"/>
  <c r="E111" i="5"/>
  <c r="E142" i="5" s="1"/>
  <c r="E103" i="5"/>
  <c r="E134" i="5" s="1"/>
  <c r="D93" i="5"/>
  <c r="D106" i="5" s="1"/>
  <c r="C15" i="6"/>
  <c r="J104" i="5"/>
  <c r="J135" i="5" s="1"/>
  <c r="G116" i="5"/>
  <c r="G108" i="5"/>
  <c r="F100" i="5"/>
  <c r="E118" i="5"/>
  <c r="E110" i="5"/>
  <c r="E102" i="5"/>
  <c r="E133" i="5" s="1"/>
  <c r="D103" i="5"/>
  <c r="D134" i="5" s="1"/>
  <c r="G115" i="5"/>
  <c r="G107" i="5"/>
  <c r="E100" i="5"/>
  <c r="E117" i="5"/>
  <c r="E109" i="5"/>
  <c r="E101" i="5"/>
  <c r="E132" i="5" s="1"/>
  <c r="D118" i="5"/>
  <c r="G104" i="5"/>
  <c r="G135" i="5" s="1"/>
  <c r="J93" i="5"/>
  <c r="J102" i="5" s="1"/>
  <c r="J133" i="5" s="1"/>
  <c r="I105" i="5"/>
  <c r="I112" i="5"/>
  <c r="I143" i="5" s="1"/>
  <c r="G114" i="5"/>
  <c r="G145" i="5" s="1"/>
  <c r="G106" i="5"/>
  <c r="F115" i="5"/>
  <c r="F8" i="7" s="1"/>
  <c r="F22" i="7" s="1"/>
  <c r="F107" i="5"/>
  <c r="F5" i="7" s="1"/>
  <c r="F19" i="7" s="1"/>
  <c r="E116" i="5"/>
  <c r="E108" i="5"/>
  <c r="J119" i="5"/>
  <c r="I119" i="5"/>
  <c r="I103" i="5"/>
  <c r="I134" i="5" s="1"/>
  <c r="H93" i="5"/>
  <c r="H116" i="5" s="1"/>
  <c r="G113" i="5"/>
  <c r="G144" i="5" s="1"/>
  <c r="G105" i="5"/>
  <c r="E115" i="5"/>
  <c r="E107" i="5"/>
  <c r="D116" i="5"/>
  <c r="G60" i="5"/>
  <c r="F105" i="5" l="1"/>
  <c r="F3" i="7" s="1"/>
  <c r="F17" i="7" s="1"/>
  <c r="F104" i="5"/>
  <c r="F135" i="5" s="1"/>
  <c r="F108" i="5"/>
  <c r="F6" i="7" s="1"/>
  <c r="F20" i="7" s="1"/>
  <c r="F28" i="7" s="1"/>
  <c r="F101" i="5"/>
  <c r="F132" i="5" s="1"/>
  <c r="F109" i="5"/>
  <c r="F7" i="7" s="1"/>
  <c r="F21" i="7" s="1"/>
  <c r="F116" i="5"/>
  <c r="F9" i="7" s="1"/>
  <c r="F23" i="7" s="1"/>
  <c r="F114" i="5"/>
  <c r="F145" i="5" s="1"/>
  <c r="F117" i="5"/>
  <c r="F10" i="7" s="1"/>
  <c r="F24" i="7" s="1"/>
  <c r="F34" i="7"/>
  <c r="F37" i="7"/>
  <c r="F110" i="5"/>
  <c r="F111" i="5"/>
  <c r="F142" i="5" s="1"/>
  <c r="F113" i="5"/>
  <c r="F144" i="5" s="1"/>
  <c r="F118" i="5"/>
  <c r="F11" i="7" s="1"/>
  <c r="F25" i="7" s="1"/>
  <c r="F29" i="7" s="1"/>
  <c r="F119" i="5"/>
  <c r="F12" i="7" s="1"/>
  <c r="F26" i="7" s="1"/>
  <c r="E137" i="5"/>
  <c r="E4" i="6"/>
  <c r="D137" i="5"/>
  <c r="D4" i="6"/>
  <c r="D114" i="5"/>
  <c r="D145" i="5" s="1"/>
  <c r="H103" i="5"/>
  <c r="H134" i="5" s="1"/>
  <c r="I3" i="6"/>
  <c r="I136" i="5"/>
  <c r="H106" i="5"/>
  <c r="D111" i="5"/>
  <c r="D142" i="5" s="1"/>
  <c r="F131" i="5"/>
  <c r="J112" i="5"/>
  <c r="J143" i="5" s="1"/>
  <c r="G148" i="5"/>
  <c r="G10" i="6"/>
  <c r="F150" i="5"/>
  <c r="F12" i="6"/>
  <c r="I108" i="5"/>
  <c r="E105" i="5"/>
  <c r="H110" i="5"/>
  <c r="E114" i="5"/>
  <c r="E145" i="5" s="1"/>
  <c r="J8" i="6"/>
  <c r="J146" i="5"/>
  <c r="F138" i="5"/>
  <c r="F5" i="6"/>
  <c r="E8" i="6"/>
  <c r="E146" i="5"/>
  <c r="E125" i="5"/>
  <c r="I111" i="5"/>
  <c r="I142" i="5" s="1"/>
  <c r="J108" i="5"/>
  <c r="F8" i="6"/>
  <c r="F146" i="5"/>
  <c r="J118" i="5"/>
  <c r="E140" i="5"/>
  <c r="E7" i="6"/>
  <c r="H114" i="5"/>
  <c r="H145" i="5" s="1"/>
  <c r="D119" i="5"/>
  <c r="G139" i="5"/>
  <c r="G6" i="6"/>
  <c r="G131" i="5"/>
  <c r="G152" i="5" s="1"/>
  <c r="G122" i="5"/>
  <c r="D105" i="5"/>
  <c r="I116" i="5"/>
  <c r="E113" i="5"/>
  <c r="E144" i="5" s="1"/>
  <c r="H118" i="5"/>
  <c r="I110" i="5"/>
  <c r="E147" i="5"/>
  <c r="E9" i="6"/>
  <c r="G140" i="5"/>
  <c r="G7" i="6"/>
  <c r="E148" i="5"/>
  <c r="E10" i="6"/>
  <c r="E150" i="5"/>
  <c r="E12" i="6"/>
  <c r="H108" i="5"/>
  <c r="D113" i="5"/>
  <c r="D144" i="5" s="1"/>
  <c r="G141" i="5"/>
  <c r="G154" i="5" s="1"/>
  <c r="G124" i="5"/>
  <c r="J106" i="5"/>
  <c r="I101" i="5"/>
  <c r="I132" i="5" s="1"/>
  <c r="D107" i="5"/>
  <c r="J150" i="5"/>
  <c r="J12" i="6"/>
  <c r="H102" i="5"/>
  <c r="H133" i="5" s="1"/>
  <c r="I150" i="5"/>
  <c r="I12" i="6"/>
  <c r="G3" i="6"/>
  <c r="G123" i="5"/>
  <c r="G136" i="5"/>
  <c r="J101" i="5"/>
  <c r="J132" i="5" s="1"/>
  <c r="D109" i="5"/>
  <c r="E131" i="5"/>
  <c r="J103" i="5"/>
  <c r="J134" i="5" s="1"/>
  <c r="E141" i="5"/>
  <c r="H107" i="5"/>
  <c r="I107" i="5"/>
  <c r="E104" i="5"/>
  <c r="E135" i="5" s="1"/>
  <c r="G149" i="5"/>
  <c r="G11" i="6"/>
  <c r="J114" i="5"/>
  <c r="J145" i="5" s="1"/>
  <c r="F112" i="5"/>
  <c r="F143" i="5" s="1"/>
  <c r="I109" i="5"/>
  <c r="D115" i="5"/>
  <c r="H100" i="5"/>
  <c r="E138" i="5"/>
  <c r="E5" i="6"/>
  <c r="D101" i="5"/>
  <c r="D132" i="5" s="1"/>
  <c r="D117" i="5"/>
  <c r="I102" i="5"/>
  <c r="I133" i="5" s="1"/>
  <c r="F139" i="5"/>
  <c r="F6" i="6"/>
  <c r="J111" i="5"/>
  <c r="J142" i="5" s="1"/>
  <c r="E149" i="5"/>
  <c r="E11" i="6"/>
  <c r="H115" i="5"/>
  <c r="F141" i="5"/>
  <c r="I115" i="5"/>
  <c r="E112" i="5"/>
  <c r="E143" i="5" s="1"/>
  <c r="H101" i="5"/>
  <c r="H132" i="5" s="1"/>
  <c r="F3" i="6"/>
  <c r="F136" i="5"/>
  <c r="F123" i="5"/>
  <c r="F137" i="5"/>
  <c r="F4" i="6"/>
  <c r="I117" i="5"/>
  <c r="H147" i="5"/>
  <c r="H9" i="6"/>
  <c r="G8" i="6"/>
  <c r="G146" i="5"/>
  <c r="G125" i="5"/>
  <c r="I113" i="5"/>
  <c r="I144" i="5" s="1"/>
  <c r="I118" i="5"/>
  <c r="J109" i="5"/>
  <c r="H105" i="5"/>
  <c r="J117" i="5"/>
  <c r="H113" i="5"/>
  <c r="H144" i="5" s="1"/>
  <c r="F147" i="5"/>
  <c r="H111" i="5"/>
  <c r="H142" i="5" s="1"/>
  <c r="I106" i="5"/>
  <c r="D104" i="5"/>
  <c r="D135" i="5" s="1"/>
  <c r="J105" i="5"/>
  <c r="H109" i="5"/>
  <c r="H119" i="5"/>
  <c r="I100" i="5"/>
  <c r="D147" i="5"/>
  <c r="D9" i="6"/>
  <c r="D149" i="5"/>
  <c r="D11" i="6"/>
  <c r="G137" i="5"/>
  <c r="G4" i="6"/>
  <c r="G147" i="5"/>
  <c r="G9" i="6"/>
  <c r="H104" i="5"/>
  <c r="H135" i="5" s="1"/>
  <c r="D100" i="5"/>
  <c r="D102" i="5"/>
  <c r="D133" i="5" s="1"/>
  <c r="D108" i="5"/>
  <c r="H112" i="5"/>
  <c r="H143" i="5" s="1"/>
  <c r="J110" i="5"/>
  <c r="E139" i="5"/>
  <c r="E6" i="6"/>
  <c r="I104" i="5"/>
  <c r="I135" i="5" s="1"/>
  <c r="D110" i="5"/>
  <c r="G138" i="5"/>
  <c r="G5" i="6"/>
  <c r="J116" i="5"/>
  <c r="F140" i="5"/>
  <c r="F7" i="6"/>
  <c r="I114" i="5"/>
  <c r="I145" i="5" s="1"/>
  <c r="D112" i="5"/>
  <c r="D143" i="5" s="1"/>
  <c r="J113" i="5"/>
  <c r="J144" i="5" s="1"/>
  <c r="F103" i="5"/>
  <c r="F134" i="5" s="1"/>
  <c r="H117" i="5"/>
  <c r="G150" i="5"/>
  <c r="G12" i="6"/>
  <c r="J107" i="5"/>
  <c r="J100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35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35" i="5"/>
  <c r="AE63" i="4"/>
  <c r="AE7" i="4"/>
  <c r="AE5" i="4"/>
  <c r="U75" i="4"/>
  <c r="U73" i="4"/>
  <c r="U60" i="4"/>
  <c r="U58" i="4"/>
  <c r="U48" i="4"/>
  <c r="U31" i="4"/>
  <c r="U17" i="4"/>
  <c r="U5" i="4"/>
  <c r="L73" i="4"/>
  <c r="L74" i="4"/>
  <c r="L75" i="4" s="1"/>
  <c r="L58" i="4"/>
  <c r="L44" i="4"/>
  <c r="L16" i="4"/>
  <c r="L5" i="4"/>
  <c r="B73" i="4"/>
  <c r="B57" i="4"/>
  <c r="B44" i="4"/>
  <c r="B31" i="4"/>
  <c r="B6" i="4"/>
  <c r="A17" i="4"/>
  <c r="F11" i="6" l="1"/>
  <c r="F10" i="6"/>
  <c r="F31" i="7"/>
  <c r="F9" i="6"/>
  <c r="F148" i="5"/>
  <c r="F155" i="5" s="1"/>
  <c r="F125" i="5"/>
  <c r="F168" i="5"/>
  <c r="F158" i="5"/>
  <c r="F163" i="5"/>
  <c r="F32" i="7"/>
  <c r="F149" i="5"/>
  <c r="F35" i="7"/>
  <c r="F164" i="5"/>
  <c r="F169" i="5"/>
  <c r="F159" i="5"/>
  <c r="F167" i="5"/>
  <c r="F162" i="5"/>
  <c r="F157" i="5"/>
  <c r="F160" i="5"/>
  <c r="F38" i="7"/>
  <c r="F124" i="5"/>
  <c r="F122" i="5"/>
  <c r="F154" i="5"/>
  <c r="E152" i="5"/>
  <c r="E155" i="5"/>
  <c r="F152" i="5"/>
  <c r="G155" i="5"/>
  <c r="H140" i="5"/>
  <c r="H7" i="6"/>
  <c r="J147" i="5"/>
  <c r="J155" i="5" s="1"/>
  <c r="J9" i="6"/>
  <c r="F15" i="6"/>
  <c r="E16" i="6"/>
  <c r="I137" i="5"/>
  <c r="I4" i="6"/>
  <c r="I149" i="5"/>
  <c r="I11" i="6"/>
  <c r="E154" i="5"/>
  <c r="G15" i="6"/>
  <c r="D138" i="5"/>
  <c r="D5" i="6"/>
  <c r="H149" i="5"/>
  <c r="H11" i="6"/>
  <c r="D150" i="5"/>
  <c r="D12" i="6"/>
  <c r="J139" i="5"/>
  <c r="J6" i="6"/>
  <c r="F153" i="5"/>
  <c r="H124" i="5"/>
  <c r="H141" i="5"/>
  <c r="H154" i="5" s="1"/>
  <c r="D140" i="5"/>
  <c r="D7" i="6"/>
  <c r="J149" i="5"/>
  <c r="J11" i="6"/>
  <c r="J131" i="5"/>
  <c r="J152" i="5" s="1"/>
  <c r="I122" i="5"/>
  <c r="I131" i="5"/>
  <c r="I152" i="5" s="1"/>
  <c r="D148" i="5"/>
  <c r="D10" i="6"/>
  <c r="J3" i="6"/>
  <c r="J136" i="5"/>
  <c r="J123" i="5"/>
  <c r="J138" i="5"/>
  <c r="J5" i="6"/>
  <c r="H150" i="5"/>
  <c r="H12" i="6"/>
  <c r="H8" i="6"/>
  <c r="H125" i="5"/>
  <c r="H146" i="5"/>
  <c r="E122" i="5"/>
  <c r="J137" i="5"/>
  <c r="J4" i="6"/>
  <c r="I147" i="5"/>
  <c r="I9" i="6"/>
  <c r="H148" i="5"/>
  <c r="H10" i="6"/>
  <c r="D139" i="5"/>
  <c r="D6" i="6"/>
  <c r="J148" i="5"/>
  <c r="J10" i="6"/>
  <c r="H122" i="5"/>
  <c r="H131" i="5"/>
  <c r="H152" i="5" s="1"/>
  <c r="I138" i="5"/>
  <c r="I5" i="6"/>
  <c r="I139" i="5"/>
  <c r="I6" i="6"/>
  <c r="J141" i="5"/>
  <c r="J154" i="5" s="1"/>
  <c r="J124" i="5"/>
  <c r="D3" i="6"/>
  <c r="D136" i="5"/>
  <c r="D123" i="5"/>
  <c r="H3" i="6"/>
  <c r="H123" i="5"/>
  <c r="H136" i="5"/>
  <c r="D8" i="6"/>
  <c r="D125" i="5"/>
  <c r="D146" i="5"/>
  <c r="H138" i="5"/>
  <c r="H5" i="6"/>
  <c r="G153" i="5"/>
  <c r="H139" i="5"/>
  <c r="H6" i="6"/>
  <c r="H137" i="5"/>
  <c r="H4" i="6"/>
  <c r="G16" i="6"/>
  <c r="E3" i="6"/>
  <c r="E123" i="5"/>
  <c r="E136" i="5"/>
  <c r="E153" i="5" s="1"/>
  <c r="D141" i="5"/>
  <c r="D154" i="5" s="1"/>
  <c r="D124" i="5"/>
  <c r="D131" i="5"/>
  <c r="D152" i="5" s="1"/>
  <c r="D122" i="5"/>
  <c r="J140" i="5"/>
  <c r="J7" i="6"/>
  <c r="I148" i="5"/>
  <c r="I10" i="6"/>
  <c r="I8" i="6"/>
  <c r="I125" i="5"/>
  <c r="I146" i="5"/>
  <c r="I140" i="5"/>
  <c r="I7" i="6"/>
  <c r="E124" i="5"/>
  <c r="I124" i="5"/>
  <c r="I141" i="5"/>
  <c r="I154" i="5" s="1"/>
  <c r="F16" i="6"/>
  <c r="J125" i="5"/>
  <c r="I123" i="5"/>
  <c r="Q60" i="5"/>
  <c r="O60" i="5"/>
  <c r="F3" i="3"/>
  <c r="R60" i="5"/>
  <c r="S60" i="5"/>
  <c r="AC60" i="5"/>
  <c r="AB60" i="5"/>
  <c r="Y60" i="5"/>
  <c r="V60" i="5"/>
  <c r="U60" i="5"/>
  <c r="T60" i="5"/>
  <c r="H60" i="5"/>
  <c r="E60" i="5"/>
  <c r="F170" i="5" l="1"/>
  <c r="F165" i="5"/>
  <c r="D155" i="5"/>
  <c r="H153" i="5"/>
  <c r="H155" i="5"/>
  <c r="I153" i="5"/>
  <c r="I155" i="5"/>
  <c r="D15" i="6"/>
  <c r="J16" i="6"/>
  <c r="D16" i="6"/>
  <c r="E15" i="6"/>
  <c r="I16" i="6"/>
  <c r="J153" i="5"/>
  <c r="H15" i="6"/>
  <c r="H16" i="6"/>
  <c r="J15" i="6"/>
  <c r="D153" i="5"/>
  <c r="I15" i="6"/>
  <c r="D60" i="5"/>
  <c r="P60" i="5" l="1"/>
  <c r="A18" i="4" l="1"/>
  <c r="J60" i="5"/>
  <c r="W60" i="5"/>
  <c r="AA60" i="5"/>
  <c r="Z60" i="5"/>
  <c r="X60" i="5"/>
  <c r="N60" i="5"/>
  <c r="A20" i="4" l="1"/>
  <c r="A21" i="4" s="1"/>
  <c r="A22" i="4" s="1"/>
  <c r="A23" i="4" s="1"/>
  <c r="A19" i="4"/>
  <c r="M60" i="5"/>
  <c r="L60" i="5"/>
  <c r="K60" i="5"/>
  <c r="B16" i="4"/>
  <c r="B18" i="4" l="1"/>
  <c r="B17" i="4"/>
  <c r="B19" i="4"/>
  <c r="S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20" i="4" l="1"/>
  <c r="B21" i="4" s="1"/>
  <c r="B22" i="4" s="1"/>
  <c r="AE17" i="4"/>
  <c r="AE18" i="4" s="1"/>
  <c r="AE19" i="4" s="1"/>
  <c r="AE20" i="4" s="1"/>
  <c r="AE30" i="4"/>
  <c r="AE31" i="4" s="1"/>
  <c r="AE32" i="4" s="1"/>
  <c r="AE33" i="4" s="1"/>
  <c r="U44" i="4"/>
  <c r="U45" i="4" s="1"/>
  <c r="U46" i="4" s="1"/>
  <c r="U47" i="4" s="1"/>
  <c r="U49" i="4" s="1"/>
  <c r="U50" i="4" s="1"/>
  <c r="AE44" i="4"/>
  <c r="AE45" i="4" s="1"/>
  <c r="AE46" i="4" s="1"/>
  <c r="AE47" i="4" s="1"/>
  <c r="AE59" i="4"/>
  <c r="AE60" i="4" s="1"/>
  <c r="AE61" i="4" s="1"/>
  <c r="AE62" i="4" s="1"/>
  <c r="AE64" i="4" s="1"/>
  <c r="AE65" i="4" s="1"/>
  <c r="U87" i="4"/>
  <c r="U88" i="4" s="1"/>
  <c r="U89" i="4" s="1"/>
  <c r="U90" i="4" s="1"/>
  <c r="U102" i="4"/>
  <c r="U103" i="4" s="1"/>
  <c r="U104" i="4" s="1"/>
  <c r="U105" i="4" s="1"/>
  <c r="L102" i="4"/>
  <c r="L103" i="4" s="1"/>
  <c r="L104" i="4" s="1"/>
  <c r="L105" i="4" s="1"/>
  <c r="L106" i="4" s="1"/>
  <c r="L107" i="4" s="1"/>
  <c r="L88" i="4"/>
  <c r="L89" i="4" s="1"/>
  <c r="L90" i="4" s="1"/>
  <c r="L91" i="4" s="1"/>
  <c r="B89" i="4"/>
  <c r="B90" i="4" s="1"/>
  <c r="B91" i="4" s="1"/>
  <c r="U32" i="4"/>
  <c r="U74" i="4"/>
  <c r="U76" i="4" s="1"/>
  <c r="U77" i="4" s="1"/>
  <c r="U78" i="4" s="1"/>
  <c r="U79" i="4" s="1"/>
  <c r="B58" i="4"/>
  <c r="L59" i="4"/>
  <c r="L76" i="4"/>
  <c r="L77" i="4" s="1"/>
  <c r="L78" i="4" s="1"/>
  <c r="L79" i="4" s="1"/>
  <c r="L45" i="4"/>
  <c r="U6" i="4"/>
  <c r="AE6" i="4"/>
  <c r="AE8" i="4" s="1"/>
  <c r="AE9" i="4" s="1"/>
  <c r="AE10" i="4" s="1"/>
  <c r="AE11" i="4" s="1"/>
  <c r="B45" i="4"/>
  <c r="B74" i="4"/>
  <c r="B76" i="4" s="1"/>
  <c r="B77" i="4" s="1"/>
  <c r="B78" i="4" s="1"/>
  <c r="B79" i="4" s="1"/>
  <c r="B32" i="4"/>
  <c r="B7" i="4"/>
  <c r="L31" i="4"/>
  <c r="L32" i="4" s="1"/>
  <c r="L33" i="4" s="1"/>
  <c r="L34" i="4" s="1"/>
  <c r="L35" i="4" s="1"/>
  <c r="L36" i="4" s="1"/>
  <c r="L37" i="4" s="1"/>
  <c r="U59" i="4"/>
  <c r="U61" i="4" s="1"/>
  <c r="U62" i="4" s="1"/>
  <c r="U63" i="4" s="1"/>
  <c r="U64" i="4" s="1"/>
  <c r="L6" i="4"/>
  <c r="B23" i="4"/>
  <c r="U18" i="4"/>
  <c r="L17" i="4"/>
  <c r="U92" i="4" l="1"/>
  <c r="U93" i="4" s="1"/>
  <c r="U91" i="4"/>
  <c r="B9" i="4"/>
  <c r="B10" i="4" s="1"/>
  <c r="B11" i="4" s="1"/>
  <c r="B12" i="4" s="1"/>
  <c r="B8" i="4"/>
  <c r="L61" i="4"/>
  <c r="L62" i="4" s="1"/>
  <c r="L63" i="4" s="1"/>
  <c r="L64" i="4" s="1"/>
  <c r="L60" i="4"/>
  <c r="U107" i="4"/>
  <c r="U108" i="4" s="1"/>
  <c r="U106" i="4"/>
  <c r="B34" i="4"/>
  <c r="B35" i="4" s="1"/>
  <c r="B36" i="4" s="1"/>
  <c r="B37" i="4" s="1"/>
  <c r="B33" i="4"/>
  <c r="AE49" i="4"/>
  <c r="AE50" i="4" s="1"/>
  <c r="AE48" i="4"/>
  <c r="B93" i="4"/>
  <c r="B94" i="4" s="1"/>
  <c r="B92" i="4"/>
  <c r="L19" i="4"/>
  <c r="L20" i="4" s="1"/>
  <c r="L21" i="4" s="1"/>
  <c r="L22" i="4" s="1"/>
  <c r="L18" i="4"/>
  <c r="U34" i="4"/>
  <c r="U35" i="4" s="1"/>
  <c r="U36" i="4" s="1"/>
  <c r="U37" i="4" s="1"/>
  <c r="U33" i="4"/>
  <c r="L8" i="4"/>
  <c r="L9" i="4" s="1"/>
  <c r="L10" i="4" s="1"/>
  <c r="L11" i="4" s="1"/>
  <c r="L7" i="4"/>
  <c r="U8" i="4"/>
  <c r="U9" i="4" s="1"/>
  <c r="U10" i="4" s="1"/>
  <c r="U11" i="4" s="1"/>
  <c r="U7" i="4"/>
  <c r="AE35" i="4"/>
  <c r="AE36" i="4" s="1"/>
  <c r="AE34" i="4"/>
  <c r="B60" i="4"/>
  <c r="B61" i="4" s="1"/>
  <c r="B62" i="4" s="1"/>
  <c r="B63" i="4" s="1"/>
  <c r="B59" i="4"/>
  <c r="U20" i="4"/>
  <c r="U21" i="4" s="1"/>
  <c r="U22" i="4" s="1"/>
  <c r="U23" i="4" s="1"/>
  <c r="U19" i="4"/>
  <c r="B47" i="4"/>
  <c r="B48" i="4" s="1"/>
  <c r="B49" i="4" s="1"/>
  <c r="B50" i="4" s="1"/>
  <c r="B46" i="4"/>
  <c r="L47" i="4"/>
  <c r="L48" i="4" s="1"/>
  <c r="L49" i="4" s="1"/>
  <c r="L50" i="4" s="1"/>
  <c r="L46" i="4"/>
  <c r="L93" i="4"/>
  <c r="L94" i="4" s="1"/>
  <c r="L92" i="4"/>
  <c r="AE22" i="4"/>
  <c r="AE23" i="4" s="1"/>
  <c r="AE21" i="4"/>
  <c r="BE4" i="1" l="1"/>
  <c r="DJ4" i="1" s="1"/>
  <c r="BE5" i="1"/>
  <c r="DJ5" i="1" s="1"/>
  <c r="BE6" i="1"/>
  <c r="DJ6" i="1" s="1"/>
  <c r="BE7" i="1"/>
  <c r="DJ7" i="1" s="1"/>
  <c r="BE8" i="1"/>
  <c r="DJ8" i="1" s="1"/>
  <c r="BE9" i="1"/>
  <c r="DJ9" i="1" s="1"/>
  <c r="BE10" i="1"/>
  <c r="DJ10" i="1" s="1"/>
  <c r="BE11" i="1"/>
  <c r="DJ11" i="1" s="1"/>
  <c r="BE12" i="1"/>
  <c r="DJ12" i="1" s="1"/>
  <c r="BE13" i="1"/>
  <c r="DJ13" i="1" s="1"/>
  <c r="BE14" i="1"/>
  <c r="DJ14" i="1" s="1"/>
  <c r="BE15" i="1"/>
  <c r="DJ15" i="1" s="1"/>
  <c r="BE16" i="1"/>
  <c r="DJ16" i="1" s="1"/>
  <c r="BE17" i="1"/>
  <c r="DJ17" i="1" s="1"/>
  <c r="BE18" i="1"/>
  <c r="DJ18" i="1" s="1"/>
  <c r="BE19" i="1"/>
  <c r="DJ19" i="1" s="1"/>
  <c r="BE20" i="1"/>
  <c r="DJ20" i="1" s="1"/>
  <c r="BE21" i="1"/>
  <c r="DJ21" i="1" s="1"/>
  <c r="BE22" i="1"/>
  <c r="DJ22" i="1" s="1"/>
  <c r="BE23" i="1"/>
  <c r="DJ23" i="1" s="1"/>
  <c r="BE24" i="1"/>
  <c r="DJ24" i="1" s="1"/>
  <c r="BE25" i="1"/>
  <c r="DJ25" i="1" s="1"/>
  <c r="BE26" i="1"/>
  <c r="DJ26" i="1" s="1"/>
  <c r="BE27" i="1"/>
  <c r="DJ27" i="1" s="1"/>
  <c r="BE3" i="1"/>
  <c r="DJ3" i="1" s="1"/>
  <c r="BH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3" i="1"/>
  <c r="DI3" i="1"/>
  <c r="M15" i="3"/>
  <c r="L16" i="3"/>
  <c r="L15" i="3"/>
  <c r="M16" i="3"/>
  <c r="L7" i="3"/>
  <c r="L4" i="3"/>
  <c r="G12" i="3" l="1"/>
  <c r="L21" i="3" s="1"/>
  <c r="G7" i="3"/>
  <c r="L20" i="3" s="1"/>
  <c r="F12" i="3"/>
  <c r="F4" i="3"/>
  <c r="F5" i="3"/>
  <c r="F6" i="3"/>
  <c r="F7" i="3"/>
  <c r="F8" i="3"/>
  <c r="F9" i="3"/>
  <c r="F10" i="3"/>
  <c r="F11" i="3"/>
  <c r="H3" i="3"/>
  <c r="I7" i="3"/>
  <c r="L8" i="3"/>
  <c r="L5" i="3"/>
  <c r="C49" i="6" l="1"/>
  <c r="M20" i="3"/>
  <c r="I12" i="3"/>
  <c r="H7" i="3"/>
  <c r="H6" i="3"/>
  <c r="H5" i="3"/>
  <c r="H4" i="3"/>
  <c r="H8" i="3"/>
  <c r="H9" i="3"/>
  <c r="H10" i="3"/>
  <c r="H11" i="3"/>
  <c r="H12" i="3"/>
  <c r="Y24" i="6" l="1"/>
  <c r="N23" i="6"/>
  <c r="R26" i="6"/>
  <c r="U24" i="6"/>
  <c r="V22" i="6"/>
  <c r="Z25" i="6"/>
  <c r="AA23" i="6"/>
  <c r="P22" i="6"/>
  <c r="L22" i="6"/>
  <c r="S26" i="6"/>
  <c r="X26" i="6"/>
  <c r="AB26" i="6"/>
  <c r="C26" i="6"/>
  <c r="G26" i="6"/>
  <c r="F23" i="6"/>
  <c r="I23" i="6"/>
  <c r="I26" i="6"/>
  <c r="J22" i="6"/>
  <c r="Y22" i="6"/>
  <c r="R24" i="6"/>
  <c r="Y25" i="6"/>
  <c r="AD26" i="6"/>
  <c r="T23" i="6"/>
  <c r="X25" i="6"/>
  <c r="G24" i="6"/>
  <c r="J25" i="6"/>
  <c r="AC22" i="6"/>
  <c r="AB23" i="6"/>
  <c r="AA26" i="6"/>
  <c r="I22" i="6"/>
  <c r="D25" i="6"/>
  <c r="U23" i="6"/>
  <c r="N25" i="6"/>
  <c r="U26" i="6"/>
  <c r="AA25" i="6"/>
  <c r="S22" i="6"/>
  <c r="L26" i="6"/>
  <c r="E22" i="6"/>
  <c r="H23" i="6"/>
  <c r="AC23" i="6"/>
  <c r="V25" i="6"/>
  <c r="AD24" i="6"/>
  <c r="O26" i="6"/>
  <c r="K24" i="6"/>
  <c r="C23" i="6"/>
  <c r="E25" i="6"/>
  <c r="H22" i="6"/>
  <c r="Q24" i="6"/>
  <c r="Z22" i="6"/>
  <c r="M24" i="6"/>
  <c r="N22" i="6"/>
  <c r="S23" i="6"/>
  <c r="P25" i="6"/>
  <c r="W25" i="6"/>
  <c r="G22" i="6"/>
  <c r="J23" i="6"/>
  <c r="M25" i="6"/>
  <c r="V23" i="6"/>
  <c r="Z26" i="6"/>
  <c r="AC24" i="6"/>
  <c r="AD22" i="6"/>
  <c r="N26" i="6"/>
  <c r="O24" i="6"/>
  <c r="X22" i="6"/>
  <c r="X36" i="6" s="1"/>
  <c r="X23" i="6"/>
  <c r="T22" i="6"/>
  <c r="AB22" i="6"/>
  <c r="P23" i="6"/>
  <c r="C25" i="6"/>
  <c r="F25" i="6"/>
  <c r="E23" i="6"/>
  <c r="H25" i="6"/>
  <c r="J26" i="6"/>
  <c r="AB24" i="6"/>
  <c r="G25" i="6"/>
  <c r="H26" i="6"/>
  <c r="AC25" i="6"/>
  <c r="U22" i="6"/>
  <c r="Z23" i="6"/>
  <c r="K25" i="6"/>
  <c r="T25" i="6"/>
  <c r="K26" i="6"/>
  <c r="H24" i="6"/>
  <c r="M23" i="6"/>
  <c r="Z24" i="6"/>
  <c r="N24" i="6"/>
  <c r="N39" i="6" s="1"/>
  <c r="S25" i="6"/>
  <c r="T26" i="6"/>
  <c r="D23" i="6"/>
  <c r="D24" i="6"/>
  <c r="V24" i="6"/>
  <c r="AA22" i="6"/>
  <c r="F26" i="6"/>
  <c r="AC26" i="6"/>
  <c r="S24" i="6"/>
  <c r="J24" i="6"/>
  <c r="AD25" i="6"/>
  <c r="R25" i="6"/>
  <c r="K22" i="6"/>
  <c r="AB25" i="6"/>
  <c r="G23" i="6"/>
  <c r="Q22" i="6"/>
  <c r="U25" i="6"/>
  <c r="AD23" i="6"/>
  <c r="M22" i="6"/>
  <c r="Q25" i="6"/>
  <c r="R23" i="6"/>
  <c r="V26" i="6"/>
  <c r="W24" i="6"/>
  <c r="L23" i="6"/>
  <c r="O25" i="6"/>
  <c r="L24" i="6"/>
  <c r="T24" i="6"/>
  <c r="C22" i="6"/>
  <c r="E24" i="6"/>
  <c r="P26" i="6"/>
  <c r="F22" i="6"/>
  <c r="I24" i="6"/>
  <c r="Q26" i="6"/>
  <c r="M26" i="6"/>
  <c r="O22" i="6"/>
  <c r="L25" i="6"/>
  <c r="W23" i="6"/>
  <c r="I25" i="6"/>
  <c r="Y26" i="6"/>
  <c r="Q23" i="6"/>
  <c r="W22" i="6"/>
  <c r="P24" i="6"/>
  <c r="O23" i="6"/>
  <c r="E26" i="6"/>
  <c r="D22" i="6"/>
  <c r="R22" i="6"/>
  <c r="Y23" i="6"/>
  <c r="K23" i="6"/>
  <c r="X24" i="6"/>
  <c r="AA24" i="6"/>
  <c r="F24" i="6"/>
  <c r="W26" i="6"/>
  <c r="C24" i="6"/>
  <c r="D26" i="6"/>
  <c r="L34" i="3"/>
  <c r="C50" i="6" s="1"/>
  <c r="M21" i="3"/>
  <c r="CM3" i="1"/>
  <c r="CN3" i="1"/>
  <c r="BS4" i="1"/>
  <c r="BT4" i="1"/>
  <c r="BU4" i="1"/>
  <c r="CJ4" i="1"/>
  <c r="CY4" i="1"/>
  <c r="CZ4" i="1"/>
  <c r="DA4" i="1"/>
  <c r="BQ5" i="1"/>
  <c r="CF5" i="1"/>
  <c r="CG5" i="1"/>
  <c r="CH5" i="1"/>
  <c r="CW5" i="1"/>
  <c r="BN6" i="1"/>
  <c r="BO6" i="1"/>
  <c r="CT6" i="1"/>
  <c r="CU6" i="1"/>
  <c r="BK7" i="1"/>
  <c r="BZ7" i="1"/>
  <c r="CA7" i="1"/>
  <c r="CB7" i="1"/>
  <c r="CQ7" i="1"/>
  <c r="DF7" i="1"/>
  <c r="DG7" i="1"/>
  <c r="BI8" i="1"/>
  <c r="BX8" i="1"/>
  <c r="CM8" i="1"/>
  <c r="CN8" i="1"/>
  <c r="CO8" i="1"/>
  <c r="DD8" i="1"/>
  <c r="BV9" i="1"/>
  <c r="BO11" i="1"/>
  <c r="BP11" i="1"/>
  <c r="CU11" i="1"/>
  <c r="CV11" i="1"/>
  <c r="BM12" i="1"/>
  <c r="CR12" i="1"/>
  <c r="CS12" i="1"/>
  <c r="CT12" i="1"/>
  <c r="BP13" i="1"/>
  <c r="CE13" i="1"/>
  <c r="CF13" i="1"/>
  <c r="CG13" i="1"/>
  <c r="CV13" i="1"/>
  <c r="BM14" i="1"/>
  <c r="BN14" i="1"/>
  <c r="CS14" i="1"/>
  <c r="CT14" i="1"/>
  <c r="BK15" i="1"/>
  <c r="BK16" i="1"/>
  <c r="BL16" i="1"/>
  <c r="BM16" i="1"/>
  <c r="CB16" i="1"/>
  <c r="CQ16" i="1"/>
  <c r="CR16" i="1"/>
  <c r="CS16" i="1"/>
  <c r="BY18" i="1"/>
  <c r="CP18" i="1"/>
  <c r="DE18" i="1"/>
  <c r="CU19" i="1"/>
  <c r="DB19" i="1"/>
  <c r="BK20" i="1"/>
  <c r="BQ20" i="1"/>
  <c r="BR20" i="1"/>
  <c r="BS20" i="1"/>
  <c r="BY20" i="1"/>
  <c r="CD20" i="1"/>
  <c r="CE20" i="1"/>
  <c r="CG20" i="1"/>
  <c r="CL20" i="1"/>
  <c r="CP20" i="1"/>
  <c r="CQ20" i="1"/>
  <c r="CT20" i="1"/>
  <c r="CX20" i="1"/>
  <c r="DC20" i="1"/>
  <c r="DE20" i="1"/>
  <c r="DF20" i="1"/>
  <c r="BO21" i="1"/>
  <c r="BS21" i="1"/>
  <c r="BY21" i="1"/>
  <c r="BZ21" i="1"/>
  <c r="CG21" i="1"/>
  <c r="CP21" i="1"/>
  <c r="CQ21" i="1"/>
  <c r="CU21" i="1"/>
  <c r="DD21" i="1"/>
  <c r="BK22" i="1"/>
  <c r="BM22" i="1"/>
  <c r="BW22" i="1"/>
  <c r="BZ22" i="1"/>
  <c r="CK22" i="1"/>
  <c r="CL22" i="1"/>
  <c r="CX22" i="1"/>
  <c r="CY22" i="1"/>
  <c r="BK23" i="1"/>
  <c r="BR23" i="1"/>
  <c r="BS23" i="1"/>
  <c r="CQ23" i="1"/>
  <c r="BI24" i="1"/>
  <c r="BJ24" i="1"/>
  <c r="BL24" i="1"/>
  <c r="BQ24" i="1"/>
  <c r="BU24" i="1"/>
  <c r="BV24" i="1"/>
  <c r="BY24" i="1"/>
  <c r="CC24" i="1"/>
  <c r="CH24" i="1"/>
  <c r="CJ24" i="1"/>
  <c r="CK24" i="1"/>
  <c r="CP24" i="1"/>
  <c r="CS24" i="1"/>
  <c r="CT24" i="1"/>
  <c r="CW24" i="1"/>
  <c r="CZ24" i="1"/>
  <c r="DE24" i="1"/>
  <c r="DF24" i="1"/>
  <c r="DG24" i="1"/>
  <c r="CA25" i="1"/>
  <c r="CD25" i="1"/>
  <c r="CM25" i="1"/>
  <c r="CN25" i="1"/>
  <c r="CW25" i="1"/>
  <c r="CX25" i="1"/>
  <c r="BT26" i="1"/>
  <c r="BU26" i="1"/>
  <c r="CD26" i="1"/>
  <c r="CE26" i="1"/>
  <c r="CN26" i="1"/>
  <c r="CQ26" i="1"/>
  <c r="BJ27" i="1"/>
  <c r="BK27" i="1"/>
  <c r="BR27" i="1"/>
  <c r="BS27" i="1"/>
  <c r="BZ27" i="1"/>
  <c r="CA27" i="1"/>
  <c r="CH27" i="1"/>
  <c r="CI27" i="1"/>
  <c r="CP27" i="1"/>
  <c r="CQ27" i="1"/>
  <c r="CX27" i="1"/>
  <c r="CY27" i="1"/>
  <c r="DF27" i="1"/>
  <c r="DG27" i="1"/>
  <c r="BH5" i="1"/>
  <c r="BH8" i="1"/>
  <c r="BH10" i="1"/>
  <c r="BH13" i="1"/>
  <c r="BH20" i="1"/>
  <c r="BH21" i="1"/>
  <c r="BL27" i="1"/>
  <c r="BK26" i="1"/>
  <c r="BN24" i="1"/>
  <c r="CX23" i="1"/>
  <c r="BS22" i="1"/>
  <c r="BR21" i="1"/>
  <c r="BO19" i="1"/>
  <c r="BN17" i="1"/>
  <c r="CA16" i="1"/>
  <c r="BR15" i="1"/>
  <c r="CB14" i="1"/>
  <c r="BX13" i="1"/>
  <c r="CI10" i="1"/>
  <c r="BH9" i="1"/>
  <c r="BW8" i="1"/>
  <c r="BL7" i="1"/>
  <c r="CE6" i="1"/>
  <c r="BY5" i="1"/>
  <c r="CE3" i="1"/>
  <c r="Y39" i="6" l="1"/>
  <c r="C33" i="6"/>
  <c r="V39" i="6"/>
  <c r="AB36" i="6"/>
  <c r="AA33" i="6"/>
  <c r="M33" i="6"/>
  <c r="L36" i="6"/>
  <c r="AD39" i="6"/>
  <c r="K39" i="6"/>
  <c r="H39" i="6"/>
  <c r="V42" i="6"/>
  <c r="S42" i="6"/>
  <c r="Y42" i="6"/>
  <c r="C42" i="6"/>
  <c r="AB33" i="6"/>
  <c r="J36" i="6"/>
  <c r="Q39" i="6"/>
  <c r="AC39" i="6"/>
  <c r="U39" i="6"/>
  <c r="I42" i="6"/>
  <c r="W42" i="6"/>
  <c r="Z39" i="6"/>
  <c r="G36" i="6"/>
  <c r="D42" i="6"/>
  <c r="F36" i="6"/>
  <c r="C39" i="6"/>
  <c r="R36" i="6"/>
  <c r="N36" i="6"/>
  <c r="Y33" i="6"/>
  <c r="O42" i="6"/>
  <c r="T33" i="6"/>
  <c r="X42" i="6"/>
  <c r="K33" i="6"/>
  <c r="Q42" i="6"/>
  <c r="U36" i="6"/>
  <c r="E33" i="6"/>
  <c r="E39" i="6"/>
  <c r="AD33" i="6"/>
  <c r="E42" i="6"/>
  <c r="S36" i="6"/>
  <c r="R39" i="6"/>
  <c r="AA36" i="6"/>
  <c r="M36" i="6"/>
  <c r="K42" i="6"/>
  <c r="S33" i="6"/>
  <c r="J33" i="6"/>
  <c r="P42" i="6"/>
  <c r="H36" i="6"/>
  <c r="L42" i="6"/>
  <c r="I36" i="6"/>
  <c r="AC33" i="6"/>
  <c r="U42" i="6"/>
  <c r="C36" i="6"/>
  <c r="D36" i="6"/>
  <c r="K36" i="6"/>
  <c r="V36" i="6"/>
  <c r="AB39" i="6"/>
  <c r="N33" i="6"/>
  <c r="AC42" i="6"/>
  <c r="Y36" i="6"/>
  <c r="M39" i="6"/>
  <c r="G39" i="6"/>
  <c r="O33" i="6"/>
  <c r="H42" i="6"/>
  <c r="G42" i="6"/>
  <c r="O36" i="6"/>
  <c r="X39" i="6"/>
  <c r="AD36" i="6"/>
  <c r="Q33" i="6"/>
  <c r="AA39" i="6"/>
  <c r="R33" i="6"/>
  <c r="P33" i="6"/>
  <c r="F39" i="6"/>
  <c r="I33" i="6"/>
  <c r="L33" i="6"/>
  <c r="T42" i="6"/>
  <c r="W33" i="6"/>
  <c r="D39" i="6"/>
  <c r="Z33" i="6"/>
  <c r="AD42" i="6"/>
  <c r="AA42" i="6"/>
  <c r="R42" i="6"/>
  <c r="P36" i="6"/>
  <c r="F42" i="6"/>
  <c r="T36" i="6"/>
  <c r="W36" i="6"/>
  <c r="Z36" i="6"/>
  <c r="I39" i="6"/>
  <c r="T39" i="6"/>
  <c r="D33" i="6"/>
  <c r="Z42" i="6"/>
  <c r="W39" i="6"/>
  <c r="M42" i="6"/>
  <c r="J39" i="6"/>
  <c r="E36" i="6"/>
  <c r="G33" i="6"/>
  <c r="AB42" i="6"/>
  <c r="U33" i="6"/>
  <c r="O39" i="6"/>
  <c r="V33" i="6"/>
  <c r="X33" i="6"/>
  <c r="AC36" i="6"/>
  <c r="S39" i="6"/>
  <c r="H33" i="6"/>
  <c r="N42" i="6"/>
  <c r="J42" i="6"/>
  <c r="Q36" i="6"/>
  <c r="P39" i="6"/>
  <c r="F33" i="6"/>
  <c r="L39" i="6"/>
  <c r="M27" i="6"/>
  <c r="U27" i="6"/>
  <c r="AC27" i="6"/>
  <c r="Q28" i="6"/>
  <c r="Y28" i="6"/>
  <c r="M29" i="6"/>
  <c r="U29" i="6"/>
  <c r="AC29" i="6"/>
  <c r="Q30" i="6"/>
  <c r="Y30" i="6"/>
  <c r="M31" i="6"/>
  <c r="U31" i="6"/>
  <c r="AC31" i="6"/>
  <c r="AD31" i="6"/>
  <c r="N27" i="6"/>
  <c r="V27" i="6"/>
  <c r="AD27" i="6"/>
  <c r="R28" i="6"/>
  <c r="Z28" i="6"/>
  <c r="N29" i="6"/>
  <c r="V29" i="6"/>
  <c r="AD29" i="6"/>
  <c r="R30" i="6"/>
  <c r="Z30" i="6"/>
  <c r="N31" i="6"/>
  <c r="V31" i="6"/>
  <c r="Q27" i="6"/>
  <c r="Y27" i="6"/>
  <c r="M28" i="6"/>
  <c r="U28" i="6"/>
  <c r="AC28" i="6"/>
  <c r="Q29" i="6"/>
  <c r="Y29" i="6"/>
  <c r="M30" i="6"/>
  <c r="U30" i="6"/>
  <c r="AC30" i="6"/>
  <c r="Q31" i="6"/>
  <c r="Y31" i="6"/>
  <c r="R27" i="6"/>
  <c r="Z27" i="6"/>
  <c r="N28" i="6"/>
  <c r="V28" i="6"/>
  <c r="AD28" i="6"/>
  <c r="R29" i="6"/>
  <c r="Z29" i="6"/>
  <c r="N30" i="6"/>
  <c r="V30" i="6"/>
  <c r="AD30" i="6"/>
  <c r="R31" i="6"/>
  <c r="Z31" i="6"/>
  <c r="K27" i="6"/>
  <c r="S27" i="6"/>
  <c r="AA27" i="6"/>
  <c r="O28" i="6"/>
  <c r="W28" i="6"/>
  <c r="K29" i="6"/>
  <c r="S29" i="6"/>
  <c r="AA29" i="6"/>
  <c r="O30" i="6"/>
  <c r="W30" i="6"/>
  <c r="K31" i="6"/>
  <c r="S31" i="6"/>
  <c r="AA31" i="6"/>
  <c r="P27" i="6"/>
  <c r="S28" i="6"/>
  <c r="T29" i="6"/>
  <c r="T30" i="6"/>
  <c r="W31" i="6"/>
  <c r="P29" i="6"/>
  <c r="T31" i="6"/>
  <c r="T27" i="6"/>
  <c r="T28" i="6"/>
  <c r="W29" i="6"/>
  <c r="X30" i="6"/>
  <c r="X31" i="6"/>
  <c r="W27" i="6"/>
  <c r="X28" i="6"/>
  <c r="X29" i="6"/>
  <c r="AA30" i="6"/>
  <c r="AB31" i="6"/>
  <c r="X27" i="6"/>
  <c r="AA28" i="6"/>
  <c r="AB29" i="6"/>
  <c r="AB30" i="6"/>
  <c r="AB27" i="6"/>
  <c r="AB28" i="6"/>
  <c r="K30" i="6"/>
  <c r="L31" i="6"/>
  <c r="K28" i="6"/>
  <c r="L29" i="6"/>
  <c r="L30" i="6"/>
  <c r="O31" i="6"/>
  <c r="L27" i="6"/>
  <c r="L28" i="6"/>
  <c r="O29" i="6"/>
  <c r="P30" i="6"/>
  <c r="P31" i="6"/>
  <c r="O27" i="6"/>
  <c r="P28" i="6"/>
  <c r="S30" i="6"/>
  <c r="C27" i="6"/>
  <c r="C31" i="6"/>
  <c r="C30" i="6"/>
  <c r="C29" i="6"/>
  <c r="C28" i="6"/>
  <c r="F28" i="6"/>
  <c r="G28" i="6"/>
  <c r="E31" i="6"/>
  <c r="H28" i="6"/>
  <c r="G30" i="6"/>
  <c r="F29" i="6"/>
  <c r="G31" i="6"/>
  <c r="F31" i="6"/>
  <c r="E29" i="6"/>
  <c r="D30" i="6"/>
  <c r="J31" i="6"/>
  <c r="E27" i="6"/>
  <c r="I31" i="6"/>
  <c r="F27" i="6"/>
  <c r="E30" i="6"/>
  <c r="D28" i="6"/>
  <c r="J27" i="6"/>
  <c r="G27" i="6"/>
  <c r="F30" i="6"/>
  <c r="G29" i="6"/>
  <c r="E28" i="6"/>
  <c r="H30" i="6"/>
  <c r="I28" i="6"/>
  <c r="I29" i="6"/>
  <c r="I27" i="6"/>
  <c r="D29" i="6"/>
  <c r="J28" i="6"/>
  <c r="J30" i="6"/>
  <c r="H31" i="6"/>
  <c r="I30" i="6"/>
  <c r="D31" i="6"/>
  <c r="H29" i="6"/>
  <c r="D27" i="6"/>
  <c r="J29" i="6"/>
  <c r="H27" i="6"/>
  <c r="BO9" i="1"/>
  <c r="BW9" i="1"/>
  <c r="CE9" i="1"/>
  <c r="CM9" i="1"/>
  <c r="CU9" i="1"/>
  <c r="DC9" i="1"/>
  <c r="BP9" i="1"/>
  <c r="BX9" i="1"/>
  <c r="CF9" i="1"/>
  <c r="CN9" i="1"/>
  <c r="CV9" i="1"/>
  <c r="DD9" i="1"/>
  <c r="BJ9" i="1"/>
  <c r="BR9" i="1"/>
  <c r="BZ9" i="1"/>
  <c r="CH9" i="1"/>
  <c r="CP9" i="1"/>
  <c r="CX9" i="1"/>
  <c r="DF9" i="1"/>
  <c r="BK9" i="1"/>
  <c r="BS9" i="1"/>
  <c r="CA9" i="1"/>
  <c r="CI9" i="1"/>
  <c r="CQ9" i="1"/>
  <c r="CY9" i="1"/>
  <c r="DG9" i="1"/>
  <c r="BI9" i="1"/>
  <c r="BY9" i="1"/>
  <c r="CO9" i="1"/>
  <c r="DE9" i="1"/>
  <c r="BL9" i="1"/>
  <c r="CB9" i="1"/>
  <c r="CR9" i="1"/>
  <c r="BN9" i="1"/>
  <c r="CD9" i="1"/>
  <c r="CT9" i="1"/>
  <c r="BQ9" i="1"/>
  <c r="CG9" i="1"/>
  <c r="CW9" i="1"/>
  <c r="CC9" i="1"/>
  <c r="CJ9" i="1"/>
  <c r="CK9" i="1"/>
  <c r="CL9" i="1"/>
  <c r="BU9" i="1"/>
  <c r="BM9" i="1"/>
  <c r="CS9" i="1"/>
  <c r="BT9" i="1"/>
  <c r="CZ9" i="1"/>
  <c r="DA9" i="1"/>
  <c r="BL25" i="1"/>
  <c r="BT25" i="1"/>
  <c r="CB25" i="1"/>
  <c r="CJ25" i="1"/>
  <c r="CR25" i="1"/>
  <c r="CZ25" i="1"/>
  <c r="BM25" i="1"/>
  <c r="BU25" i="1"/>
  <c r="CC25" i="1"/>
  <c r="CK25" i="1"/>
  <c r="CS25" i="1"/>
  <c r="DA25" i="1"/>
  <c r="BI25" i="1"/>
  <c r="BS25" i="1"/>
  <c r="CE25" i="1"/>
  <c r="CO25" i="1"/>
  <c r="CY25" i="1"/>
  <c r="BW25" i="1"/>
  <c r="CQ25" i="1"/>
  <c r="BH25" i="1"/>
  <c r="BJ25" i="1"/>
  <c r="BV25" i="1"/>
  <c r="CF25" i="1"/>
  <c r="CP25" i="1"/>
  <c r="DB25" i="1"/>
  <c r="BK25" i="1"/>
  <c r="CG25" i="1"/>
  <c r="DC25" i="1"/>
  <c r="BN25" i="1"/>
  <c r="BX25" i="1"/>
  <c r="CH25" i="1"/>
  <c r="CT25" i="1"/>
  <c r="DD25" i="1"/>
  <c r="CL25" i="1"/>
  <c r="DF25" i="1"/>
  <c r="BO25" i="1"/>
  <c r="BY25" i="1"/>
  <c r="CI25" i="1"/>
  <c r="CU25" i="1"/>
  <c r="DE25" i="1"/>
  <c r="BP25" i="1"/>
  <c r="BZ25" i="1"/>
  <c r="CV25" i="1"/>
  <c r="DA26" i="1"/>
  <c r="BR25" i="1"/>
  <c r="BL10" i="1"/>
  <c r="BT10" i="1"/>
  <c r="CB10" i="1"/>
  <c r="CJ10" i="1"/>
  <c r="CR10" i="1"/>
  <c r="CZ10" i="1"/>
  <c r="BM10" i="1"/>
  <c r="BU10" i="1"/>
  <c r="CC10" i="1"/>
  <c r="CK10" i="1"/>
  <c r="CS10" i="1"/>
  <c r="DA10" i="1"/>
  <c r="BO10" i="1"/>
  <c r="BW10" i="1"/>
  <c r="CE10" i="1"/>
  <c r="CM10" i="1"/>
  <c r="CU10" i="1"/>
  <c r="DC10" i="1"/>
  <c r="BP10" i="1"/>
  <c r="BX10" i="1"/>
  <c r="CF10" i="1"/>
  <c r="CN10" i="1"/>
  <c r="CV10" i="1"/>
  <c r="DD10" i="1"/>
  <c r="BV10" i="1"/>
  <c r="CL10" i="1"/>
  <c r="DB10" i="1"/>
  <c r="BI10" i="1"/>
  <c r="BY10" i="1"/>
  <c r="CO10" i="1"/>
  <c r="DE10" i="1"/>
  <c r="BK10" i="1"/>
  <c r="CA10" i="1"/>
  <c r="CQ10" i="1"/>
  <c r="DG10" i="1"/>
  <c r="BN10" i="1"/>
  <c r="CD10" i="1"/>
  <c r="CT10" i="1"/>
  <c r="BJ10" i="1"/>
  <c r="CP10" i="1"/>
  <c r="BR10" i="1"/>
  <c r="CH10" i="1"/>
  <c r="BQ10" i="1"/>
  <c r="CW10" i="1"/>
  <c r="CX10" i="1"/>
  <c r="BS10" i="1"/>
  <c r="CY10" i="1"/>
  <c r="BZ10" i="1"/>
  <c r="DF10" i="1"/>
  <c r="CG10" i="1"/>
  <c r="BK18" i="1"/>
  <c r="BS18" i="1"/>
  <c r="BL18" i="1"/>
  <c r="BT18" i="1"/>
  <c r="CB18" i="1"/>
  <c r="BN18" i="1"/>
  <c r="BV18" i="1"/>
  <c r="BO18" i="1"/>
  <c r="BM18" i="1"/>
  <c r="BZ18" i="1"/>
  <c r="CI18" i="1"/>
  <c r="CQ18" i="1"/>
  <c r="CY18" i="1"/>
  <c r="DG18" i="1"/>
  <c r="BP18" i="1"/>
  <c r="CA18" i="1"/>
  <c r="CJ18" i="1"/>
  <c r="CR18" i="1"/>
  <c r="CZ18" i="1"/>
  <c r="BR18" i="1"/>
  <c r="CD18" i="1"/>
  <c r="CL18" i="1"/>
  <c r="CT18" i="1"/>
  <c r="BU18" i="1"/>
  <c r="CE18" i="1"/>
  <c r="CM18" i="1"/>
  <c r="CU18" i="1"/>
  <c r="DC18" i="1"/>
  <c r="CC18" i="1"/>
  <c r="CS18" i="1"/>
  <c r="DF18" i="1"/>
  <c r="CG18" i="1"/>
  <c r="CW18" i="1"/>
  <c r="BX18" i="1"/>
  <c r="CF18" i="1"/>
  <c r="CV18" i="1"/>
  <c r="BI18" i="1"/>
  <c r="CO18" i="1"/>
  <c r="BJ18" i="1"/>
  <c r="CH18" i="1"/>
  <c r="CX18" i="1"/>
  <c r="BW18" i="1"/>
  <c r="BQ18" i="1"/>
  <c r="CK18" i="1"/>
  <c r="DA18" i="1"/>
  <c r="CN18" i="1"/>
  <c r="DB18" i="1"/>
  <c r="BH18" i="1"/>
  <c r="DD18" i="1"/>
  <c r="BI26" i="1"/>
  <c r="BQ26" i="1"/>
  <c r="BY26" i="1"/>
  <c r="CG26" i="1"/>
  <c r="CO26" i="1"/>
  <c r="CW26" i="1"/>
  <c r="BJ26" i="1"/>
  <c r="BR26" i="1"/>
  <c r="BZ26" i="1"/>
  <c r="CH26" i="1"/>
  <c r="CP26" i="1"/>
  <c r="CX26" i="1"/>
  <c r="DF26" i="1"/>
  <c r="BL26" i="1"/>
  <c r="BV26" i="1"/>
  <c r="CF26" i="1"/>
  <c r="CR26" i="1"/>
  <c r="DB26" i="1"/>
  <c r="BX26" i="1"/>
  <c r="DD26" i="1"/>
  <c r="CY26" i="1"/>
  <c r="BM26" i="1"/>
  <c r="BW26" i="1"/>
  <c r="CI26" i="1"/>
  <c r="CS26" i="1"/>
  <c r="DC26" i="1"/>
  <c r="BN26" i="1"/>
  <c r="CJ26" i="1"/>
  <c r="CT26" i="1"/>
  <c r="BO26" i="1"/>
  <c r="CA26" i="1"/>
  <c r="CK26" i="1"/>
  <c r="CU26" i="1"/>
  <c r="DE26" i="1"/>
  <c r="BH26" i="1"/>
  <c r="CC26" i="1"/>
  <c r="BP26" i="1"/>
  <c r="CB26" i="1"/>
  <c r="CL26" i="1"/>
  <c r="CV26" i="1"/>
  <c r="DG26" i="1"/>
  <c r="BS26" i="1"/>
  <c r="CM26" i="1"/>
  <c r="CZ26" i="1"/>
  <c r="DG25" i="1"/>
  <c r="BQ25" i="1"/>
  <c r="DB9" i="1"/>
  <c r="BI11" i="1"/>
  <c r="BQ11" i="1"/>
  <c r="BY11" i="1"/>
  <c r="CG11" i="1"/>
  <c r="CO11" i="1"/>
  <c r="CW11" i="1"/>
  <c r="DE11" i="1"/>
  <c r="BJ11" i="1"/>
  <c r="BR11" i="1"/>
  <c r="BZ11" i="1"/>
  <c r="CH11" i="1"/>
  <c r="CP11" i="1"/>
  <c r="CX11" i="1"/>
  <c r="DF11" i="1"/>
  <c r="BL11" i="1"/>
  <c r="BT11" i="1"/>
  <c r="CB11" i="1"/>
  <c r="CJ11" i="1"/>
  <c r="CR11" i="1"/>
  <c r="CZ11" i="1"/>
  <c r="BM11" i="1"/>
  <c r="BU11" i="1"/>
  <c r="CC11" i="1"/>
  <c r="CK11" i="1"/>
  <c r="CS11" i="1"/>
  <c r="DA11" i="1"/>
  <c r="BS11" i="1"/>
  <c r="CI11" i="1"/>
  <c r="CY11" i="1"/>
  <c r="BV11" i="1"/>
  <c r="CL11" i="1"/>
  <c r="DB11" i="1"/>
  <c r="BX11" i="1"/>
  <c r="CN11" i="1"/>
  <c r="DD11" i="1"/>
  <c r="BK11" i="1"/>
  <c r="CA11" i="1"/>
  <c r="CQ11" i="1"/>
  <c r="DG11" i="1"/>
  <c r="CW27" i="1"/>
  <c r="BY27" i="1"/>
  <c r="BI27" i="1"/>
  <c r="BV22" i="1"/>
  <c r="CL19" i="1"/>
  <c r="CR14" i="1"/>
  <c r="BL14" i="1"/>
  <c r="CT11" i="1"/>
  <c r="BN11" i="1"/>
  <c r="CS6" i="1"/>
  <c r="BM6" i="1"/>
  <c r="CL3" i="1"/>
  <c r="BN4" i="1"/>
  <c r="BV4" i="1"/>
  <c r="CD4" i="1"/>
  <c r="CL4" i="1"/>
  <c r="CT4" i="1"/>
  <c r="DB4" i="1"/>
  <c r="BO4" i="1"/>
  <c r="BW4" i="1"/>
  <c r="CE4" i="1"/>
  <c r="CM4" i="1"/>
  <c r="CU4" i="1"/>
  <c r="DC4" i="1"/>
  <c r="BI4" i="1"/>
  <c r="BQ4" i="1"/>
  <c r="BY4" i="1"/>
  <c r="CG4" i="1"/>
  <c r="CO4" i="1"/>
  <c r="CW4" i="1"/>
  <c r="DE4" i="1"/>
  <c r="BJ4" i="1"/>
  <c r="BR4" i="1"/>
  <c r="BZ4" i="1"/>
  <c r="CH4" i="1"/>
  <c r="CP4" i="1"/>
  <c r="CX4" i="1"/>
  <c r="DF4" i="1"/>
  <c r="BX4" i="1"/>
  <c r="CN4" i="1"/>
  <c r="DD4" i="1"/>
  <c r="BK4" i="1"/>
  <c r="CA4" i="1"/>
  <c r="CQ4" i="1"/>
  <c r="DG4" i="1"/>
  <c r="BM4" i="1"/>
  <c r="CC4" i="1"/>
  <c r="CS4" i="1"/>
  <c r="BP4" i="1"/>
  <c r="CF4" i="1"/>
  <c r="CV4" i="1"/>
  <c r="BN12" i="1"/>
  <c r="BS12" i="1"/>
  <c r="CI12" i="1"/>
  <c r="CX12" i="1"/>
  <c r="BT12" i="1"/>
  <c r="CJ12" i="1"/>
  <c r="CY12" i="1"/>
  <c r="BJ12" i="1"/>
  <c r="BZ12" i="1"/>
  <c r="CP12" i="1"/>
  <c r="DA12" i="1"/>
  <c r="BK12" i="1"/>
  <c r="CA12" i="1"/>
  <c r="CQ12" i="1"/>
  <c r="DB12" i="1"/>
  <c r="BU12" i="1"/>
  <c r="CZ12" i="1"/>
  <c r="CB12" i="1"/>
  <c r="DF12" i="1"/>
  <c r="CH12" i="1"/>
  <c r="CK12" i="1"/>
  <c r="BL20" i="1"/>
  <c r="BT20" i="1"/>
  <c r="CB20" i="1"/>
  <c r="CJ20" i="1"/>
  <c r="CR20" i="1"/>
  <c r="CZ20" i="1"/>
  <c r="BM20" i="1"/>
  <c r="BU20" i="1"/>
  <c r="CC20" i="1"/>
  <c r="CK20" i="1"/>
  <c r="CS20" i="1"/>
  <c r="DA20" i="1"/>
  <c r="BP20" i="1"/>
  <c r="BX20" i="1"/>
  <c r="CF20" i="1"/>
  <c r="CN20" i="1"/>
  <c r="CV20" i="1"/>
  <c r="DD20" i="1"/>
  <c r="BH16" i="1"/>
  <c r="BH7" i="1"/>
  <c r="DD27" i="1"/>
  <c r="CV27" i="1"/>
  <c r="CN27" i="1"/>
  <c r="CF27" i="1"/>
  <c r="BX27" i="1"/>
  <c r="BP27" i="1"/>
  <c r="DB24" i="1"/>
  <c r="CR24" i="1"/>
  <c r="CG24" i="1"/>
  <c r="BT24" i="1"/>
  <c r="CY23" i="1"/>
  <c r="DG22" i="1"/>
  <c r="CT22" i="1"/>
  <c r="CH22" i="1"/>
  <c r="BU22" i="1"/>
  <c r="DF21" i="1"/>
  <c r="CN21" i="1"/>
  <c r="DB20" i="1"/>
  <c r="CO20" i="1"/>
  <c r="CA20" i="1"/>
  <c r="BO20" i="1"/>
  <c r="CE19" i="1"/>
  <c r="CJ16" i="1"/>
  <c r="CQ15" i="1"/>
  <c r="CK14" i="1"/>
  <c r="DD13" i="1"/>
  <c r="CC12" i="1"/>
  <c r="CM11" i="1"/>
  <c r="CF8" i="1"/>
  <c r="CY7" i="1"/>
  <c r="BS7" i="1"/>
  <c r="CL6" i="1"/>
  <c r="DE5" i="1"/>
  <c r="CR4" i="1"/>
  <c r="BL4" i="1"/>
  <c r="BI3" i="1"/>
  <c r="BQ3" i="1"/>
  <c r="BY3" i="1"/>
  <c r="CG3" i="1"/>
  <c r="CO3" i="1"/>
  <c r="CW3" i="1"/>
  <c r="DE3" i="1"/>
  <c r="BJ3" i="1"/>
  <c r="BR3" i="1"/>
  <c r="BZ3" i="1"/>
  <c r="CH3" i="1"/>
  <c r="CP3" i="1"/>
  <c r="CX3" i="1"/>
  <c r="DF3" i="1"/>
  <c r="BL3" i="1"/>
  <c r="BT3" i="1"/>
  <c r="CB3" i="1"/>
  <c r="CJ3" i="1"/>
  <c r="CR3" i="1"/>
  <c r="CZ3" i="1"/>
  <c r="BM3" i="1"/>
  <c r="BU3" i="1"/>
  <c r="CC3" i="1"/>
  <c r="CK3" i="1"/>
  <c r="CS3" i="1"/>
  <c r="DA3" i="1"/>
  <c r="BK3" i="1"/>
  <c r="CA3" i="1"/>
  <c r="CQ3" i="1"/>
  <c r="DG3" i="1"/>
  <c r="BN3" i="1"/>
  <c r="CD3" i="1"/>
  <c r="CT3" i="1"/>
  <c r="BP3" i="1"/>
  <c r="CF3" i="1"/>
  <c r="CV3" i="1"/>
  <c r="BS3" i="1"/>
  <c r="CI3" i="1"/>
  <c r="CY3" i="1"/>
  <c r="CO27" i="1"/>
  <c r="BQ27" i="1"/>
  <c r="CU22" i="1"/>
  <c r="CI22" i="1"/>
  <c r="BJ22" i="1"/>
  <c r="BK5" i="1"/>
  <c r="BS5" i="1"/>
  <c r="CA5" i="1"/>
  <c r="CI5" i="1"/>
  <c r="CQ5" i="1"/>
  <c r="CY5" i="1"/>
  <c r="DG5" i="1"/>
  <c r="BL5" i="1"/>
  <c r="BT5" i="1"/>
  <c r="CB5" i="1"/>
  <c r="CJ5" i="1"/>
  <c r="CR5" i="1"/>
  <c r="CZ5" i="1"/>
  <c r="BN5" i="1"/>
  <c r="BV5" i="1"/>
  <c r="CD5" i="1"/>
  <c r="CL5" i="1"/>
  <c r="CT5" i="1"/>
  <c r="DB5" i="1"/>
  <c r="BO5" i="1"/>
  <c r="BW5" i="1"/>
  <c r="CE5" i="1"/>
  <c r="CM5" i="1"/>
  <c r="CU5" i="1"/>
  <c r="DC5" i="1"/>
  <c r="BU5" i="1"/>
  <c r="CK5" i="1"/>
  <c r="DA5" i="1"/>
  <c r="BX5" i="1"/>
  <c r="CN5" i="1"/>
  <c r="DD5" i="1"/>
  <c r="BJ5" i="1"/>
  <c r="BZ5" i="1"/>
  <c r="CP5" i="1"/>
  <c r="DF5" i="1"/>
  <c r="BM5" i="1"/>
  <c r="CC5" i="1"/>
  <c r="CS5" i="1"/>
  <c r="BJ13" i="1"/>
  <c r="BR13" i="1"/>
  <c r="BZ13" i="1"/>
  <c r="CH13" i="1"/>
  <c r="CP13" i="1"/>
  <c r="CX13" i="1"/>
  <c r="DF13" i="1"/>
  <c r="BK13" i="1"/>
  <c r="BS13" i="1"/>
  <c r="CA13" i="1"/>
  <c r="CI13" i="1"/>
  <c r="CQ13" i="1"/>
  <c r="CY13" i="1"/>
  <c r="DG13" i="1"/>
  <c r="BM13" i="1"/>
  <c r="BU13" i="1"/>
  <c r="CC13" i="1"/>
  <c r="CK13" i="1"/>
  <c r="CS13" i="1"/>
  <c r="DA13" i="1"/>
  <c r="BN13" i="1"/>
  <c r="BV13" i="1"/>
  <c r="CD13" i="1"/>
  <c r="CL13" i="1"/>
  <c r="CT13" i="1"/>
  <c r="DB13" i="1"/>
  <c r="BT13" i="1"/>
  <c r="CJ13" i="1"/>
  <c r="CZ13" i="1"/>
  <c r="BW13" i="1"/>
  <c r="CM13" i="1"/>
  <c r="DC13" i="1"/>
  <c r="BI13" i="1"/>
  <c r="BY13" i="1"/>
  <c r="CO13" i="1"/>
  <c r="DE13" i="1"/>
  <c r="BL13" i="1"/>
  <c r="CB13" i="1"/>
  <c r="CR13" i="1"/>
  <c r="BL21" i="1"/>
  <c r="BI21" i="1"/>
  <c r="BW21" i="1"/>
  <c r="CH21" i="1"/>
  <c r="CV21" i="1"/>
  <c r="DG21" i="1"/>
  <c r="BJ21" i="1"/>
  <c r="BX21" i="1"/>
  <c r="CI21" i="1"/>
  <c r="CW21" i="1"/>
  <c r="BP21" i="1"/>
  <c r="CA21" i="1"/>
  <c r="CO21" i="1"/>
  <c r="DC21" i="1"/>
  <c r="BH14" i="1"/>
  <c r="BH6" i="1"/>
  <c r="DC27" i="1"/>
  <c r="CU27" i="1"/>
  <c r="CM27" i="1"/>
  <c r="CE27" i="1"/>
  <c r="BW27" i="1"/>
  <c r="BO27" i="1"/>
  <c r="DA24" i="1"/>
  <c r="CQ24" i="1"/>
  <c r="CD24" i="1"/>
  <c r="BR24" i="1"/>
  <c r="DF22" i="1"/>
  <c r="CS22" i="1"/>
  <c r="CE22" i="1"/>
  <c r="DE21" i="1"/>
  <c r="CM21" i="1"/>
  <c r="BQ21" i="1"/>
  <c r="CY20" i="1"/>
  <c r="CM20" i="1"/>
  <c r="BZ20" i="1"/>
  <c r="BN20" i="1"/>
  <c r="CD19" i="1"/>
  <c r="CC16" i="1"/>
  <c r="CD14" i="1"/>
  <c r="CW13" i="1"/>
  <c r="BQ13" i="1"/>
  <c r="BR12" i="1"/>
  <c r="CF11" i="1"/>
  <c r="DE8" i="1"/>
  <c r="BY8" i="1"/>
  <c r="CR7" i="1"/>
  <c r="CX5" i="1"/>
  <c r="BR5" i="1"/>
  <c r="CK4" i="1"/>
  <c r="DD3" i="1"/>
  <c r="BX3" i="1"/>
  <c r="CG27" i="1"/>
  <c r="BP6" i="1"/>
  <c r="BX6" i="1"/>
  <c r="CF6" i="1"/>
  <c r="CN6" i="1"/>
  <c r="CV6" i="1"/>
  <c r="DD6" i="1"/>
  <c r="BI6" i="1"/>
  <c r="BQ6" i="1"/>
  <c r="BY6" i="1"/>
  <c r="CG6" i="1"/>
  <c r="CO6" i="1"/>
  <c r="CW6" i="1"/>
  <c r="DE6" i="1"/>
  <c r="BK6" i="1"/>
  <c r="BS6" i="1"/>
  <c r="CA6" i="1"/>
  <c r="CI6" i="1"/>
  <c r="CQ6" i="1"/>
  <c r="CY6" i="1"/>
  <c r="DG6" i="1"/>
  <c r="BL6" i="1"/>
  <c r="BT6" i="1"/>
  <c r="CB6" i="1"/>
  <c r="CJ6" i="1"/>
  <c r="CR6" i="1"/>
  <c r="CZ6" i="1"/>
  <c r="BR6" i="1"/>
  <c r="CH6" i="1"/>
  <c r="CX6" i="1"/>
  <c r="BU6" i="1"/>
  <c r="CK6" i="1"/>
  <c r="DA6" i="1"/>
  <c r="BW6" i="1"/>
  <c r="CM6" i="1"/>
  <c r="DC6" i="1"/>
  <c r="BJ6" i="1"/>
  <c r="BZ6" i="1"/>
  <c r="CP6" i="1"/>
  <c r="DF6" i="1"/>
  <c r="BP22" i="1"/>
  <c r="BX22" i="1"/>
  <c r="CF22" i="1"/>
  <c r="CN22" i="1"/>
  <c r="CV22" i="1"/>
  <c r="DD22" i="1"/>
  <c r="BI22" i="1"/>
  <c r="BQ22" i="1"/>
  <c r="BY22" i="1"/>
  <c r="CG22" i="1"/>
  <c r="CO22" i="1"/>
  <c r="CW22" i="1"/>
  <c r="DE22" i="1"/>
  <c r="BL22" i="1"/>
  <c r="BT22" i="1"/>
  <c r="CB22" i="1"/>
  <c r="CJ22" i="1"/>
  <c r="CR22" i="1"/>
  <c r="CZ22" i="1"/>
  <c r="DB27" i="1"/>
  <c r="CL27" i="1"/>
  <c r="CD27" i="1"/>
  <c r="BN27" i="1"/>
  <c r="DC22" i="1"/>
  <c r="CQ22" i="1"/>
  <c r="BR22" i="1"/>
  <c r="BV19" i="1"/>
  <c r="CD6" i="1"/>
  <c r="BW3" i="1"/>
  <c r="BM7" i="1"/>
  <c r="BU7" i="1"/>
  <c r="CC7" i="1"/>
  <c r="CK7" i="1"/>
  <c r="CS7" i="1"/>
  <c r="DA7" i="1"/>
  <c r="BN7" i="1"/>
  <c r="BV7" i="1"/>
  <c r="CD7" i="1"/>
  <c r="CL7" i="1"/>
  <c r="CT7" i="1"/>
  <c r="DB7" i="1"/>
  <c r="BP7" i="1"/>
  <c r="BX7" i="1"/>
  <c r="CF7" i="1"/>
  <c r="CN7" i="1"/>
  <c r="CV7" i="1"/>
  <c r="DD7" i="1"/>
  <c r="BI7" i="1"/>
  <c r="BQ7" i="1"/>
  <c r="BY7" i="1"/>
  <c r="CG7" i="1"/>
  <c r="CO7" i="1"/>
  <c r="CW7" i="1"/>
  <c r="DE7" i="1"/>
  <c r="BO7" i="1"/>
  <c r="CE7" i="1"/>
  <c r="CU7" i="1"/>
  <c r="BR7" i="1"/>
  <c r="CH7" i="1"/>
  <c r="CX7" i="1"/>
  <c r="BT7" i="1"/>
  <c r="CJ7" i="1"/>
  <c r="CZ7" i="1"/>
  <c r="BW7" i="1"/>
  <c r="CM7" i="1"/>
  <c r="DC7" i="1"/>
  <c r="BL15" i="1"/>
  <c r="BS15" i="1"/>
  <c r="CY15" i="1"/>
  <c r="BZ15" i="1"/>
  <c r="DF15" i="1"/>
  <c r="CH15" i="1"/>
  <c r="CI15" i="1"/>
  <c r="CA15" i="1"/>
  <c r="CP15" i="1"/>
  <c r="CX15" i="1"/>
  <c r="DG15" i="1"/>
  <c r="BL23" i="1"/>
  <c r="BZ23" i="1"/>
  <c r="DF23" i="1"/>
  <c r="CA23" i="1"/>
  <c r="DG23" i="1"/>
  <c r="BJ23" i="1"/>
  <c r="CP23" i="1"/>
  <c r="BH24" i="1"/>
  <c r="BH12" i="1"/>
  <c r="BH4" i="1"/>
  <c r="DA27" i="1"/>
  <c r="CS27" i="1"/>
  <c r="CK27" i="1"/>
  <c r="CC27" i="1"/>
  <c r="BU27" i="1"/>
  <c r="BM27" i="1"/>
  <c r="CY24" i="1"/>
  <c r="CO24" i="1"/>
  <c r="CB24" i="1"/>
  <c r="CI23" i="1"/>
  <c r="DB22" i="1"/>
  <c r="CP22" i="1"/>
  <c r="CC22" i="1"/>
  <c r="BO22" i="1"/>
  <c r="CY21" i="1"/>
  <c r="CF21" i="1"/>
  <c r="BK21" i="1"/>
  <c r="CW20" i="1"/>
  <c r="CI20" i="1"/>
  <c r="BW20" i="1"/>
  <c r="BJ20" i="1"/>
  <c r="DG16" i="1"/>
  <c r="BJ15" i="1"/>
  <c r="CU13" i="1"/>
  <c r="BO13" i="1"/>
  <c r="BL12" i="1"/>
  <c r="CD11" i="1"/>
  <c r="DC8" i="1"/>
  <c r="CP7" i="1"/>
  <c r="BJ7" i="1"/>
  <c r="CC6" i="1"/>
  <c r="CV5" i="1"/>
  <c r="BP5" i="1"/>
  <c r="CI4" i="1"/>
  <c r="DB3" i="1"/>
  <c r="BV3" i="1"/>
  <c r="BP19" i="1"/>
  <c r="CM19" i="1"/>
  <c r="BN19" i="1"/>
  <c r="CT19" i="1"/>
  <c r="BW19" i="1"/>
  <c r="DC19" i="1"/>
  <c r="DE27" i="1"/>
  <c r="BO14" i="1"/>
  <c r="BW14" i="1"/>
  <c r="CE14" i="1"/>
  <c r="CM14" i="1"/>
  <c r="CU14" i="1"/>
  <c r="DC14" i="1"/>
  <c r="BP14" i="1"/>
  <c r="BX14" i="1"/>
  <c r="CF14" i="1"/>
  <c r="CN14" i="1"/>
  <c r="CV14" i="1"/>
  <c r="DD14" i="1"/>
  <c r="BJ14" i="1"/>
  <c r="BR14" i="1"/>
  <c r="BZ14" i="1"/>
  <c r="CH14" i="1"/>
  <c r="CP14" i="1"/>
  <c r="CX14" i="1"/>
  <c r="DF14" i="1"/>
  <c r="BK14" i="1"/>
  <c r="BS14" i="1"/>
  <c r="CA14" i="1"/>
  <c r="CI14" i="1"/>
  <c r="CQ14" i="1"/>
  <c r="CY14" i="1"/>
  <c r="DG14" i="1"/>
  <c r="BQ14" i="1"/>
  <c r="CG14" i="1"/>
  <c r="CW14" i="1"/>
  <c r="BT14" i="1"/>
  <c r="CJ14" i="1"/>
  <c r="CZ14" i="1"/>
  <c r="BV14" i="1"/>
  <c r="CL14" i="1"/>
  <c r="DB14" i="1"/>
  <c r="BI14" i="1"/>
  <c r="BY14" i="1"/>
  <c r="CO14" i="1"/>
  <c r="DE14" i="1"/>
  <c r="CT27" i="1"/>
  <c r="BV27" i="1"/>
  <c r="CD22" i="1"/>
  <c r="CC14" i="1"/>
  <c r="CE11" i="1"/>
  <c r="DC3" i="1"/>
  <c r="BJ8" i="1"/>
  <c r="BR8" i="1"/>
  <c r="BZ8" i="1"/>
  <c r="CH8" i="1"/>
  <c r="CP8" i="1"/>
  <c r="CX8" i="1"/>
  <c r="DF8" i="1"/>
  <c r="BK8" i="1"/>
  <c r="BS8" i="1"/>
  <c r="CA8" i="1"/>
  <c r="CI8" i="1"/>
  <c r="CQ8" i="1"/>
  <c r="CY8" i="1"/>
  <c r="DG8" i="1"/>
  <c r="BM8" i="1"/>
  <c r="BU8" i="1"/>
  <c r="CC8" i="1"/>
  <c r="CK8" i="1"/>
  <c r="CS8" i="1"/>
  <c r="DA8" i="1"/>
  <c r="BN8" i="1"/>
  <c r="BV8" i="1"/>
  <c r="CD8" i="1"/>
  <c r="CL8" i="1"/>
  <c r="CT8" i="1"/>
  <c r="DB8" i="1"/>
  <c r="BL8" i="1"/>
  <c r="CB8" i="1"/>
  <c r="CR8" i="1"/>
  <c r="BO8" i="1"/>
  <c r="CE8" i="1"/>
  <c r="CU8" i="1"/>
  <c r="BQ8" i="1"/>
  <c r="CG8" i="1"/>
  <c r="CW8" i="1"/>
  <c r="BT8" i="1"/>
  <c r="CJ8" i="1"/>
  <c r="CZ8" i="1"/>
  <c r="BN16" i="1"/>
  <c r="BV16" i="1"/>
  <c r="CD16" i="1"/>
  <c r="CL16" i="1"/>
  <c r="CT16" i="1"/>
  <c r="DB16" i="1"/>
  <c r="BO16" i="1"/>
  <c r="BW16" i="1"/>
  <c r="CE16" i="1"/>
  <c r="CM16" i="1"/>
  <c r="CU16" i="1"/>
  <c r="DC16" i="1"/>
  <c r="BI16" i="1"/>
  <c r="BQ16" i="1"/>
  <c r="BY16" i="1"/>
  <c r="CG16" i="1"/>
  <c r="CO16" i="1"/>
  <c r="CW16" i="1"/>
  <c r="DE16" i="1"/>
  <c r="BJ16" i="1"/>
  <c r="BR16" i="1"/>
  <c r="BZ16" i="1"/>
  <c r="CH16" i="1"/>
  <c r="CP16" i="1"/>
  <c r="CX16" i="1"/>
  <c r="DF16" i="1"/>
  <c r="BP16" i="1"/>
  <c r="CF16" i="1"/>
  <c r="CV16" i="1"/>
  <c r="BS16" i="1"/>
  <c r="CI16" i="1"/>
  <c r="CY16" i="1"/>
  <c r="BU16" i="1"/>
  <c r="CK16" i="1"/>
  <c r="DA16" i="1"/>
  <c r="BX16" i="1"/>
  <c r="CN16" i="1"/>
  <c r="DD16" i="1"/>
  <c r="BO24" i="1"/>
  <c r="BW24" i="1"/>
  <c r="CE24" i="1"/>
  <c r="CM24" i="1"/>
  <c r="CU24" i="1"/>
  <c r="DC24" i="1"/>
  <c r="BP24" i="1"/>
  <c r="BX24" i="1"/>
  <c r="CF24" i="1"/>
  <c r="CN24" i="1"/>
  <c r="CV24" i="1"/>
  <c r="DD24" i="1"/>
  <c r="BK24" i="1"/>
  <c r="BS24" i="1"/>
  <c r="CA24" i="1"/>
  <c r="CI24" i="1"/>
  <c r="BH22" i="1"/>
  <c r="BH11" i="1"/>
  <c r="BH27" i="1"/>
  <c r="CZ27" i="1"/>
  <c r="CR27" i="1"/>
  <c r="CJ27" i="1"/>
  <c r="CB27" i="1"/>
  <c r="BT27" i="1"/>
  <c r="CX24" i="1"/>
  <c r="CL24" i="1"/>
  <c r="BZ24" i="1"/>
  <c r="BM24" i="1"/>
  <c r="CH23" i="1"/>
  <c r="DA22" i="1"/>
  <c r="CM22" i="1"/>
  <c r="CA22" i="1"/>
  <c r="BN22" i="1"/>
  <c r="CX21" i="1"/>
  <c r="CE21" i="1"/>
  <c r="DG20" i="1"/>
  <c r="CU20" i="1"/>
  <c r="CH20" i="1"/>
  <c r="BV20" i="1"/>
  <c r="BI20" i="1"/>
  <c r="CZ16" i="1"/>
  <c r="BT16" i="1"/>
  <c r="DA14" i="1"/>
  <c r="BU14" i="1"/>
  <c r="CN13" i="1"/>
  <c r="DG12" i="1"/>
  <c r="DC11" i="1"/>
  <c r="BW11" i="1"/>
  <c r="CV8" i="1"/>
  <c r="BP8" i="1"/>
  <c r="CI7" i="1"/>
  <c r="DB6" i="1"/>
  <c r="BV6" i="1"/>
  <c r="CO5" i="1"/>
  <c r="BI5" i="1"/>
  <c r="CB4" i="1"/>
  <c r="CU3" i="1"/>
  <c r="BO3" i="1"/>
  <c r="CK17" i="1"/>
  <c r="BU17" i="1"/>
  <c r="CJ17" i="1"/>
  <c r="CB17" i="1"/>
  <c r="CW23" i="1"/>
  <c r="BY23" i="1"/>
  <c r="BI23" i="1"/>
  <c r="CK19" i="1"/>
  <c r="BM19" i="1"/>
  <c r="CY17" i="1"/>
  <c r="CA17" i="1"/>
  <c r="BY15" i="1"/>
  <c r="BH19" i="1"/>
  <c r="DD23" i="1"/>
  <c r="CV23" i="1"/>
  <c r="CN23" i="1"/>
  <c r="CF23" i="1"/>
  <c r="BX23" i="1"/>
  <c r="BP23" i="1"/>
  <c r="DB21" i="1"/>
  <c r="CT21" i="1"/>
  <c r="CL21" i="1"/>
  <c r="CD21" i="1"/>
  <c r="BV21" i="1"/>
  <c r="BN21" i="1"/>
  <c r="CZ19" i="1"/>
  <c r="CR19" i="1"/>
  <c r="CJ19" i="1"/>
  <c r="CB19" i="1"/>
  <c r="BT19" i="1"/>
  <c r="BL19" i="1"/>
  <c r="DF17" i="1"/>
  <c r="CX17" i="1"/>
  <c r="CP17" i="1"/>
  <c r="CH17" i="1"/>
  <c r="BZ17" i="1"/>
  <c r="BR17" i="1"/>
  <c r="BJ17" i="1"/>
  <c r="DD15" i="1"/>
  <c r="CV15" i="1"/>
  <c r="CN15" i="1"/>
  <c r="CF15" i="1"/>
  <c r="BX15" i="1"/>
  <c r="BP15" i="1"/>
  <c r="DE12" i="1"/>
  <c r="CW12" i="1"/>
  <c r="CO12" i="1"/>
  <c r="CG12" i="1"/>
  <c r="BY12" i="1"/>
  <c r="BQ12" i="1"/>
  <c r="BI12" i="1"/>
  <c r="DA17" i="1"/>
  <c r="CC17" i="1"/>
  <c r="CZ17" i="1"/>
  <c r="BT17" i="1"/>
  <c r="CO23" i="1"/>
  <c r="BQ23" i="1"/>
  <c r="DA19" i="1"/>
  <c r="CC19" i="1"/>
  <c r="DG17" i="1"/>
  <c r="CI17" i="1"/>
  <c r="BK17" i="1"/>
  <c r="DE15" i="1"/>
  <c r="CO15" i="1"/>
  <c r="BQ15" i="1"/>
  <c r="DC23" i="1"/>
  <c r="CU23" i="1"/>
  <c r="CM23" i="1"/>
  <c r="CE23" i="1"/>
  <c r="BW23" i="1"/>
  <c r="BO23" i="1"/>
  <c r="DA21" i="1"/>
  <c r="CS21" i="1"/>
  <c r="CK21" i="1"/>
  <c r="CC21" i="1"/>
  <c r="BU21" i="1"/>
  <c r="BM21" i="1"/>
  <c r="DG19" i="1"/>
  <c r="CY19" i="1"/>
  <c r="CQ19" i="1"/>
  <c r="CI19" i="1"/>
  <c r="CA19" i="1"/>
  <c r="BS19" i="1"/>
  <c r="BK19" i="1"/>
  <c r="DE17" i="1"/>
  <c r="CW17" i="1"/>
  <c r="CO17" i="1"/>
  <c r="CG17" i="1"/>
  <c r="BY17" i="1"/>
  <c r="BQ17" i="1"/>
  <c r="BI17" i="1"/>
  <c r="DC15" i="1"/>
  <c r="CU15" i="1"/>
  <c r="CM15" i="1"/>
  <c r="CE15" i="1"/>
  <c r="BW15" i="1"/>
  <c r="BO15" i="1"/>
  <c r="DD12" i="1"/>
  <c r="CV12" i="1"/>
  <c r="CN12" i="1"/>
  <c r="CF12" i="1"/>
  <c r="BX12" i="1"/>
  <c r="BP12" i="1"/>
  <c r="CS17" i="1"/>
  <c r="BM17" i="1"/>
  <c r="CR17" i="1"/>
  <c r="BL17" i="1"/>
  <c r="DE23" i="1"/>
  <c r="CG23" i="1"/>
  <c r="CS19" i="1"/>
  <c r="BU19" i="1"/>
  <c r="CQ17" i="1"/>
  <c r="BS17" i="1"/>
  <c r="CW15" i="1"/>
  <c r="CG15" i="1"/>
  <c r="BI15" i="1"/>
  <c r="BH17" i="1"/>
  <c r="DB23" i="1"/>
  <c r="CT23" i="1"/>
  <c r="CL23" i="1"/>
  <c r="CD23" i="1"/>
  <c r="BV23" i="1"/>
  <c r="BN23" i="1"/>
  <c r="CZ21" i="1"/>
  <c r="CR21" i="1"/>
  <c r="CJ21" i="1"/>
  <c r="CB21" i="1"/>
  <c r="BT21" i="1"/>
  <c r="DF19" i="1"/>
  <c r="CX19" i="1"/>
  <c r="CP19" i="1"/>
  <c r="CH19" i="1"/>
  <c r="BZ19" i="1"/>
  <c r="BR19" i="1"/>
  <c r="BJ19" i="1"/>
  <c r="DD17" i="1"/>
  <c r="CV17" i="1"/>
  <c r="CN17" i="1"/>
  <c r="CF17" i="1"/>
  <c r="BX17" i="1"/>
  <c r="BP17" i="1"/>
  <c r="DB15" i="1"/>
  <c r="CT15" i="1"/>
  <c r="CL15" i="1"/>
  <c r="CD15" i="1"/>
  <c r="BV15" i="1"/>
  <c r="BN15" i="1"/>
  <c r="DC12" i="1"/>
  <c r="CU12" i="1"/>
  <c r="CM12" i="1"/>
  <c r="CE12" i="1"/>
  <c r="BW12" i="1"/>
  <c r="BO12" i="1"/>
  <c r="DA23" i="1"/>
  <c r="CS23" i="1"/>
  <c r="CK23" i="1"/>
  <c r="CC23" i="1"/>
  <c r="BU23" i="1"/>
  <c r="BM23" i="1"/>
  <c r="DE19" i="1"/>
  <c r="CW19" i="1"/>
  <c r="CO19" i="1"/>
  <c r="CG19" i="1"/>
  <c r="BY19" i="1"/>
  <c r="BQ19" i="1"/>
  <c r="BI19" i="1"/>
  <c r="DC17" i="1"/>
  <c r="CU17" i="1"/>
  <c r="CM17" i="1"/>
  <c r="CE17" i="1"/>
  <c r="BW17" i="1"/>
  <c r="BO17" i="1"/>
  <c r="DA15" i="1"/>
  <c r="CS15" i="1"/>
  <c r="CK15" i="1"/>
  <c r="CC15" i="1"/>
  <c r="BU15" i="1"/>
  <c r="BM15" i="1"/>
  <c r="CL12" i="1"/>
  <c r="CD12" i="1"/>
  <c r="BV12" i="1"/>
  <c r="BH23" i="1"/>
  <c r="BH15" i="1"/>
  <c r="CZ23" i="1"/>
  <c r="CR23" i="1"/>
  <c r="CJ23" i="1"/>
  <c r="CB23" i="1"/>
  <c r="BT23" i="1"/>
  <c r="DD19" i="1"/>
  <c r="CV19" i="1"/>
  <c r="CN19" i="1"/>
  <c r="CF19" i="1"/>
  <c r="BX19" i="1"/>
  <c r="DB17" i="1"/>
  <c r="CT17" i="1"/>
  <c r="CL17" i="1"/>
  <c r="CD17" i="1"/>
  <c r="BV17" i="1"/>
  <c r="CZ15" i="1"/>
  <c r="CR15" i="1"/>
  <c r="CJ15" i="1"/>
  <c r="CB15" i="1"/>
  <c r="BT15" i="1"/>
  <c r="C43" i="6" l="1"/>
  <c r="C34" i="6"/>
  <c r="C40" i="6"/>
  <c r="C37" i="6"/>
  <c r="AA40" i="6"/>
  <c r="AA37" i="6"/>
  <c r="AA43" i="6"/>
  <c r="AA34" i="6"/>
  <c r="H43" i="6"/>
  <c r="H34" i="6"/>
  <c r="H37" i="6"/>
  <c r="H40" i="6"/>
  <c r="S40" i="6"/>
  <c r="S37" i="6"/>
  <c r="S43" i="6"/>
  <c r="S34" i="6"/>
  <c r="Y37" i="6"/>
  <c r="Y43" i="6"/>
  <c r="Y34" i="6"/>
  <c r="Y40" i="6"/>
  <c r="G34" i="6"/>
  <c r="G43" i="6"/>
  <c r="G40" i="6"/>
  <c r="G37" i="6"/>
  <c r="K34" i="6"/>
  <c r="K40" i="6"/>
  <c r="K37" i="6"/>
  <c r="K43" i="6"/>
  <c r="Q37" i="6"/>
  <c r="Q40" i="6"/>
  <c r="Q43" i="6"/>
  <c r="Q34" i="6"/>
  <c r="AC40" i="6"/>
  <c r="AC37" i="6"/>
  <c r="AC34" i="6"/>
  <c r="AC43" i="6"/>
  <c r="N40" i="6"/>
  <c r="N43" i="6"/>
  <c r="N37" i="6"/>
  <c r="N34" i="6"/>
  <c r="AB37" i="6"/>
  <c r="AB40" i="6"/>
  <c r="AB34" i="6"/>
  <c r="AB43" i="6"/>
  <c r="W37" i="6"/>
  <c r="W40" i="6"/>
  <c r="W34" i="6"/>
  <c r="W43" i="6"/>
  <c r="D43" i="6"/>
  <c r="D40" i="6"/>
  <c r="D37" i="6"/>
  <c r="D34" i="6"/>
  <c r="I43" i="6"/>
  <c r="I40" i="6"/>
  <c r="I37" i="6"/>
  <c r="I34" i="6"/>
  <c r="J43" i="6"/>
  <c r="J40" i="6"/>
  <c r="J37" i="6"/>
  <c r="J34" i="6"/>
  <c r="O40" i="6"/>
  <c r="O37" i="6"/>
  <c r="O34" i="6"/>
  <c r="O43" i="6"/>
  <c r="U40" i="6"/>
  <c r="U37" i="6"/>
  <c r="U43" i="6"/>
  <c r="U34" i="6"/>
  <c r="P43" i="6"/>
  <c r="P37" i="6"/>
  <c r="P34" i="6"/>
  <c r="P40" i="6"/>
  <c r="Z40" i="6"/>
  <c r="Z37" i="6"/>
  <c r="Z34" i="6"/>
  <c r="Z43" i="6"/>
  <c r="V43" i="6"/>
  <c r="V37" i="6"/>
  <c r="V34" i="6"/>
  <c r="V40" i="6"/>
  <c r="F43" i="6"/>
  <c r="F40" i="6"/>
  <c r="F37" i="6"/>
  <c r="F34" i="6"/>
  <c r="T40" i="6"/>
  <c r="T37" i="6"/>
  <c r="T43" i="6"/>
  <c r="T34" i="6"/>
  <c r="R40" i="6"/>
  <c r="R37" i="6"/>
  <c r="R34" i="6"/>
  <c r="R43" i="6"/>
  <c r="E43" i="6"/>
  <c r="E40" i="6"/>
  <c r="E37" i="6"/>
  <c r="E34" i="6"/>
  <c r="L40" i="6"/>
  <c r="L34" i="6"/>
  <c r="L37" i="6"/>
  <c r="L43" i="6"/>
  <c r="X37" i="6"/>
  <c r="X40" i="6"/>
  <c r="X34" i="6"/>
  <c r="X43" i="6"/>
  <c r="AD40" i="6"/>
  <c r="AD37" i="6"/>
  <c r="AD34" i="6"/>
  <c r="AD43" i="6"/>
  <c r="M34" i="6"/>
  <c r="M43" i="6"/>
  <c r="M40" i="6"/>
  <c r="M37" i="6"/>
</calcChain>
</file>

<file path=xl/sharedStrings.xml><?xml version="1.0" encoding="utf-8"?>
<sst xmlns="http://schemas.openxmlformats.org/spreadsheetml/2006/main" count="1481" uniqueCount="243">
  <si>
    <t>262_0_1</t>
  </si>
  <si>
    <t>262_0_2</t>
  </si>
  <si>
    <t>262_0_3</t>
  </si>
  <si>
    <t>262_0_4</t>
  </si>
  <si>
    <t>262_0_5</t>
  </si>
  <si>
    <t>262_24_1</t>
  </si>
  <si>
    <t>262_24_2</t>
  </si>
  <si>
    <t>262_24_3</t>
  </si>
  <si>
    <t>262_24_4</t>
  </si>
  <si>
    <t>262_24_5</t>
  </si>
  <si>
    <t>262pFH0_2</t>
  </si>
  <si>
    <t>262pFH0_3</t>
  </si>
  <si>
    <t>262pFH0_4</t>
  </si>
  <si>
    <t>262pFH0_5</t>
  </si>
  <si>
    <t>262pFH24_1</t>
  </si>
  <si>
    <t>262pFH24_2</t>
  </si>
  <si>
    <t>262pFH24_3</t>
  </si>
  <si>
    <t>262pFH24_4</t>
  </si>
  <si>
    <t>262pFH24_5</t>
  </si>
  <si>
    <t>M1</t>
  </si>
  <si>
    <t>M2</t>
  </si>
  <si>
    <t>M3</t>
  </si>
  <si>
    <t>M4</t>
  </si>
  <si>
    <t>M5</t>
  </si>
  <si>
    <t>QC2</t>
  </si>
  <si>
    <t>QC3</t>
  </si>
  <si>
    <t>QC4</t>
  </si>
  <si>
    <t>QC5</t>
  </si>
  <si>
    <t>lactate</t>
  </si>
  <si>
    <t>sample ID</t>
  </si>
  <si>
    <t>fumarate</t>
  </si>
  <si>
    <t>succinate</t>
  </si>
  <si>
    <t>N-acetylaspartate</t>
  </si>
  <si>
    <t>aconitate</t>
  </si>
  <si>
    <t>pyruvate</t>
  </si>
  <si>
    <t>O-acetylserine</t>
  </si>
  <si>
    <t>2-HG</t>
  </si>
  <si>
    <t>uracil</t>
  </si>
  <si>
    <t>uridine</t>
  </si>
  <si>
    <t>SAdo</t>
  </si>
  <si>
    <t>nicotinamide</t>
  </si>
  <si>
    <t>allopurinol</t>
  </si>
  <si>
    <t>malate</t>
  </si>
  <si>
    <t>phenylalanine</t>
  </si>
  <si>
    <t>butyrylcarnitine</t>
  </si>
  <si>
    <t>acetylcarnitine</t>
  </si>
  <si>
    <t>glucose</t>
  </si>
  <si>
    <t>leucine</t>
  </si>
  <si>
    <t>tryptophan</t>
  </si>
  <si>
    <t>propionylcarnitine</t>
  </si>
  <si>
    <t>valine</t>
  </si>
  <si>
    <t>methionine</t>
  </si>
  <si>
    <t>tyrosine</t>
  </si>
  <si>
    <t>acetylcholine</t>
  </si>
  <si>
    <t>proline</t>
  </si>
  <si>
    <t>taurine</t>
  </si>
  <si>
    <t>hypotaurine</t>
  </si>
  <si>
    <t>carnitine</t>
  </si>
  <si>
    <t>GABA</t>
  </si>
  <si>
    <t>glutamate</t>
  </si>
  <si>
    <t>creatinine</t>
  </si>
  <si>
    <t>aspartate</t>
  </si>
  <si>
    <t>threonine</t>
  </si>
  <si>
    <t>sarcosine</t>
  </si>
  <si>
    <t>glutamine</t>
  </si>
  <si>
    <t>dihydrothymine</t>
  </si>
  <si>
    <t>thymine</t>
  </si>
  <si>
    <t>asparagine</t>
  </si>
  <si>
    <t>serine</t>
  </si>
  <si>
    <t>citrulline</t>
  </si>
  <si>
    <t>glycine</t>
  </si>
  <si>
    <t>choline</t>
  </si>
  <si>
    <t>betaine</t>
  </si>
  <si>
    <t>glycerylphosphorylcholine</t>
  </si>
  <si>
    <t>pyroglutamate</t>
  </si>
  <si>
    <t>histamine</t>
  </si>
  <si>
    <t>histidine</t>
  </si>
  <si>
    <t>arginine</t>
  </si>
  <si>
    <t>lysine</t>
  </si>
  <si>
    <t>ornithine</t>
  </si>
  <si>
    <t>262pFH0_1</t>
  </si>
  <si>
    <t>QC was prepared by pooling 5 uL of each sample</t>
  </si>
  <si>
    <t>normalised ion intensity (a.u.)</t>
  </si>
  <si>
    <t>TIC</t>
  </si>
  <si>
    <t>ion intensity (a.u.)</t>
  </si>
  <si>
    <t>replicate</t>
  </si>
  <si>
    <t>cell line</t>
  </si>
  <si>
    <t>cell number</t>
  </si>
  <si>
    <t>262pFH</t>
  </si>
  <si>
    <t>cell volume (fL)</t>
  </si>
  <si>
    <t>T24</t>
  </si>
  <si>
    <t>T48</t>
  </si>
  <si>
    <t>T0</t>
  </si>
  <si>
    <t xml:space="preserve">seeding density </t>
  </si>
  <si>
    <t>cells/well</t>
  </si>
  <si>
    <t>cells/mL</t>
  </si>
  <si>
    <t>doubling time (24-48h)</t>
  </si>
  <si>
    <t>average doubling time (24-48h)</t>
  </si>
  <si>
    <t>doubling time (0-24h)</t>
  </si>
  <si>
    <t>0-24h</t>
  </si>
  <si>
    <t>0-48h</t>
  </si>
  <si>
    <t>pFH</t>
  </si>
  <si>
    <t>average cell number (48h)</t>
  </si>
  <si>
    <t>area under the curve (24-48h)</t>
  </si>
  <si>
    <t>area under the curve (0-24h)</t>
  </si>
  <si>
    <t>average cell number (24h)</t>
  </si>
  <si>
    <t>xanthine</t>
  </si>
  <si>
    <t>hypoxanthine</t>
  </si>
  <si>
    <t>NF</t>
  </si>
  <si>
    <t>2HG</t>
  </si>
  <si>
    <t>alanine</t>
  </si>
  <si>
    <t xml:space="preserve"> (mg/mL)</t>
  </si>
  <si>
    <t>mg/mL</t>
  </si>
  <si>
    <t>urea</t>
  </si>
  <si>
    <t>sample</t>
  </si>
  <si>
    <t>average</t>
  </si>
  <si>
    <t>-</t>
  </si>
  <si>
    <t>glucoseCl-</t>
  </si>
  <si>
    <t>y = 6E+11x + 2E+08</t>
  </si>
  <si>
    <t>y = 2E+11x + 2E+08</t>
  </si>
  <si>
    <t>y = 4E+10x + 1E+08</t>
  </si>
  <si>
    <t>y = 2E+12x + 2E+08</t>
  </si>
  <si>
    <t>iso+leu</t>
  </si>
  <si>
    <t>y = 6E+10x - 3E+06</t>
  </si>
  <si>
    <t>y = 5E+11x + 3E+08</t>
  </si>
  <si>
    <t>y = 9E+11x - 9E+06</t>
  </si>
  <si>
    <t>y = 4E+11x - 5E+06</t>
  </si>
  <si>
    <t>y = 1E+12x + 2E+09</t>
  </si>
  <si>
    <t>y = 3E+11x - 1E+06</t>
  </si>
  <si>
    <t>y = 5E+11x + 1E+08</t>
  </si>
  <si>
    <t>y = 2E+11x + 3E+07</t>
  </si>
  <si>
    <t>y = 4E+11x + 5E+08</t>
  </si>
  <si>
    <t>y = 4E+11x - 8E+08</t>
  </si>
  <si>
    <t>y = 2E+11x + 1E+06</t>
  </si>
  <si>
    <t>y = 2E+11x + 3E+06</t>
  </si>
  <si>
    <t>y = 1E+12x - 1E+07</t>
  </si>
  <si>
    <t>y = 5E+11x + 3E+07</t>
  </si>
  <si>
    <t>y = 4E+11x + 340439</t>
  </si>
  <si>
    <t>y = 5E+11x + 8E+07</t>
  </si>
  <si>
    <t>y = 2E+12x + 6E+06</t>
  </si>
  <si>
    <t>y = 1E+12x + 1E+08</t>
  </si>
  <si>
    <t>mg/L (medium)</t>
  </si>
  <si>
    <r>
      <rPr>
        <sz val="9"/>
        <color theme="1"/>
        <rFont val="Calibri"/>
        <family val="2"/>
      </rPr>
      <t>µ</t>
    </r>
    <r>
      <rPr>
        <sz val="9"/>
        <color theme="1"/>
        <rFont val="Myriad Pro"/>
        <family val="2"/>
      </rPr>
      <t>mol/well</t>
    </r>
  </si>
  <si>
    <r>
      <t>CORE (</t>
    </r>
    <r>
      <rPr>
        <sz val="9"/>
        <color theme="1"/>
        <rFont val="Calibri"/>
        <family val="2"/>
      </rPr>
      <t>µ</t>
    </r>
    <r>
      <rPr>
        <sz val="9"/>
        <color theme="1"/>
        <rFont val="Myriad Pro"/>
        <family val="2"/>
      </rPr>
      <t>mol/well)</t>
    </r>
  </si>
  <si>
    <t>262T0</t>
  </si>
  <si>
    <t>262T24</t>
  </si>
  <si>
    <t>pFHT0</t>
  </si>
  <si>
    <t>pFHT24</t>
  </si>
  <si>
    <t>average doubling time (0-24h)</t>
  </si>
  <si>
    <t>average number</t>
  </si>
  <si>
    <t>(0-24h)</t>
  </si>
  <si>
    <t>(24-48h)</t>
  </si>
  <si>
    <t>normalisation factor</t>
  </si>
  <si>
    <t>mean</t>
  </si>
  <si>
    <t>CORE (µmol/well)</t>
  </si>
  <si>
    <r>
      <t>CORE (</t>
    </r>
    <r>
      <rPr>
        <sz val="9"/>
        <color theme="1"/>
        <rFont val="Calibri"/>
        <family val="2"/>
      </rPr>
      <t>f</t>
    </r>
    <r>
      <rPr>
        <sz val="9"/>
        <color theme="1"/>
        <rFont val="Myriad Pro"/>
        <family val="2"/>
      </rPr>
      <t>mol/cell/h)</t>
    </r>
  </si>
  <si>
    <t>total cell volume (fL)</t>
  </si>
  <si>
    <t>average total cell volume (48h)</t>
  </si>
  <si>
    <t>CORE (fmol/fL/h)</t>
  </si>
  <si>
    <t>stdev</t>
  </si>
  <si>
    <t>percentile 75</t>
  </si>
  <si>
    <t>percentile 25</t>
  </si>
  <si>
    <t>log10</t>
  </si>
  <si>
    <t>TCA_1</t>
  </si>
  <si>
    <t>AA1</t>
  </si>
  <si>
    <t>TCA_2</t>
  </si>
  <si>
    <t>AA_1_5</t>
  </si>
  <si>
    <t>TCA_3</t>
  </si>
  <si>
    <t>AA_2</t>
  </si>
  <si>
    <t>TCA_4</t>
  </si>
  <si>
    <t>AA_2_5</t>
  </si>
  <si>
    <t>TCA_4_5</t>
  </si>
  <si>
    <t>AA_3</t>
  </si>
  <si>
    <t>TCA_5</t>
  </si>
  <si>
    <t>AA_4</t>
  </si>
  <si>
    <t>TCA_6</t>
  </si>
  <si>
    <t>AA_5</t>
  </si>
  <si>
    <t>AA_6</t>
  </si>
  <si>
    <t>Hypoxanthine</t>
  </si>
  <si>
    <t>leucine/isoleucine</t>
  </si>
  <si>
    <t>aKG</t>
  </si>
  <si>
    <t>TYR_1</t>
  </si>
  <si>
    <t>TYR_2</t>
  </si>
  <si>
    <t>TYR_3</t>
  </si>
  <si>
    <t>TYR_4</t>
  </si>
  <si>
    <t>TYR_5</t>
  </si>
  <si>
    <t>TYR_6</t>
  </si>
  <si>
    <t>3-Hydroxybutyrate</t>
  </si>
  <si>
    <t>stearic acid</t>
  </si>
  <si>
    <t>palmitic acid</t>
  </si>
  <si>
    <t>benzoic acid</t>
  </si>
  <si>
    <t>mevalonate</t>
  </si>
  <si>
    <t>Pyridoxine</t>
  </si>
  <si>
    <t>cinnamate</t>
  </si>
  <si>
    <t>N-AcetylCysteine</t>
  </si>
  <si>
    <t>Kynurenine</t>
  </si>
  <si>
    <t>Acetylcarnitine</t>
  </si>
  <si>
    <t>oxoproline</t>
  </si>
  <si>
    <t>N-AcetylAspartate</t>
  </si>
  <si>
    <t>homocysteine</t>
  </si>
  <si>
    <t>Succinic_Semialdehyde</t>
  </si>
  <si>
    <t>glucosamine</t>
  </si>
  <si>
    <t>AcetylCholine</t>
  </si>
  <si>
    <t>acetate</t>
  </si>
  <si>
    <t>ribulose</t>
  </si>
  <si>
    <t>acetoacetate</t>
  </si>
  <si>
    <t>creatine</t>
  </si>
  <si>
    <t>Glycerylphosphorylcholine</t>
  </si>
  <si>
    <t>Dihydrothymine</t>
  </si>
  <si>
    <t>pyroglutamic acid</t>
  </si>
  <si>
    <t>ascorbic acid</t>
  </si>
  <si>
    <t>ethanolamine</t>
  </si>
  <si>
    <t>argininosuccinate</t>
  </si>
  <si>
    <t>agmatine</t>
  </si>
  <si>
    <t>Carbamoyl_phosphate</t>
  </si>
  <si>
    <t>262pFH_0_1</t>
  </si>
  <si>
    <t>glucose Cl-</t>
  </si>
  <si>
    <t>y = 1.2001x + 9.9079</t>
  </si>
  <si>
    <t>%CV</t>
  </si>
  <si>
    <t>y = 0.9323x + 11.884</t>
  </si>
  <si>
    <t>y = 1.0384x + 11.683</t>
  </si>
  <si>
    <t>y = 0.916x + 10.371</t>
  </si>
  <si>
    <t>y = 0.9603x + 10.322</t>
  </si>
  <si>
    <t>y = 0.9881x + 10.529</t>
  </si>
  <si>
    <t xml:space="preserve">pyruvate </t>
  </si>
  <si>
    <t>pHILIC</t>
  </si>
  <si>
    <t>exclude</t>
  </si>
  <si>
    <t>cell volume</t>
  </si>
  <si>
    <t>biomass</t>
  </si>
  <si>
    <t>protein content (ug per well)</t>
  </si>
  <si>
    <t xml:space="preserve">24h </t>
  </si>
  <si>
    <t>48h</t>
  </si>
  <si>
    <t>biomass content (ug per well)</t>
  </si>
  <si>
    <t>average (48h)</t>
  </si>
  <si>
    <t>biomass generated (ug per well)</t>
  </si>
  <si>
    <t>biomass generation (24-48h, ug/well)</t>
  </si>
  <si>
    <t>y = 6E+11x + 4E+08</t>
  </si>
  <si>
    <t>average (in 2 mL medium)</t>
  </si>
  <si>
    <t>HILIC COLUMN</t>
  </si>
  <si>
    <t xml:space="preserve">mg/mL (extract) </t>
  </si>
  <si>
    <t>y = 0.806x + 11.405</t>
  </si>
  <si>
    <t>y = 1.0535x + 11.475</t>
  </si>
  <si>
    <t>CORE (µmol/µgDW/h)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</si>
</sst>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9"/>
      <color theme="1"/>
      <name val="Myriad Pro"/>
      <family val="2"/>
    </font>
    <font>
      <sz val="9"/>
      <name val="Myriad Pro"/>
      <family val="2"/>
    </font>
    <font>
      <b/>
      <sz val="9"/>
      <color theme="1"/>
      <name val="Myriad Pro"/>
      <family val="2"/>
    </font>
    <font>
      <sz val="8"/>
      <name val="Times New Roman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</cellStyleXfs>
  <cellXfs count="114">
    <xf numFmtId="0" fontId="0" fillId="0" borderId="0" xfId="0"/>
    <xf numFmtId="49" fontId="4" fillId="0" borderId="0" xfId="1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1" fontId="4" fillId="0" borderId="0" xfId="1" applyNumberFormat="1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1" fontId="4" fillId="0" borderId="0" xfId="1" applyNumberFormat="1" applyFont="1" applyFill="1" applyBorder="1" applyAlignment="1">
      <alignment horizontal="center" vertical="center"/>
    </xf>
    <xf numFmtId="1" fontId="4" fillId="0" borderId="0" xfId="2" applyNumberFormat="1" applyFont="1" applyAlignment="1">
      <alignment horizontal="right"/>
    </xf>
    <xf numFmtId="11" fontId="4" fillId="0" borderId="0" xfId="2" applyNumberFormat="1" applyFont="1" applyAlignment="1">
      <alignment horizontal="right"/>
    </xf>
    <xf numFmtId="0" fontId="5" fillId="0" borderId="2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11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3" applyNumberFormat="1" applyFont="1" applyAlignment="1">
      <alignment horizontal="center" vertical="center"/>
    </xf>
    <xf numFmtId="1" fontId="9" fillId="0" borderId="0" xfId="3" applyNumberFormat="1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" fontId="9" fillId="0" borderId="0" xfId="4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1" fillId="0" borderId="0" xfId="3" applyNumberFormat="1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1" fontId="11" fillId="0" borderId="0" xfId="3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1" fontId="11" fillId="7" borderId="0" xfId="3" applyNumberFormat="1" applyFont="1" applyFill="1" applyAlignment="1">
      <alignment horizontal="center" vertical="center"/>
    </xf>
    <xf numFmtId="1" fontId="11" fillId="7" borderId="0" xfId="3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3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12" fillId="0" borderId="0" xfId="0" applyFont="1"/>
    <xf numFmtId="49" fontId="11" fillId="0" borderId="0" xfId="3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0" borderId="4" xfId="3" applyNumberFormat="1" applyFont="1" applyBorder="1" applyAlignment="1">
      <alignment horizontal="center" vertical="center"/>
    </xf>
    <xf numFmtId="1" fontId="11" fillId="0" borderId="5" xfId="3" applyNumberFormat="1" applyFont="1" applyBorder="1" applyAlignment="1">
      <alignment horizontal="center" vertical="center"/>
    </xf>
    <xf numFmtId="1" fontId="11" fillId="7" borderId="5" xfId="3" applyNumberFormat="1" applyFont="1" applyFill="1" applyBorder="1" applyAlignment="1">
      <alignment horizontal="center" vertical="center"/>
    </xf>
    <xf numFmtId="11" fontId="11" fillId="7" borderId="5" xfId="3" applyNumberFormat="1" applyFont="1" applyFill="1" applyBorder="1" applyAlignment="1">
      <alignment horizontal="center" vertical="center"/>
    </xf>
    <xf numFmtId="11" fontId="11" fillId="0" borderId="5" xfId="3" applyNumberFormat="1" applyFont="1" applyBorder="1" applyAlignment="1">
      <alignment horizontal="center" vertical="center"/>
    </xf>
    <xf numFmtId="1" fontId="11" fillId="0" borderId="6" xfId="3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0" xfId="0" applyFont="1" applyFill="1" applyAlignment="1"/>
    <xf numFmtId="0" fontId="0" fillId="5" borderId="0" xfId="0" applyFill="1" applyAlignment="1"/>
    <xf numFmtId="0" fontId="1" fillId="9" borderId="0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1" fontId="3" fillId="9" borderId="0" xfId="0" applyNumberFormat="1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/>
  </cellXfs>
  <cellStyles count="5">
    <cellStyle name="Normal" xfId="0" builtinId="0"/>
    <cellStyle name="Normal 2" xfId="1"/>
    <cellStyle name="Normal 2 2" xfId="3"/>
    <cellStyle name="Normal 3" xfId="2"/>
    <cellStyle name="Normal 3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500918937276594"/>
                  <c:y val="-6.5676177101713334E-4"/>
                </c:manualLayout>
              </c:layout>
              <c:numFmt formatCode="General" sourceLinked="0"/>
            </c:trendlineLbl>
          </c:trendline>
          <c:xVal>
            <c:numRef>
              <c:f>'std curves HILIC'!$B$89:$B$92</c:f>
              <c:numCache>
                <c:formatCode>General</c:formatCode>
                <c:ptCount val="4"/>
                <c:pt idx="0">
                  <c:v>0.41666666666666669</c:v>
                </c:pt>
                <c:pt idx="1">
                  <c:v>4.1666666666666671E-2</c:v>
                </c:pt>
                <c:pt idx="2">
                  <c:v>4.1666666666666675E-3</c:v>
                </c:pt>
                <c:pt idx="3">
                  <c:v>8.333333333333335E-4</c:v>
                </c:pt>
              </c:numCache>
            </c:numRef>
          </c:xVal>
          <c:yVal>
            <c:numRef>
              <c:f>'std curves HILIC'!$C$89:$C$92</c:f>
              <c:numCache>
                <c:formatCode>0.00E+00</c:formatCode>
                <c:ptCount val="4"/>
                <c:pt idx="0">
                  <c:v>6059745208.9088297</c:v>
                </c:pt>
                <c:pt idx="1">
                  <c:v>631165822.02210605</c:v>
                </c:pt>
                <c:pt idx="2">
                  <c:v>45787506.520530798</c:v>
                </c:pt>
                <c:pt idx="3">
                  <c:v>25613936.467266399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7216"/>
        <c:axId val="98698752"/>
      </c:scatterChart>
      <c:valAx>
        <c:axId val="986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98752"/>
        <c:crosses val="autoZero"/>
        <c:crossBetween val="midCat"/>
      </c:valAx>
      <c:valAx>
        <c:axId val="986987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9869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7425589841049"/>
                  <c:y val="0.25553774328031292"/>
                </c:manualLayout>
              </c:layout>
              <c:numFmt formatCode="General" sourceLinked="0"/>
            </c:trendlineLbl>
          </c:trendline>
          <c:xVal>
            <c:numRef>
              <c:f>'std curves HILIC'!$B$7:$B$11</c:f>
              <c:numCache>
                <c:formatCode>General</c:formatCode>
                <c:ptCount val="5"/>
                <c:pt idx="0">
                  <c:v>3.1578947368421054E-2</c:v>
                </c:pt>
                <c:pt idx="1">
                  <c:v>6.3157894736842104E-3</c:v>
                </c:pt>
                <c:pt idx="2">
                  <c:v>3.1578947368421052E-3</c:v>
                </c:pt>
                <c:pt idx="3">
                  <c:v>3.1578947368421053E-4</c:v>
                </c:pt>
                <c:pt idx="4">
                  <c:v>3.1578947368421052E-5</c:v>
                </c:pt>
              </c:numCache>
            </c:numRef>
          </c:xVal>
          <c:yVal>
            <c:numRef>
              <c:f>'std curves HILIC'!$C$7:$C$11</c:f>
              <c:numCache>
                <c:formatCode>0.00E+00</c:formatCode>
                <c:ptCount val="5"/>
                <c:pt idx="0">
                  <c:v>47156360927.738098</c:v>
                </c:pt>
                <c:pt idx="1">
                  <c:v>12739656324.053301</c:v>
                </c:pt>
                <c:pt idx="2">
                  <c:v>7437392803.18402</c:v>
                </c:pt>
                <c:pt idx="3">
                  <c:v>810862149.76405394</c:v>
                </c:pt>
                <c:pt idx="4">
                  <c:v>65870515.115580902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520"/>
        <c:axId val="108433408"/>
      </c:scatterChart>
      <c:valAx>
        <c:axId val="1084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33408"/>
        <c:crosses val="autoZero"/>
        <c:crossBetween val="midCat"/>
      </c:valAx>
      <c:valAx>
        <c:axId val="10843340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4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0504997751374563E-2"/>
                  <c:y val="-3.8975660223087814E-2"/>
                </c:manualLayout>
              </c:layout>
              <c:numFmt formatCode="General" sourceLinked="0"/>
            </c:trendlineLbl>
          </c:trendline>
          <c:xVal>
            <c:numRef>
              <c:f>'std curves HILIC'!$B$20:$B$23</c:f>
              <c:numCache>
                <c:formatCode>General</c:formatCode>
                <c:ptCount val="4"/>
                <c:pt idx="0">
                  <c:v>1.2631578947368421E-2</c:v>
                </c:pt>
                <c:pt idx="1">
                  <c:v>1.2631578947368421E-3</c:v>
                </c:pt>
                <c:pt idx="2">
                  <c:v>1.2631578947368421E-4</c:v>
                </c:pt>
                <c:pt idx="3">
                  <c:v>1.2631578947368421E-5</c:v>
                </c:pt>
              </c:numCache>
            </c:numRef>
          </c:xVal>
          <c:yVal>
            <c:numRef>
              <c:f>'std curves HILIC'!$C$20:$C$23</c:f>
              <c:numCache>
                <c:formatCode>0</c:formatCode>
                <c:ptCount val="4"/>
                <c:pt idx="0">
                  <c:v>22572111044.017101</c:v>
                </c:pt>
                <c:pt idx="1">
                  <c:v>2929827542.3773398</c:v>
                </c:pt>
                <c:pt idx="2">
                  <c:v>235616605.40222499</c:v>
                </c:pt>
                <c:pt idx="3">
                  <c:v>25338577.740407001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7984"/>
        <c:axId val="108459520"/>
      </c:scatterChart>
      <c:valAx>
        <c:axId val="1084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59520"/>
        <c:crosses val="autoZero"/>
        <c:crossBetween val="midCat"/>
      </c:valAx>
      <c:valAx>
        <c:axId val="1084595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45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5548672666224998E-2"/>
                  <c:y val="0.30303968784738272"/>
                </c:manualLayout>
              </c:layout>
              <c:numFmt formatCode="General" sourceLinked="0"/>
            </c:trendlineLbl>
          </c:trendline>
          <c:xVal>
            <c:numRef>
              <c:f>'std curves HILIC'!$B$32:$B$37</c:f>
              <c:numCache>
                <c:formatCode>General</c:formatCode>
                <c:ptCount val="6"/>
                <c:pt idx="0">
                  <c:v>2.1052631578947371E-2</c:v>
                </c:pt>
                <c:pt idx="1">
                  <c:v>4.2105263157894745E-3</c:v>
                </c:pt>
                <c:pt idx="2">
                  <c:v>2.1052631578947372E-3</c:v>
                </c:pt>
                <c:pt idx="3">
                  <c:v>2.1052631578947372E-4</c:v>
                </c:pt>
                <c:pt idx="4">
                  <c:v>2.1052631578947372E-5</c:v>
                </c:pt>
                <c:pt idx="5">
                  <c:v>2.1052631578947371E-6</c:v>
                </c:pt>
              </c:numCache>
            </c:numRef>
          </c:xVal>
          <c:yVal>
            <c:numRef>
              <c:f>'std curves HILIC'!$C$32:$C$37</c:f>
              <c:numCache>
                <c:formatCode>0</c:formatCode>
                <c:ptCount val="6"/>
                <c:pt idx="0">
                  <c:v>13672121482.3915</c:v>
                </c:pt>
                <c:pt idx="1">
                  <c:v>3886652388.6437802</c:v>
                </c:pt>
                <c:pt idx="2">
                  <c:v>2214082515.5169501</c:v>
                </c:pt>
                <c:pt idx="3">
                  <c:v>219919333.69390899</c:v>
                </c:pt>
                <c:pt idx="4">
                  <c:v>16357893.707063399</c:v>
                </c:pt>
                <c:pt idx="5">
                  <c:v>1727400.94495264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0480"/>
        <c:axId val="108502016"/>
      </c:scatterChart>
      <c:valAx>
        <c:axId val="1085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02016"/>
        <c:crosses val="autoZero"/>
        <c:crossBetween val="midCat"/>
      </c:valAx>
      <c:valAx>
        <c:axId val="10850201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50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032427771277912"/>
                  <c:y val="1.4175636000632956E-2"/>
                </c:manualLayout>
              </c:layout>
              <c:numFmt formatCode="General" sourceLinked="0"/>
            </c:trendlineLbl>
          </c:trendline>
          <c:xVal>
            <c:numRef>
              <c:f>'std curves HILIC'!$U$46:$U$50</c:f>
              <c:numCache>
                <c:formatCode>General</c:formatCode>
                <c:ptCount val="5"/>
                <c:pt idx="0">
                  <c:v>7.4500000000000011E-2</c:v>
                </c:pt>
                <c:pt idx="1">
                  <c:v>7.4500000000000009E-3</c:v>
                </c:pt>
                <c:pt idx="2">
                  <c:v>1.4900000000000002E-3</c:v>
                </c:pt>
                <c:pt idx="3">
                  <c:v>7.4500000000000011E-4</c:v>
                </c:pt>
                <c:pt idx="4">
                  <c:v>7.4500000000000008E-5</c:v>
                </c:pt>
              </c:numCache>
            </c:numRef>
          </c:xVal>
          <c:yVal>
            <c:numRef>
              <c:f>'std curves HILIC'!$V$46:$V$50</c:f>
              <c:numCache>
                <c:formatCode>0.00E+00</c:formatCode>
                <c:ptCount val="5"/>
                <c:pt idx="0">
                  <c:v>2951494327.8070302</c:v>
                </c:pt>
                <c:pt idx="1">
                  <c:v>557695731.69863403</c:v>
                </c:pt>
                <c:pt idx="2">
                  <c:v>149606288.83650699</c:v>
                </c:pt>
                <c:pt idx="3">
                  <c:v>68665346.506154701</c:v>
                </c:pt>
                <c:pt idx="4">
                  <c:v>6965641.6231436301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400"/>
        <c:axId val="108868352"/>
      </c:scatterChart>
      <c:valAx>
        <c:axId val="108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68352"/>
        <c:crosses val="autoZero"/>
        <c:crossBetween val="midCat"/>
      </c:valAx>
      <c:valAx>
        <c:axId val="108868352"/>
        <c:scaling>
          <c:orientation val="minMax"/>
        </c:scaling>
        <c:delete val="0"/>
        <c:axPos val="l"/>
        <c:numFmt formatCode="0.00E+00" sourceLinked="0"/>
        <c:majorTickMark val="out"/>
        <c:minorTickMark val="none"/>
        <c:tickLblPos val="nextTo"/>
        <c:crossAx val="10851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85219680227733"/>
                  <c:y val="-9.0957171059177135E-3"/>
                </c:manualLayout>
              </c:layout>
              <c:numFmt formatCode="General" sourceLinked="0"/>
            </c:trendlineLbl>
          </c:trendline>
          <c:xVal>
            <c:numRef>
              <c:f>'std curves HILIC'!$L$18:$L$22</c:f>
              <c:numCache>
                <c:formatCode>General</c:formatCode>
                <c:ptCount val="5"/>
                <c:pt idx="0">
                  <c:v>8.4210526315789489E-3</c:v>
                </c:pt>
                <c:pt idx="1">
                  <c:v>4.2105263157894745E-3</c:v>
                </c:pt>
                <c:pt idx="2">
                  <c:v>4.2105263157894745E-4</c:v>
                </c:pt>
                <c:pt idx="3">
                  <c:v>4.2105263157894745E-5</c:v>
                </c:pt>
                <c:pt idx="4">
                  <c:v>4.2105263157894741E-6</c:v>
                </c:pt>
              </c:numCache>
            </c:numRef>
          </c:xVal>
          <c:yVal>
            <c:numRef>
              <c:f>'std curves HILIC'!$M$18:$M$22</c:f>
              <c:numCache>
                <c:formatCode>0.00E+00</c:formatCode>
                <c:ptCount val="5"/>
                <c:pt idx="0">
                  <c:v>10270192083.392099</c:v>
                </c:pt>
                <c:pt idx="1">
                  <c:v>5873512161.5830002</c:v>
                </c:pt>
                <c:pt idx="2">
                  <c:v>674883681.51860905</c:v>
                </c:pt>
                <c:pt idx="3">
                  <c:v>54321953.144774601</c:v>
                </c:pt>
                <c:pt idx="4">
                  <c:v>4791285.8284605304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4736"/>
        <c:axId val="108886272"/>
      </c:scatterChart>
      <c:valAx>
        <c:axId val="108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86272"/>
        <c:crosses val="autoZero"/>
        <c:crossBetween val="midCat"/>
      </c:valAx>
      <c:valAx>
        <c:axId val="1088862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88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580774670916548"/>
                  <c:y val="-2.3405784618309049E-2"/>
                </c:manualLayout>
              </c:layout>
              <c:numFmt formatCode="General" sourceLinked="0"/>
            </c:trendlineLbl>
          </c:trendline>
          <c:xVal>
            <c:numRef>
              <c:f>'std curves HILIC'!$B$47:$B$50</c:f>
              <c:numCache>
                <c:formatCode>General</c:formatCode>
                <c:ptCount val="4"/>
                <c:pt idx="0">
                  <c:v>2.631578947368421E-3</c:v>
                </c:pt>
                <c:pt idx="1">
                  <c:v>2.631578947368421E-4</c:v>
                </c:pt>
                <c:pt idx="2">
                  <c:v>2.6315789473684209E-5</c:v>
                </c:pt>
                <c:pt idx="3">
                  <c:v>2.6315789473684207E-6</c:v>
                </c:pt>
              </c:numCache>
            </c:numRef>
          </c:xVal>
          <c:yVal>
            <c:numRef>
              <c:f>'std curves HILIC'!$C$47:$C$50</c:f>
              <c:numCache>
                <c:formatCode>0.00E+00</c:formatCode>
                <c:ptCount val="4"/>
                <c:pt idx="0">
                  <c:v>5101099483.8812304</c:v>
                </c:pt>
                <c:pt idx="1">
                  <c:v>530841319.01833802</c:v>
                </c:pt>
                <c:pt idx="2">
                  <c:v>48682257.052128002</c:v>
                </c:pt>
                <c:pt idx="3">
                  <c:v>4729751.5316704102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848"/>
        <c:axId val="108916736"/>
      </c:scatterChart>
      <c:valAx>
        <c:axId val="1089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16736"/>
        <c:crosses val="autoZero"/>
        <c:crossBetween val="midCat"/>
      </c:valAx>
      <c:valAx>
        <c:axId val="10891673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9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42038892443026"/>
                  <c:y val="0.3251133294372226"/>
                </c:manualLayout>
              </c:layout>
              <c:numFmt formatCode="General" sourceLinked="0"/>
            </c:trendlineLbl>
          </c:trendline>
          <c:xVal>
            <c:numRef>
              <c:f>'std curves HILIC'!$L$47:$L$50</c:f>
              <c:numCache>
                <c:formatCode>General</c:formatCode>
                <c:ptCount val="4"/>
                <c:pt idx="0">
                  <c:v>5.7894736842105266E-3</c:v>
                </c:pt>
                <c:pt idx="1">
                  <c:v>5.7894736842105268E-4</c:v>
                </c:pt>
                <c:pt idx="2">
                  <c:v>5.7894736842105267E-5</c:v>
                </c:pt>
                <c:pt idx="3">
                  <c:v>5.7894736842105267E-6</c:v>
                </c:pt>
              </c:numCache>
            </c:numRef>
          </c:xVal>
          <c:yVal>
            <c:numRef>
              <c:f>'std curves HILIC'!$M$47:$M$50</c:f>
              <c:numCache>
                <c:formatCode>0.00E+00</c:formatCode>
                <c:ptCount val="4"/>
                <c:pt idx="0">
                  <c:v>5094550811.3209896</c:v>
                </c:pt>
                <c:pt idx="1">
                  <c:v>490929435.03545803</c:v>
                </c:pt>
                <c:pt idx="2">
                  <c:v>43759306.023094699</c:v>
                </c:pt>
                <c:pt idx="3">
                  <c:v>3555294.6462649298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0016"/>
        <c:axId val="108631552"/>
      </c:scatterChart>
      <c:valAx>
        <c:axId val="1086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31552"/>
        <c:crosses val="autoZero"/>
        <c:crossBetween val="midCat"/>
      </c:valAx>
      <c:valAx>
        <c:axId val="1086315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514510169234235"/>
                  <c:y val="-6.9817573437148093E-4"/>
                </c:manualLayout>
              </c:layout>
              <c:numFmt formatCode="General" sourceLinked="0"/>
            </c:trendlineLbl>
          </c:trendline>
          <c:xVal>
            <c:numRef>
              <c:f>'std curves HILIC'!$B$59:$B$62</c:f>
              <c:numCache>
                <c:formatCode>General</c:formatCode>
                <c:ptCount val="4"/>
                <c:pt idx="0">
                  <c:v>7.3684210526315796E-3</c:v>
                </c:pt>
                <c:pt idx="1">
                  <c:v>3.6842105263157898E-3</c:v>
                </c:pt>
                <c:pt idx="2">
                  <c:v>3.6842105263157896E-4</c:v>
                </c:pt>
                <c:pt idx="3">
                  <c:v>3.6842105263157895E-5</c:v>
                </c:pt>
              </c:numCache>
            </c:numRef>
          </c:xVal>
          <c:yVal>
            <c:numRef>
              <c:f>'std curves HILIC'!$C$59:$C$62</c:f>
              <c:numCache>
                <c:formatCode>0.00E+00</c:formatCode>
                <c:ptCount val="4"/>
                <c:pt idx="0">
                  <c:v>3507154157.6564898</c:v>
                </c:pt>
                <c:pt idx="1">
                  <c:v>2064299690.86169</c:v>
                </c:pt>
                <c:pt idx="2">
                  <c:v>219163466.34192899</c:v>
                </c:pt>
                <c:pt idx="3">
                  <c:v>21341678.550297499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4320"/>
        <c:axId val="108665856"/>
      </c:scatterChart>
      <c:valAx>
        <c:axId val="1086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65856"/>
        <c:crosses val="autoZero"/>
        <c:crossBetween val="midCat"/>
      </c:valAx>
      <c:valAx>
        <c:axId val="1086658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6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303001663565148"/>
                  <c:y val="7.1058855985093802E-2"/>
                </c:manualLayout>
              </c:layout>
              <c:numFmt formatCode="General" sourceLinked="0"/>
            </c:trendlineLbl>
          </c:trendline>
          <c:xVal>
            <c:numRef>
              <c:f>'std curves HILIC'!$L$60:$L$64</c:f>
              <c:numCache>
                <c:formatCode>General</c:formatCode>
                <c:ptCount val="5"/>
                <c:pt idx="0">
                  <c:v>6.3157894736842104E-3</c:v>
                </c:pt>
                <c:pt idx="1">
                  <c:v>3.1578947368421052E-3</c:v>
                </c:pt>
                <c:pt idx="2">
                  <c:v>3.1578947368421053E-4</c:v>
                </c:pt>
                <c:pt idx="3">
                  <c:v>3.1578947368421052E-5</c:v>
                </c:pt>
                <c:pt idx="4">
                  <c:v>3.1578947368421052E-6</c:v>
                </c:pt>
              </c:numCache>
            </c:numRef>
          </c:xVal>
          <c:yVal>
            <c:numRef>
              <c:f>'std curves HILIC'!$M$60:$M$64</c:f>
              <c:numCache>
                <c:formatCode>0.00E+00</c:formatCode>
                <c:ptCount val="5"/>
                <c:pt idx="0">
                  <c:v>2305813274.7382698</c:v>
                </c:pt>
                <c:pt idx="1">
                  <c:v>1185674134.91536</c:v>
                </c:pt>
                <c:pt idx="2">
                  <c:v>106146852.29158799</c:v>
                </c:pt>
                <c:pt idx="3">
                  <c:v>8966331.2018182892</c:v>
                </c:pt>
                <c:pt idx="4">
                  <c:v>899483.86900954903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8144"/>
        <c:axId val="108700416"/>
      </c:scatterChart>
      <c:valAx>
        <c:axId val="1086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00416"/>
        <c:crosses val="autoZero"/>
        <c:crossBetween val="midCat"/>
      </c:valAx>
      <c:valAx>
        <c:axId val="1087004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6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curves HILIC'!$B$74:$B$79</c:f>
              <c:numCache>
                <c:formatCode>General</c:formatCode>
                <c:ptCount val="6"/>
                <c:pt idx="0">
                  <c:v>3.1578947368421054E-2</c:v>
                </c:pt>
                <c:pt idx="2">
                  <c:v>3.1578947368421052E-3</c:v>
                </c:pt>
                <c:pt idx="3">
                  <c:v>3.1578947368421053E-4</c:v>
                </c:pt>
                <c:pt idx="4">
                  <c:v>3.1578947368421052E-5</c:v>
                </c:pt>
                <c:pt idx="5">
                  <c:v>3.1578947368421052E-6</c:v>
                </c:pt>
              </c:numCache>
            </c:numRef>
          </c:xVal>
          <c:yVal>
            <c:numRef>
              <c:f>'std curves HILIC'!$C$74:$C$79</c:f>
              <c:numCache>
                <c:formatCode>0</c:formatCode>
                <c:ptCount val="6"/>
                <c:pt idx="0">
                  <c:v>15517949035.6817</c:v>
                </c:pt>
                <c:pt idx="2">
                  <c:v>2757791533.1575799</c:v>
                </c:pt>
                <c:pt idx="3">
                  <c:v>286142704.99513203</c:v>
                </c:pt>
                <c:pt idx="4">
                  <c:v>25726761.313771699</c:v>
                </c:pt>
                <c:pt idx="5">
                  <c:v>3109828.94496375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6800"/>
        <c:axId val="108718336"/>
      </c:scatterChart>
      <c:valAx>
        <c:axId val="108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18336"/>
        <c:crosses val="autoZero"/>
        <c:crossBetween val="midCat"/>
      </c:valAx>
      <c:valAx>
        <c:axId val="10871833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871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curves HILIC'!$L$91:$L$94</c:f>
              <c:numCache>
                <c:formatCode>General</c:formatCode>
                <c:ptCount val="4"/>
                <c:pt idx="0">
                  <c:v>1.9666666666666673E-3</c:v>
                </c:pt>
                <c:pt idx="1">
                  <c:v>3.9333333333333348E-4</c:v>
                </c:pt>
                <c:pt idx="2">
                  <c:v>1.9666666666666674E-4</c:v>
                </c:pt>
                <c:pt idx="3">
                  <c:v>1.9666666666666673E-5</c:v>
                </c:pt>
              </c:numCache>
            </c:numRef>
          </c:xVal>
          <c:yVal>
            <c:numRef>
              <c:f>'std curves HILIC'!$M$91:$M$93</c:f>
              <c:numCache>
                <c:formatCode>0</c:formatCode>
                <c:ptCount val="3"/>
                <c:pt idx="0">
                  <c:v>614262173.28065205</c:v>
                </c:pt>
                <c:pt idx="1">
                  <c:v>112295107.920902</c:v>
                </c:pt>
                <c:pt idx="2">
                  <c:v>68791715.810816407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9712"/>
        <c:axId val="98741248"/>
      </c:scatterChart>
      <c:valAx>
        <c:axId val="987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41248"/>
        <c:crosses val="autoZero"/>
        <c:crossBetween val="midCat"/>
      </c:valAx>
      <c:valAx>
        <c:axId val="987412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9873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859183965640658"/>
                  <c:y val="-5.6204802167311177E-2"/>
                </c:manualLayout>
              </c:layout>
              <c:numFmt formatCode="General" sourceLinked="0"/>
            </c:trendlineLbl>
          </c:trendline>
          <c:xVal>
            <c:numRef>
              <c:f>'std curves HILIC'!$L$75:$L$79</c:f>
              <c:numCache>
                <c:formatCode>General</c:formatCode>
                <c:ptCount val="5"/>
                <c:pt idx="0">
                  <c:v>5.263157894736842E-3</c:v>
                </c:pt>
                <c:pt idx="1">
                  <c:v>2.631578947368421E-3</c:v>
                </c:pt>
                <c:pt idx="2">
                  <c:v>2.631578947368421E-4</c:v>
                </c:pt>
                <c:pt idx="3">
                  <c:v>2.6315789473684209E-5</c:v>
                </c:pt>
                <c:pt idx="4">
                  <c:v>2.6315789473684207E-6</c:v>
                </c:pt>
              </c:numCache>
            </c:numRef>
          </c:xVal>
          <c:yVal>
            <c:numRef>
              <c:f>'std curves HILIC'!$M$75:$M$79</c:f>
              <c:numCache>
                <c:formatCode>0</c:formatCode>
                <c:ptCount val="5"/>
                <c:pt idx="0">
                  <c:v>1230924938.3143599</c:v>
                </c:pt>
                <c:pt idx="1">
                  <c:v>730370535.01137197</c:v>
                </c:pt>
                <c:pt idx="2">
                  <c:v>97103153.4438463</c:v>
                </c:pt>
                <c:pt idx="3">
                  <c:v>7242812.2312993603</c:v>
                </c:pt>
                <c:pt idx="4">
                  <c:v>828049.81206376303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6640"/>
        <c:axId val="108822528"/>
      </c:scatterChart>
      <c:valAx>
        <c:axId val="108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22528"/>
        <c:crosses val="autoZero"/>
        <c:crossBetween val="midCat"/>
      </c:valAx>
      <c:valAx>
        <c:axId val="108822528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10881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641896224468535"/>
                  <c:y val="-8.9800174978127728E-2"/>
                </c:manualLayout>
              </c:layout>
              <c:numFmt formatCode="General" sourceLinked="0"/>
            </c:trendlineLbl>
          </c:trendline>
          <c:xVal>
            <c:numRef>
              <c:f>'std curves HILIC'!$U$8:$U$11</c:f>
              <c:numCache>
                <c:formatCode>General</c:formatCode>
                <c:ptCount val="4"/>
                <c:pt idx="0">
                  <c:v>3.1578947368421052E-3</c:v>
                </c:pt>
                <c:pt idx="1">
                  <c:v>3.1578947368421053E-4</c:v>
                </c:pt>
                <c:pt idx="2">
                  <c:v>3.1578947368421052E-5</c:v>
                </c:pt>
                <c:pt idx="3">
                  <c:v>3.1578947368421052E-6</c:v>
                </c:pt>
              </c:numCache>
            </c:numRef>
          </c:xVal>
          <c:yVal>
            <c:numRef>
              <c:f>'std curves HILIC'!$V$8:$V$11</c:f>
              <c:numCache>
                <c:formatCode>0.00E+00</c:formatCode>
                <c:ptCount val="4"/>
                <c:pt idx="0">
                  <c:v>710987520.35279906</c:v>
                </c:pt>
                <c:pt idx="1">
                  <c:v>75248029.762452394</c:v>
                </c:pt>
                <c:pt idx="2">
                  <c:v>6797131.8966855099</c:v>
                </c:pt>
                <c:pt idx="3">
                  <c:v>791529.10863782105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9296"/>
        <c:axId val="108840832"/>
      </c:scatterChart>
      <c:valAx>
        <c:axId val="1088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40832"/>
        <c:crosses val="autoZero"/>
        <c:crossBetween val="midCat"/>
      </c:valAx>
      <c:valAx>
        <c:axId val="1088408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883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63807225101887"/>
                  <c:y val="-2.7477638939835392E-2"/>
                </c:manualLayout>
              </c:layout>
              <c:numFmt formatCode="General" sourceLinked="0"/>
            </c:trendlineLbl>
          </c:trendline>
          <c:xVal>
            <c:numRef>
              <c:f>'std curves HILIC'!$U$18:$U$23</c:f>
              <c:numCache>
                <c:formatCode>General</c:formatCode>
                <c:ptCount val="6"/>
                <c:pt idx="0">
                  <c:v>3.6842105263157898E-2</c:v>
                </c:pt>
                <c:pt idx="1">
                  <c:v>7.3684210526315796E-3</c:v>
                </c:pt>
                <c:pt idx="2">
                  <c:v>3.6842105263157898E-3</c:v>
                </c:pt>
                <c:pt idx="3">
                  <c:v>3.6842105263157896E-4</c:v>
                </c:pt>
                <c:pt idx="4">
                  <c:v>3.6842105263157895E-5</c:v>
                </c:pt>
                <c:pt idx="5">
                  <c:v>3.6842105263157896E-6</c:v>
                </c:pt>
              </c:numCache>
            </c:numRef>
          </c:xVal>
          <c:yVal>
            <c:numRef>
              <c:f>'std curves HILIC'!$V$18:$V$23</c:f>
              <c:numCache>
                <c:formatCode>0</c:formatCode>
                <c:ptCount val="6"/>
                <c:pt idx="0">
                  <c:v>8667676949.4580402</c:v>
                </c:pt>
                <c:pt idx="2">
                  <c:v>1652258645.51057</c:v>
                </c:pt>
                <c:pt idx="3">
                  <c:v>165908989.96915701</c:v>
                </c:pt>
                <c:pt idx="4">
                  <c:v>15992458.663499</c:v>
                </c:pt>
                <c:pt idx="5">
                  <c:v>5529044.02980527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1664"/>
        <c:axId val="110243200"/>
      </c:scatterChart>
      <c:valAx>
        <c:axId val="1102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3200"/>
        <c:crosses val="autoZero"/>
        <c:crossBetween val="midCat"/>
      </c:valAx>
      <c:valAx>
        <c:axId val="11024320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1024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507703203766197"/>
                  <c:y val="-2.546403258713718E-2"/>
                </c:manualLayout>
              </c:layout>
              <c:numFmt formatCode="General" sourceLinked="0"/>
            </c:trendlineLbl>
          </c:trendline>
          <c:xVal>
            <c:numRef>
              <c:f>'std curves HILIC'!$U$34:$U$37</c:f>
              <c:numCache>
                <c:formatCode>General</c:formatCode>
                <c:ptCount val="4"/>
                <c:pt idx="0">
                  <c:v>6.842105263157895E-3</c:v>
                </c:pt>
                <c:pt idx="1">
                  <c:v>6.8421052631578954E-4</c:v>
                </c:pt>
                <c:pt idx="2">
                  <c:v>6.842105263157896E-5</c:v>
                </c:pt>
                <c:pt idx="3">
                  <c:v>6.8421052631578957E-6</c:v>
                </c:pt>
              </c:numCache>
            </c:numRef>
          </c:xVal>
          <c:yVal>
            <c:numRef>
              <c:f>'std curves HILIC'!$V$34:$V$37</c:f>
              <c:numCache>
                <c:formatCode>0.00E+00</c:formatCode>
                <c:ptCount val="4"/>
                <c:pt idx="0">
                  <c:v>2574850266.2220802</c:v>
                </c:pt>
                <c:pt idx="1">
                  <c:v>243654183.901553</c:v>
                </c:pt>
                <c:pt idx="2">
                  <c:v>22825802.045644902</c:v>
                </c:pt>
                <c:pt idx="3">
                  <c:v>2909250.05640211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5488"/>
        <c:axId val="110294144"/>
      </c:scatterChart>
      <c:valAx>
        <c:axId val="1102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94144"/>
        <c:crosses val="autoZero"/>
        <c:crossBetween val="midCat"/>
      </c:valAx>
      <c:valAx>
        <c:axId val="1102941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1025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60834732425075"/>
                  <c:y val="-6.4097197477349073E-3"/>
                </c:manualLayout>
              </c:layout>
              <c:numFmt formatCode="General" sourceLinked="0"/>
            </c:trendlineLbl>
          </c:trendline>
          <c:xVal>
            <c:numRef>
              <c:f>'std curves HILIC'!$U$61:$U$64</c:f>
              <c:numCache>
                <c:formatCode>General</c:formatCode>
                <c:ptCount val="4"/>
                <c:pt idx="0">
                  <c:v>5.263157894736842E-3</c:v>
                </c:pt>
                <c:pt idx="1">
                  <c:v>5.263157894736842E-4</c:v>
                </c:pt>
                <c:pt idx="2">
                  <c:v>5.2631578947368417E-5</c:v>
                </c:pt>
                <c:pt idx="3">
                  <c:v>5.2631578947368414E-6</c:v>
                </c:pt>
              </c:numCache>
            </c:numRef>
          </c:xVal>
          <c:yVal>
            <c:numRef>
              <c:f>'std curves HILIC'!$V$61:$V$64</c:f>
              <c:numCache>
                <c:formatCode>0.00E+00</c:formatCode>
                <c:ptCount val="4"/>
                <c:pt idx="0">
                  <c:v>952175875.384601</c:v>
                </c:pt>
                <c:pt idx="1">
                  <c:v>103140610.17026</c:v>
                </c:pt>
                <c:pt idx="2">
                  <c:v>9250195.1062020902</c:v>
                </c:pt>
                <c:pt idx="3">
                  <c:v>1480869.8546412799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2096"/>
        <c:axId val="109013632"/>
      </c:scatterChart>
      <c:valAx>
        <c:axId val="1090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13632"/>
        <c:crosses val="autoZero"/>
        <c:crossBetween val="midCat"/>
      </c:valAx>
      <c:valAx>
        <c:axId val="10901363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0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52459159514954"/>
                  <c:y val="6.0750550182097083E-3"/>
                </c:manualLayout>
              </c:layout>
              <c:numFmt formatCode="General" sourceLinked="0"/>
            </c:trendlineLbl>
          </c:trendline>
          <c:xVal>
            <c:numRef>
              <c:f>'std curves HILIC'!$U$73:$U$79</c:f>
              <c:numCache>
                <c:formatCode>General</c:formatCode>
                <c:ptCount val="7"/>
                <c:pt idx="0">
                  <c:v>5.2631578947368418E-2</c:v>
                </c:pt>
                <c:pt idx="1">
                  <c:v>2.6315789473684209E-2</c:v>
                </c:pt>
                <c:pt idx="2">
                  <c:v>5.263157894736842E-3</c:v>
                </c:pt>
                <c:pt idx="3">
                  <c:v>2.631578947368421E-3</c:v>
                </c:pt>
                <c:pt idx="4">
                  <c:v>2.631578947368421E-4</c:v>
                </c:pt>
                <c:pt idx="5">
                  <c:v>2.6315789473684209E-5</c:v>
                </c:pt>
                <c:pt idx="6">
                  <c:v>2.6315789473684207E-6</c:v>
                </c:pt>
              </c:numCache>
            </c:numRef>
          </c:xVal>
          <c:yVal>
            <c:numRef>
              <c:f>'std curves HILIC'!$V$73:$V$79</c:f>
              <c:numCache>
                <c:formatCode>0.00E+00</c:formatCode>
                <c:ptCount val="7"/>
                <c:pt idx="0">
                  <c:v>29963445639.968899</c:v>
                </c:pt>
                <c:pt idx="1">
                  <c:v>16428199825.3188</c:v>
                </c:pt>
                <c:pt idx="2">
                  <c:v>3438453178.0314598</c:v>
                </c:pt>
                <c:pt idx="3">
                  <c:v>1787564419.5165501</c:v>
                </c:pt>
                <c:pt idx="4">
                  <c:v>135736052.624111</c:v>
                </c:pt>
                <c:pt idx="5">
                  <c:v>8231484.2534472505</c:v>
                </c:pt>
                <c:pt idx="6">
                  <c:v>1615507.69946497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3728"/>
        <c:axId val="109035520"/>
      </c:scatterChart>
      <c:valAx>
        <c:axId val="109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35520"/>
        <c:crosses val="autoZero"/>
        <c:crossBetween val="midCat"/>
      </c:valAx>
      <c:valAx>
        <c:axId val="1090355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34882259334776"/>
                  <c:y val="-1.6700858122138552E-2"/>
                </c:manualLayout>
              </c:layout>
              <c:numFmt formatCode="General" sourceLinked="0"/>
            </c:trendlineLbl>
          </c:trendline>
          <c:xVal>
            <c:numRef>
              <c:f>'std curves HILIC'!$AE$5:$AE$10</c:f>
              <c:numCache>
                <c:formatCode>General</c:formatCode>
                <c:ptCount val="6"/>
                <c:pt idx="0">
                  <c:v>0.10526315789473684</c:v>
                </c:pt>
                <c:pt idx="1">
                  <c:v>5.2631578947368418E-2</c:v>
                </c:pt>
                <c:pt idx="2">
                  <c:v>1.0526315789473684E-2</c:v>
                </c:pt>
                <c:pt idx="3">
                  <c:v>5.263157894736842E-3</c:v>
                </c:pt>
                <c:pt idx="4">
                  <c:v>5.263157894736842E-4</c:v>
                </c:pt>
                <c:pt idx="5">
                  <c:v>5.2631578947368417E-5</c:v>
                </c:pt>
              </c:numCache>
            </c:numRef>
          </c:xVal>
          <c:yVal>
            <c:numRef>
              <c:f>'std curves HILIC'!$AF$5:$AF$10</c:f>
              <c:numCache>
                <c:formatCode>0</c:formatCode>
                <c:ptCount val="6"/>
                <c:pt idx="0">
                  <c:v>41386614261.693604</c:v>
                </c:pt>
                <c:pt idx="1">
                  <c:v>23279297510.258499</c:v>
                </c:pt>
                <c:pt idx="2">
                  <c:v>4879621290.5851202</c:v>
                </c:pt>
                <c:pt idx="3">
                  <c:v>2606548960.35323</c:v>
                </c:pt>
                <c:pt idx="4">
                  <c:v>172786892.14224401</c:v>
                </c:pt>
                <c:pt idx="5">
                  <c:v>5940200.9768174803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7808"/>
        <c:axId val="109049344"/>
      </c:scatterChart>
      <c:valAx>
        <c:axId val="1090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49344"/>
        <c:crosses val="autoZero"/>
        <c:crossBetween val="midCat"/>
      </c:valAx>
      <c:valAx>
        <c:axId val="1090493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904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66179222700963"/>
                  <c:y val="0.27453820103936094"/>
                </c:manualLayout>
              </c:layout>
              <c:numFmt formatCode="General" sourceLinked="0"/>
            </c:trendlineLbl>
          </c:trendline>
          <c:xVal>
            <c:numRef>
              <c:f>'std curves HILIC'!$L$8:$L$10</c:f>
              <c:numCache>
                <c:formatCode>General</c:formatCode>
                <c:ptCount val="3"/>
                <c:pt idx="0">
                  <c:v>2.1052631578947372E-3</c:v>
                </c:pt>
                <c:pt idx="1">
                  <c:v>2.1052631578947372E-4</c:v>
                </c:pt>
                <c:pt idx="2">
                  <c:v>2.1052631578947372E-5</c:v>
                </c:pt>
              </c:numCache>
            </c:numRef>
          </c:xVal>
          <c:yVal>
            <c:numRef>
              <c:f>'std curves HILIC'!$M$8:$M$10</c:f>
              <c:numCache>
                <c:formatCode>0.00E+00</c:formatCode>
                <c:ptCount val="3"/>
                <c:pt idx="0">
                  <c:v>4936222777.3190298</c:v>
                </c:pt>
                <c:pt idx="1">
                  <c:v>486145455.12881798</c:v>
                </c:pt>
                <c:pt idx="2">
                  <c:v>79491081.821202904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1744"/>
        <c:axId val="109153280"/>
      </c:scatterChart>
      <c:valAx>
        <c:axId val="1091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53280"/>
        <c:crosses val="autoZero"/>
        <c:crossBetween val="midCat"/>
      </c:valAx>
      <c:valAx>
        <c:axId val="1091532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915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41463540643527"/>
                  <c:y val="-6.8755706538815549E-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'std curves HILIC'!$L$32:$L$36</c:f>
              <c:numCache>
                <c:formatCode>General</c:formatCode>
                <c:ptCount val="5"/>
                <c:pt idx="0">
                  <c:v>7.8E-2</c:v>
                </c:pt>
                <c:pt idx="1">
                  <c:v>7.7999999999999996E-3</c:v>
                </c:pt>
                <c:pt idx="2">
                  <c:v>7.7999999999999999E-4</c:v>
                </c:pt>
                <c:pt idx="3">
                  <c:v>7.7999999999999999E-5</c:v>
                </c:pt>
                <c:pt idx="4">
                  <c:v>7.7999999999999999E-6</c:v>
                </c:pt>
              </c:numCache>
            </c:numRef>
          </c:xVal>
          <c:yVal>
            <c:numRef>
              <c:f>'std curves HILIC'!$M$32:$M$36</c:f>
              <c:numCache>
                <c:formatCode>0.00E+00</c:formatCode>
                <c:ptCount val="5"/>
                <c:pt idx="0">
                  <c:v>55247586764.898003</c:v>
                </c:pt>
                <c:pt idx="1">
                  <c:v>5902699383.9312496</c:v>
                </c:pt>
                <c:pt idx="2">
                  <c:v>644675901.60387504</c:v>
                </c:pt>
                <c:pt idx="3">
                  <c:v>59768044.515358798</c:v>
                </c:pt>
                <c:pt idx="4">
                  <c:v>5873744.61695062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1904"/>
        <c:axId val="110573440"/>
      </c:scatterChart>
      <c:valAx>
        <c:axId val="1105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73440"/>
        <c:crosses val="autoZero"/>
        <c:crossBetween val="midCat"/>
      </c:valAx>
      <c:valAx>
        <c:axId val="110573440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1105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</a:t>
            </a:r>
          </a:p>
        </c:rich>
      </c:tx>
      <c:layout>
        <c:manualLayout>
          <c:xMode val="edge"/>
          <c:yMode val="edge"/>
          <c:x val="7.1533619899919007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179292096732287E-2"/>
                  <c:y val="0.35666942906565235"/>
                </c:manualLayout>
              </c:layout>
              <c:numFmt formatCode="General" sourceLinked="0"/>
            </c:trendlineLbl>
          </c:trendline>
          <c:xVal>
            <c:numRef>
              <c:f>'std curves pHILIC'!$E$230:$E$235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pHILIC'!$F$230:$F$235</c:f>
              <c:numCache>
                <c:formatCode>General</c:formatCode>
                <c:ptCount val="6"/>
                <c:pt idx="0">
                  <c:v>9.890172841680883</c:v>
                </c:pt>
                <c:pt idx="1">
                  <c:v>9.7224496027583402</c:v>
                </c:pt>
                <c:pt idx="2">
                  <c:v>9.2112002653539555</c:v>
                </c:pt>
                <c:pt idx="3">
                  <c:v>8.9264153397246346</c:v>
                </c:pt>
                <c:pt idx="4">
                  <c:v>7.8950878178636223</c:v>
                </c:pt>
                <c:pt idx="5">
                  <c:v>6.8561848997995662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7984"/>
        <c:axId val="99663872"/>
      </c:scatterChart>
      <c:valAx>
        <c:axId val="996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3872"/>
        <c:crosses val="autoZero"/>
        <c:crossBetween val="midCat"/>
      </c:valAx>
      <c:valAx>
        <c:axId val="9966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65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51999243818155"/>
                  <c:y val="-7.0460226500946232E-4"/>
                </c:manualLayout>
              </c:layout>
              <c:numFmt formatCode="General" sourceLinked="0"/>
            </c:trendlineLbl>
          </c:trendline>
          <c:xVal>
            <c:numRef>
              <c:f>'std curves HILIC'!$U$89:$U$93</c:f>
              <c:numCache>
                <c:formatCode>General</c:formatCode>
                <c:ptCount val="5"/>
                <c:pt idx="0">
                  <c:v>2.6000000000000002E-2</c:v>
                </c:pt>
                <c:pt idx="1">
                  <c:v>2.6000000000000003E-3</c:v>
                </c:pt>
                <c:pt idx="2">
                  <c:v>5.2000000000000006E-4</c:v>
                </c:pt>
                <c:pt idx="3">
                  <c:v>2.6000000000000003E-4</c:v>
                </c:pt>
                <c:pt idx="4">
                  <c:v>2.6000000000000002E-5</c:v>
                </c:pt>
              </c:numCache>
            </c:numRef>
          </c:xVal>
          <c:yVal>
            <c:numRef>
              <c:f>'std curves HILIC'!$V$89:$V$93</c:f>
              <c:numCache>
                <c:formatCode>0</c:formatCode>
                <c:ptCount val="5"/>
                <c:pt idx="0">
                  <c:v>12731341884.807199</c:v>
                </c:pt>
                <c:pt idx="1">
                  <c:v>1736448564.55969</c:v>
                </c:pt>
                <c:pt idx="2">
                  <c:v>317763647.99895298</c:v>
                </c:pt>
                <c:pt idx="3">
                  <c:v>182926968.557331</c:v>
                </c:pt>
                <c:pt idx="4">
                  <c:v>19931655.392547101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7632"/>
        <c:axId val="103293696"/>
      </c:scatterChart>
      <c:valAx>
        <c:axId val="98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93696"/>
        <c:crosses val="autoZero"/>
        <c:crossBetween val="midCat"/>
      </c:valAx>
      <c:valAx>
        <c:axId val="103293696"/>
        <c:scaling>
          <c:orientation val="minMax"/>
        </c:scaling>
        <c:delete val="0"/>
        <c:axPos val="l"/>
        <c:numFmt formatCode="0.0E+00" sourceLinked="0"/>
        <c:majorTickMark val="out"/>
        <c:minorTickMark val="none"/>
        <c:tickLblPos val="nextTo"/>
        <c:crossAx val="987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Arg</a:t>
            </a:r>
          </a:p>
        </c:rich>
      </c:tx>
      <c:layout>
        <c:manualLayout>
          <c:xMode val="edge"/>
          <c:yMode val="edge"/>
          <c:x val="5.5843820146592435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3166797781064212E-3"/>
                  <c:y val="0.38095226892159983"/>
                </c:manualLayout>
              </c:layout>
              <c:numFmt formatCode="General" sourceLinked="0"/>
            </c:trendlineLbl>
          </c:trendline>
          <c:xVal>
            <c:numRef>
              <c:f>'std curves pHILIC'!$E$219:$E$223</c:f>
              <c:numCache>
                <c:formatCode>General</c:formatCode>
                <c:ptCount val="5"/>
                <c:pt idx="0">
                  <c:v>-1.5797835966168101</c:v>
                </c:pt>
                <c:pt idx="1">
                  <c:v>-2.2787536009528289</c:v>
                </c:pt>
                <c:pt idx="2">
                  <c:v>-2.5797835966168101</c:v>
                </c:pt>
                <c:pt idx="3">
                  <c:v>-3.5797835966168101</c:v>
                </c:pt>
                <c:pt idx="4">
                  <c:v>-4.5797835966168101</c:v>
                </c:pt>
              </c:numCache>
            </c:numRef>
          </c:xVal>
          <c:yVal>
            <c:numRef>
              <c:f>'std curves pHILIC'!$F$219:$F$223</c:f>
              <c:numCache>
                <c:formatCode>General</c:formatCode>
                <c:ptCount val="5"/>
                <c:pt idx="0">
                  <c:v>10.150096428265448</c:v>
                </c:pt>
                <c:pt idx="1">
                  <c:v>9.6671794535603439</c:v>
                </c:pt>
                <c:pt idx="2">
                  <c:v>9.4079770710114481</c:v>
                </c:pt>
                <c:pt idx="3">
                  <c:v>8.3684959949704538</c:v>
                </c:pt>
                <c:pt idx="4">
                  <c:v>7.1174412110706946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2560"/>
        <c:axId val="99764096"/>
      </c:scatterChart>
      <c:valAx>
        <c:axId val="997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4096"/>
        <c:crosses val="autoZero"/>
        <c:crossBetween val="midCat"/>
      </c:valAx>
      <c:valAx>
        <c:axId val="9976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62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Lys</a:t>
            </a:r>
          </a:p>
        </c:rich>
      </c:tx>
      <c:layout>
        <c:manualLayout>
          <c:xMode val="edge"/>
          <c:yMode val="edge"/>
          <c:x val="3.5881750578524108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5527415289380575E-2"/>
                  <c:y val="0.35854331192621158"/>
                </c:manualLayout>
              </c:layout>
              <c:numFmt formatCode="General" sourceLinked="0"/>
            </c:trendlineLbl>
          </c:trendline>
          <c:xVal>
            <c:numRef>
              <c:f>'std curves pHILIC'!$E$206:$E$210</c:f>
              <c:numCache>
                <c:formatCode>General</c:formatCode>
                <c:ptCount val="5"/>
                <c:pt idx="0">
                  <c:v>-0.97772360528884783</c:v>
                </c:pt>
                <c:pt idx="1">
                  <c:v>-1.2787536009528291</c:v>
                </c:pt>
                <c:pt idx="2">
                  <c:v>-1.9777236052888478</c:v>
                </c:pt>
                <c:pt idx="3">
                  <c:v>-2.2787536009528289</c:v>
                </c:pt>
                <c:pt idx="4">
                  <c:v>-3.2787536009528289</c:v>
                </c:pt>
              </c:numCache>
            </c:numRef>
          </c:xVal>
          <c:yVal>
            <c:numRef>
              <c:f>'std curves pHILIC'!$F$206:$F$210</c:f>
              <c:numCache>
                <c:formatCode>General</c:formatCode>
                <c:ptCount val="5"/>
                <c:pt idx="0">
                  <c:v>10.170790151478093</c:v>
                </c:pt>
                <c:pt idx="1">
                  <c:v>9.928904895052213</c:v>
                </c:pt>
                <c:pt idx="2">
                  <c:v>9.2384456096561731</c:v>
                </c:pt>
                <c:pt idx="3">
                  <c:v>8.8967104730546946</c:v>
                </c:pt>
                <c:pt idx="4">
                  <c:v>7.5142184406775012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6768"/>
        <c:axId val="99799040"/>
      </c:scatterChart>
      <c:valAx>
        <c:axId val="997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99040"/>
        <c:crosses val="autoZero"/>
        <c:crossBetween val="midCat"/>
      </c:valAx>
      <c:valAx>
        <c:axId val="9979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76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</a:t>
            </a:r>
          </a:p>
        </c:rich>
      </c:tx>
      <c:layout>
        <c:manualLayout>
          <c:xMode val="edge"/>
          <c:yMode val="edge"/>
          <c:x val="3.5881750578524108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7981835949623253E-3"/>
                  <c:y val="0.42564431632977751"/>
                </c:manualLayout>
              </c:layout>
              <c:numFmt formatCode="General" sourceLinked="0"/>
            </c:trendlineLbl>
          </c:trendline>
          <c:xVal>
            <c:numRef>
              <c:f>'std curves pHILIC'!$E$193:$E$198</c:f>
              <c:numCache>
                <c:formatCode>General</c:formatCode>
                <c:ptCount val="6"/>
                <c:pt idx="0">
                  <c:v>-0.97772360528884783</c:v>
                </c:pt>
                <c:pt idx="1">
                  <c:v>-1.2787536009528291</c:v>
                </c:pt>
                <c:pt idx="2">
                  <c:v>-1.9777236052888478</c:v>
                </c:pt>
                <c:pt idx="3">
                  <c:v>-2.2787536009528289</c:v>
                </c:pt>
                <c:pt idx="4">
                  <c:v>-3.2787536009528289</c:v>
                </c:pt>
                <c:pt idx="5">
                  <c:v>-4.2787536009528289</c:v>
                </c:pt>
              </c:numCache>
            </c:numRef>
          </c:xVal>
          <c:yVal>
            <c:numRef>
              <c:f>'std curves pHILIC'!$F$193:$F$198</c:f>
              <c:numCache>
                <c:formatCode>General</c:formatCode>
                <c:ptCount val="6"/>
                <c:pt idx="0">
                  <c:v>9.8930607077758488</c:v>
                </c:pt>
                <c:pt idx="1">
                  <c:v>9.6596359796970681</c:v>
                </c:pt>
                <c:pt idx="2">
                  <c:v>9.0956858182100042</c:v>
                </c:pt>
                <c:pt idx="3">
                  <c:v>8.8228134756537919</c:v>
                </c:pt>
                <c:pt idx="4">
                  <c:v>7.6819660863914985</c:v>
                </c:pt>
                <c:pt idx="5">
                  <c:v>6.5095110548558246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5488"/>
        <c:axId val="110897024"/>
      </c:scatterChart>
      <c:valAx>
        <c:axId val="110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97024"/>
        <c:crosses val="autoZero"/>
        <c:crossBetween val="midCat"/>
      </c:valAx>
      <c:valAx>
        <c:axId val="11089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95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Asp</a:t>
            </a:r>
          </a:p>
        </c:rich>
      </c:tx>
      <c:layout>
        <c:manualLayout>
          <c:xMode val="edge"/>
          <c:yMode val="edge"/>
          <c:x val="6.361098227294236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8831161418127186E-2"/>
                  <c:y val="0.31182034251002666"/>
                </c:manualLayout>
              </c:layout>
              <c:numFmt formatCode="General" sourceLinked="0"/>
            </c:trendlineLbl>
          </c:trendline>
          <c:xVal>
            <c:numRef>
              <c:f>'std curves pHILIC'!$E$181:$E$186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pHILIC'!$F$181:$F$186</c:f>
              <c:numCache>
                <c:formatCode>General</c:formatCode>
                <c:ptCount val="6"/>
                <c:pt idx="0">
                  <c:v>9.829464227749682</c:v>
                </c:pt>
                <c:pt idx="1">
                  <c:v>9.5918607632228827</c:v>
                </c:pt>
                <c:pt idx="2">
                  <c:v>8.9876965282353858</c:v>
                </c:pt>
                <c:pt idx="3">
                  <c:v>8.6736069283900523</c:v>
                </c:pt>
                <c:pt idx="4">
                  <c:v>7.4417838146119877</c:v>
                </c:pt>
                <c:pt idx="5">
                  <c:v>6.3287655016442361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2464"/>
        <c:axId val="110690304"/>
      </c:scatterChart>
      <c:valAx>
        <c:axId val="1109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90304"/>
        <c:crosses val="autoZero"/>
        <c:crossBetween val="midCat"/>
      </c:valAx>
      <c:valAx>
        <c:axId val="11069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942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Glu</a:t>
            </a:r>
          </a:p>
        </c:rich>
      </c:tx>
      <c:layout>
        <c:manualLayout>
          <c:xMode val="edge"/>
          <c:yMode val="edge"/>
          <c:x val="4.0004078421688218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761641508604439"/>
                  <c:y val="0.39589157358519195"/>
                </c:manualLayout>
              </c:layout>
              <c:numFmt formatCode="General" sourceLinked="0"/>
            </c:trendlineLbl>
          </c:trendline>
          <c:xVal>
            <c:numRef>
              <c:f>'std curves pHILIC'!$E$168:$E$175</c:f>
              <c:numCache>
                <c:formatCode>General</c:formatCode>
                <c:ptCount val="8"/>
                <c:pt idx="0">
                  <c:v>-0.23736091579460392</c:v>
                </c:pt>
                <c:pt idx="1">
                  <c:v>-0.93633092013062269</c:v>
                </c:pt>
                <c:pt idx="2">
                  <c:v>-1.2373609157946039</c:v>
                </c:pt>
                <c:pt idx="3">
                  <c:v>-1.9363309201306227</c:v>
                </c:pt>
                <c:pt idx="4">
                  <c:v>-2.2373609157946039</c:v>
                </c:pt>
                <c:pt idx="5">
                  <c:v>-3.2373609157946039</c:v>
                </c:pt>
                <c:pt idx="6">
                  <c:v>-4.2373609157946035</c:v>
                </c:pt>
                <c:pt idx="7">
                  <c:v>-5.2373609157946035</c:v>
                </c:pt>
              </c:numCache>
            </c:numRef>
          </c:xVal>
          <c:yVal>
            <c:numRef>
              <c:f>'std curves pHILIC'!$F$168:$F$175</c:f>
              <c:numCache>
                <c:formatCode>General</c:formatCode>
                <c:ptCount val="8"/>
                <c:pt idx="0">
                  <c:v>10.475562104625938</c:v>
                </c:pt>
                <c:pt idx="1">
                  <c:v>10.08300557260706</c:v>
                </c:pt>
                <c:pt idx="2">
                  <c:v>9.8596941990467037</c:v>
                </c:pt>
                <c:pt idx="3">
                  <c:v>9.2344864793281438</c:v>
                </c:pt>
                <c:pt idx="4">
                  <c:v>8.9318533940034222</c:v>
                </c:pt>
                <c:pt idx="5">
                  <c:v>7.8832290384938064</c:v>
                </c:pt>
                <c:pt idx="6">
                  <c:v>6.826060981527915</c:v>
                </c:pt>
                <c:pt idx="7">
                  <c:v>5.7940121040188375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3456"/>
        <c:axId val="110724992"/>
      </c:scatterChart>
      <c:valAx>
        <c:axId val="1107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24992"/>
        <c:crosses val="autoZero"/>
        <c:crossBetween val="midCat"/>
      </c:valAx>
      <c:valAx>
        <c:axId val="11072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723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Ser</a:t>
            </a:r>
          </a:p>
        </c:rich>
      </c:tx>
      <c:layout>
        <c:manualLayout>
          <c:xMode val="edge"/>
          <c:yMode val="edge"/>
          <c:x val="3.6044142990462158E-2"/>
          <c:y val="3.734826165898037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937840550549512"/>
                  <c:y val="0.3794312830215979"/>
                </c:manualLayout>
              </c:layout>
              <c:numFmt formatCode="General" sourceLinked="0"/>
            </c:trendlineLbl>
          </c:trendline>
          <c:xVal>
            <c:numRef>
              <c:f>'std curves pHILIC'!$E$155:$E$161</c:f>
              <c:numCache>
                <c:formatCode>General</c:formatCode>
                <c:ptCount val="7"/>
                <c:pt idx="0">
                  <c:v>-0.4336555609385721</c:v>
                </c:pt>
                <c:pt idx="1">
                  <c:v>-1.1326255652745909</c:v>
                </c:pt>
                <c:pt idx="2">
                  <c:v>-1.4336555609385722</c:v>
                </c:pt>
                <c:pt idx="3">
                  <c:v>-2.1326255652745907</c:v>
                </c:pt>
                <c:pt idx="4">
                  <c:v>-2.4336555609385719</c:v>
                </c:pt>
                <c:pt idx="5">
                  <c:v>-3.4336555609385719</c:v>
                </c:pt>
                <c:pt idx="6">
                  <c:v>-4.4336555609385719</c:v>
                </c:pt>
              </c:numCache>
            </c:numRef>
          </c:xVal>
          <c:yVal>
            <c:numRef>
              <c:f>'std curves pHILIC'!$F$155:$F$161</c:f>
              <c:numCache>
                <c:formatCode>General</c:formatCode>
                <c:ptCount val="7"/>
                <c:pt idx="0">
                  <c:v>9.7155417251217653</c:v>
                </c:pt>
                <c:pt idx="1">
                  <c:v>9.2115523861373116</c:v>
                </c:pt>
                <c:pt idx="2">
                  <c:v>8.9637516328073445</c:v>
                </c:pt>
                <c:pt idx="3">
                  <c:v>8.3190707534020785</c:v>
                </c:pt>
                <c:pt idx="4">
                  <c:v>8.0426846667004526</c:v>
                </c:pt>
                <c:pt idx="5">
                  <c:v>6.9635225332257829</c:v>
                </c:pt>
                <c:pt idx="6">
                  <c:v>5.8582085841386391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9952"/>
        <c:axId val="110821376"/>
      </c:scatterChart>
      <c:valAx>
        <c:axId val="110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21376"/>
        <c:crosses val="autoZero"/>
        <c:crossBetween val="midCat"/>
      </c:valAx>
      <c:valAx>
        <c:axId val="11082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749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Gly</a:t>
            </a:r>
          </a:p>
        </c:rich>
      </c:tx>
      <c:layout>
        <c:manualLayout>
          <c:xMode val="edge"/>
          <c:yMode val="edge"/>
          <c:x val="2.8124272128010049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51890152014749"/>
                  <c:y val="0.38409246370895883"/>
                </c:manualLayout>
              </c:layout>
              <c:numFmt formatCode="General" sourceLinked="0"/>
            </c:trendlineLbl>
          </c:trendline>
          <c:xVal>
            <c:numRef>
              <c:f>'std curves pHILIC'!$E$142:$E$148</c:f>
              <c:numCache>
                <c:formatCode>General</c:formatCode>
                <c:ptCount val="7"/>
                <c:pt idx="0">
                  <c:v>-0.16481024864599217</c:v>
                </c:pt>
                <c:pt idx="1">
                  <c:v>-0.863780252982011</c:v>
                </c:pt>
                <c:pt idx="2">
                  <c:v>-1.1648102486459921</c:v>
                </c:pt>
                <c:pt idx="3">
                  <c:v>-1.8637802529820109</c:v>
                </c:pt>
                <c:pt idx="4">
                  <c:v>-2.1648102486459924</c:v>
                </c:pt>
                <c:pt idx="5">
                  <c:v>-3.1648102486459924</c:v>
                </c:pt>
                <c:pt idx="6">
                  <c:v>-4.1648102486459919</c:v>
                </c:pt>
              </c:numCache>
            </c:numRef>
          </c:xVal>
          <c:yVal>
            <c:numRef>
              <c:f>'std curves pHILIC'!$F$142:$F$148</c:f>
              <c:numCache>
                <c:formatCode>General</c:formatCode>
                <c:ptCount val="7"/>
                <c:pt idx="0">
                  <c:v>9.5503872089701431</c:v>
                </c:pt>
                <c:pt idx="1">
                  <c:v>9.0953592840425586</c:v>
                </c:pt>
                <c:pt idx="2">
                  <c:v>8.8573685764026795</c:v>
                </c:pt>
                <c:pt idx="3">
                  <c:v>8.2618506823369309</c:v>
                </c:pt>
                <c:pt idx="4">
                  <c:v>7.9861268116075328</c:v>
                </c:pt>
                <c:pt idx="5">
                  <c:v>6.9633568316305698</c:v>
                </c:pt>
                <c:pt idx="6">
                  <c:v>5.9173569650429432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6336"/>
        <c:axId val="110847872"/>
      </c:scatterChart>
      <c:valAx>
        <c:axId val="110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47872"/>
        <c:crosses val="autoZero"/>
        <c:crossBetween val="midCat"/>
      </c:valAx>
      <c:valAx>
        <c:axId val="110847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46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Asn</a:t>
            </a:r>
          </a:p>
        </c:rich>
      </c:tx>
      <c:layout>
        <c:manualLayout>
          <c:xMode val="edge"/>
          <c:yMode val="edge"/>
          <c:x val="2.46127593183979E-2"/>
          <c:y val="4.84848484848484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3222252467398353E-2"/>
                  <c:y val="0.3585433119262115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'std curves pHILIC'!$E$131:$E$136</c:f>
              <c:numCache>
                <c:formatCode>General</c:formatCode>
                <c:ptCount val="6"/>
                <c:pt idx="0">
                  <c:v>-1.1995723549052042</c:v>
                </c:pt>
                <c:pt idx="1">
                  <c:v>-1.5006023505691852</c:v>
                </c:pt>
                <c:pt idx="2">
                  <c:v>-2.1995723549052042</c:v>
                </c:pt>
                <c:pt idx="3">
                  <c:v>-2.5006023505691855</c:v>
                </c:pt>
                <c:pt idx="4">
                  <c:v>-3.5006023505691855</c:v>
                </c:pt>
                <c:pt idx="5">
                  <c:v>-4.500602350569185</c:v>
                </c:pt>
              </c:numCache>
            </c:numRef>
          </c:xVal>
          <c:yVal>
            <c:numRef>
              <c:f>'std curves pHILIC'!$F$131:$F$136</c:f>
              <c:numCache>
                <c:formatCode>General</c:formatCode>
                <c:ptCount val="6"/>
                <c:pt idx="0">
                  <c:v>9.3526642707152483</c:v>
                </c:pt>
                <c:pt idx="1">
                  <c:v>9.1248699475971105</c:v>
                </c:pt>
                <c:pt idx="2">
                  <c:v>8.5610680461292485</c:v>
                </c:pt>
                <c:pt idx="3">
                  <c:v>8.3215512479997269</c:v>
                </c:pt>
                <c:pt idx="4">
                  <c:v>7.1740589846489682</c:v>
                </c:pt>
                <c:pt idx="5">
                  <c:v>6.0083528019123529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08"/>
        <c:axId val="110875392"/>
      </c:scatterChart>
      <c:valAx>
        <c:axId val="1108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75392"/>
        <c:crosses val="autoZero"/>
        <c:crossBetween val="midCat"/>
      </c:valAx>
      <c:valAx>
        <c:axId val="11087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865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Gln</a:t>
            </a:r>
          </a:p>
        </c:rich>
      </c:tx>
      <c:layout>
        <c:manualLayout>
          <c:xMode val="edge"/>
          <c:yMode val="edge"/>
          <c:x val="7.9603432733948765E-2"/>
          <c:y val="5.22875663225725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261495115715861"/>
                  <c:y val="0.33772650838453772"/>
                </c:manualLayout>
              </c:layout>
              <c:numFmt formatCode="General" sourceLinked="0"/>
            </c:trendlineLbl>
          </c:trendline>
          <c:xVal>
            <c:numRef>
              <c:f>'std curves pHILIC'!$E$117:$E$122</c:f>
              <c:numCache>
                <c:formatCode>General</c:formatCode>
                <c:ptCount val="6"/>
                <c:pt idx="0">
                  <c:v>-1.2787536009528291</c:v>
                </c:pt>
                <c:pt idx="1">
                  <c:v>-1.5797835966168101</c:v>
                </c:pt>
                <c:pt idx="2">
                  <c:v>-2.2787536009528289</c:v>
                </c:pt>
                <c:pt idx="3">
                  <c:v>-2.5797835966168101</c:v>
                </c:pt>
                <c:pt idx="4">
                  <c:v>-3.5797835966168101</c:v>
                </c:pt>
                <c:pt idx="5">
                  <c:v>-4.5797835966168101</c:v>
                </c:pt>
              </c:numCache>
            </c:numRef>
          </c:xVal>
          <c:yVal>
            <c:numRef>
              <c:f>'std curves pHILIC'!$F$117:$F$122</c:f>
              <c:numCache>
                <c:formatCode>General</c:formatCode>
                <c:ptCount val="6"/>
                <c:pt idx="0">
                  <c:v>9.4657823031199495</c:v>
                </c:pt>
                <c:pt idx="1">
                  <c:v>9.2408352465496773</c:v>
                </c:pt>
                <c:pt idx="2">
                  <c:v>8.6655312944323253</c:v>
                </c:pt>
                <c:pt idx="3">
                  <c:v>8.3979556399650317</c:v>
                </c:pt>
                <c:pt idx="4">
                  <c:v>7.3073746213918964</c:v>
                </c:pt>
                <c:pt idx="5">
                  <c:v>6.1579238349333663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2656"/>
        <c:axId val="112024192"/>
      </c:scatterChart>
      <c:valAx>
        <c:axId val="1120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24192"/>
        <c:crosses val="autoZero"/>
        <c:crossBetween val="midCat"/>
      </c:valAx>
      <c:valAx>
        <c:axId val="11202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2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Ala</a:t>
            </a:r>
          </a:p>
        </c:rich>
      </c:tx>
      <c:layout>
        <c:manualLayout>
          <c:xMode val="edge"/>
          <c:yMode val="edge"/>
          <c:x val="7.1683561871496659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511786732220748"/>
                  <c:y val="0.30625574560363905"/>
                </c:manualLayout>
              </c:layout>
              <c:numFmt formatCode="General" sourceLinked="0"/>
            </c:trendlineLbl>
          </c:trendline>
          <c:xVal>
            <c:numRef>
              <c:f>'std curves pHILIC'!$E$102:$E$107</c:f>
              <c:numCache>
                <c:formatCode>General</c:formatCode>
                <c:ptCount val="6"/>
                <c:pt idx="0">
                  <c:v>-0.4336555609385721</c:v>
                </c:pt>
                <c:pt idx="1">
                  <c:v>-1.1326255652745909</c:v>
                </c:pt>
                <c:pt idx="2">
                  <c:v>-1.4336555609385722</c:v>
                </c:pt>
                <c:pt idx="3">
                  <c:v>-2.1326255652745907</c:v>
                </c:pt>
                <c:pt idx="4">
                  <c:v>-2.4336555609385719</c:v>
                </c:pt>
                <c:pt idx="5">
                  <c:v>-3.4336555609385719</c:v>
                </c:pt>
              </c:numCache>
            </c:numRef>
          </c:xVal>
          <c:yVal>
            <c:numRef>
              <c:f>'std curves pHILIC'!$F$102:$F$107</c:f>
              <c:numCache>
                <c:formatCode>General</c:formatCode>
                <c:ptCount val="6"/>
                <c:pt idx="0">
                  <c:v>10.051486171820128</c:v>
                </c:pt>
                <c:pt idx="1">
                  <c:v>9.7578928750006195</c:v>
                </c:pt>
                <c:pt idx="2">
                  <c:v>9.5898255806159387</c:v>
                </c:pt>
                <c:pt idx="3">
                  <c:v>9.1430435658547236</c:v>
                </c:pt>
                <c:pt idx="4">
                  <c:v>8.8777563487303048</c:v>
                </c:pt>
                <c:pt idx="5">
                  <c:v>7.7820931554652626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5056"/>
        <c:axId val="112063232"/>
      </c:scatterChart>
      <c:valAx>
        <c:axId val="112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63232"/>
        <c:crosses val="autoZero"/>
        <c:crossBetween val="midCat"/>
      </c:valAx>
      <c:valAx>
        <c:axId val="11206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45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6860455607530312E-2"/>
                  <c:y val="-6.9675633703099391E-4"/>
                </c:manualLayout>
              </c:layout>
              <c:numFmt formatCode="General" sourceLinked="0"/>
            </c:trendlineLbl>
          </c:trendline>
          <c:xVal>
            <c:numRef>
              <c:f>'std curves HILIC'!$L$103:$L$105</c:f>
              <c:numCache>
                <c:formatCode>General</c:formatCode>
                <c:ptCount val="3"/>
                <c:pt idx="0">
                  <c:v>6.666666666666668E-2</c:v>
                </c:pt>
                <c:pt idx="1">
                  <c:v>6.666666666666668E-3</c:v>
                </c:pt>
                <c:pt idx="2">
                  <c:v>6.6666666666666675E-4</c:v>
                </c:pt>
              </c:numCache>
            </c:numRef>
          </c:xVal>
          <c:yVal>
            <c:numRef>
              <c:f>'std curves HILIC'!$M$103:$M$105</c:f>
              <c:numCache>
                <c:formatCode>0</c:formatCode>
                <c:ptCount val="3"/>
                <c:pt idx="0">
                  <c:v>4623249342.4506102</c:v>
                </c:pt>
                <c:pt idx="1">
                  <c:v>789077189.62020898</c:v>
                </c:pt>
                <c:pt idx="2">
                  <c:v>64879809.630662397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0560"/>
        <c:axId val="103332096"/>
      </c:scatterChart>
      <c:valAx>
        <c:axId val="103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32096"/>
        <c:crosses val="autoZero"/>
        <c:crossBetween val="midCat"/>
      </c:valAx>
      <c:valAx>
        <c:axId val="10333209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3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Tyr</a:t>
            </a:r>
          </a:p>
        </c:rich>
      </c:tx>
      <c:layout>
        <c:manualLayout>
          <c:xMode val="edge"/>
          <c:yMode val="edge"/>
          <c:x val="3.6044142990462158E-2"/>
          <c:y val="5.97572186543686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050112515173255"/>
                  <c:y val="0.341698951837211"/>
                </c:manualLayout>
              </c:layout>
              <c:numFmt formatCode="General" sourceLinked="0"/>
            </c:trendlineLbl>
          </c:trendline>
          <c:xVal>
            <c:numRef>
              <c:f>'std curves pHILIC'!$E$93:$E$96</c:f>
              <c:numCache>
                <c:formatCode>General</c:formatCode>
                <c:ptCount val="4"/>
                <c:pt idx="0">
                  <c:v>-1.1079053973095196</c:v>
                </c:pt>
                <c:pt idx="1">
                  <c:v>-2.1079053973095196</c:v>
                </c:pt>
                <c:pt idx="2">
                  <c:v>-3.1079053973095196</c:v>
                </c:pt>
                <c:pt idx="3">
                  <c:v>-4.1079053973095192</c:v>
                </c:pt>
              </c:numCache>
            </c:numRef>
          </c:xVal>
          <c:yVal>
            <c:numRef>
              <c:f>'std curves pHILIC'!$F$93:$F$96</c:f>
              <c:numCache>
                <c:formatCode>General</c:formatCode>
                <c:ptCount val="4"/>
                <c:pt idx="0">
                  <c:v>10.280770709157069</c:v>
                </c:pt>
                <c:pt idx="1">
                  <c:v>9.2894924778535071</c:v>
                </c:pt>
                <c:pt idx="2">
                  <c:v>8.2144441878215329</c:v>
                </c:pt>
                <c:pt idx="3">
                  <c:v>7.1275434757787375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2768"/>
        <c:axId val="112114304"/>
      </c:scatterChart>
      <c:valAx>
        <c:axId val="1121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14304"/>
        <c:crosses val="autoZero"/>
        <c:crossBetween val="midCat"/>
      </c:valAx>
      <c:valAx>
        <c:axId val="11211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112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</a:t>
            </a:r>
          </a:p>
        </c:rich>
      </c:tx>
      <c:layout>
        <c:manualLayout>
          <c:xMode val="edge"/>
          <c:yMode val="edge"/>
          <c:x val="6.376369100904454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300581549257701"/>
                  <c:y val="0.33422929950541491"/>
                </c:manualLayout>
              </c:layout>
              <c:numFmt formatCode="General" sourceLinked="0"/>
            </c:trendlineLbl>
          </c:trendline>
          <c:xVal>
            <c:numRef>
              <c:f>'std curves pHILIC'!$E$83:$E$87</c:f>
              <c:numCache>
                <c:formatCode>General</c:formatCode>
                <c:ptCount val="5"/>
                <c:pt idx="0">
                  <c:v>-2.2787536009528289</c:v>
                </c:pt>
                <c:pt idx="1">
                  <c:v>-2.5797835966168101</c:v>
                </c:pt>
                <c:pt idx="2">
                  <c:v>-3.5797835966168101</c:v>
                </c:pt>
                <c:pt idx="3">
                  <c:v>-4.5797835966168101</c:v>
                </c:pt>
                <c:pt idx="4">
                  <c:v>-5.5797835966168101</c:v>
                </c:pt>
              </c:numCache>
            </c:numRef>
          </c:xVal>
          <c:yVal>
            <c:numRef>
              <c:f>'std curves pHILIC'!$F$83:$F$87</c:f>
              <c:numCache>
                <c:formatCode>General</c:formatCode>
                <c:ptCount val="5"/>
                <c:pt idx="0">
                  <c:v>10.306782186432947</c:v>
                </c:pt>
                <c:pt idx="1">
                  <c:v>10.078685144205544</c:v>
                </c:pt>
                <c:pt idx="2">
                  <c:v>9.1737732085735466</c:v>
                </c:pt>
                <c:pt idx="3">
                  <c:v>8.1093724693439224</c:v>
                </c:pt>
                <c:pt idx="4">
                  <c:v>7.0392531869247623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1072"/>
        <c:axId val="114373376"/>
      </c:scatterChart>
      <c:valAx>
        <c:axId val="1121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73376"/>
        <c:crosses val="autoZero"/>
        <c:crossBetween val="midCat"/>
      </c:valAx>
      <c:valAx>
        <c:axId val="11437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131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Try</a:t>
            </a:r>
          </a:p>
        </c:rich>
      </c:tx>
      <c:layout>
        <c:manualLayout>
          <c:xMode val="edge"/>
          <c:yMode val="edge"/>
          <c:x val="7.9603432733948765E-2"/>
          <c:y val="7.469652331796075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97510510198702"/>
                  <c:y val="0.41083087824878411"/>
                </c:manualLayout>
              </c:layout>
              <c:numFmt formatCode="General" sourceLinked="0"/>
            </c:trendlineLbl>
          </c:trendline>
          <c:xVal>
            <c:numRef>
              <c:f>'std curves pHILIC'!$E$68:$E$74</c:f>
              <c:numCache>
                <c:formatCode>General</c:formatCode>
                <c:ptCount val="7"/>
                <c:pt idx="0">
                  <c:v>-1.3756636139608853</c:v>
                </c:pt>
                <c:pt idx="1">
                  <c:v>-1.6766936096248666</c:v>
                </c:pt>
                <c:pt idx="2">
                  <c:v>-2.3756636139608851</c:v>
                </c:pt>
                <c:pt idx="3">
                  <c:v>-2.6766936096248664</c:v>
                </c:pt>
                <c:pt idx="4">
                  <c:v>-3.6766936096248664</c:v>
                </c:pt>
                <c:pt idx="5">
                  <c:v>-4.6766936096248664</c:v>
                </c:pt>
                <c:pt idx="6">
                  <c:v>-5.6766936096248664</c:v>
                </c:pt>
              </c:numCache>
            </c:numRef>
          </c:xVal>
          <c:yVal>
            <c:numRef>
              <c:f>'std curves pHILIC'!$F$68:$F$74</c:f>
              <c:numCache>
                <c:formatCode>General</c:formatCode>
                <c:ptCount val="7"/>
                <c:pt idx="0">
                  <c:v>10.002731537904426</c:v>
                </c:pt>
                <c:pt idx="1">
                  <c:v>9.8375548746920334</c:v>
                </c:pt>
                <c:pt idx="2">
                  <c:v>9.3581643125814242</c:v>
                </c:pt>
                <c:pt idx="3">
                  <c:v>9.0965659658435492</c:v>
                </c:pt>
                <c:pt idx="4">
                  <c:v>7.8779381732586788</c:v>
                </c:pt>
                <c:pt idx="5">
                  <c:v>6.7477212865135989</c:v>
                </c:pt>
                <c:pt idx="6">
                  <c:v>5.6508719937934275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240"/>
        <c:axId val="114395776"/>
      </c:scatterChart>
      <c:valAx>
        <c:axId val="114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95776"/>
        <c:crosses val="autoZero"/>
        <c:crossBetween val="midCat"/>
      </c:valAx>
      <c:valAx>
        <c:axId val="11439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39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Met</a:t>
            </a:r>
          </a:p>
        </c:rich>
      </c:tx>
      <c:layout>
        <c:manualLayout>
          <c:xMode val="edge"/>
          <c:yMode val="edge"/>
          <c:x val="4.7923949284140337E-2"/>
          <c:y val="8.96358279815528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36140584567538"/>
                  <c:y val="0.32468755385354658"/>
                </c:manualLayout>
              </c:layout>
              <c:numFmt formatCode="General" sourceLinked="0"/>
            </c:trendlineLbl>
          </c:trendline>
          <c:xVal>
            <c:numRef>
              <c:f>'std curves pHILIC'!$E$56:$E$61</c:f>
              <c:numCache>
                <c:formatCode>General</c:formatCode>
                <c:ptCount val="6"/>
                <c:pt idx="0">
                  <c:v>-1.3756636139608853</c:v>
                </c:pt>
                <c:pt idx="1">
                  <c:v>-2.0746336182969043</c:v>
                </c:pt>
                <c:pt idx="2">
                  <c:v>-2.3756636139608851</c:v>
                </c:pt>
                <c:pt idx="3">
                  <c:v>-3.3756636139608851</c:v>
                </c:pt>
                <c:pt idx="4">
                  <c:v>-4.3756636139608851</c:v>
                </c:pt>
                <c:pt idx="5">
                  <c:v>-5.3756636139608851</c:v>
                </c:pt>
              </c:numCache>
            </c:numRef>
          </c:xVal>
          <c:yVal>
            <c:numRef>
              <c:f>'std curves pHILIC'!$F$56:$F$61</c:f>
              <c:numCache>
                <c:formatCode>General</c:formatCode>
                <c:ptCount val="6"/>
                <c:pt idx="0">
                  <c:v>10.293450495004894</c:v>
                </c:pt>
                <c:pt idx="1">
                  <c:v>9.9293745660728483</c:v>
                </c:pt>
                <c:pt idx="2">
                  <c:v>9.7083832511793471</c:v>
                </c:pt>
                <c:pt idx="3">
                  <c:v>8.6528339302686472</c:v>
                </c:pt>
                <c:pt idx="4">
                  <c:v>7.5528250892921704</c:v>
                </c:pt>
                <c:pt idx="5">
                  <c:v>6.458442878255048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8928"/>
        <c:axId val="114434816"/>
      </c:scatterChart>
      <c:valAx>
        <c:axId val="1144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34816"/>
        <c:crosses val="autoZero"/>
        <c:crossBetween val="midCat"/>
      </c:valAx>
      <c:valAx>
        <c:axId val="1144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28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Val</a:t>
            </a:r>
          </a:p>
        </c:rich>
      </c:tx>
      <c:layout>
        <c:manualLayout>
          <c:xMode val="edge"/>
          <c:yMode val="edge"/>
          <c:x val="9.7719981428838268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36140584567538"/>
                  <c:y val="0.32468755385354658"/>
                </c:manualLayout>
              </c:layout>
              <c:numFmt formatCode="General" sourceLinked="0"/>
            </c:trendlineLbl>
          </c:trendline>
          <c:xVal>
            <c:numRef>
              <c:f>'std curves pHILIC'!$E$42:$E$47</c:f>
              <c:numCache>
                <c:formatCode>General</c:formatCode>
                <c:ptCount val="6"/>
                <c:pt idx="0">
                  <c:v>-1.3756636139608853</c:v>
                </c:pt>
                <c:pt idx="1">
                  <c:v>-1.6766936096248666</c:v>
                </c:pt>
                <c:pt idx="2">
                  <c:v>-2.3756636139608851</c:v>
                </c:pt>
                <c:pt idx="3">
                  <c:v>-2.6766936096248664</c:v>
                </c:pt>
                <c:pt idx="4">
                  <c:v>-3.6766936096248664</c:v>
                </c:pt>
                <c:pt idx="5">
                  <c:v>-4.6766936096248664</c:v>
                </c:pt>
              </c:numCache>
            </c:numRef>
          </c:xVal>
          <c:yVal>
            <c:numRef>
              <c:f>'std curves pHILIC'!$F$42:$F$47</c:f>
              <c:numCache>
                <c:formatCode>General</c:formatCode>
                <c:ptCount val="6"/>
                <c:pt idx="0">
                  <c:v>10.220260536773697</c:v>
                </c:pt>
                <c:pt idx="1">
                  <c:v>10.027861939132253</c:v>
                </c:pt>
                <c:pt idx="2">
                  <c:v>9.5867750437820636</c:v>
                </c:pt>
                <c:pt idx="3">
                  <c:v>9.3344186409862644</c:v>
                </c:pt>
                <c:pt idx="4">
                  <c:v>8.3718203193206051</c:v>
                </c:pt>
                <c:pt idx="5">
                  <c:v>7.6228095791805792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3872"/>
        <c:axId val="114465408"/>
      </c:scatterChart>
      <c:valAx>
        <c:axId val="1144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65408"/>
        <c:crosses val="autoZero"/>
        <c:crossBetween val="midCat"/>
      </c:valAx>
      <c:valAx>
        <c:axId val="11446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6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Iso/Leu</a:t>
            </a:r>
          </a:p>
        </c:rich>
      </c:tx>
      <c:layout>
        <c:manualLayout>
          <c:xMode val="edge"/>
          <c:yMode val="edge"/>
          <c:x val="4.9254635853445146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6692913385826775E-2"/>
                  <c:y val="0.34916860416900708"/>
                </c:manualLayout>
              </c:layout>
              <c:numFmt formatCode="General" sourceLinked="0"/>
            </c:trendlineLbl>
          </c:trendline>
          <c:xVal>
            <c:numRef>
              <c:f>'std curves pHILIC'!$F$31:$F$35</c:f>
              <c:numCache>
                <c:formatCode>General</c:formatCode>
                <c:ptCount val="5"/>
                <c:pt idx="0">
                  <c:v>-1.5975123635772417</c:v>
                </c:pt>
                <c:pt idx="1">
                  <c:v>-1.8985423592412229</c:v>
                </c:pt>
                <c:pt idx="2">
                  <c:v>-2.8985423592412229</c:v>
                </c:pt>
                <c:pt idx="3">
                  <c:v>-3.8985423592412229</c:v>
                </c:pt>
                <c:pt idx="4">
                  <c:v>-4.8985423592412234</c:v>
                </c:pt>
              </c:numCache>
            </c:numRef>
          </c:xVal>
          <c:yVal>
            <c:numRef>
              <c:f>'std curves pHILIC'!$G$31:$G$35</c:f>
              <c:numCache>
                <c:formatCode>General</c:formatCode>
                <c:ptCount val="5"/>
                <c:pt idx="0">
                  <c:v>10.206684088548458</c:v>
                </c:pt>
                <c:pt idx="1">
                  <c:v>9.9719786682572771</c:v>
                </c:pt>
                <c:pt idx="2">
                  <c:v>8.9025808042217385</c:v>
                </c:pt>
                <c:pt idx="3">
                  <c:v>7.7740483521994062</c:v>
                </c:pt>
                <c:pt idx="4">
                  <c:v>6.7235904672619018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6272"/>
        <c:axId val="114766592"/>
      </c:scatterChart>
      <c:valAx>
        <c:axId val="1144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66592"/>
        <c:crosses val="autoZero"/>
        <c:crossBetween val="midCat"/>
      </c:valAx>
      <c:valAx>
        <c:axId val="11476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486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827838593346564E-2"/>
                  <c:y val="0.2744720808510463"/>
                </c:manualLayout>
              </c:layout>
              <c:numFmt formatCode="General" sourceLinked="0"/>
            </c:trendlineLbl>
          </c:trendline>
          <c:xVal>
            <c:numRef>
              <c:f>'std curves pHILIC'!$E$6:$E$11</c:f>
              <c:numCache>
                <c:formatCode>General</c:formatCode>
                <c:ptCount val="6"/>
                <c:pt idx="0">
                  <c:v>-1.5006023505691852</c:v>
                </c:pt>
                <c:pt idx="1">
                  <c:v>-2.1995723549052042</c:v>
                </c:pt>
                <c:pt idx="2">
                  <c:v>-2.5006023505691855</c:v>
                </c:pt>
                <c:pt idx="3">
                  <c:v>-3.5006023505691855</c:v>
                </c:pt>
                <c:pt idx="4">
                  <c:v>-4.500602350569185</c:v>
                </c:pt>
                <c:pt idx="5">
                  <c:v>-5.500602350569185</c:v>
                </c:pt>
              </c:numCache>
            </c:numRef>
          </c:xVal>
          <c:yVal>
            <c:numRef>
              <c:f>'std curves pHILIC'!$F$6:$F$11</c:f>
              <c:numCache>
                <c:formatCode>General</c:formatCode>
                <c:ptCount val="6"/>
                <c:pt idx="0">
                  <c:v>10.249074930156247</c:v>
                </c:pt>
                <c:pt idx="1">
                  <c:v>9.8429331099649442</c:v>
                </c:pt>
                <c:pt idx="2">
                  <c:v>9.5764994117720317</c:v>
                </c:pt>
                <c:pt idx="3">
                  <c:v>8.3959968529997937</c:v>
                </c:pt>
                <c:pt idx="4">
                  <c:v>7.2296339936351215</c:v>
                </c:pt>
                <c:pt idx="5">
                  <c:v>6.1914393500876317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7456"/>
        <c:axId val="114788992"/>
      </c:scatterChart>
      <c:valAx>
        <c:axId val="1147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88992"/>
        <c:crosses val="autoZero"/>
        <c:crossBetween val="midCat"/>
      </c:valAx>
      <c:valAx>
        <c:axId val="11478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8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Pyruvate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55605549306335"/>
                  <c:y val="0.52287566322572521"/>
                </c:manualLayout>
              </c:layout>
              <c:numFmt formatCode="General" sourceLinked="0"/>
            </c:trendlineLbl>
          </c:trendline>
          <c:xVal>
            <c:numRef>
              <c:f>'std curves pHILIC'!$N$3:$N$7</c:f>
              <c:numCache>
                <c:formatCode>General</c:formatCode>
                <c:ptCount val="5"/>
                <c:pt idx="0">
                  <c:v>-0.17609125905568118</c:v>
                </c:pt>
                <c:pt idx="1">
                  <c:v>-1.1760912590556811</c:v>
                </c:pt>
                <c:pt idx="2">
                  <c:v>-2.1760912590556813</c:v>
                </c:pt>
                <c:pt idx="3">
                  <c:v>-3.1760912590556813</c:v>
                </c:pt>
                <c:pt idx="4">
                  <c:v>-4.1760912590556813</c:v>
                </c:pt>
              </c:numCache>
            </c:numRef>
          </c:xVal>
          <c:yVal>
            <c:numRef>
              <c:f>'std curves pHILIC'!$O$3:$O$7</c:f>
              <c:numCache>
                <c:formatCode>General</c:formatCode>
                <c:ptCount val="5"/>
                <c:pt idx="0">
                  <c:v>10.125989825534667</c:v>
                </c:pt>
                <c:pt idx="1">
                  <c:v>9.240728982677739</c:v>
                </c:pt>
                <c:pt idx="2">
                  <c:v>8.2642867210412803</c:v>
                </c:pt>
                <c:pt idx="3">
                  <c:v>7.1721137559047685</c:v>
                </c:pt>
                <c:pt idx="4">
                  <c:v>6.3586780417741489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1664"/>
        <c:axId val="114574080"/>
      </c:scatterChart>
      <c:valAx>
        <c:axId val="1148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74080"/>
        <c:crosses val="autoZero"/>
        <c:crossBetween val="midCat"/>
      </c:valAx>
      <c:valAx>
        <c:axId val="11457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801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3.809848678662457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pHILIC'!$N$14:$N$19</c:f>
              <c:numCache>
                <c:formatCode>General</c:formatCode>
                <c:ptCount val="6"/>
                <c:pt idx="0">
                  <c:v>0.61978875828839397</c:v>
                </c:pt>
                <c:pt idx="1">
                  <c:v>-0.38021124171160603</c:v>
                </c:pt>
                <c:pt idx="2">
                  <c:v>-1.3802112417116059</c:v>
                </c:pt>
                <c:pt idx="3">
                  <c:v>-2.3802112417116059</c:v>
                </c:pt>
                <c:pt idx="4">
                  <c:v>-3.0791812460476247</c:v>
                </c:pt>
                <c:pt idx="5">
                  <c:v>-3.3802112417116059</c:v>
                </c:pt>
              </c:numCache>
            </c:numRef>
          </c:xVal>
          <c:yVal>
            <c:numRef>
              <c:f>'std curves pHILIC'!$O$14:$O$19</c:f>
              <c:numCache>
                <c:formatCode>General</c:formatCode>
                <c:ptCount val="6"/>
                <c:pt idx="0">
                  <c:v>11.017411355585914</c:v>
                </c:pt>
                <c:pt idx="1">
                  <c:v>10.240797610899765</c:v>
                </c:pt>
                <c:pt idx="2">
                  <c:v>9.2507940134102871</c:v>
                </c:pt>
                <c:pt idx="3">
                  <c:v>8.2435154492512357</c:v>
                </c:pt>
                <c:pt idx="4">
                  <c:v>7.4621119177137807</c:v>
                </c:pt>
                <c:pt idx="5">
                  <c:v>7.0959871151418374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9040"/>
        <c:axId val="114600576"/>
      </c:scatterChart>
      <c:valAx>
        <c:axId val="1145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00576"/>
        <c:crosses val="autoZero"/>
        <c:crossBetween val="midCat"/>
      </c:valAx>
      <c:valAx>
        <c:axId val="11460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99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Hypoxanthine</a:t>
            </a:r>
          </a:p>
        </c:rich>
      </c:tx>
      <c:layout>
        <c:manualLayout>
          <c:xMode val="edge"/>
          <c:yMode val="edge"/>
          <c:x val="5.6386765522922773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17190643140411"/>
                  <c:y val="0.41788470032872355"/>
                </c:manualLayout>
              </c:layout>
              <c:numFmt formatCode="General" sourceLinked="0"/>
            </c:trendlineLbl>
          </c:trendline>
          <c:xVal>
            <c:numRef>
              <c:f>'std curves pHILIC'!$N$28:$N$32</c:f>
              <c:numCache>
                <c:formatCode>General</c:formatCode>
                <c:ptCount val="5"/>
                <c:pt idx="0">
                  <c:v>-1.127843727251707</c:v>
                </c:pt>
                <c:pt idx="1">
                  <c:v>-2.1278437272517072</c:v>
                </c:pt>
                <c:pt idx="2">
                  <c:v>-2.826813731587726</c:v>
                </c:pt>
                <c:pt idx="3">
                  <c:v>-3.1278437272517072</c:v>
                </c:pt>
                <c:pt idx="4">
                  <c:v>-4.1278437272517072</c:v>
                </c:pt>
              </c:numCache>
            </c:numRef>
          </c:xVal>
          <c:yVal>
            <c:numRef>
              <c:f>'std curves pHILIC'!$O$28:$O$32</c:f>
              <c:numCache>
                <c:formatCode>General</c:formatCode>
                <c:ptCount val="5"/>
                <c:pt idx="0">
                  <c:v>9.9514584408800921</c:v>
                </c:pt>
                <c:pt idx="1">
                  <c:v>9.1561765110641051</c:v>
                </c:pt>
                <c:pt idx="2">
                  <c:v>8.4694816625779534</c:v>
                </c:pt>
                <c:pt idx="3">
                  <c:v>8.2139304828535042</c:v>
                </c:pt>
                <c:pt idx="4">
                  <c:v>7.1922278853732848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4112"/>
        <c:axId val="114640000"/>
      </c:scatterChart>
      <c:valAx>
        <c:axId val="1146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40000"/>
        <c:crosses val="autoZero"/>
        <c:crossBetween val="midCat"/>
      </c:valAx>
      <c:valAx>
        <c:axId val="11464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34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87630237357358"/>
          <c:y val="5.0280339193640278E-2"/>
          <c:w val="0.7671990376202975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57469098962415"/>
                  <c:y val="8.1188695200734642E-3"/>
                </c:manualLayout>
              </c:layout>
              <c:numFmt formatCode="General" sourceLinked="0"/>
            </c:trendlineLbl>
          </c:trendline>
          <c:xVal>
            <c:numRef>
              <c:f>'std curves HILIC'!$U$104:$U$107</c:f>
              <c:numCache>
                <c:formatCode>General</c:formatCode>
                <c:ptCount val="4"/>
                <c:pt idx="0">
                  <c:v>9.1666666666666667E-3</c:v>
                </c:pt>
                <c:pt idx="1">
                  <c:v>9.1666666666666665E-4</c:v>
                </c:pt>
                <c:pt idx="2">
                  <c:v>1.8333333333333334E-4</c:v>
                </c:pt>
                <c:pt idx="3">
                  <c:v>9.1666666666666668E-5</c:v>
                </c:pt>
              </c:numCache>
            </c:numRef>
          </c:xVal>
          <c:yVal>
            <c:numRef>
              <c:f>'std curves HILIC'!$V$104:$V$107</c:f>
              <c:numCache>
                <c:formatCode>0.00E+00</c:formatCode>
                <c:ptCount val="4"/>
                <c:pt idx="0">
                  <c:v>553283483.88264704</c:v>
                </c:pt>
                <c:pt idx="1">
                  <c:v>48673489.734755203</c:v>
                </c:pt>
                <c:pt idx="2">
                  <c:v>9747338.6043949798</c:v>
                </c:pt>
                <c:pt idx="3">
                  <c:v>4135872.0995736802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6176"/>
        <c:axId val="103752064"/>
      </c:scatterChart>
      <c:valAx>
        <c:axId val="1037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52064"/>
        <c:crosses val="autoZero"/>
        <c:crossBetween val="midCat"/>
      </c:valAx>
      <c:valAx>
        <c:axId val="103752064"/>
        <c:scaling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crossAx val="10374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Glucose-Cl-</a:t>
            </a:r>
          </a:p>
        </c:rich>
      </c:tx>
      <c:layout>
        <c:manualLayout>
          <c:xMode val="edge"/>
          <c:yMode val="edge"/>
          <c:x val="3.968350671494531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503595587136973"/>
                  <c:y val="0.41604904797222464"/>
                </c:manualLayout>
              </c:layout>
              <c:numFmt formatCode="General" sourceLinked="0"/>
            </c:trendlineLbl>
          </c:trendline>
          <c:xVal>
            <c:numRef>
              <c:f>'std curves pHILIC'!$N$39:$N$43</c:f>
              <c:numCache>
                <c:formatCode>General</c:formatCode>
                <c:ptCount val="5"/>
                <c:pt idx="0">
                  <c:v>-0.12784372725170709</c:v>
                </c:pt>
                <c:pt idx="1">
                  <c:v>-1.127843727251707</c:v>
                </c:pt>
                <c:pt idx="2">
                  <c:v>-2.1278437272517072</c:v>
                </c:pt>
                <c:pt idx="3">
                  <c:v>-2.826813731587726</c:v>
                </c:pt>
                <c:pt idx="4">
                  <c:v>-3.1278437272517072</c:v>
                </c:pt>
              </c:numCache>
            </c:numRef>
          </c:xVal>
          <c:yVal>
            <c:numRef>
              <c:f>'std curves pHILIC'!$O$39:$O$43</c:f>
              <c:numCache>
                <c:formatCode>General</c:formatCode>
                <c:ptCount val="5"/>
                <c:pt idx="0">
                  <c:v>9.622803268243592</c:v>
                </c:pt>
                <c:pt idx="1">
                  <c:v>8.6963414468032489</c:v>
                </c:pt>
                <c:pt idx="2">
                  <c:v>7.4926816096895932</c:v>
                </c:pt>
                <c:pt idx="3">
                  <c:v>6.4242963024516042</c:v>
                </c:pt>
                <c:pt idx="4">
                  <c:v>6.0963712707584143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9056"/>
        <c:axId val="114670592"/>
      </c:scatterChart>
      <c:valAx>
        <c:axId val="114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70592"/>
        <c:crosses val="autoZero"/>
        <c:crossBetween val="midCat"/>
      </c:valAx>
      <c:valAx>
        <c:axId val="11467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6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Malate</a:t>
            </a:r>
          </a:p>
        </c:rich>
      </c:tx>
      <c:layout>
        <c:manualLayout>
          <c:xMode val="edge"/>
          <c:yMode val="edge"/>
          <c:x val="3.3757289429730372E-2"/>
          <c:y val="4.48179139907764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pHILIC'!$N$62:$N$67</c:f>
              <c:numCache>
                <c:formatCode>General</c:formatCode>
                <c:ptCount val="6"/>
                <c:pt idx="0">
                  <c:v>-0.71556926615548055</c:v>
                </c:pt>
                <c:pt idx="1">
                  <c:v>-1.7155692661554804</c:v>
                </c:pt>
                <c:pt idx="2">
                  <c:v>-2.7155692661554807</c:v>
                </c:pt>
                <c:pt idx="3">
                  <c:v>-3.4145392704914994</c:v>
                </c:pt>
                <c:pt idx="4">
                  <c:v>-3.7155692661554807</c:v>
                </c:pt>
                <c:pt idx="5">
                  <c:v>-4.7155692661554802</c:v>
                </c:pt>
              </c:numCache>
            </c:numRef>
          </c:xVal>
          <c:yVal>
            <c:numRef>
              <c:f>'std curves pHILIC'!$O$62:$O$67</c:f>
              <c:numCache>
                <c:formatCode>General</c:formatCode>
                <c:ptCount val="6"/>
                <c:pt idx="0">
                  <c:v>10.876302721623746</c:v>
                </c:pt>
                <c:pt idx="1">
                  <c:v>10.229701565793764</c:v>
                </c:pt>
                <c:pt idx="2">
                  <c:v>9.2643331287107795</c:v>
                </c:pt>
                <c:pt idx="3">
                  <c:v>8.4776503184942626</c:v>
                </c:pt>
                <c:pt idx="4">
                  <c:v>8.2237467290675603</c:v>
                </c:pt>
                <c:pt idx="5">
                  <c:v>7.13951609477754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9648"/>
        <c:axId val="114705536"/>
      </c:scatterChart>
      <c:valAx>
        <c:axId val="1146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05536"/>
        <c:crosses val="autoZero"/>
        <c:crossBetween val="midCat"/>
      </c:valAx>
      <c:valAx>
        <c:axId val="11470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699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Succinate</a:t>
            </a:r>
          </a:p>
        </c:rich>
      </c:tx>
      <c:layout>
        <c:manualLayout>
          <c:xMode val="edge"/>
          <c:yMode val="edge"/>
          <c:x val="4.1937140528914035E-2"/>
          <c:y val="5.975721865436860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253588788766027"/>
                  <c:y val="0.38878834593077455"/>
                </c:manualLayout>
              </c:layout>
              <c:numFmt formatCode="General" sourceLinked="0"/>
            </c:trendlineLbl>
          </c:trendline>
          <c:xVal>
            <c:numRef>
              <c:f>'std curves pHILIC'!$N$73:$N$79</c:f>
              <c:numCache>
                <c:formatCode>General</c:formatCode>
                <c:ptCount val="7"/>
                <c:pt idx="0">
                  <c:v>0.41497334797081797</c:v>
                </c:pt>
                <c:pt idx="1">
                  <c:v>-0.58502665202918203</c:v>
                </c:pt>
                <c:pt idx="2">
                  <c:v>-1.585026652029182</c:v>
                </c:pt>
                <c:pt idx="3">
                  <c:v>-2.5850266520291818</c:v>
                </c:pt>
                <c:pt idx="4">
                  <c:v>-3.283996656365201</c:v>
                </c:pt>
                <c:pt idx="5">
                  <c:v>-3.5850266520291818</c:v>
                </c:pt>
                <c:pt idx="6">
                  <c:v>-4.5850266520291818</c:v>
                </c:pt>
              </c:numCache>
            </c:numRef>
          </c:xVal>
          <c:yVal>
            <c:numRef>
              <c:f>'std curves pHILIC'!$O$73:$O$79</c:f>
              <c:numCache>
                <c:formatCode>General</c:formatCode>
                <c:ptCount val="7"/>
                <c:pt idx="0">
                  <c:v>11.425003447157675</c:v>
                </c:pt>
                <c:pt idx="1">
                  <c:v>10.642386402892729</c:v>
                </c:pt>
                <c:pt idx="2">
                  <c:v>9.8160033477752453</c:v>
                </c:pt>
                <c:pt idx="3">
                  <c:v>8.8528772602323613</c:v>
                </c:pt>
                <c:pt idx="4">
                  <c:v>8.0713339390097047</c:v>
                </c:pt>
                <c:pt idx="5">
                  <c:v>7.8247975481601983</c:v>
                </c:pt>
                <c:pt idx="6">
                  <c:v>6.7378445012535249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4592"/>
        <c:axId val="114736128"/>
      </c:scatterChart>
      <c:valAx>
        <c:axId val="1147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36128"/>
        <c:crosses val="autoZero"/>
        <c:crossBetween val="midCat"/>
      </c:valAx>
      <c:valAx>
        <c:axId val="11473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3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aKG</a:t>
            </a:r>
          </a:p>
        </c:rich>
      </c:tx>
      <c:layout>
        <c:manualLayout>
          <c:xMode val="edge"/>
          <c:yMode val="edge"/>
          <c:x val="4.487644599980558E-2"/>
          <c:y val="3.73482616589803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432623699815301"/>
                  <c:y val="0.42001031635448027"/>
                </c:manualLayout>
              </c:layout>
              <c:numFmt formatCode="General" sourceLinked="0"/>
            </c:trendlineLbl>
          </c:trendline>
          <c:xVal>
            <c:numRef>
              <c:f>'std curves pHILIC'!$N$86:$N$90</c:f>
              <c:numCache>
                <c:formatCode>General</c:formatCode>
                <c:ptCount val="5"/>
                <c:pt idx="0">
                  <c:v>-1.7981478787998972</c:v>
                </c:pt>
                <c:pt idx="1">
                  <c:v>-2.798147878799897</c:v>
                </c:pt>
                <c:pt idx="2">
                  <c:v>-3.4971178831359162</c:v>
                </c:pt>
                <c:pt idx="3">
                  <c:v>-3.798147878799897</c:v>
                </c:pt>
                <c:pt idx="4">
                  <c:v>-4.798147878799897</c:v>
                </c:pt>
              </c:numCache>
            </c:numRef>
          </c:xVal>
          <c:yVal>
            <c:numRef>
              <c:f>'std curves pHILIC'!$O$86:$O$90</c:f>
              <c:numCache>
                <c:formatCode>General</c:formatCode>
                <c:ptCount val="5"/>
                <c:pt idx="0">
                  <c:v>9.7755657663688496</c:v>
                </c:pt>
                <c:pt idx="1">
                  <c:v>8.8358642865657284</c:v>
                </c:pt>
                <c:pt idx="2">
                  <c:v>8.0228483973037541</c:v>
                </c:pt>
                <c:pt idx="3">
                  <c:v>7.7821679600830826</c:v>
                </c:pt>
                <c:pt idx="4">
                  <c:v>6.6694654327081757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4320"/>
        <c:axId val="115159808"/>
      </c:scatterChart>
      <c:valAx>
        <c:axId val="1147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59808"/>
        <c:crosses val="autoZero"/>
        <c:crossBetween val="midCat"/>
      </c:valAx>
      <c:valAx>
        <c:axId val="11515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744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Fumarate</a:t>
            </a:r>
          </a:p>
        </c:rich>
      </c:tx>
      <c:layout>
        <c:manualLayout>
          <c:xMode val="edge"/>
          <c:yMode val="edge"/>
          <c:x val="5.8026864289022699E-2"/>
          <c:y val="6.7226870986164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10776594102205"/>
                  <c:y val="0.37348261658980375"/>
                </c:manualLayout>
              </c:layout>
              <c:numFmt formatCode="General" sourceLinked="0"/>
            </c:trendlineLbl>
          </c:trendline>
          <c:xVal>
            <c:numRef>
              <c:f>'std curves pHILIC'!$N$96:$N$100</c:f>
              <c:numCache>
                <c:formatCode>General</c:formatCode>
                <c:ptCount val="5"/>
                <c:pt idx="0">
                  <c:v>-0.70626924307751815</c:v>
                </c:pt>
                <c:pt idx="1">
                  <c:v>-1.7062692430775181</c:v>
                </c:pt>
                <c:pt idx="2">
                  <c:v>-2.7062692430775179</c:v>
                </c:pt>
                <c:pt idx="3">
                  <c:v>-3.4052392474135367</c:v>
                </c:pt>
                <c:pt idx="4">
                  <c:v>-3.7062692430775179</c:v>
                </c:pt>
              </c:numCache>
            </c:numRef>
          </c:xVal>
          <c:yVal>
            <c:numRef>
              <c:f>'std curves pHILIC'!$O$96:$O$100</c:f>
              <c:numCache>
                <c:formatCode>General</c:formatCode>
                <c:ptCount val="5"/>
                <c:pt idx="0">
                  <c:v>10.204508451959962</c:v>
                </c:pt>
                <c:pt idx="1">
                  <c:v>9.4535773169386061</c:v>
                </c:pt>
                <c:pt idx="2">
                  <c:v>8.529340349481167</c:v>
                </c:pt>
                <c:pt idx="3">
                  <c:v>7.7171621942054163</c:v>
                </c:pt>
                <c:pt idx="4">
                  <c:v>7.4716548149140385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152"/>
        <c:axId val="115202688"/>
      </c:scatterChart>
      <c:valAx>
        <c:axId val="1152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02688"/>
        <c:crosses val="autoZero"/>
        <c:crossBetween val="midCat"/>
      </c:valAx>
      <c:valAx>
        <c:axId val="11520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201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Aconitate</a:t>
            </a:r>
          </a:p>
        </c:rich>
      </c:tx>
      <c:layout>
        <c:manualLayout>
          <c:xMode val="edge"/>
          <c:yMode val="edge"/>
          <c:x val="5.6434702418954402E-2"/>
          <c:y val="4.7058852591540891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8639933521823279E-2"/>
                  <c:y val="0.48627481011258922"/>
                </c:manualLayout>
              </c:layout>
              <c:numFmt formatCode="General" sourceLinked="0"/>
            </c:trendlineLbl>
          </c:trendline>
          <c:xVal>
            <c:numRef>
              <c:f>'std curves pHILIC'!$N$108:$N$112</c:f>
              <c:numCache>
                <c:formatCode>General</c:formatCode>
                <c:ptCount val="5"/>
                <c:pt idx="0">
                  <c:v>-1.942460678891218</c:v>
                </c:pt>
                <c:pt idx="1">
                  <c:v>-2.942460678891218</c:v>
                </c:pt>
                <c:pt idx="2">
                  <c:v>-3.6414306832272367</c:v>
                </c:pt>
                <c:pt idx="3">
                  <c:v>-3.942460678891218</c:v>
                </c:pt>
                <c:pt idx="4">
                  <c:v>-4.9424606788912184</c:v>
                </c:pt>
              </c:numCache>
            </c:numRef>
          </c:xVal>
          <c:yVal>
            <c:numRef>
              <c:f>'std curves pHILIC'!$O$108:$O$112</c:f>
              <c:numCache>
                <c:formatCode>General</c:formatCode>
                <c:ptCount val="5"/>
                <c:pt idx="0">
                  <c:v>9.9921388900822077</c:v>
                </c:pt>
                <c:pt idx="1">
                  <c:v>9.2222822625006611</c:v>
                </c:pt>
                <c:pt idx="2">
                  <c:v>8.5017537236325431</c:v>
                </c:pt>
                <c:pt idx="3">
                  <c:v>8.2728416642377294</c:v>
                </c:pt>
                <c:pt idx="4">
                  <c:v>7.1991532545161379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9968"/>
        <c:axId val="114926336"/>
      </c:scatterChart>
      <c:valAx>
        <c:axId val="1148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6336"/>
        <c:crosses val="autoZero"/>
        <c:crossBetween val="midCat"/>
      </c:valAx>
      <c:valAx>
        <c:axId val="11492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89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Urea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094552205364571"/>
                  <c:y val="0.28324274664409693"/>
                </c:manualLayout>
              </c:layout>
              <c:numFmt formatCode="General" sourceLinked="0"/>
            </c:trendlineLbl>
          </c:trendline>
          <c:xVal>
            <c:numRef>
              <c:f>'std curves pHILIC'!$W$3:$W$9</c:f>
              <c:numCache>
                <c:formatCode>General</c:formatCode>
                <c:ptCount val="7"/>
                <c:pt idx="0">
                  <c:v>-0.36317790241282566</c:v>
                </c:pt>
                <c:pt idx="1">
                  <c:v>-1.3631779024128257</c:v>
                </c:pt>
                <c:pt idx="2">
                  <c:v>-2.3631779024128257</c:v>
                </c:pt>
                <c:pt idx="3">
                  <c:v>-3.3631779024128257</c:v>
                </c:pt>
                <c:pt idx="4">
                  <c:v>-4.0621479067488444</c:v>
                </c:pt>
                <c:pt idx="5">
                  <c:v>-4.3631779024128257</c:v>
                </c:pt>
                <c:pt idx="6">
                  <c:v>-5.3631779024128257</c:v>
                </c:pt>
              </c:numCache>
            </c:numRef>
          </c:xVal>
          <c:yVal>
            <c:numRef>
              <c:f>'std curves pHILIC'!$X$3:$X$9</c:f>
              <c:numCache>
                <c:formatCode>General</c:formatCode>
                <c:ptCount val="7"/>
                <c:pt idx="0">
                  <c:v>9.3748306404562864</c:v>
                </c:pt>
                <c:pt idx="1">
                  <c:v>8.7123363062899681</c:v>
                </c:pt>
                <c:pt idx="2">
                  <c:v>7.9874956448054535</c:v>
                </c:pt>
                <c:pt idx="3">
                  <c:v>7.0475905273333836</c:v>
                </c:pt>
                <c:pt idx="4">
                  <c:v>6.2889754835000549</c:v>
                </c:pt>
                <c:pt idx="5">
                  <c:v>6.1601458317761253</c:v>
                </c:pt>
                <c:pt idx="6">
                  <c:v>5.5425017509280359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3488"/>
        <c:axId val="114945024"/>
      </c:scatterChart>
      <c:valAx>
        <c:axId val="1149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45024"/>
        <c:crosses val="autoZero"/>
        <c:crossBetween val="midCat"/>
      </c:valAx>
      <c:valAx>
        <c:axId val="11494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943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2-HG</a:t>
            </a:r>
          </a:p>
        </c:rich>
      </c:tx>
      <c:layout>
        <c:manualLayout>
          <c:xMode val="edge"/>
          <c:yMode val="edge"/>
          <c:x val="9.4464191976003004E-2"/>
          <c:y val="4.481791399077644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90063742032246"/>
                  <c:y val="0.40793006523300318"/>
                </c:manualLayout>
              </c:layout>
              <c:numFmt formatCode="General" sourceLinked="0"/>
            </c:trendlineLbl>
          </c:trendline>
          <c:xVal>
            <c:numRef>
              <c:f>'std curves pHILIC'!$W$15:$W$19</c:f>
              <c:numCache>
                <c:formatCode>General</c:formatCode>
                <c:ptCount val="5"/>
                <c:pt idx="0">
                  <c:v>-1.0377885608893997</c:v>
                </c:pt>
                <c:pt idx="1">
                  <c:v>-2.0377885608893997</c:v>
                </c:pt>
                <c:pt idx="2">
                  <c:v>-3.0377885608893997</c:v>
                </c:pt>
                <c:pt idx="3">
                  <c:v>-3.7367585652254185</c:v>
                </c:pt>
                <c:pt idx="4">
                  <c:v>-4.0377885608893997</c:v>
                </c:pt>
              </c:numCache>
            </c:numRef>
          </c:xVal>
          <c:yVal>
            <c:numRef>
              <c:f>'std curves pHILIC'!$X$15:$X$19</c:f>
              <c:numCache>
                <c:formatCode>General</c:formatCode>
                <c:ptCount val="5"/>
                <c:pt idx="0">
                  <c:v>9.2994724512690148</c:v>
                </c:pt>
                <c:pt idx="1">
                  <c:v>8.6664447261543582</c:v>
                </c:pt>
                <c:pt idx="2">
                  <c:v>7.6504622354518137</c:v>
                </c:pt>
                <c:pt idx="3">
                  <c:v>6.8668888839371673</c:v>
                </c:pt>
                <c:pt idx="4">
                  <c:v>6.6494988385206906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5888"/>
        <c:axId val="114979968"/>
      </c:scatterChart>
      <c:valAx>
        <c:axId val="114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9968"/>
        <c:crosses val="autoZero"/>
        <c:crossBetween val="midCat"/>
      </c:valAx>
      <c:valAx>
        <c:axId val="11497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965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840907287308381"/>
                  <c:y val="-7.090866016942922E-4"/>
                </c:manualLayout>
              </c:layout>
              <c:numFmt formatCode="General" sourceLinked="0"/>
            </c:trendlineLbl>
          </c:trendline>
          <c:xVal>
            <c:numRef>
              <c:f>'std curves HILIC'!$AE$20:$AE$23</c:f>
              <c:numCache>
                <c:formatCode>General</c:formatCode>
                <c:ptCount val="4"/>
                <c:pt idx="0">
                  <c:v>5.8333333333333338E-4</c:v>
                </c:pt>
                <c:pt idx="1">
                  <c:v>1.1666666666666668E-4</c:v>
                </c:pt>
                <c:pt idx="2">
                  <c:v>5.833333333333334E-5</c:v>
                </c:pt>
                <c:pt idx="3">
                  <c:v>5.833333333333334E-6</c:v>
                </c:pt>
              </c:numCache>
            </c:numRef>
          </c:xVal>
          <c:yVal>
            <c:numRef>
              <c:f>'std curves HILIC'!$AF$20:$AF$23</c:f>
              <c:numCache>
                <c:formatCode>0.00E+00</c:formatCode>
                <c:ptCount val="4"/>
                <c:pt idx="0">
                  <c:v>606639159.38644195</c:v>
                </c:pt>
                <c:pt idx="1">
                  <c:v>98074385.148792207</c:v>
                </c:pt>
                <c:pt idx="2">
                  <c:v>55646839.957118496</c:v>
                </c:pt>
                <c:pt idx="3">
                  <c:v>4457211.4396766601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0736"/>
        <c:axId val="103782272"/>
      </c:scatterChart>
      <c:valAx>
        <c:axId val="1037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82272"/>
        <c:crosses val="autoZero"/>
        <c:crossBetween val="midCat"/>
      </c:valAx>
      <c:valAx>
        <c:axId val="1037822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37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58491941452618"/>
                  <c:y val="-6.6775257664281496E-4"/>
                </c:manualLayout>
              </c:layout>
              <c:numFmt formatCode="General" sourceLinked="0"/>
            </c:trendlineLbl>
          </c:trendline>
          <c:xVal>
            <c:numRef>
              <c:f>'std curves HILIC'!$AE$32:$AE$36</c:f>
              <c:numCache>
                <c:formatCode>General</c:formatCode>
                <c:ptCount val="5"/>
                <c:pt idx="0">
                  <c:v>7.4500000000000011E-2</c:v>
                </c:pt>
                <c:pt idx="1">
                  <c:v>7.4500000000000009E-3</c:v>
                </c:pt>
                <c:pt idx="2">
                  <c:v>1.4900000000000002E-3</c:v>
                </c:pt>
                <c:pt idx="3">
                  <c:v>7.4500000000000011E-4</c:v>
                </c:pt>
                <c:pt idx="4">
                  <c:v>7.4500000000000008E-5</c:v>
                </c:pt>
              </c:numCache>
            </c:numRef>
          </c:xVal>
          <c:yVal>
            <c:numRef>
              <c:f>'std curves HILIC'!$AF$32:$AF$36</c:f>
              <c:numCache>
                <c:formatCode>0</c:formatCode>
                <c:ptCount val="5"/>
                <c:pt idx="0">
                  <c:v>13080127454.830299</c:v>
                </c:pt>
                <c:pt idx="1">
                  <c:v>1444591550.0856299</c:v>
                </c:pt>
                <c:pt idx="2">
                  <c:v>245536811.278038</c:v>
                </c:pt>
                <c:pt idx="3">
                  <c:v>152610326.866972</c:v>
                </c:pt>
                <c:pt idx="4">
                  <c:v>12977124.9380007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7232"/>
        <c:axId val="103882752"/>
      </c:scatterChart>
      <c:valAx>
        <c:axId val="1038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82752"/>
        <c:crosses val="autoZero"/>
        <c:crossBetween val="midCat"/>
      </c:valAx>
      <c:valAx>
        <c:axId val="10388275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8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979420962541433"/>
                  <c:y val="1.2359064202717783E-2"/>
                </c:manualLayout>
              </c:layout>
              <c:numFmt formatCode="General" sourceLinked="0"/>
            </c:trendlineLbl>
          </c:trendline>
          <c:xVal>
            <c:numRef>
              <c:f>'std curves HILIC'!$AE$46:$AE$49</c:f>
              <c:numCache>
                <c:formatCode>General</c:formatCode>
                <c:ptCount val="4"/>
                <c:pt idx="0">
                  <c:v>4.3333333333333331E-3</c:v>
                </c:pt>
                <c:pt idx="1">
                  <c:v>4.3333333333333331E-4</c:v>
                </c:pt>
                <c:pt idx="2">
                  <c:v>8.6666666666666668E-5</c:v>
                </c:pt>
                <c:pt idx="3">
                  <c:v>4.3333333333333334E-5</c:v>
                </c:pt>
              </c:numCache>
            </c:numRef>
          </c:xVal>
          <c:yVal>
            <c:numRef>
              <c:f>'std curves HILIC'!$AF$46:$AF$49</c:f>
              <c:numCache>
                <c:formatCode>0.00E+00</c:formatCode>
                <c:ptCount val="4"/>
                <c:pt idx="0">
                  <c:v>2266817638.28795</c:v>
                </c:pt>
                <c:pt idx="1">
                  <c:v>292703673.70460498</c:v>
                </c:pt>
                <c:pt idx="2">
                  <c:v>58888651.4885225</c:v>
                </c:pt>
                <c:pt idx="3">
                  <c:v>39695249.470701702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9920"/>
        <c:axId val="103916288"/>
      </c:scatterChart>
      <c:valAx>
        <c:axId val="1038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16288"/>
        <c:crosses val="autoZero"/>
        <c:crossBetween val="midCat"/>
      </c:valAx>
      <c:valAx>
        <c:axId val="10391628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0388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720911278107469"/>
                  <c:y val="-7.6256763417231026E-3"/>
                </c:manualLayout>
              </c:layout>
              <c:numFmt formatCode="General" sourceLinked="0"/>
            </c:trendlineLbl>
          </c:trendline>
          <c:xVal>
            <c:numRef>
              <c:f>'std curves HILIC'!$AE$60:$AE$64</c:f>
              <c:numCache>
                <c:formatCode>General</c:formatCode>
                <c:ptCount val="5"/>
                <c:pt idx="0">
                  <c:v>0.1925</c:v>
                </c:pt>
                <c:pt idx="1">
                  <c:v>1.925E-2</c:v>
                </c:pt>
                <c:pt idx="2">
                  <c:v>1.9250000000000001E-3</c:v>
                </c:pt>
                <c:pt idx="3">
                  <c:v>3.8500000000000003E-4</c:v>
                </c:pt>
                <c:pt idx="4">
                  <c:v>1.9250000000000002E-4</c:v>
                </c:pt>
              </c:numCache>
            </c:numRef>
          </c:xVal>
          <c:yVal>
            <c:numRef>
              <c:f>'std curves HILIC'!$AF$60:$AF$64</c:f>
              <c:numCache>
                <c:formatCode>0</c:formatCode>
                <c:ptCount val="5"/>
                <c:pt idx="0">
                  <c:v>83454038789.922195</c:v>
                </c:pt>
                <c:pt idx="1">
                  <c:v>5490914546.0522299</c:v>
                </c:pt>
                <c:pt idx="2">
                  <c:v>392786320.71716499</c:v>
                </c:pt>
                <c:pt idx="3">
                  <c:v>61429228.832568496</c:v>
                </c:pt>
                <c:pt idx="4">
                  <c:v>37363210.450897999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2672"/>
        <c:axId val="103934208"/>
      </c:scatterChart>
      <c:valAx>
        <c:axId val="103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34208"/>
        <c:crosses val="autoZero"/>
        <c:crossBetween val="midCat"/>
      </c:valAx>
      <c:valAx>
        <c:axId val="1039342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393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29" Type="http://schemas.openxmlformats.org/officeDocument/2006/relationships/chart" Target="../charts/chart57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574436</xdr:colOff>
      <xdr:row>81</xdr:row>
      <xdr:rowOff>114113</xdr:rowOff>
    </xdr:from>
    <xdr:to>
      <xdr:col>8</xdr:col>
      <xdr:colOff>90715</xdr:colOff>
      <xdr:row>95</xdr:row>
      <xdr:rowOff>32817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313364</xdr:colOff>
      <xdr:row>82</xdr:row>
      <xdr:rowOff>43755</xdr:rowOff>
    </xdr:from>
    <xdr:to>
      <xdr:col>18</xdr:col>
      <xdr:colOff>358187</xdr:colOff>
      <xdr:row>95</xdr:row>
      <xdr:rowOff>66167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380999</xdr:colOff>
      <xdr:row>83</xdr:row>
      <xdr:rowOff>124385</xdr:rowOff>
    </xdr:from>
    <xdr:to>
      <xdr:col>29</xdr:col>
      <xdr:colOff>156881</xdr:colOff>
      <xdr:row>95</xdr:row>
      <xdr:rowOff>89647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302559</xdr:colOff>
      <xdr:row>99</xdr:row>
      <xdr:rowOff>11206</xdr:rowOff>
    </xdr:from>
    <xdr:to>
      <xdr:col>18</xdr:col>
      <xdr:colOff>358588</xdr:colOff>
      <xdr:row>111</xdr:row>
      <xdr:rowOff>110937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403410</xdr:colOff>
      <xdr:row>97</xdr:row>
      <xdr:rowOff>33619</xdr:rowOff>
    </xdr:from>
    <xdr:to>
      <xdr:col>29</xdr:col>
      <xdr:colOff>67234</xdr:colOff>
      <xdr:row>111</xdr:row>
      <xdr:rowOff>144556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280147</xdr:colOff>
      <xdr:row>13</xdr:row>
      <xdr:rowOff>33617</xdr:rowOff>
    </xdr:from>
    <xdr:to>
      <xdr:col>39</xdr:col>
      <xdr:colOff>235323</xdr:colOff>
      <xdr:row>25</xdr:row>
      <xdr:rowOff>100853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268941</xdr:colOff>
      <xdr:row>27</xdr:row>
      <xdr:rowOff>0</xdr:rowOff>
    </xdr:from>
    <xdr:to>
      <xdr:col>39</xdr:col>
      <xdr:colOff>224117</xdr:colOff>
      <xdr:row>39</xdr:row>
      <xdr:rowOff>67236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39</xdr:col>
      <xdr:colOff>560294</xdr:colOff>
      <xdr:row>56</xdr:row>
      <xdr:rowOff>67236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59</xdr:row>
      <xdr:rowOff>0</xdr:rowOff>
    </xdr:from>
    <xdr:to>
      <xdr:col>39</xdr:col>
      <xdr:colOff>560294</xdr:colOff>
      <xdr:row>71</xdr:row>
      <xdr:rowOff>67236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717177</xdr:colOff>
      <xdr:row>1</xdr:row>
      <xdr:rowOff>1120</xdr:rowOff>
    </xdr:from>
    <xdr:to>
      <xdr:col>8</xdr:col>
      <xdr:colOff>190500</xdr:colOff>
      <xdr:row>10</xdr:row>
      <xdr:rowOff>11205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661147</xdr:colOff>
      <xdr:row>13</xdr:row>
      <xdr:rowOff>11205</xdr:rowOff>
    </xdr:from>
    <xdr:to>
      <xdr:col>8</xdr:col>
      <xdr:colOff>134470</xdr:colOff>
      <xdr:row>22</xdr:row>
      <xdr:rowOff>21291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571500</xdr:colOff>
      <xdr:row>26</xdr:row>
      <xdr:rowOff>67236</xdr:rowOff>
    </xdr:from>
    <xdr:to>
      <xdr:col>8</xdr:col>
      <xdr:colOff>44823</xdr:colOff>
      <xdr:row>35</xdr:row>
      <xdr:rowOff>77322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324969</xdr:colOff>
      <xdr:row>39</xdr:row>
      <xdr:rowOff>22412</xdr:rowOff>
    </xdr:from>
    <xdr:to>
      <xdr:col>28</xdr:col>
      <xdr:colOff>526676</xdr:colOff>
      <xdr:row>50</xdr:row>
      <xdr:rowOff>100853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453572</xdr:colOff>
      <xdr:row>12</xdr:row>
      <xdr:rowOff>79375</xdr:rowOff>
    </xdr:from>
    <xdr:to>
      <xdr:col>18</xdr:col>
      <xdr:colOff>346449</xdr:colOff>
      <xdr:row>21</xdr:row>
      <xdr:rowOff>89462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571501</xdr:colOff>
      <xdr:row>37</xdr:row>
      <xdr:rowOff>40142</xdr:rowOff>
    </xdr:from>
    <xdr:to>
      <xdr:col>7</xdr:col>
      <xdr:colOff>737054</xdr:colOff>
      <xdr:row>48</xdr:row>
      <xdr:rowOff>102054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288017</xdr:colOff>
      <xdr:row>39</xdr:row>
      <xdr:rowOff>68036</xdr:rowOff>
    </xdr:from>
    <xdr:to>
      <xdr:col>18</xdr:col>
      <xdr:colOff>147410</xdr:colOff>
      <xdr:row>49</xdr:row>
      <xdr:rowOff>113393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492126</xdr:colOff>
      <xdr:row>51</xdr:row>
      <xdr:rowOff>17462</xdr:rowOff>
    </xdr:from>
    <xdr:to>
      <xdr:col>8</xdr:col>
      <xdr:colOff>45357</xdr:colOff>
      <xdr:row>63</xdr:row>
      <xdr:rowOff>113393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272143</xdr:colOff>
      <xdr:row>52</xdr:row>
      <xdr:rowOff>90715</xdr:rowOff>
    </xdr:from>
    <xdr:to>
      <xdr:col>18</xdr:col>
      <xdr:colOff>306160</xdr:colOff>
      <xdr:row>64</xdr:row>
      <xdr:rowOff>90714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639537</xdr:colOff>
      <xdr:row>67</xdr:row>
      <xdr:rowOff>56695</xdr:rowOff>
    </xdr:from>
    <xdr:to>
      <xdr:col>8</xdr:col>
      <xdr:colOff>79376</xdr:colOff>
      <xdr:row>79</xdr:row>
      <xdr:rowOff>136072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283482</xdr:colOff>
      <xdr:row>67</xdr:row>
      <xdr:rowOff>11339</xdr:rowOff>
    </xdr:from>
    <xdr:to>
      <xdr:col>18</xdr:col>
      <xdr:colOff>272143</xdr:colOff>
      <xdr:row>79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578302</xdr:colOff>
      <xdr:row>1</xdr:row>
      <xdr:rowOff>90714</xdr:rowOff>
    </xdr:from>
    <xdr:to>
      <xdr:col>27</xdr:col>
      <xdr:colOff>351517</xdr:colOff>
      <xdr:row>11</xdr:row>
      <xdr:rowOff>45357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424090</xdr:colOff>
      <xdr:row>13</xdr:row>
      <xdr:rowOff>56697</xdr:rowOff>
    </xdr:from>
    <xdr:to>
      <xdr:col>27</xdr:col>
      <xdr:colOff>385537</xdr:colOff>
      <xdr:row>23</xdr:row>
      <xdr:rowOff>16556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526143</xdr:colOff>
      <xdr:row>26</xdr:row>
      <xdr:rowOff>68033</xdr:rowOff>
    </xdr:from>
    <xdr:to>
      <xdr:col>27</xdr:col>
      <xdr:colOff>328840</xdr:colOff>
      <xdr:row>36</xdr:row>
      <xdr:rowOff>141285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208642</xdr:colOff>
      <xdr:row>53</xdr:row>
      <xdr:rowOff>34017</xdr:rowOff>
    </xdr:from>
    <xdr:to>
      <xdr:col>28</xdr:col>
      <xdr:colOff>340178</xdr:colOff>
      <xdr:row>63</xdr:row>
      <xdr:rowOff>5215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419552</xdr:colOff>
      <xdr:row>66</xdr:row>
      <xdr:rowOff>0</xdr:rowOff>
    </xdr:from>
    <xdr:to>
      <xdr:col>29</xdr:col>
      <xdr:colOff>136071</xdr:colOff>
      <xdr:row>78</xdr:row>
      <xdr:rowOff>107268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260803</xdr:colOff>
      <xdr:row>0</xdr:row>
      <xdr:rowOff>102054</xdr:rowOff>
    </xdr:from>
    <xdr:to>
      <xdr:col>39</xdr:col>
      <xdr:colOff>170089</xdr:colOff>
      <xdr:row>11</xdr:row>
      <xdr:rowOff>79376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430893</xdr:colOff>
      <xdr:row>0</xdr:row>
      <xdr:rowOff>136071</xdr:rowOff>
    </xdr:from>
    <xdr:to>
      <xdr:col>18</xdr:col>
      <xdr:colOff>323770</xdr:colOff>
      <xdr:row>9</xdr:row>
      <xdr:rowOff>146158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249464</xdr:colOff>
      <xdr:row>23</xdr:row>
      <xdr:rowOff>136072</xdr:rowOff>
    </xdr:from>
    <xdr:to>
      <xdr:col>18</xdr:col>
      <xdr:colOff>369660</xdr:colOff>
      <xdr:row>36</xdr:row>
      <xdr:rowOff>113393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227</xdr:row>
      <xdr:rowOff>100012</xdr:rowOff>
    </xdr:from>
    <xdr:to>
      <xdr:col>9</xdr:col>
      <xdr:colOff>1186704</xdr:colOff>
      <xdr:row>239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215</xdr:row>
      <xdr:rowOff>38100</xdr:rowOff>
    </xdr:from>
    <xdr:to>
      <xdr:col>10</xdr:col>
      <xdr:colOff>25773</xdr:colOff>
      <xdr:row>227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201</xdr:row>
      <xdr:rowOff>123825</xdr:rowOff>
    </xdr:from>
    <xdr:to>
      <xdr:col>9</xdr:col>
      <xdr:colOff>1186703</xdr:colOff>
      <xdr:row>213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189</xdr:row>
      <xdr:rowOff>76200</xdr:rowOff>
    </xdr:from>
    <xdr:to>
      <xdr:col>9</xdr:col>
      <xdr:colOff>1177178</xdr:colOff>
      <xdr:row>201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176</xdr:row>
      <xdr:rowOff>76200</xdr:rowOff>
    </xdr:from>
    <xdr:to>
      <xdr:col>9</xdr:col>
      <xdr:colOff>1148603</xdr:colOff>
      <xdr:row>188</xdr:row>
      <xdr:rowOff>61913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163</xdr:row>
      <xdr:rowOff>95250</xdr:rowOff>
    </xdr:from>
    <xdr:to>
      <xdr:col>10</xdr:col>
      <xdr:colOff>6723</xdr:colOff>
      <xdr:row>175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150</xdr:row>
      <xdr:rowOff>123825</xdr:rowOff>
    </xdr:from>
    <xdr:to>
      <xdr:col>10</xdr:col>
      <xdr:colOff>44823</xdr:colOff>
      <xdr:row>162</xdr:row>
      <xdr:rowOff>109538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138</xdr:row>
      <xdr:rowOff>0</xdr:rowOff>
    </xdr:from>
    <xdr:to>
      <xdr:col>10</xdr:col>
      <xdr:colOff>35298</xdr:colOff>
      <xdr:row>149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419100</xdr:colOff>
      <xdr:row>125</xdr:row>
      <xdr:rowOff>19050</xdr:rowOff>
    </xdr:from>
    <xdr:to>
      <xdr:col>9</xdr:col>
      <xdr:colOff>1095375</xdr:colOff>
      <xdr:row>136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112</xdr:row>
      <xdr:rowOff>0</xdr:rowOff>
    </xdr:from>
    <xdr:to>
      <xdr:col>9</xdr:col>
      <xdr:colOff>1121148</xdr:colOff>
      <xdr:row>123</xdr:row>
      <xdr:rowOff>128588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333375</xdr:colOff>
      <xdr:row>99</xdr:row>
      <xdr:rowOff>104775</xdr:rowOff>
    </xdr:from>
    <xdr:to>
      <xdr:col>9</xdr:col>
      <xdr:colOff>1140198</xdr:colOff>
      <xdr:row>111</xdr:row>
      <xdr:rowOff>90488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333375</xdr:colOff>
      <xdr:row>86</xdr:row>
      <xdr:rowOff>104775</xdr:rowOff>
    </xdr:from>
    <xdr:to>
      <xdr:col>9</xdr:col>
      <xdr:colOff>1140198</xdr:colOff>
      <xdr:row>98</xdr:row>
      <xdr:rowOff>90488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381000</xdr:colOff>
      <xdr:row>74</xdr:row>
      <xdr:rowOff>57150</xdr:rowOff>
    </xdr:from>
    <xdr:to>
      <xdr:col>9</xdr:col>
      <xdr:colOff>1187823</xdr:colOff>
      <xdr:row>86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381000</xdr:colOff>
      <xdr:row>62</xdr:row>
      <xdr:rowOff>0</xdr:rowOff>
    </xdr:from>
    <xdr:to>
      <xdr:col>9</xdr:col>
      <xdr:colOff>1187823</xdr:colOff>
      <xdr:row>73</xdr:row>
      <xdr:rowOff>128588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371475</xdr:colOff>
      <xdr:row>48</xdr:row>
      <xdr:rowOff>114300</xdr:rowOff>
    </xdr:from>
    <xdr:to>
      <xdr:col>9</xdr:col>
      <xdr:colOff>1178298</xdr:colOff>
      <xdr:row>60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304800</xdr:colOff>
      <xdr:row>36</xdr:row>
      <xdr:rowOff>0</xdr:rowOff>
    </xdr:from>
    <xdr:to>
      <xdr:col>9</xdr:col>
      <xdr:colOff>1111623</xdr:colOff>
      <xdr:row>47</xdr:row>
      <xdr:rowOff>128588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295276</xdr:colOff>
      <xdr:row>23</xdr:row>
      <xdr:rowOff>9525</xdr:rowOff>
    </xdr:from>
    <xdr:to>
      <xdr:col>9</xdr:col>
      <xdr:colOff>1038226</xdr:colOff>
      <xdr:row>34</xdr:row>
      <xdr:rowOff>138113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485775</xdr:colOff>
      <xdr:row>2</xdr:row>
      <xdr:rowOff>9525</xdr:rowOff>
    </xdr:from>
    <xdr:to>
      <xdr:col>9</xdr:col>
      <xdr:colOff>428625</xdr:colOff>
      <xdr:row>13</xdr:row>
      <xdr:rowOff>138113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123825</xdr:colOff>
      <xdr:row>1</xdr:row>
      <xdr:rowOff>0</xdr:rowOff>
    </xdr:from>
    <xdr:to>
      <xdr:col>18</xdr:col>
      <xdr:colOff>314325</xdr:colOff>
      <xdr:row>12</xdr:row>
      <xdr:rowOff>128588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142875</xdr:colOff>
      <xdr:row>14</xdr:row>
      <xdr:rowOff>0</xdr:rowOff>
    </xdr:from>
    <xdr:to>
      <xdr:col>18</xdr:col>
      <xdr:colOff>304800</xdr:colOff>
      <xdr:row>25</xdr:row>
      <xdr:rowOff>128588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200025</xdr:colOff>
      <xdr:row>27</xdr:row>
      <xdr:rowOff>0</xdr:rowOff>
    </xdr:from>
    <xdr:to>
      <xdr:col>18</xdr:col>
      <xdr:colOff>333375</xdr:colOff>
      <xdr:row>38</xdr:row>
      <xdr:rowOff>128588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209550</xdr:colOff>
      <xdr:row>39</xdr:row>
      <xdr:rowOff>114300</xdr:rowOff>
    </xdr:from>
    <xdr:to>
      <xdr:col>18</xdr:col>
      <xdr:colOff>342900</xdr:colOff>
      <xdr:row>51</xdr:row>
      <xdr:rowOff>100013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266700</xdr:colOff>
      <xdr:row>55</xdr:row>
      <xdr:rowOff>95250</xdr:rowOff>
    </xdr:from>
    <xdr:to>
      <xdr:col>18</xdr:col>
      <xdr:colOff>409575</xdr:colOff>
      <xdr:row>67</xdr:row>
      <xdr:rowOff>80963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276224</xdr:colOff>
      <xdr:row>69</xdr:row>
      <xdr:rowOff>28575</xdr:rowOff>
    </xdr:from>
    <xdr:to>
      <xdr:col>18</xdr:col>
      <xdr:colOff>438149</xdr:colOff>
      <xdr:row>81</xdr:row>
      <xdr:rowOff>14288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285750</xdr:colOff>
      <xdr:row>82</xdr:row>
      <xdr:rowOff>0</xdr:rowOff>
    </xdr:from>
    <xdr:to>
      <xdr:col>18</xdr:col>
      <xdr:colOff>381000</xdr:colOff>
      <xdr:row>93</xdr:row>
      <xdr:rowOff>128588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276225</xdr:colOff>
      <xdr:row>95</xdr:row>
      <xdr:rowOff>19050</xdr:rowOff>
    </xdr:from>
    <xdr:to>
      <xdr:col>18</xdr:col>
      <xdr:colOff>390525</xdr:colOff>
      <xdr:row>107</xdr:row>
      <xdr:rowOff>4763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352425</xdr:colOff>
      <xdr:row>108</xdr:row>
      <xdr:rowOff>19051</xdr:rowOff>
    </xdr:from>
    <xdr:to>
      <xdr:col>18</xdr:col>
      <xdr:colOff>342900</xdr:colOff>
      <xdr:row>119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257175</xdr:colOff>
      <xdr:row>0</xdr:row>
      <xdr:rowOff>133350</xdr:rowOff>
    </xdr:from>
    <xdr:to>
      <xdr:col>27</xdr:col>
      <xdr:colOff>447675</xdr:colOff>
      <xdr:row>12</xdr:row>
      <xdr:rowOff>119063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276225</xdr:colOff>
      <xdr:row>14</xdr:row>
      <xdr:rowOff>104775</xdr:rowOff>
    </xdr:from>
    <xdr:to>
      <xdr:col>27</xdr:col>
      <xdr:colOff>466725</xdr:colOff>
      <xdr:row>26</xdr:row>
      <xdr:rowOff>90488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0"/>
  <sheetViews>
    <sheetView topLeftCell="A13" workbookViewId="0">
      <selection activeCell="M51" sqref="M51"/>
    </sheetView>
  </sheetViews>
  <sheetFormatPr defaultRowHeight="12" x14ac:dyDescent="0.25"/>
  <cols>
    <col min="1" max="1" width="14" style="3" customWidth="1"/>
    <col min="2" max="2" width="11.140625" style="3" bestFit="1" customWidth="1"/>
    <col min="3" max="3" width="8.85546875" style="3" bestFit="1" customWidth="1"/>
    <col min="4" max="4" width="10.140625" style="3" bestFit="1" customWidth="1"/>
    <col min="5" max="5" width="14.140625" style="3" bestFit="1" customWidth="1"/>
    <col min="6" max="6" width="8.140625" style="3" bestFit="1" customWidth="1"/>
    <col min="7" max="7" width="11.140625" style="3" bestFit="1" customWidth="1"/>
    <col min="8" max="8" width="11.5703125" style="3" bestFit="1" customWidth="1"/>
    <col min="9" max="11" width="8.140625" style="3" bestFit="1" customWidth="1"/>
    <col min="12" max="12" width="7.42578125" style="3" bestFit="1" customWidth="1"/>
    <col min="13" max="13" width="10.85546875" style="3" bestFit="1" customWidth="1"/>
    <col min="14" max="14" width="10.140625" style="3" bestFit="1" customWidth="1"/>
    <col min="15" max="15" width="8.140625" style="3" bestFit="1" customWidth="1"/>
    <col min="16" max="16" width="11.7109375" style="3" bestFit="1" customWidth="1"/>
    <col min="17" max="17" width="12.85546875" style="3" bestFit="1" customWidth="1"/>
    <col min="18" max="18" width="11.85546875" style="3" bestFit="1" customWidth="1"/>
    <col min="19" max="19" width="10.42578125" style="3" bestFit="1" customWidth="1"/>
    <col min="20" max="20" width="12.140625" style="3" bestFit="1" customWidth="1"/>
    <col min="21" max="21" width="10.140625" style="3" bestFit="1" customWidth="1"/>
    <col min="22" max="22" width="15" style="3" bestFit="1" customWidth="1"/>
    <col min="23" max="25" width="11.140625" style="3" bestFit="1" customWidth="1"/>
    <col min="26" max="26" width="10.85546875" style="3" bestFit="1" customWidth="1"/>
    <col min="27" max="27" width="10.140625" style="3" bestFit="1" customWidth="1"/>
    <col min="28" max="28" width="9.140625" style="3" bestFit="1" customWidth="1"/>
    <col min="29" max="29" width="10.28515625" style="3" bestFit="1" customWidth="1"/>
    <col min="30" max="30" width="10.140625" style="3" bestFit="1" customWidth="1"/>
    <col min="31" max="31" width="8.140625" style="3" bestFit="1" customWidth="1"/>
    <col min="32" max="34" width="10.140625" style="3" bestFit="1" customWidth="1"/>
    <col min="35" max="35" width="9.140625" style="3" bestFit="1" customWidth="1"/>
    <col min="36" max="36" width="11.140625" style="3" bestFit="1" customWidth="1"/>
    <col min="37" max="37" width="8.140625" style="3" bestFit="1" customWidth="1"/>
    <col min="38" max="38" width="11.140625" style="3" bestFit="1" customWidth="1"/>
    <col min="39" max="39" width="13.28515625" style="3" bestFit="1" customWidth="1"/>
    <col min="40" max="40" width="8.140625" style="3" bestFit="1" customWidth="1"/>
    <col min="41" max="41" width="9.28515625" style="3" bestFit="1" customWidth="1"/>
    <col min="42" max="42" width="10.140625" style="3" bestFit="1" customWidth="1"/>
    <col min="43" max="43" width="9.140625" style="3" bestFit="1" customWidth="1"/>
    <col min="44" max="44" width="10.140625" style="3" bestFit="1" customWidth="1"/>
    <col min="45" max="46" width="11.140625" style="3" bestFit="1" customWidth="1"/>
    <col min="47" max="47" width="21.140625" style="3" bestFit="1" customWidth="1"/>
    <col min="48" max="48" width="12.140625" style="3" bestFit="1" customWidth="1"/>
    <col min="49" max="49" width="9.140625" style="3" bestFit="1" customWidth="1"/>
    <col min="50" max="50" width="10.140625" style="3" bestFit="1" customWidth="1"/>
    <col min="51" max="52" width="11.140625" style="3" bestFit="1" customWidth="1"/>
    <col min="53" max="53" width="9.140625" style="3" bestFit="1" customWidth="1"/>
    <col min="54" max="54" width="9.140625" style="3" customWidth="1"/>
    <col min="55" max="55" width="11.42578125" style="3" bestFit="1" customWidth="1"/>
    <col min="56" max="56" width="11.42578125" style="3" customWidth="1"/>
    <col min="57" max="57" width="12" style="3" bestFit="1" customWidth="1"/>
    <col min="58" max="112" width="9.140625" style="3"/>
    <col min="113" max="113" width="11.42578125" style="3" bestFit="1" customWidth="1"/>
    <col min="114" max="16384" width="9.140625" style="3"/>
  </cols>
  <sheetData>
    <row r="1" spans="1:114" ht="15" x14ac:dyDescent="0.25">
      <c r="B1" s="79" t="s">
        <v>84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23"/>
      <c r="BC1" s="23"/>
      <c r="BD1" s="23"/>
      <c r="BH1" s="79" t="s">
        <v>82</v>
      </c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</row>
    <row r="2" spans="1:114" x14ac:dyDescent="0.25">
      <c r="A2" s="3" t="s">
        <v>29</v>
      </c>
      <c r="B2" s="3" t="s">
        <v>28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117</v>
      </c>
      <c r="T2" s="3" t="s">
        <v>47</v>
      </c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 t="s">
        <v>57</v>
      </c>
      <c r="AE2" s="3" t="s">
        <v>58</v>
      </c>
      <c r="AF2" s="3" t="s">
        <v>59</v>
      </c>
      <c r="AG2" s="3" t="s">
        <v>60</v>
      </c>
      <c r="AH2" s="3" t="s">
        <v>110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3" t="s">
        <v>67</v>
      </c>
      <c r="AP2" s="3" t="s">
        <v>68</v>
      </c>
      <c r="AQ2" s="3" t="s">
        <v>69</v>
      </c>
      <c r="AR2" s="3" t="s">
        <v>70</v>
      </c>
      <c r="AS2" s="3" t="s">
        <v>71</v>
      </c>
      <c r="AT2" s="3" t="s">
        <v>72</v>
      </c>
      <c r="AU2" s="3" t="s">
        <v>73</v>
      </c>
      <c r="AV2" s="3" t="s">
        <v>74</v>
      </c>
      <c r="AW2" s="3" t="s">
        <v>75</v>
      </c>
      <c r="AX2" s="3" t="s">
        <v>76</v>
      </c>
      <c r="AY2" s="3" t="s">
        <v>77</v>
      </c>
      <c r="AZ2" s="3" t="s">
        <v>78</v>
      </c>
      <c r="BA2" s="3" t="s">
        <v>79</v>
      </c>
      <c r="BB2" s="3" t="s">
        <v>106</v>
      </c>
      <c r="BC2" s="3" t="s">
        <v>107</v>
      </c>
      <c r="BD2" s="3" t="s">
        <v>113</v>
      </c>
      <c r="BE2" s="5" t="s">
        <v>83</v>
      </c>
      <c r="BH2" s="3" t="s">
        <v>28</v>
      </c>
      <c r="BI2" s="3" t="s">
        <v>30</v>
      </c>
      <c r="BJ2" s="3" t="s">
        <v>31</v>
      </c>
      <c r="BK2" s="3" t="s">
        <v>32</v>
      </c>
      <c r="BL2" s="3" t="s">
        <v>33</v>
      </c>
      <c r="BM2" s="3" t="s">
        <v>34</v>
      </c>
      <c r="BN2" s="3" t="s">
        <v>35</v>
      </c>
      <c r="BO2" s="3" t="s">
        <v>36</v>
      </c>
      <c r="BP2" s="3" t="s">
        <v>37</v>
      </c>
      <c r="BQ2" s="3" t="s">
        <v>38</v>
      </c>
      <c r="BR2" s="3" t="s">
        <v>39</v>
      </c>
      <c r="BS2" s="3" t="s">
        <v>40</v>
      </c>
      <c r="BT2" s="3" t="s">
        <v>41</v>
      </c>
      <c r="BU2" s="3" t="s">
        <v>42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55</v>
      </c>
      <c r="CI2" s="3" t="s">
        <v>56</v>
      </c>
      <c r="CJ2" s="3" t="s">
        <v>57</v>
      </c>
      <c r="CK2" s="3" t="s">
        <v>58</v>
      </c>
      <c r="CL2" s="3" t="s">
        <v>59</v>
      </c>
      <c r="CM2" s="3" t="s">
        <v>60</v>
      </c>
      <c r="CN2" s="3" t="s">
        <v>110</v>
      </c>
      <c r="CO2" s="3" t="s">
        <v>61</v>
      </c>
      <c r="CP2" s="3" t="s">
        <v>62</v>
      </c>
      <c r="CQ2" s="3" t="s">
        <v>63</v>
      </c>
      <c r="CR2" s="3" t="s">
        <v>64</v>
      </c>
      <c r="CS2" s="3" t="s">
        <v>65</v>
      </c>
      <c r="CT2" s="3" t="s">
        <v>66</v>
      </c>
      <c r="CU2" s="3" t="s">
        <v>67</v>
      </c>
      <c r="CV2" s="3" t="s">
        <v>68</v>
      </c>
      <c r="CW2" s="3" t="s">
        <v>69</v>
      </c>
      <c r="CX2" s="3" t="s">
        <v>70</v>
      </c>
      <c r="CY2" s="3" t="s">
        <v>71</v>
      </c>
      <c r="CZ2" s="3" t="s">
        <v>72</v>
      </c>
      <c r="DA2" s="3" t="s">
        <v>73</v>
      </c>
      <c r="DB2" s="3" t="s">
        <v>74</v>
      </c>
      <c r="DC2" s="3" t="s">
        <v>75</v>
      </c>
      <c r="DD2" s="3" t="s">
        <v>76</v>
      </c>
      <c r="DE2" s="3" t="s">
        <v>77</v>
      </c>
      <c r="DF2" s="3" t="s">
        <v>78</v>
      </c>
      <c r="DG2" s="3" t="s">
        <v>79</v>
      </c>
      <c r="DH2" s="3" t="s">
        <v>106</v>
      </c>
      <c r="DI2" s="3" t="s">
        <v>107</v>
      </c>
      <c r="DJ2" s="3" t="s">
        <v>113</v>
      </c>
    </row>
    <row r="3" spans="1:114" x14ac:dyDescent="0.25">
      <c r="A3" s="1" t="s">
        <v>0</v>
      </c>
      <c r="B3" s="9">
        <v>6838298637.9226704</v>
      </c>
      <c r="C3" s="9">
        <v>84500365.264617994</v>
      </c>
      <c r="D3" s="9">
        <v>402132759.87903303</v>
      </c>
      <c r="E3" s="9">
        <v>13530381.7016489</v>
      </c>
      <c r="F3" s="9">
        <v>6531104.76701154</v>
      </c>
      <c r="G3" s="9">
        <v>784166777.06652403</v>
      </c>
      <c r="H3" s="9">
        <v>1938693247.37328</v>
      </c>
      <c r="I3" s="9">
        <v>9405492.2540110592</v>
      </c>
      <c r="J3" s="9">
        <v>5518225.5677020401</v>
      </c>
      <c r="K3" s="9">
        <v>5681664.3489802703</v>
      </c>
      <c r="L3" s="9">
        <v>173027.16581234799</v>
      </c>
      <c r="M3" s="9">
        <v>742743019.04721606</v>
      </c>
      <c r="N3" s="9">
        <v>68456873.360842094</v>
      </c>
      <c r="O3" s="9">
        <v>3683785.6738894102</v>
      </c>
      <c r="P3" s="9">
        <v>6674962447.9050999</v>
      </c>
      <c r="Q3" s="9">
        <v>16706316.7565137</v>
      </c>
      <c r="R3" s="9">
        <v>50471263.214830399</v>
      </c>
      <c r="S3" s="9">
        <v>14919385721.814501</v>
      </c>
      <c r="T3" s="9">
        <v>12449713022.314699</v>
      </c>
      <c r="U3" s="9">
        <v>710587056.05462301</v>
      </c>
      <c r="V3" s="9">
        <v>25982720.135058999</v>
      </c>
      <c r="W3" s="9">
        <v>1095203862.7962899</v>
      </c>
      <c r="X3" s="9">
        <v>1027839640.89017</v>
      </c>
      <c r="Y3" s="9">
        <v>1017955956.5060101</v>
      </c>
      <c r="Z3" s="9">
        <v>16550593.681106601</v>
      </c>
      <c r="AA3" s="9">
        <v>494839078.90872997</v>
      </c>
      <c r="AB3" s="9">
        <v>47847685.418386601</v>
      </c>
      <c r="AC3" s="9">
        <v>325663.127466387</v>
      </c>
      <c r="AD3" s="9">
        <v>147341078.620866</v>
      </c>
      <c r="AE3" s="9">
        <v>14400924.799714999</v>
      </c>
      <c r="AF3" s="9">
        <v>1938693247.37328</v>
      </c>
      <c r="AG3" s="9">
        <v>414552339.12246102</v>
      </c>
      <c r="AH3" s="9">
        <v>486512487.63866901</v>
      </c>
      <c r="AI3" s="9">
        <v>27029200.974277101</v>
      </c>
      <c r="AJ3" s="9">
        <v>3237900652.6709599</v>
      </c>
      <c r="AK3" s="9">
        <v>11216853.1349643</v>
      </c>
      <c r="AL3" s="9">
        <v>3960606140.77033</v>
      </c>
      <c r="AM3" s="9">
        <v>82064745.145640999</v>
      </c>
      <c r="AN3" s="9">
        <v>6865588.0440398203</v>
      </c>
      <c r="AO3" s="9">
        <v>13913907.273869401</v>
      </c>
      <c r="AP3" s="9">
        <v>840671562.95996201</v>
      </c>
      <c r="AQ3" s="9">
        <v>43337649.475782298</v>
      </c>
      <c r="AR3" s="9">
        <v>610788302.59136999</v>
      </c>
      <c r="AS3" s="9">
        <v>1485176699.9937501</v>
      </c>
      <c r="AT3" s="9">
        <v>2144384061.7904699</v>
      </c>
      <c r="AU3" s="9">
        <v>20807607.813662101</v>
      </c>
      <c r="AV3" s="9">
        <v>3540632289.67975</v>
      </c>
      <c r="AW3" s="9">
        <v>16993020.7555256</v>
      </c>
      <c r="AX3" s="9">
        <v>269515442.34522599</v>
      </c>
      <c r="AY3" s="9">
        <v>2793087064.5521898</v>
      </c>
      <c r="AZ3" s="9">
        <v>3251626141.61553</v>
      </c>
      <c r="BA3" s="9">
        <v>89567010.255818993</v>
      </c>
      <c r="BB3" s="9">
        <v>102191162.13566899</v>
      </c>
      <c r="BC3" s="9">
        <v>68456873.360842094</v>
      </c>
      <c r="BD3" s="9">
        <v>918746270.75337398</v>
      </c>
      <c r="BE3" s="10">
        <f>SUM(B3:BD3)</f>
        <v>75988964716.564682</v>
      </c>
      <c r="BH3" s="22">
        <f t="shared" ref="BH3:CM3" si="0">B3/$BE3</f>
        <v>8.9990680402466425E-2</v>
      </c>
      <c r="BI3" s="11">
        <f t="shared" si="0"/>
        <v>1.1120083762135784E-3</v>
      </c>
      <c r="BJ3" s="11">
        <f t="shared" si="0"/>
        <v>5.2919889273260875E-3</v>
      </c>
      <c r="BK3" s="11">
        <f t="shared" si="0"/>
        <v>1.7805719227938685E-4</v>
      </c>
      <c r="BL3" s="11">
        <f t="shared" si="0"/>
        <v>8.5948068793570989E-5</v>
      </c>
      <c r="BM3" s="11">
        <f t="shared" si="0"/>
        <v>1.0319482308930379E-2</v>
      </c>
      <c r="BN3" s="11">
        <f t="shared" si="0"/>
        <v>2.5512826166332388E-2</v>
      </c>
      <c r="BO3" s="11">
        <f t="shared" si="0"/>
        <v>1.2377444921237064E-4</v>
      </c>
      <c r="BP3" s="11">
        <f t="shared" si="0"/>
        <v>7.2618775479897191E-5</v>
      </c>
      <c r="BQ3" s="11">
        <f t="shared" si="0"/>
        <v>7.4769598061674025E-5</v>
      </c>
      <c r="BR3" s="11">
        <f t="shared" si="0"/>
        <v>2.2770038578329276E-6</v>
      </c>
      <c r="BS3" s="11">
        <f t="shared" si="0"/>
        <v>9.7743537080365959E-3</v>
      </c>
      <c r="BT3" s="11">
        <f t="shared" si="0"/>
        <v>9.0087914233577288E-4</v>
      </c>
      <c r="BU3" s="11">
        <f t="shared" si="0"/>
        <v>4.8477903174885463E-5</v>
      </c>
      <c r="BV3" s="11">
        <f t="shared" si="0"/>
        <v>8.7841207901731527E-2</v>
      </c>
      <c r="BW3" s="11">
        <f t="shared" si="0"/>
        <v>2.1985188005689362E-4</v>
      </c>
      <c r="BX3" s="11">
        <f t="shared" si="0"/>
        <v>6.6419201002521707E-4</v>
      </c>
      <c r="BY3" s="11">
        <f t="shared" si="0"/>
        <v>0.19633621509995719</v>
      </c>
      <c r="BZ3" s="11">
        <f t="shared" si="0"/>
        <v>0.16383580258990962</v>
      </c>
      <c r="CA3" s="11">
        <f t="shared" si="0"/>
        <v>9.3511874876184963E-3</v>
      </c>
      <c r="CB3" s="11">
        <f t="shared" si="0"/>
        <v>3.41927544768814E-4</v>
      </c>
      <c r="CC3" s="11">
        <f t="shared" si="0"/>
        <v>1.4412669877545373E-2</v>
      </c>
      <c r="CD3" s="11">
        <f t="shared" si="0"/>
        <v>1.3526169815893193E-2</v>
      </c>
      <c r="CE3" s="11">
        <f t="shared" si="0"/>
        <v>1.3396102451230104E-2</v>
      </c>
      <c r="CF3" s="11">
        <f t="shared" si="0"/>
        <v>2.1780259466410088E-4</v>
      </c>
      <c r="CG3" s="11">
        <f t="shared" si="0"/>
        <v>6.5119860594818838E-3</v>
      </c>
      <c r="CH3" s="11">
        <f t="shared" si="0"/>
        <v>6.2966623636545452E-4</v>
      </c>
      <c r="CI3" s="11">
        <f t="shared" si="0"/>
        <v>4.2856634339090605E-6</v>
      </c>
      <c r="CJ3" s="11">
        <f t="shared" si="0"/>
        <v>1.9389799449228108E-3</v>
      </c>
      <c r="CK3" s="11">
        <f t="shared" si="0"/>
        <v>1.8951337017723274E-4</v>
      </c>
      <c r="CL3" s="11">
        <f t="shared" si="0"/>
        <v>2.5512826166332388E-2</v>
      </c>
      <c r="CM3" s="11">
        <f t="shared" si="0"/>
        <v>5.455428175245209E-3</v>
      </c>
      <c r="CN3" s="11">
        <f t="shared" ref="CN3:DJ3" si="1">AH3/$BE3</f>
        <v>6.4024097374314557E-3</v>
      </c>
      <c r="CO3" s="11">
        <f t="shared" si="1"/>
        <v>3.5569902913001601E-4</v>
      </c>
      <c r="CP3" s="11">
        <f t="shared" si="1"/>
        <v>4.2610142995738648E-2</v>
      </c>
      <c r="CQ3" s="11">
        <f t="shared" si="1"/>
        <v>1.4761160619575017E-4</v>
      </c>
      <c r="CR3" s="11">
        <f t="shared" si="1"/>
        <v>5.2120806692698175E-2</v>
      </c>
      <c r="CS3" s="11">
        <f t="shared" si="1"/>
        <v>1.0799560890418589E-3</v>
      </c>
      <c r="CT3" s="11">
        <f t="shared" si="1"/>
        <v>9.0349803680681072E-5</v>
      </c>
      <c r="CU3" s="11">
        <f t="shared" si="1"/>
        <v>1.8310431423520021E-4</v>
      </c>
      <c r="CV3" s="11">
        <f t="shared" si="1"/>
        <v>1.1063074304218093E-2</v>
      </c>
      <c r="CW3" s="11">
        <f t="shared" si="1"/>
        <v>5.7031504031446829E-4</v>
      </c>
      <c r="CX3" s="11">
        <f t="shared" si="1"/>
        <v>8.0378552974051179E-3</v>
      </c>
      <c r="CY3" s="11">
        <f t="shared" si="1"/>
        <v>1.9544636586817446E-2</v>
      </c>
      <c r="CZ3" s="11">
        <f t="shared" si="1"/>
        <v>2.821967728852371E-2</v>
      </c>
      <c r="DA3" s="11">
        <f t="shared" si="1"/>
        <v>2.7382407289365654E-4</v>
      </c>
      <c r="DB3" s="11">
        <f t="shared" si="1"/>
        <v>4.6594032474138111E-2</v>
      </c>
      <c r="DC3" s="11">
        <f t="shared" si="1"/>
        <v>2.2362484893574718E-4</v>
      </c>
      <c r="DD3" s="11">
        <f t="shared" si="1"/>
        <v>3.5467708153480719E-3</v>
      </c>
      <c r="DE3" s="11">
        <f t="shared" si="1"/>
        <v>3.675648266784888E-2</v>
      </c>
      <c r="DF3" s="11">
        <f t="shared" si="1"/>
        <v>4.2790767761397265E-2</v>
      </c>
      <c r="DG3" s="11">
        <f t="shared" si="1"/>
        <v>1.1786844391142818E-3</v>
      </c>
      <c r="DH3" s="11">
        <f t="shared" si="1"/>
        <v>1.344815823150602E-3</v>
      </c>
      <c r="DI3" s="11">
        <f t="shared" si="1"/>
        <v>9.0087914233577288E-4</v>
      </c>
      <c r="DJ3" s="11">
        <f t="shared" si="1"/>
        <v>1.2090522277547207E-2</v>
      </c>
    </row>
    <row r="4" spans="1:114" x14ac:dyDescent="0.25">
      <c r="A4" s="1" t="s">
        <v>1</v>
      </c>
      <c r="B4" s="9">
        <v>6787636289.6455698</v>
      </c>
      <c r="C4" s="9">
        <v>82130689.335664704</v>
      </c>
      <c r="D4" s="9">
        <v>382098031.52089602</v>
      </c>
      <c r="E4" s="9">
        <v>12722329.570952101</v>
      </c>
      <c r="F4" s="9">
        <v>6918242.2128029903</v>
      </c>
      <c r="G4" s="9">
        <v>784325777.83303702</v>
      </c>
      <c r="H4" s="9">
        <v>1855375494.1832399</v>
      </c>
      <c r="I4" s="9">
        <v>6424946.6739922902</v>
      </c>
      <c r="J4" s="9">
        <v>5477325.7441805396</v>
      </c>
      <c r="K4" s="9">
        <v>5609170.6654648799</v>
      </c>
      <c r="L4" s="9">
        <v>297210.648118007</v>
      </c>
      <c r="M4" s="9">
        <v>751245437.98232806</v>
      </c>
      <c r="N4" s="9">
        <v>63472388.0787552</v>
      </c>
      <c r="O4" s="9">
        <v>3843190.5571083501</v>
      </c>
      <c r="P4" s="9">
        <v>6708464511.1705103</v>
      </c>
      <c r="Q4" s="9">
        <v>17626125.4459645</v>
      </c>
      <c r="R4" s="9">
        <v>57150082.441833504</v>
      </c>
      <c r="S4" s="9">
        <v>14394856456.267799</v>
      </c>
      <c r="T4" s="9">
        <v>12771056503.1518</v>
      </c>
      <c r="U4" s="9">
        <v>723727469.94053304</v>
      </c>
      <c r="V4" s="9">
        <v>24165075.748122901</v>
      </c>
      <c r="W4" s="9">
        <v>1053979957.44231</v>
      </c>
      <c r="X4" s="9">
        <v>1141357344.04635</v>
      </c>
      <c r="Y4" s="9">
        <v>1103991243.86391</v>
      </c>
      <c r="Z4" s="9">
        <v>15571960.588322001</v>
      </c>
      <c r="AA4" s="9">
        <v>487640343.11839497</v>
      </c>
      <c r="AB4" s="9">
        <v>46176636.960442603</v>
      </c>
      <c r="AC4" s="9">
        <v>311854.26717955002</v>
      </c>
      <c r="AD4" s="9">
        <v>155416946.22584999</v>
      </c>
      <c r="AE4" s="9">
        <v>15250584.467587201</v>
      </c>
      <c r="AF4" s="9">
        <v>1855375494.1832399</v>
      </c>
      <c r="AG4" s="9">
        <v>422618965.29485601</v>
      </c>
      <c r="AH4" s="9">
        <v>471860676.701599</v>
      </c>
      <c r="AI4" s="9">
        <v>27814500.5810179</v>
      </c>
      <c r="AJ4" s="9">
        <v>3024584998.6703801</v>
      </c>
      <c r="AK4" s="9">
        <v>9457728.78927375</v>
      </c>
      <c r="AL4" s="9">
        <v>3877504786.1149201</v>
      </c>
      <c r="AM4" s="9">
        <v>77885499.704225704</v>
      </c>
      <c r="AN4" s="9">
        <v>6471545.4003817001</v>
      </c>
      <c r="AO4" s="9">
        <v>15996733.8065769</v>
      </c>
      <c r="AP4" s="9">
        <v>937555263.27356899</v>
      </c>
      <c r="AQ4" s="9">
        <v>46438835.2648203</v>
      </c>
      <c r="AR4" s="9">
        <v>644118427.90640199</v>
      </c>
      <c r="AS4" s="9">
        <v>1572545523.6124799</v>
      </c>
      <c r="AT4" s="9">
        <v>2318657766.24055</v>
      </c>
      <c r="AU4" s="9">
        <v>21841007.113952801</v>
      </c>
      <c r="AV4" s="9">
        <v>3257589740.9110599</v>
      </c>
      <c r="AW4" s="9">
        <v>15834587.111524001</v>
      </c>
      <c r="AX4" s="9">
        <v>289286595.103778</v>
      </c>
      <c r="AY4" s="9">
        <v>2656772610.38557</v>
      </c>
      <c r="AZ4" s="9">
        <v>3062401221.9607401</v>
      </c>
      <c r="BA4" s="9">
        <v>89066539.847471297</v>
      </c>
      <c r="BB4" s="9">
        <v>98005113.829017594</v>
      </c>
      <c r="BC4" s="9">
        <v>63472388.0787552</v>
      </c>
      <c r="BD4" s="9">
        <v>965155489.67172003</v>
      </c>
      <c r="BE4" s="10">
        <f t="shared" ref="BE4:BE27" si="2">SUM(B4:BD4)</f>
        <v>75292631659.356888</v>
      </c>
      <c r="BH4" s="11">
        <f t="shared" ref="BH4:BH26" si="3">B4/$BE4</f>
        <v>9.0150073653349927E-2</v>
      </c>
      <c r="BI4" s="11">
        <f t="shared" ref="BI4:BR7" si="4">C4/$BE4</f>
        <v>1.0908197459114583E-3</v>
      </c>
      <c r="BJ4" s="11">
        <f t="shared" si="4"/>
        <v>5.0748396370259071E-3</v>
      </c>
      <c r="BK4" s="11">
        <f t="shared" si="4"/>
        <v>1.6897177440298769E-4</v>
      </c>
      <c r="BL4" s="11">
        <f t="shared" si="4"/>
        <v>9.1884717804829644E-5</v>
      </c>
      <c r="BM4" s="11">
        <f t="shared" si="4"/>
        <v>1.0417032325042474E-2</v>
      </c>
      <c r="BN4" s="11">
        <f t="shared" si="4"/>
        <v>2.4642192114859698E-2</v>
      </c>
      <c r="BO4" s="11">
        <f t="shared" si="4"/>
        <v>8.5333007126917699E-5</v>
      </c>
      <c r="BP4" s="11">
        <f t="shared" si="4"/>
        <v>7.2747168261581846E-5</v>
      </c>
      <c r="BQ4" s="11">
        <f t="shared" si="4"/>
        <v>7.4498268181702056E-5</v>
      </c>
      <c r="BR4" s="11">
        <f t="shared" si="4"/>
        <v>3.9474068254469303E-6</v>
      </c>
      <c r="BS4" s="11">
        <f t="shared" ref="BS4:CB7" si="5">M4/$BE4</f>
        <v>9.9776753903510033E-3</v>
      </c>
      <c r="BT4" s="11">
        <f t="shared" si="5"/>
        <v>8.4300929161196692E-4</v>
      </c>
      <c r="BU4" s="11">
        <f t="shared" si="5"/>
        <v>5.1043381967254469E-5</v>
      </c>
      <c r="BV4" s="11">
        <f t="shared" si="5"/>
        <v>8.9098552717898322E-2</v>
      </c>
      <c r="BW4" s="11">
        <f t="shared" si="5"/>
        <v>2.3410159875550103E-4</v>
      </c>
      <c r="BX4" s="11">
        <f t="shared" si="5"/>
        <v>7.5903951266300643E-4</v>
      </c>
      <c r="BY4" s="11">
        <f t="shared" si="5"/>
        <v>0.19118546050287907</v>
      </c>
      <c r="BZ4" s="11">
        <f t="shared" si="5"/>
        <v>0.16961894174361344</v>
      </c>
      <c r="CA4" s="11">
        <f t="shared" si="5"/>
        <v>9.6121951642607097E-3</v>
      </c>
      <c r="CB4" s="11">
        <f t="shared" si="5"/>
        <v>3.2094874645173619E-4</v>
      </c>
      <c r="CC4" s="11">
        <f t="shared" ref="CC4:CL7" si="6">W4/$BE4</f>
        <v>1.3998447579980797E-2</v>
      </c>
      <c r="CD4" s="11">
        <f t="shared" si="6"/>
        <v>1.5158951399256999E-2</v>
      </c>
      <c r="CE4" s="11">
        <f t="shared" si="6"/>
        <v>1.4662673086772269E-2</v>
      </c>
      <c r="CF4" s="11">
        <f t="shared" si="6"/>
        <v>2.0681918330034646E-4</v>
      </c>
      <c r="CG4" s="11">
        <f t="shared" si="6"/>
        <v>6.4766011277784061E-3</v>
      </c>
      <c r="CH4" s="11">
        <f t="shared" si="6"/>
        <v>6.132955634936166E-4</v>
      </c>
      <c r="CI4" s="11">
        <f t="shared" si="6"/>
        <v>4.141896229507005E-6</v>
      </c>
      <c r="CJ4" s="11">
        <f t="shared" si="6"/>
        <v>2.06417205509559E-3</v>
      </c>
      <c r="CK4" s="11">
        <f t="shared" si="6"/>
        <v>2.0255082245743174E-4</v>
      </c>
      <c r="CL4" s="11">
        <f t="shared" si="6"/>
        <v>2.4642192114859698E-2</v>
      </c>
      <c r="CM4" s="11">
        <f t="shared" ref="CM4:CV7" si="7">AG4/$BE4</f>
        <v>5.6130189100959075E-3</v>
      </c>
      <c r="CN4" s="11">
        <f t="shared" si="7"/>
        <v>6.2670232969995968E-3</v>
      </c>
      <c r="CO4" s="11">
        <f t="shared" si="7"/>
        <v>3.6941862660423149E-4</v>
      </c>
      <c r="CP4" s="11">
        <f t="shared" si="7"/>
        <v>4.0171062320604967E-2</v>
      </c>
      <c r="CQ4" s="11">
        <f t="shared" si="7"/>
        <v>1.2561293955114935E-4</v>
      </c>
      <c r="CR4" s="11">
        <f t="shared" si="7"/>
        <v>5.1499126815725382E-2</v>
      </c>
      <c r="CS4" s="11">
        <f t="shared" si="7"/>
        <v>1.0344372083658812E-3</v>
      </c>
      <c r="CT4" s="11">
        <f t="shared" si="7"/>
        <v>8.5951908676278255E-5</v>
      </c>
      <c r="CU4" s="11">
        <f t="shared" si="7"/>
        <v>2.124608139472427E-4</v>
      </c>
      <c r="CV4" s="11">
        <f t="shared" si="7"/>
        <v>1.2452151593203816E-2</v>
      </c>
      <c r="CW4" s="11">
        <f t="shared" ref="CW4:DF7" si="8">AQ4/$BE4</f>
        <v>6.1677795345129469E-4</v>
      </c>
      <c r="CX4" s="11">
        <f t="shared" si="8"/>
        <v>8.5548667075492652E-3</v>
      </c>
      <c r="CY4" s="11">
        <f t="shared" si="8"/>
        <v>2.0885782432563626E-2</v>
      </c>
      <c r="CZ4" s="11">
        <f t="shared" si="8"/>
        <v>3.0795281226597981E-2</v>
      </c>
      <c r="DA4" s="11">
        <f t="shared" si="8"/>
        <v>2.9008160071714717E-4</v>
      </c>
      <c r="DB4" s="11">
        <f t="shared" si="8"/>
        <v>4.3265717628907283E-2</v>
      </c>
      <c r="DC4" s="11">
        <f t="shared" si="8"/>
        <v>2.1030726065152989E-4</v>
      </c>
      <c r="DD4" s="11">
        <f t="shared" si="8"/>
        <v>3.8421634192916049E-3</v>
      </c>
      <c r="DE4" s="11">
        <f t="shared" si="8"/>
        <v>3.5285957627374326E-2</v>
      </c>
      <c r="DF4" s="11">
        <f t="shared" si="8"/>
        <v>4.0673318948603446E-2</v>
      </c>
      <c r="DG4" s="11">
        <f t="shared" ref="DG4:DI7" si="9">BA4/$BE4</f>
        <v>1.1829383285529333E-3</v>
      </c>
      <c r="DH4" s="11">
        <f t="shared" si="9"/>
        <v>1.3016561072326145E-3</v>
      </c>
      <c r="DI4" s="11">
        <f t="shared" si="9"/>
        <v>8.4300929161196692E-4</v>
      </c>
      <c r="DJ4" s="11">
        <f t="shared" ref="DJ4:DJ26" si="10">BD4/$BE4</f>
        <v>1.28187243346511E-2</v>
      </c>
    </row>
    <row r="5" spans="1:114" x14ac:dyDescent="0.25">
      <c r="A5" s="1" t="s">
        <v>2</v>
      </c>
      <c r="B5" s="9">
        <v>6719637070.3976297</v>
      </c>
      <c r="C5" s="9">
        <v>80885026.776442096</v>
      </c>
      <c r="D5" s="9">
        <v>401894541.757626</v>
      </c>
      <c r="E5" s="9">
        <v>12909342.280585701</v>
      </c>
      <c r="F5" s="9">
        <v>5667525.4584823698</v>
      </c>
      <c r="G5" s="9">
        <v>830816016.62397397</v>
      </c>
      <c r="H5" s="9">
        <v>1863829054.4656601</v>
      </c>
      <c r="I5" s="9">
        <v>5860795.6210248005</v>
      </c>
      <c r="J5" s="9">
        <v>5145769.8098410396</v>
      </c>
      <c r="K5" s="9">
        <v>4964288.5246635797</v>
      </c>
      <c r="L5" s="9">
        <v>352569.42038882797</v>
      </c>
      <c r="M5" s="9">
        <v>739109453.72446799</v>
      </c>
      <c r="N5" s="9">
        <v>65393258.198807202</v>
      </c>
      <c r="O5" s="9">
        <v>3873585.4434968098</v>
      </c>
      <c r="P5" s="9">
        <v>6262575477.3786201</v>
      </c>
      <c r="Q5" s="9">
        <v>17998698.14928</v>
      </c>
      <c r="R5" s="9">
        <v>47639703.920348503</v>
      </c>
      <c r="S5" s="9">
        <v>14332475781.1656</v>
      </c>
      <c r="T5" s="9">
        <v>11946077123.931801</v>
      </c>
      <c r="U5" s="9">
        <v>701703036.65058398</v>
      </c>
      <c r="V5" s="9">
        <v>24498412.313701801</v>
      </c>
      <c r="W5" s="9">
        <v>1059558807.86601</v>
      </c>
      <c r="X5" s="9">
        <v>1042909242.23053</v>
      </c>
      <c r="Y5" s="9">
        <v>1057142243.95164</v>
      </c>
      <c r="Z5" s="9">
        <v>15346098.754004</v>
      </c>
      <c r="AA5" s="9">
        <v>558470214.982728</v>
      </c>
      <c r="AB5" s="9">
        <v>43105981.299165703</v>
      </c>
      <c r="AC5" s="9">
        <v>396979.43839757598</v>
      </c>
      <c r="AD5" s="9">
        <v>152951060.59138799</v>
      </c>
      <c r="AE5" s="9">
        <v>15118302.70053</v>
      </c>
      <c r="AF5" s="9">
        <v>1863829054.4656601</v>
      </c>
      <c r="AG5" s="9">
        <v>463480916.48114997</v>
      </c>
      <c r="AH5" s="9">
        <v>456488437.66668802</v>
      </c>
      <c r="AI5" s="9">
        <v>26605538.9735258</v>
      </c>
      <c r="AJ5" s="9">
        <v>3022547086.5155702</v>
      </c>
      <c r="AK5" s="9">
        <v>10753010.862865699</v>
      </c>
      <c r="AL5" s="9">
        <v>3934427400.2045598</v>
      </c>
      <c r="AM5" s="9">
        <v>84028802.890081301</v>
      </c>
      <c r="AN5" s="9">
        <v>7587556.92458033</v>
      </c>
      <c r="AO5" s="9">
        <v>16528322.219402101</v>
      </c>
      <c r="AP5" s="9">
        <v>928579077.43882501</v>
      </c>
      <c r="AQ5" s="9">
        <v>48307882.0653814</v>
      </c>
      <c r="AR5" s="9">
        <v>643359674.34882998</v>
      </c>
      <c r="AS5" s="9">
        <v>1545536464.75353</v>
      </c>
      <c r="AT5" s="9">
        <v>2142219465.79686</v>
      </c>
      <c r="AU5" s="9">
        <v>21568126.5290806</v>
      </c>
      <c r="AV5" s="9">
        <v>3292558965.1311102</v>
      </c>
      <c r="AW5" s="9">
        <v>16467071.3248946</v>
      </c>
      <c r="AX5" s="9">
        <v>284713256.60760701</v>
      </c>
      <c r="AY5" s="9">
        <v>2704771117.80723</v>
      </c>
      <c r="AZ5" s="9">
        <v>3358229264.9012499</v>
      </c>
      <c r="BA5" s="9">
        <v>92417056.463421702</v>
      </c>
      <c r="BB5" s="9">
        <v>98239089.393722504</v>
      </c>
      <c r="BC5" s="9">
        <v>65393258.198807202</v>
      </c>
      <c r="BD5" s="9">
        <v>373303415.930471</v>
      </c>
      <c r="BE5" s="10">
        <f t="shared" si="2"/>
        <v>73520244777.722534</v>
      </c>
      <c r="BH5" s="11">
        <f t="shared" si="3"/>
        <v>9.1398458896776627E-2</v>
      </c>
      <c r="BI5" s="11">
        <f t="shared" si="4"/>
        <v>1.1001735239182877E-3</v>
      </c>
      <c r="BJ5" s="11">
        <f t="shared" si="4"/>
        <v>5.4664472754775784E-3</v>
      </c>
      <c r="BK5" s="11">
        <f t="shared" si="4"/>
        <v>1.7558894586946992E-4</v>
      </c>
      <c r="BL5" s="11">
        <f t="shared" si="4"/>
        <v>7.7087956869802132E-5</v>
      </c>
      <c r="BM5" s="11">
        <f t="shared" si="4"/>
        <v>1.130050667181294E-2</v>
      </c>
      <c r="BN5" s="11">
        <f t="shared" si="4"/>
        <v>2.5351235705221992E-2</v>
      </c>
      <c r="BO5" s="11">
        <f t="shared" si="4"/>
        <v>7.971675881580699E-5</v>
      </c>
      <c r="BP5" s="11">
        <f t="shared" si="4"/>
        <v>6.9991195287753797E-5</v>
      </c>
      <c r="BQ5" s="11">
        <f t="shared" si="4"/>
        <v>6.7522742064751872E-5</v>
      </c>
      <c r="BR5" s="11">
        <f t="shared" si="4"/>
        <v>4.7955419824127203E-6</v>
      </c>
      <c r="BS5" s="11">
        <f t="shared" si="5"/>
        <v>1.0053141906138301E-2</v>
      </c>
      <c r="BT5" s="11">
        <f t="shared" si="5"/>
        <v>8.894592012922963E-4</v>
      </c>
      <c r="BU5" s="11">
        <f t="shared" si="5"/>
        <v>5.2687330614962123E-5</v>
      </c>
      <c r="BV5" s="11">
        <f t="shared" si="5"/>
        <v>8.5181646175316483E-2</v>
      </c>
      <c r="BW5" s="11">
        <f t="shared" si="5"/>
        <v>2.4481281589440262E-4</v>
      </c>
      <c r="BX5" s="11">
        <f t="shared" si="5"/>
        <v>6.4798075774067428E-4</v>
      </c>
      <c r="BY5" s="11">
        <f t="shared" si="5"/>
        <v>0.19494597473794731</v>
      </c>
      <c r="BZ5" s="11">
        <f t="shared" si="5"/>
        <v>0.16248690629430002</v>
      </c>
      <c r="CA5" s="11">
        <f t="shared" si="5"/>
        <v>9.544351202475973E-3</v>
      </c>
      <c r="CB5" s="11">
        <f t="shared" si="5"/>
        <v>3.3321995033842839E-4</v>
      </c>
      <c r="CC5" s="11">
        <f t="shared" si="6"/>
        <v>1.4411796520392818E-2</v>
      </c>
      <c r="CD5" s="11">
        <f t="shared" si="6"/>
        <v>1.4185334194460454E-2</v>
      </c>
      <c r="CE5" s="11">
        <f t="shared" si="6"/>
        <v>1.4378927153299768E-2</v>
      </c>
      <c r="CF5" s="11">
        <f t="shared" si="6"/>
        <v>2.0873296600685477E-4</v>
      </c>
      <c r="CG5" s="11">
        <f t="shared" si="6"/>
        <v>7.5961419425517309E-3</v>
      </c>
      <c r="CH5" s="11">
        <f t="shared" si="6"/>
        <v>5.8631444208993313E-4</v>
      </c>
      <c r="CI5" s="11">
        <f t="shared" si="6"/>
        <v>5.3995935350566901E-6</v>
      </c>
      <c r="CJ5" s="11">
        <f t="shared" si="6"/>
        <v>2.0803937888647221E-3</v>
      </c>
      <c r="CK5" s="11">
        <f t="shared" si="6"/>
        <v>2.0563455339733875E-4</v>
      </c>
      <c r="CL5" s="11">
        <f t="shared" si="6"/>
        <v>2.5351235705221992E-2</v>
      </c>
      <c r="CM5" s="11">
        <f t="shared" si="7"/>
        <v>6.3041264060316338E-3</v>
      </c>
      <c r="CN5" s="11">
        <f t="shared" si="7"/>
        <v>6.2090168367476542E-3</v>
      </c>
      <c r="CO5" s="11">
        <f t="shared" si="7"/>
        <v>3.6188044604535346E-4</v>
      </c>
      <c r="CP5" s="11">
        <f t="shared" si="7"/>
        <v>4.1111765822513094E-2</v>
      </c>
      <c r="CQ5" s="11">
        <f t="shared" si="7"/>
        <v>1.4625918201681483E-4</v>
      </c>
      <c r="CR5" s="11">
        <f t="shared" si="7"/>
        <v>5.3514884398164243E-2</v>
      </c>
      <c r="CS5" s="11">
        <f t="shared" si="7"/>
        <v>1.1429342100822682E-3</v>
      </c>
      <c r="CT5" s="11">
        <f t="shared" si="7"/>
        <v>1.0320364067775038E-4</v>
      </c>
      <c r="CU5" s="11">
        <f t="shared" si="7"/>
        <v>2.2481320987672185E-4</v>
      </c>
      <c r="CV5" s="11">
        <f t="shared" si="7"/>
        <v>1.2630250079365826E-2</v>
      </c>
      <c r="CW5" s="11">
        <f t="shared" si="8"/>
        <v>6.5706911356773988E-4</v>
      </c>
      <c r="CX5" s="11">
        <f t="shared" si="8"/>
        <v>8.7507825401551883E-3</v>
      </c>
      <c r="CY5" s="11">
        <f t="shared" si="8"/>
        <v>2.1021916744513411E-2</v>
      </c>
      <c r="CZ5" s="11">
        <f t="shared" si="8"/>
        <v>2.9137817376336819E-2</v>
      </c>
      <c r="DA5" s="11">
        <f t="shared" si="8"/>
        <v>2.9336309467261165E-4</v>
      </c>
      <c r="DB5" s="11">
        <f t="shared" si="8"/>
        <v>4.478438524090432E-2</v>
      </c>
      <c r="DC5" s="11">
        <f t="shared" si="8"/>
        <v>2.2398009384599205E-4</v>
      </c>
      <c r="DD5" s="11">
        <f t="shared" si="8"/>
        <v>3.8725830887586807E-3</v>
      </c>
      <c r="DE5" s="11">
        <f t="shared" si="8"/>
        <v>3.6789473783509573E-2</v>
      </c>
      <c r="DF5" s="11">
        <f t="shared" si="8"/>
        <v>4.5677612677356476E-2</v>
      </c>
      <c r="DG5" s="11">
        <f t="shared" si="9"/>
        <v>1.2570286829543462E-3</v>
      </c>
      <c r="DH5" s="11">
        <f t="shared" si="9"/>
        <v>1.3362182034449654E-3</v>
      </c>
      <c r="DI5" s="11">
        <f t="shared" si="9"/>
        <v>8.894592012922963E-4</v>
      </c>
      <c r="DJ5" s="11">
        <f t="shared" si="10"/>
        <v>5.0775594811891343E-3</v>
      </c>
    </row>
    <row r="6" spans="1:114" x14ac:dyDescent="0.25">
      <c r="A6" s="1" t="s">
        <v>3</v>
      </c>
      <c r="B6" s="9">
        <v>6911819947.9118605</v>
      </c>
      <c r="C6" s="9">
        <v>84539747.570964605</v>
      </c>
      <c r="D6" s="9">
        <v>402506410.32927102</v>
      </c>
      <c r="E6" s="9">
        <v>12731477.018739801</v>
      </c>
      <c r="F6" s="9">
        <v>6426092.5428125197</v>
      </c>
      <c r="G6" s="9">
        <v>773834492.66732204</v>
      </c>
      <c r="H6" s="9">
        <v>1850990221.8622401</v>
      </c>
      <c r="I6" s="9">
        <v>6691270.70591434</v>
      </c>
      <c r="J6" s="9">
        <v>5490888.1565493904</v>
      </c>
      <c r="K6" s="9">
        <v>5798428.1494354801</v>
      </c>
      <c r="L6" s="9">
        <v>89829.578501952594</v>
      </c>
      <c r="M6" s="9">
        <v>716775473.88786697</v>
      </c>
      <c r="N6" s="9">
        <v>65896065.102317601</v>
      </c>
      <c r="O6" s="9">
        <v>4221587.7994803302</v>
      </c>
      <c r="P6" s="9">
        <v>6555122229.1284199</v>
      </c>
      <c r="Q6" s="9">
        <v>16933145.6292735</v>
      </c>
      <c r="R6" s="9">
        <v>50881935.189021498</v>
      </c>
      <c r="S6" s="9">
        <v>14642166579.869301</v>
      </c>
      <c r="T6" s="9">
        <v>12537418186.223301</v>
      </c>
      <c r="U6" s="9">
        <v>696573972.20009804</v>
      </c>
      <c r="V6" s="9">
        <v>24543223.171572</v>
      </c>
      <c r="W6" s="9">
        <v>1067375064.49231</v>
      </c>
      <c r="X6" s="9">
        <v>1035007986.80928</v>
      </c>
      <c r="Y6" s="9">
        <v>935655509.62965298</v>
      </c>
      <c r="Z6" s="9">
        <v>14373518.500364499</v>
      </c>
      <c r="AA6" s="9">
        <v>530177374.95528603</v>
      </c>
      <c r="AB6" s="9">
        <v>46922696.2633669</v>
      </c>
      <c r="AC6" s="9">
        <v>261811.42504502999</v>
      </c>
      <c r="AD6" s="9">
        <v>160799144.551954</v>
      </c>
      <c r="AE6" s="9">
        <v>14559862.9180078</v>
      </c>
      <c r="AF6" s="9">
        <v>1850990221.8622401</v>
      </c>
      <c r="AG6" s="9">
        <v>419991451.48695201</v>
      </c>
      <c r="AH6" s="9">
        <v>461167484.20708501</v>
      </c>
      <c r="AI6" s="9">
        <v>29067701.824780598</v>
      </c>
      <c r="AJ6" s="9">
        <v>3083120916.6462498</v>
      </c>
      <c r="AK6" s="9">
        <v>9524614.2525999602</v>
      </c>
      <c r="AL6" s="9">
        <v>4101128486.4774499</v>
      </c>
      <c r="AM6" s="9">
        <v>82850525.394039199</v>
      </c>
      <c r="AN6" s="9">
        <v>7072908.24420112</v>
      </c>
      <c r="AO6" s="9">
        <v>16206822.8498512</v>
      </c>
      <c r="AP6" s="9">
        <v>891674752.13109398</v>
      </c>
      <c r="AQ6" s="9">
        <v>47165057.762571797</v>
      </c>
      <c r="AR6" s="9">
        <v>617897469.90173805</v>
      </c>
      <c r="AS6" s="9">
        <v>1548397139.7790201</v>
      </c>
      <c r="AT6" s="9">
        <v>1977135373.8350699</v>
      </c>
      <c r="AU6" s="9">
        <v>21681024.356005698</v>
      </c>
      <c r="AV6" s="9">
        <v>3276809581.8343801</v>
      </c>
      <c r="AW6" s="9">
        <v>15382737.876364101</v>
      </c>
      <c r="AX6" s="9">
        <v>277719279.75252301</v>
      </c>
      <c r="AY6" s="9">
        <v>2799373013.75668</v>
      </c>
      <c r="AZ6" s="9">
        <v>3195042928.6329598</v>
      </c>
      <c r="BA6" s="9">
        <v>89215521.3077503</v>
      </c>
      <c r="BB6" s="9">
        <v>99574991.223458096</v>
      </c>
      <c r="BC6" s="9">
        <v>65896065.102317601</v>
      </c>
      <c r="BD6" s="9">
        <v>234358600.22757199</v>
      </c>
      <c r="BE6" s="10">
        <f t="shared" si="2"/>
        <v>74395028844.964508</v>
      </c>
      <c r="BH6" s="11">
        <f t="shared" si="3"/>
        <v>9.2907013482254913E-2</v>
      </c>
      <c r="BI6" s="11">
        <f t="shared" si="4"/>
        <v>1.1363628576197098E-3</v>
      </c>
      <c r="BJ6" s="11">
        <f t="shared" si="4"/>
        <v>5.4103939010236033E-3</v>
      </c>
      <c r="BK6" s="11">
        <f t="shared" si="4"/>
        <v>1.7113343749448041E-4</v>
      </c>
      <c r="BL6" s="11">
        <f t="shared" si="4"/>
        <v>8.6377983080081509E-5</v>
      </c>
      <c r="BM6" s="11">
        <f t="shared" si="4"/>
        <v>1.040169625150565E-2</v>
      </c>
      <c r="BN6" s="11">
        <f t="shared" si="4"/>
        <v>2.4880563266123742E-2</v>
      </c>
      <c r="BO6" s="11">
        <f t="shared" si="4"/>
        <v>8.994244386756823E-5</v>
      </c>
      <c r="BP6" s="11">
        <f t="shared" si="4"/>
        <v>7.3807191714276026E-5</v>
      </c>
      <c r="BQ6" s="11">
        <f t="shared" si="4"/>
        <v>7.7941069980886921E-5</v>
      </c>
      <c r="BR6" s="11">
        <f t="shared" si="4"/>
        <v>1.2074674866939418E-6</v>
      </c>
      <c r="BS6" s="11">
        <f t="shared" si="5"/>
        <v>9.6347227095185482E-3</v>
      </c>
      <c r="BT6" s="11">
        <f t="shared" si="5"/>
        <v>8.857589831659543E-4</v>
      </c>
      <c r="BU6" s="11">
        <f t="shared" si="5"/>
        <v>5.6745563043975782E-5</v>
      </c>
      <c r="BV6" s="11">
        <f t="shared" si="5"/>
        <v>8.8112368943212116E-2</v>
      </c>
      <c r="BW6" s="11">
        <f t="shared" si="5"/>
        <v>2.2761125161415452E-4</v>
      </c>
      <c r="BX6" s="11">
        <f t="shared" si="5"/>
        <v>6.8394267707129854E-4</v>
      </c>
      <c r="BY6" s="11">
        <f t="shared" si="5"/>
        <v>0.19681646485254867</v>
      </c>
      <c r="BZ6" s="11">
        <f t="shared" si="5"/>
        <v>0.16852494556256775</v>
      </c>
      <c r="CA6" s="11">
        <f t="shared" si="5"/>
        <v>9.3631790055720403E-3</v>
      </c>
      <c r="CB6" s="11">
        <f t="shared" si="5"/>
        <v>3.2990407494456168E-4</v>
      </c>
      <c r="CC6" s="11">
        <f t="shared" si="6"/>
        <v>1.4347397683206305E-2</v>
      </c>
      <c r="CD6" s="11">
        <f t="shared" si="6"/>
        <v>1.3912327246571602E-2</v>
      </c>
      <c r="CE6" s="11">
        <f t="shared" si="6"/>
        <v>1.2576855257083264E-2</v>
      </c>
      <c r="CF6" s="11">
        <f t="shared" si="6"/>
        <v>1.9320536228728652E-4</v>
      </c>
      <c r="CG6" s="11">
        <f t="shared" si="6"/>
        <v>7.1265161555370713E-3</v>
      </c>
      <c r="CH6" s="11">
        <f t="shared" si="6"/>
        <v>6.307235441920647E-4</v>
      </c>
      <c r="CI6" s="11">
        <f t="shared" si="6"/>
        <v>3.5192059081075405E-6</v>
      </c>
      <c r="CJ6" s="11">
        <f t="shared" si="6"/>
        <v>2.1614232435752034E-3</v>
      </c>
      <c r="CK6" s="11">
        <f t="shared" si="6"/>
        <v>1.957101589186802E-4</v>
      </c>
      <c r="CL6" s="11">
        <f t="shared" si="6"/>
        <v>2.4880563266123742E-2</v>
      </c>
      <c r="CM6" s="11">
        <f t="shared" si="7"/>
        <v>5.6454235989637563E-3</v>
      </c>
      <c r="CN6" s="11">
        <f t="shared" si="7"/>
        <v>6.1989018805024571E-3</v>
      </c>
      <c r="CO6" s="11">
        <f t="shared" si="7"/>
        <v>3.9072102365006434E-4</v>
      </c>
      <c r="CP6" s="11">
        <f t="shared" si="7"/>
        <v>4.1442566318124811E-2</v>
      </c>
      <c r="CQ6" s="11">
        <f t="shared" si="7"/>
        <v>1.2802756313797225E-4</v>
      </c>
      <c r="CR6" s="11">
        <f t="shared" si="7"/>
        <v>5.5126378067867882E-2</v>
      </c>
      <c r="CS6" s="11">
        <f t="shared" si="7"/>
        <v>1.1136567413219977E-3</v>
      </c>
      <c r="CT6" s="11">
        <f t="shared" si="7"/>
        <v>9.507232343360878E-5</v>
      </c>
      <c r="CU6" s="11">
        <f t="shared" si="7"/>
        <v>2.1784819633077101E-4</v>
      </c>
      <c r="CV6" s="11">
        <f t="shared" si="7"/>
        <v>1.1985676542841312E-2</v>
      </c>
      <c r="CW6" s="11">
        <f t="shared" si="8"/>
        <v>6.3398130889714955E-4</v>
      </c>
      <c r="CX6" s="11">
        <f t="shared" si="8"/>
        <v>8.3056284740396467E-3</v>
      </c>
      <c r="CY6" s="11">
        <f t="shared" si="8"/>
        <v>2.0813180179092367E-2</v>
      </c>
      <c r="CZ6" s="11">
        <f t="shared" si="8"/>
        <v>2.6576175915669319E-2</v>
      </c>
      <c r="DA6" s="11">
        <f t="shared" si="8"/>
        <v>2.9143109012280726E-4</v>
      </c>
      <c r="DB6" s="11">
        <f t="shared" si="8"/>
        <v>4.4046082550261337E-2</v>
      </c>
      <c r="DC6" s="11">
        <f t="shared" si="8"/>
        <v>2.0677104525923301E-4</v>
      </c>
      <c r="DD6" s="11">
        <f t="shared" si="8"/>
        <v>3.7330354469150887E-3</v>
      </c>
      <c r="DE6" s="11">
        <f t="shared" si="8"/>
        <v>3.7628495575832525E-2</v>
      </c>
      <c r="DF6" s="11">
        <f t="shared" si="8"/>
        <v>4.2946994957032254E-2</v>
      </c>
      <c r="DG6" s="11">
        <f t="shared" si="9"/>
        <v>1.1992134782778424E-3</v>
      </c>
      <c r="DH6" s="11">
        <f t="shared" si="9"/>
        <v>1.338462969494472E-3</v>
      </c>
      <c r="DI6" s="11">
        <f t="shared" si="9"/>
        <v>8.857589831659543E-4</v>
      </c>
      <c r="DJ6" s="11">
        <f t="shared" si="10"/>
        <v>3.1501916709510726E-3</v>
      </c>
    </row>
    <row r="7" spans="1:114" x14ac:dyDescent="0.25">
      <c r="A7" s="1" t="s">
        <v>4</v>
      </c>
      <c r="B7" s="9">
        <v>7249333704.1431198</v>
      </c>
      <c r="C7" s="9">
        <v>92511170.824016407</v>
      </c>
      <c r="D7" s="9">
        <v>416345360.58011103</v>
      </c>
      <c r="E7" s="9">
        <v>13399654.6008648</v>
      </c>
      <c r="F7" s="9">
        <v>6403126.4512098497</v>
      </c>
      <c r="G7" s="9">
        <v>842110545.25593305</v>
      </c>
      <c r="H7" s="9">
        <v>1878351441.5933499</v>
      </c>
      <c r="I7" s="9">
        <v>6887120.3106398201</v>
      </c>
      <c r="J7" s="9">
        <v>5838382.3773615202</v>
      </c>
      <c r="K7" s="9">
        <v>6883981.7444807999</v>
      </c>
      <c r="L7" s="9">
        <v>63108.868461328901</v>
      </c>
      <c r="M7" s="9">
        <v>752885158.744946</v>
      </c>
      <c r="N7" s="9">
        <v>64591597.944698699</v>
      </c>
      <c r="O7" s="9">
        <v>3478421.7082967702</v>
      </c>
      <c r="P7" s="9">
        <v>7208797560.1494303</v>
      </c>
      <c r="Q7" s="9">
        <v>19246274.010357499</v>
      </c>
      <c r="R7" s="9">
        <v>55154784.900232702</v>
      </c>
      <c r="S7" s="9">
        <v>15001187623.4224</v>
      </c>
      <c r="T7" s="9">
        <v>12713836557.2607</v>
      </c>
      <c r="U7" s="9">
        <v>699927015.71612704</v>
      </c>
      <c r="V7" s="9">
        <v>25983891.992896799</v>
      </c>
      <c r="W7" s="9">
        <v>1080712123.8290401</v>
      </c>
      <c r="X7" s="9">
        <v>1050725253.7012</v>
      </c>
      <c r="Y7" s="9">
        <v>1072926393.21639</v>
      </c>
      <c r="Z7" s="9">
        <v>15990893.1552389</v>
      </c>
      <c r="AA7" s="9">
        <v>515592834.51863903</v>
      </c>
      <c r="AB7" s="9">
        <v>42409659.755428098</v>
      </c>
      <c r="AC7" s="9">
        <v>298020.45844218699</v>
      </c>
      <c r="AD7" s="9">
        <v>154035072.14976799</v>
      </c>
      <c r="AE7" s="9">
        <v>16293629.1471666</v>
      </c>
      <c r="AF7" s="9">
        <v>1878351441.5933499</v>
      </c>
      <c r="AG7" s="9">
        <v>452543149.51412302</v>
      </c>
      <c r="AH7" s="9">
        <v>508137780.497293</v>
      </c>
      <c r="AI7" s="9">
        <v>28121066.4556778</v>
      </c>
      <c r="AJ7" s="9">
        <v>3118231481.6638498</v>
      </c>
      <c r="AK7" s="9">
        <v>11263986.144446701</v>
      </c>
      <c r="AL7" s="9">
        <v>3957200213.7986002</v>
      </c>
      <c r="AM7" s="9">
        <v>84196483.407803193</v>
      </c>
      <c r="AN7" s="9">
        <v>6837656.8888814002</v>
      </c>
      <c r="AO7" s="9">
        <v>16189505.8775346</v>
      </c>
      <c r="AP7" s="9">
        <v>910815831.02538097</v>
      </c>
      <c r="AQ7" s="9">
        <v>45599264.071504898</v>
      </c>
      <c r="AR7" s="9">
        <v>678065140.88751495</v>
      </c>
      <c r="AS7" s="9">
        <v>1449289192.95099</v>
      </c>
      <c r="AT7" s="9">
        <v>2300006341.43188</v>
      </c>
      <c r="AU7" s="9">
        <v>21854144.877512299</v>
      </c>
      <c r="AV7" s="9">
        <v>3429419311.3761902</v>
      </c>
      <c r="AW7" s="9">
        <v>18012808.155654602</v>
      </c>
      <c r="AX7" s="9">
        <v>264793830.938835</v>
      </c>
      <c r="AY7" s="9">
        <v>2912688091.33954</v>
      </c>
      <c r="AZ7" s="9">
        <v>3305448457.3266902</v>
      </c>
      <c r="BA7" s="9">
        <v>98625279.413001895</v>
      </c>
      <c r="BB7" s="9">
        <v>103659893.24979</v>
      </c>
      <c r="BC7" s="9">
        <v>64591597.944698699</v>
      </c>
      <c r="BD7" s="9">
        <v>402010478.81022203</v>
      </c>
      <c r="BE7" s="10">
        <f t="shared" si="2"/>
        <v>77078152792.17189</v>
      </c>
      <c r="BH7" s="11">
        <f t="shared" si="3"/>
        <v>9.4051731152531806E-2</v>
      </c>
      <c r="BI7" s="11">
        <f t="shared" si="4"/>
        <v>1.2002255823833378E-3</v>
      </c>
      <c r="BJ7" s="11">
        <f t="shared" si="4"/>
        <v>5.4016001356793717E-3</v>
      </c>
      <c r="BK7" s="11">
        <f t="shared" si="4"/>
        <v>1.7384504059139412E-4</v>
      </c>
      <c r="BL7" s="11">
        <f t="shared" si="4"/>
        <v>8.3073169494276669E-5</v>
      </c>
      <c r="BM7" s="11">
        <f t="shared" si="4"/>
        <v>1.092541160822238E-2</v>
      </c>
      <c r="BN7" s="11">
        <f t="shared" si="4"/>
        <v>2.436944028300736E-2</v>
      </c>
      <c r="BO7" s="11">
        <f t="shared" si="4"/>
        <v>8.9352430762187131E-5</v>
      </c>
      <c r="BP7" s="11">
        <f t="shared" si="4"/>
        <v>7.5746267468341179E-5</v>
      </c>
      <c r="BQ7" s="11">
        <f t="shared" si="4"/>
        <v>8.9311711491611435E-5</v>
      </c>
      <c r="BR7" s="11">
        <f t="shared" si="4"/>
        <v>8.1876467163777543E-7</v>
      </c>
      <c r="BS7" s="11">
        <f t="shared" si="5"/>
        <v>9.7678152819122774E-3</v>
      </c>
      <c r="BT7" s="11">
        <f t="shared" si="5"/>
        <v>8.3800137399321108E-4</v>
      </c>
      <c r="BU7" s="11">
        <f t="shared" si="5"/>
        <v>4.512850376261276E-5</v>
      </c>
      <c r="BV7" s="11">
        <f t="shared" si="5"/>
        <v>9.3525821507252846E-2</v>
      </c>
      <c r="BW7" s="11">
        <f t="shared" si="5"/>
        <v>2.4969817403709449E-4</v>
      </c>
      <c r="BX7" s="11">
        <f t="shared" si="5"/>
        <v>7.1556962514330344E-4</v>
      </c>
      <c r="BY7" s="11">
        <f t="shared" si="5"/>
        <v>0.1946230816385876</v>
      </c>
      <c r="BZ7" s="11">
        <f t="shared" si="5"/>
        <v>0.16494734365964109</v>
      </c>
      <c r="CA7" s="11">
        <f t="shared" si="5"/>
        <v>9.0807445477236719E-3</v>
      </c>
      <c r="CB7" s="11">
        <f t="shared" si="5"/>
        <v>3.3711098478135483E-4</v>
      </c>
      <c r="CC7" s="11">
        <f t="shared" si="6"/>
        <v>1.4020991483060009E-2</v>
      </c>
      <c r="CD7" s="11">
        <f t="shared" si="6"/>
        <v>1.3631946480792056E-2</v>
      </c>
      <c r="CE7" s="11">
        <f t="shared" si="6"/>
        <v>1.3919980621608216E-2</v>
      </c>
      <c r="CF7" s="11">
        <f t="shared" si="6"/>
        <v>2.0746336771141391E-4</v>
      </c>
      <c r="CG7" s="11">
        <f t="shared" si="6"/>
        <v>6.6892214699131062E-3</v>
      </c>
      <c r="CH7" s="11">
        <f t="shared" si="6"/>
        <v>5.5021634820152639E-4</v>
      </c>
      <c r="CI7" s="11">
        <f t="shared" si="6"/>
        <v>3.8664712067730583E-6</v>
      </c>
      <c r="CJ7" s="11">
        <f t="shared" si="6"/>
        <v>1.9984271362223395E-3</v>
      </c>
      <c r="CK7" s="11">
        <f t="shared" si="6"/>
        <v>2.113910175182791E-4</v>
      </c>
      <c r="CL7" s="11">
        <f t="shared" si="6"/>
        <v>2.436944028300736E-2</v>
      </c>
      <c r="CM7" s="11">
        <f t="shared" si="7"/>
        <v>5.8712246352650476E-3</v>
      </c>
      <c r="CN7" s="11">
        <f t="shared" si="7"/>
        <v>6.5925007552710812E-3</v>
      </c>
      <c r="CO7" s="11">
        <f t="shared" si="7"/>
        <v>3.6483835479946523E-4</v>
      </c>
      <c r="CP7" s="11">
        <f t="shared" si="7"/>
        <v>4.0455451625464219E-2</v>
      </c>
      <c r="CQ7" s="11">
        <f t="shared" si="7"/>
        <v>1.4613720926626408E-4</v>
      </c>
      <c r="CR7" s="11">
        <f t="shared" si="7"/>
        <v>5.134010183752738E-2</v>
      </c>
      <c r="CS7" s="11">
        <f t="shared" si="7"/>
        <v>1.0923521173999157E-3</v>
      </c>
      <c r="CT7" s="11">
        <f t="shared" si="7"/>
        <v>8.8710699999751912E-5</v>
      </c>
      <c r="CU7" s="11">
        <f t="shared" si="7"/>
        <v>2.1004013836692278E-4</v>
      </c>
      <c r="CV7" s="11">
        <f t="shared" si="7"/>
        <v>1.181678333004737E-2</v>
      </c>
      <c r="CW7" s="11">
        <f t="shared" si="8"/>
        <v>5.9159777991119674E-4</v>
      </c>
      <c r="CX7" s="11">
        <f t="shared" si="8"/>
        <v>8.7971119743334037E-3</v>
      </c>
      <c r="CY7" s="11">
        <f t="shared" si="8"/>
        <v>1.88028532139159E-2</v>
      </c>
      <c r="CZ7" s="11">
        <f t="shared" si="8"/>
        <v>2.9839925557550079E-2</v>
      </c>
      <c r="DA7" s="11">
        <f t="shared" si="8"/>
        <v>2.8353228620356635E-4</v>
      </c>
      <c r="DB7" s="11">
        <f t="shared" si="8"/>
        <v>4.449275426492167E-2</v>
      </c>
      <c r="DC7" s="11">
        <f t="shared" si="8"/>
        <v>2.3369537934079805E-4</v>
      </c>
      <c r="DD7" s="11">
        <f t="shared" si="8"/>
        <v>3.435394094780741E-3</v>
      </c>
      <c r="DE7" s="11">
        <f t="shared" si="8"/>
        <v>3.7788763557854162E-2</v>
      </c>
      <c r="DF7" s="11">
        <f t="shared" si="8"/>
        <v>4.2884375631565393E-2</v>
      </c>
      <c r="DG7" s="11">
        <f t="shared" si="9"/>
        <v>1.2795490789579268E-3</v>
      </c>
      <c r="DH7" s="11">
        <f t="shared" si="9"/>
        <v>1.3448673780401983E-3</v>
      </c>
      <c r="DI7" s="11">
        <f t="shared" si="9"/>
        <v>8.3800137399321108E-4</v>
      </c>
      <c r="DJ7" s="11">
        <f t="shared" si="10"/>
        <v>5.2156216028447751E-3</v>
      </c>
    </row>
    <row r="8" spans="1:114" x14ac:dyDescent="0.25">
      <c r="A8" s="1" t="s">
        <v>5</v>
      </c>
      <c r="B8" s="9">
        <v>9457794486.7459297</v>
      </c>
      <c r="C8" s="9">
        <v>140902943.009431</v>
      </c>
      <c r="D8" s="9">
        <v>454778056.43112397</v>
      </c>
      <c r="E8" s="9">
        <v>15593934.6970095</v>
      </c>
      <c r="F8" s="9">
        <v>4037010.2488497999</v>
      </c>
      <c r="G8" s="9">
        <v>625727462.66745698</v>
      </c>
      <c r="H8" s="9">
        <v>2558231479.31845</v>
      </c>
      <c r="I8" s="9">
        <v>7959635.4063834799</v>
      </c>
      <c r="J8" s="9">
        <v>5050695.5026120599</v>
      </c>
      <c r="K8" s="9">
        <v>5734904.0844355999</v>
      </c>
      <c r="L8" s="9">
        <v>298865.674384007</v>
      </c>
      <c r="M8" s="9">
        <v>729154469.23654604</v>
      </c>
      <c r="N8" s="9">
        <v>24482628.051116399</v>
      </c>
      <c r="O8" s="9">
        <v>4640188.9192070197</v>
      </c>
      <c r="P8" s="9">
        <v>6457657740.5250301</v>
      </c>
      <c r="Q8" s="9">
        <v>19470102.711761199</v>
      </c>
      <c r="R8" s="9">
        <v>55432036.178447299</v>
      </c>
      <c r="S8" s="9">
        <v>14450678640.1651</v>
      </c>
      <c r="T8" s="9">
        <v>12604227634.523399</v>
      </c>
      <c r="U8" s="9">
        <v>699729950.69058096</v>
      </c>
      <c r="V8" s="9">
        <v>26360705.993923601</v>
      </c>
      <c r="W8" s="9">
        <v>1238165758.69139</v>
      </c>
      <c r="X8" s="9">
        <v>1066079772.19398</v>
      </c>
      <c r="Y8" s="9">
        <v>1073722539.70952</v>
      </c>
      <c r="Z8" s="9">
        <v>16205105.714866299</v>
      </c>
      <c r="AA8" s="9">
        <v>513699211.67731702</v>
      </c>
      <c r="AB8" s="9">
        <v>40775879.254479103</v>
      </c>
      <c r="AC8" s="9">
        <v>223395.52720245201</v>
      </c>
      <c r="AD8" s="9">
        <v>152879228.75498801</v>
      </c>
      <c r="AE8" s="9">
        <v>21387240.889489301</v>
      </c>
      <c r="AF8" s="9">
        <v>2558231479.31845</v>
      </c>
      <c r="AG8" s="9">
        <v>445055688.76073998</v>
      </c>
      <c r="AH8" s="9">
        <v>512572098.85540903</v>
      </c>
      <c r="AI8" s="9">
        <v>19626999.4629592</v>
      </c>
      <c r="AJ8" s="9">
        <v>3104882894.7929201</v>
      </c>
      <c r="AK8" s="9">
        <v>10663396.1933975</v>
      </c>
      <c r="AL8" s="9">
        <v>3848942645.1294999</v>
      </c>
      <c r="AM8" s="9">
        <v>79945179.539809003</v>
      </c>
      <c r="AN8" s="9">
        <v>7131505.5827742899</v>
      </c>
      <c r="AO8" s="9">
        <v>4596607.8324583303</v>
      </c>
      <c r="AP8" s="9">
        <v>830384253.30958498</v>
      </c>
      <c r="AQ8" s="9">
        <v>45933498.137566797</v>
      </c>
      <c r="AR8" s="9">
        <v>646938379.54143095</v>
      </c>
      <c r="AS8" s="9">
        <v>1549850778.3253701</v>
      </c>
      <c r="AT8" s="9">
        <v>2007709145.5925701</v>
      </c>
      <c r="AU8" s="9">
        <v>22819580.979008399</v>
      </c>
      <c r="AV8" s="9">
        <v>3584891582.52776</v>
      </c>
      <c r="AW8" s="9">
        <v>16164010.564711099</v>
      </c>
      <c r="AX8" s="9">
        <v>265418876.743985</v>
      </c>
      <c r="AY8" s="9">
        <v>2493505301.5622101</v>
      </c>
      <c r="AZ8" s="9">
        <v>3129666606.8759999</v>
      </c>
      <c r="BA8" s="9">
        <v>112798580.08782201</v>
      </c>
      <c r="BB8" s="9">
        <v>104018744.400986</v>
      </c>
      <c r="BC8" s="9">
        <v>24482628.051116399</v>
      </c>
      <c r="BD8" s="9">
        <v>471434114.94048101</v>
      </c>
      <c r="BE8" s="10">
        <f t="shared" si="2"/>
        <v>78368746280.303436</v>
      </c>
      <c r="BH8" s="11">
        <f t="shared" si="3"/>
        <v>0.12068324345674744</v>
      </c>
      <c r="BI8" s="11">
        <f t="shared" ref="BI8:BI27" si="11">C8/$BE8</f>
        <v>1.7979481578722716E-3</v>
      </c>
      <c r="BJ8" s="11">
        <f t="shared" ref="BJ8:BJ27" si="12">D8/$BE8</f>
        <v>5.8030538705379827E-3</v>
      </c>
      <c r="BK8" s="11">
        <f t="shared" ref="BK8:BK27" si="13">E8/$BE8</f>
        <v>1.9898155115604743E-4</v>
      </c>
      <c r="BL8" s="11">
        <f t="shared" ref="BL8:BL27" si="14">F8/$BE8</f>
        <v>5.1513013037244786E-5</v>
      </c>
      <c r="BM8" s="11">
        <f t="shared" ref="BM8:BM27" si="15">G8/$BE8</f>
        <v>7.9844005725114194E-3</v>
      </c>
      <c r="BN8" s="11">
        <f t="shared" ref="BN8:BN27" si="16">H8/$BE8</f>
        <v>3.2643516717344952E-2</v>
      </c>
      <c r="BO8" s="11">
        <f t="shared" ref="BO8:BO27" si="17">I8/$BE8</f>
        <v>1.0156645071128298E-4</v>
      </c>
      <c r="BP8" s="11">
        <f t="shared" ref="BP8:BP27" si="18">J8/$BE8</f>
        <v>6.4447828277705403E-5</v>
      </c>
      <c r="BQ8" s="11">
        <f t="shared" ref="BQ8:BQ27" si="19">K8/$BE8</f>
        <v>7.3178458972961318E-5</v>
      </c>
      <c r="BR8" s="11">
        <f t="shared" ref="BR8:BR27" si="20">L8/$BE8</f>
        <v>3.8135824364861821E-6</v>
      </c>
      <c r="BS8" s="11">
        <f t="shared" ref="BS8:BS27" si="21">M8/$BE8</f>
        <v>9.3041487052575936E-3</v>
      </c>
      <c r="BT8" s="11">
        <f t="shared" ref="BT8:BT27" si="22">N8/$BE8</f>
        <v>3.124029567035407E-4</v>
      </c>
      <c r="BU8" s="11">
        <f t="shared" ref="BU8:BU27" si="23">O8/$BE8</f>
        <v>5.9209686762250104E-5</v>
      </c>
      <c r="BV8" s="11">
        <f t="shared" ref="BV8:BV27" si="24">P8/$BE8</f>
        <v>8.2400932093870255E-2</v>
      </c>
      <c r="BW8" s="11">
        <f t="shared" ref="BW8:BW27" si="25">Q8/$BE8</f>
        <v>2.4844218691622298E-4</v>
      </c>
      <c r="BX8" s="11">
        <f t="shared" ref="BX8:BX27" si="26">R8/$BE8</f>
        <v>7.0732324822681436E-4</v>
      </c>
      <c r="BY8" s="11">
        <f t="shared" ref="BY8:BY27" si="27">S8/$BE8</f>
        <v>0.18439338800290361</v>
      </c>
      <c r="BZ8" s="11">
        <f t="shared" ref="BZ8:BZ27" si="28">T8/$BE8</f>
        <v>0.16083232452694274</v>
      </c>
      <c r="CA8" s="11">
        <f t="shared" ref="CA8:CA27" si="29">U8/$BE8</f>
        <v>8.928686292719798E-3</v>
      </c>
      <c r="CB8" s="11">
        <f t="shared" ref="CB8:CB27" si="30">V8/$BE8</f>
        <v>3.3636758586948185E-4</v>
      </c>
      <c r="CC8" s="11">
        <f t="shared" ref="CC8:CC27" si="31">W8/$BE8</f>
        <v>1.5799228869411944E-2</v>
      </c>
      <c r="CD8" s="11">
        <f t="shared" ref="CD8:CD27" si="32">X8/$BE8</f>
        <v>1.3603379188699869E-2</v>
      </c>
      <c r="CE8" s="11">
        <f t="shared" ref="CE8:CE27" si="33">Y8/$BE8</f>
        <v>1.3700902345293493E-2</v>
      </c>
      <c r="CF8" s="11">
        <f t="shared" ref="CF8:CF27" si="34">Z8/$BE8</f>
        <v>2.0678020874424985E-4</v>
      </c>
      <c r="CG8" s="11">
        <f t="shared" ref="CG8:CG27" si="35">AA8/$BE8</f>
        <v>6.5548989368792035E-3</v>
      </c>
      <c r="CH8" s="11">
        <f t="shared" ref="CH8:CH27" si="36">AB8/$BE8</f>
        <v>5.2030791852449704E-4</v>
      </c>
      <c r="CI8" s="11">
        <f t="shared" ref="CI8:CI27" si="37">AC8/$BE8</f>
        <v>2.8505691082951321E-6</v>
      </c>
      <c r="CJ8" s="11">
        <f t="shared" ref="CJ8:CJ27" si="38">AD8/$BE8</f>
        <v>1.9507678253290041E-3</v>
      </c>
      <c r="CK8" s="11">
        <f t="shared" ref="CK8:CK27" si="39">AE8/$BE8</f>
        <v>2.7290523205504688E-4</v>
      </c>
      <c r="CL8" s="11">
        <f t="shared" ref="CL8:CL27" si="40">AF8/$BE8</f>
        <v>3.2643516717344952E-2</v>
      </c>
      <c r="CM8" s="11">
        <f t="shared" ref="CM8:CM27" si="41">AG8/$BE8</f>
        <v>5.6789946233017216E-3</v>
      </c>
      <c r="CN8" s="11">
        <f t="shared" ref="CN8:CN27" si="42">AH8/$BE8</f>
        <v>6.5405167644519884E-3</v>
      </c>
      <c r="CO8" s="11">
        <f t="shared" ref="CO8:CO27" si="43">AI8/$BE8</f>
        <v>2.5044421908650708E-4</v>
      </c>
      <c r="CP8" s="11">
        <f t="shared" ref="CP8:CP27" si="44">AJ8/$BE8</f>
        <v>3.9618891996659085E-2</v>
      </c>
      <c r="CQ8" s="11">
        <f t="shared" ref="CQ8:CQ27" si="45">AK8/$BE8</f>
        <v>1.3606694887343822E-4</v>
      </c>
      <c r="CR8" s="11">
        <f t="shared" ref="CR8:CR27" si="46">AL8/$BE8</f>
        <v>4.9113234903144828E-2</v>
      </c>
      <c r="CS8" s="11">
        <f t="shared" ref="CS8:CS27" si="47">AM8/$BE8</f>
        <v>1.0201155860509379E-3</v>
      </c>
      <c r="CT8" s="11">
        <f t="shared" ref="CT8:CT27" si="48">AN8/$BE8</f>
        <v>9.0999357795859808E-5</v>
      </c>
      <c r="CU8" s="11">
        <f t="shared" ref="CU8:CU27" si="49">AO8/$BE8</f>
        <v>5.8653583866424625E-5</v>
      </c>
      <c r="CV8" s="11">
        <f t="shared" ref="CV8:CV27" si="50">AP8/$BE8</f>
        <v>1.0595859864078074E-2</v>
      </c>
      <c r="CW8" s="11">
        <f t="shared" ref="CW8:CW27" si="51">AQ8/$BE8</f>
        <v>5.8612010932617602E-4</v>
      </c>
      <c r="CX8" s="11">
        <f t="shared" ref="CX8:CX27" si="52">AR8/$BE8</f>
        <v>8.2550558768352683E-3</v>
      </c>
      <c r="CY8" s="11">
        <f t="shared" ref="CY8:CY27" si="53">AS8/$BE8</f>
        <v>1.9776388571816378E-2</v>
      </c>
      <c r="CZ8" s="11">
        <f t="shared" ref="CZ8:CZ27" si="54">AT8/$BE8</f>
        <v>2.5618747790242133E-2</v>
      </c>
      <c r="DA8" s="11">
        <f t="shared" ref="DA8:DA27" si="55">AU8/$BE8</f>
        <v>2.911821620495119E-4</v>
      </c>
      <c r="DB8" s="11">
        <f t="shared" ref="DB8:DB27" si="56">AV8/$BE8</f>
        <v>4.5743893486640576E-2</v>
      </c>
      <c r="DC8" s="11">
        <f t="shared" ref="DC8:DC27" si="57">AW8/$BE8</f>
        <v>2.0625582686874795E-4</v>
      </c>
      <c r="DD8" s="11">
        <f t="shared" ref="DD8:DD27" si="58">AX8/$BE8</f>
        <v>3.3867949832278128E-3</v>
      </c>
      <c r="DE8" s="11">
        <f t="shared" ref="DE8:DE27" si="59">AY8/$BE8</f>
        <v>3.1817598467680314E-2</v>
      </c>
      <c r="DF8" s="11">
        <f t="shared" ref="DF8:DF27" si="60">AZ8/$BE8</f>
        <v>3.9935136842460688E-2</v>
      </c>
      <c r="DG8" s="11">
        <f t="shared" ref="DG8:DG27" si="61">BA8/$BE8</f>
        <v>1.4393311803709674E-3</v>
      </c>
      <c r="DH8" s="11">
        <f t="shared" ref="DH8:DH27" si="62">BB8/$BE8</f>
        <v>1.3272988192121842E-3</v>
      </c>
      <c r="DI8" s="11">
        <f t="shared" ref="DI8:DI27" si="63">BC8/$BE8</f>
        <v>3.124029567035407E-4</v>
      </c>
      <c r="DJ8" s="11">
        <f t="shared" si="10"/>
        <v>6.015588322088131E-3</v>
      </c>
    </row>
    <row r="9" spans="1:114" x14ac:dyDescent="0.25">
      <c r="A9" s="1" t="s">
        <v>6</v>
      </c>
      <c r="B9" s="9">
        <v>9576867375.6763706</v>
      </c>
      <c r="C9" s="9">
        <v>142998920.95946899</v>
      </c>
      <c r="D9" s="9">
        <v>437533785.349195</v>
      </c>
      <c r="E9" s="9">
        <v>16411566.407554099</v>
      </c>
      <c r="F9" s="9">
        <v>4654396.8199170996</v>
      </c>
      <c r="G9" s="9">
        <v>640798601.77886403</v>
      </c>
      <c r="H9" s="9">
        <v>2446831941.9080601</v>
      </c>
      <c r="I9" s="9">
        <v>9072847.9054924306</v>
      </c>
      <c r="J9" s="9">
        <v>5317038.5838162201</v>
      </c>
      <c r="K9" s="9">
        <v>5871441.7599492297</v>
      </c>
      <c r="L9" s="9">
        <v>71396.372583164397</v>
      </c>
      <c r="M9" s="9">
        <v>733820125.34416902</v>
      </c>
      <c r="N9" s="9">
        <v>30234972.363926601</v>
      </c>
      <c r="O9" s="9">
        <v>2825125.5669438802</v>
      </c>
      <c r="P9" s="9">
        <v>6725145888.4686203</v>
      </c>
      <c r="Q9" s="9">
        <v>19239815.056204699</v>
      </c>
      <c r="R9" s="9">
        <v>60193931.116640702</v>
      </c>
      <c r="S9" s="9">
        <v>14801493080.563101</v>
      </c>
      <c r="T9" s="9">
        <v>12086151978.02</v>
      </c>
      <c r="U9" s="9">
        <v>698728722.50501096</v>
      </c>
      <c r="V9" s="9">
        <v>24202829.4518039</v>
      </c>
      <c r="W9" s="9">
        <v>1033152158.82735</v>
      </c>
      <c r="X9" s="9">
        <v>1000292414.26782</v>
      </c>
      <c r="Y9" s="9">
        <v>1101882904.3169999</v>
      </c>
      <c r="Z9" s="9">
        <v>15881418.2294432</v>
      </c>
      <c r="AA9" s="9">
        <v>435179611.48885202</v>
      </c>
      <c r="AB9" s="9">
        <v>46054009.0786639</v>
      </c>
      <c r="AC9" s="9">
        <v>292349.34158730501</v>
      </c>
      <c r="AD9" s="9">
        <v>154410630.393269</v>
      </c>
      <c r="AE9" s="9">
        <v>19115592.8808253</v>
      </c>
      <c r="AF9" s="9">
        <v>2446831941.9080601</v>
      </c>
      <c r="AG9" s="9">
        <v>455791689.36815101</v>
      </c>
      <c r="AH9" s="9">
        <v>500328700.34883302</v>
      </c>
      <c r="AI9" s="9">
        <v>18117761.5707203</v>
      </c>
      <c r="AJ9" s="9">
        <v>3043285156.2598801</v>
      </c>
      <c r="AK9" s="9">
        <v>8789353.1856343001</v>
      </c>
      <c r="AL9" s="9">
        <v>3739189499.92136</v>
      </c>
      <c r="AM9" s="9">
        <v>75813460.181344807</v>
      </c>
      <c r="AN9" s="9">
        <v>7211587.45560739</v>
      </c>
      <c r="AO9" s="9">
        <v>4024540.4004036798</v>
      </c>
      <c r="AP9" s="9">
        <v>776564068.22976196</v>
      </c>
      <c r="AQ9" s="9">
        <v>46535170.1399903</v>
      </c>
      <c r="AR9" s="9">
        <v>618572696.47601199</v>
      </c>
      <c r="AS9" s="9">
        <v>1680018047.7319601</v>
      </c>
      <c r="AT9" s="9">
        <v>2272185847.4562702</v>
      </c>
      <c r="AU9" s="9">
        <v>20250829.517572202</v>
      </c>
      <c r="AV9" s="9">
        <v>3675457395.5611701</v>
      </c>
      <c r="AW9" s="9">
        <v>15847326.787622999</v>
      </c>
      <c r="AX9" s="9">
        <v>277606302.56595403</v>
      </c>
      <c r="AY9" s="9">
        <v>2691242532.2467899</v>
      </c>
      <c r="AZ9" s="9">
        <v>3273458259.8498702</v>
      </c>
      <c r="BA9" s="9">
        <v>108505646.070327</v>
      </c>
      <c r="BB9" s="9">
        <v>108004006.553343</v>
      </c>
      <c r="BC9" s="9">
        <v>30234972.363926601</v>
      </c>
      <c r="BD9" s="9">
        <v>582443506.39603102</v>
      </c>
      <c r="BE9" s="10">
        <f t="shared" si="2"/>
        <v>78751037169.349091</v>
      </c>
      <c r="BH9" s="11">
        <f t="shared" si="3"/>
        <v>0.12160941264915569</v>
      </c>
      <c r="BI9" s="11">
        <f t="shared" si="11"/>
        <v>1.8158353984844531E-3</v>
      </c>
      <c r="BJ9" s="11">
        <f t="shared" si="12"/>
        <v>5.5559114022626322E-3</v>
      </c>
      <c r="BK9" s="11">
        <f t="shared" si="13"/>
        <v>2.0839809858328684E-4</v>
      </c>
      <c r="BL9" s="11">
        <f t="shared" si="14"/>
        <v>5.9102673275376874E-5</v>
      </c>
      <c r="BM9" s="11">
        <f t="shared" si="15"/>
        <v>8.1370179341367591E-3</v>
      </c>
      <c r="BN9" s="11">
        <f t="shared" si="16"/>
        <v>3.1070472591317164E-2</v>
      </c>
      <c r="BO9" s="11">
        <f t="shared" si="17"/>
        <v>1.1520924970145915E-4</v>
      </c>
      <c r="BP9" s="11">
        <f t="shared" si="18"/>
        <v>6.7517061043682097E-5</v>
      </c>
      <c r="BQ9" s="11">
        <f t="shared" si="19"/>
        <v>7.4557008656572581E-5</v>
      </c>
      <c r="BR9" s="11">
        <f t="shared" si="20"/>
        <v>9.0660866382789404E-7</v>
      </c>
      <c r="BS9" s="11">
        <f t="shared" si="21"/>
        <v>9.3182280731888712E-3</v>
      </c>
      <c r="BT9" s="11">
        <f t="shared" si="22"/>
        <v>3.8393110047437492E-4</v>
      </c>
      <c r="BU9" s="11">
        <f t="shared" si="23"/>
        <v>3.5874137896985757E-5</v>
      </c>
      <c r="BV9" s="11">
        <f t="shared" si="24"/>
        <v>8.539755322849428E-2</v>
      </c>
      <c r="BW9" s="11">
        <f t="shared" si="25"/>
        <v>2.4431189413836799E-4</v>
      </c>
      <c r="BX9" s="11">
        <f t="shared" si="26"/>
        <v>7.6435731236399449E-4</v>
      </c>
      <c r="BY9" s="11">
        <f t="shared" si="27"/>
        <v>0.18795299227276757</v>
      </c>
      <c r="BZ9" s="11">
        <f t="shared" si="28"/>
        <v>0.15347292445215038</v>
      </c>
      <c r="CA9" s="11">
        <f t="shared" si="29"/>
        <v>8.8726288264932857E-3</v>
      </c>
      <c r="CB9" s="11">
        <f t="shared" si="30"/>
        <v>3.0733346914221913E-4</v>
      </c>
      <c r="CC9" s="11">
        <f t="shared" si="31"/>
        <v>1.3119219707616321E-2</v>
      </c>
      <c r="CD9" s="11">
        <f t="shared" si="32"/>
        <v>1.2701958605532457E-2</v>
      </c>
      <c r="CE9" s="11">
        <f t="shared" si="33"/>
        <v>1.3991979584312914E-2</v>
      </c>
      <c r="CF9" s="11">
        <f t="shared" si="34"/>
        <v>2.016661468888495E-4</v>
      </c>
      <c r="CG9" s="11">
        <f t="shared" si="35"/>
        <v>5.5260175247346388E-3</v>
      </c>
      <c r="CH9" s="11">
        <f t="shared" si="36"/>
        <v>5.8480511157748551E-4</v>
      </c>
      <c r="CI9" s="11">
        <f t="shared" si="37"/>
        <v>3.7123236987803268E-6</v>
      </c>
      <c r="CJ9" s="11">
        <f t="shared" si="38"/>
        <v>1.9607440859631953E-3</v>
      </c>
      <c r="CK9" s="11">
        <f t="shared" si="39"/>
        <v>2.4273449046415013E-4</v>
      </c>
      <c r="CL9" s="11">
        <f t="shared" si="40"/>
        <v>3.1070472591317164E-2</v>
      </c>
      <c r="CM9" s="11">
        <f t="shared" si="41"/>
        <v>5.7877547490327013E-3</v>
      </c>
      <c r="CN9" s="11">
        <f t="shared" si="42"/>
        <v>6.3532966464036281E-3</v>
      </c>
      <c r="CO9" s="11">
        <f t="shared" si="43"/>
        <v>2.3006378356337336E-4</v>
      </c>
      <c r="CP9" s="11">
        <f t="shared" si="44"/>
        <v>3.8644381911002508E-2</v>
      </c>
      <c r="CQ9" s="11">
        <f t="shared" si="45"/>
        <v>1.1160936416282818E-4</v>
      </c>
      <c r="CR9" s="11">
        <f t="shared" si="46"/>
        <v>4.7481146081675994E-2</v>
      </c>
      <c r="CS9" s="11">
        <f t="shared" si="47"/>
        <v>9.626979263563576E-4</v>
      </c>
      <c r="CT9" s="11">
        <f t="shared" si="48"/>
        <v>9.1574507648697128E-5</v>
      </c>
      <c r="CU9" s="11">
        <f t="shared" si="49"/>
        <v>5.1104601857486169E-5</v>
      </c>
      <c r="CV9" s="11">
        <f t="shared" si="50"/>
        <v>9.8610011517665519E-3</v>
      </c>
      <c r="CW9" s="11">
        <f t="shared" si="51"/>
        <v>5.9091501283874365E-4</v>
      </c>
      <c r="CX9" s="11">
        <f t="shared" si="52"/>
        <v>7.8547879330885615E-3</v>
      </c>
      <c r="CY9" s="11">
        <f t="shared" si="53"/>
        <v>2.133328154293623E-2</v>
      </c>
      <c r="CZ9" s="11">
        <f t="shared" si="54"/>
        <v>2.8852773615794788E-2</v>
      </c>
      <c r="DA9" s="11">
        <f t="shared" si="55"/>
        <v>2.5715000392977788E-4</v>
      </c>
      <c r="DB9" s="11">
        <f t="shared" si="56"/>
        <v>4.6671860176994658E-2</v>
      </c>
      <c r="DC9" s="11">
        <f t="shared" si="57"/>
        <v>2.0123324539262044E-4</v>
      </c>
      <c r="DD9" s="11">
        <f t="shared" si="58"/>
        <v>3.5251129704994152E-3</v>
      </c>
      <c r="DE9" s="11">
        <f t="shared" si="59"/>
        <v>3.4174058259822587E-2</v>
      </c>
      <c r="DF9" s="11">
        <f t="shared" si="60"/>
        <v>4.1567176478076173E-2</v>
      </c>
      <c r="DG9" s="11">
        <f t="shared" si="61"/>
        <v>1.3778313273130932E-3</v>
      </c>
      <c r="DH9" s="11">
        <f t="shared" si="62"/>
        <v>1.3714613855953066E-3</v>
      </c>
      <c r="DI9" s="11">
        <f t="shared" si="63"/>
        <v>3.8393110047437492E-4</v>
      </c>
      <c r="DJ9" s="11">
        <f t="shared" si="10"/>
        <v>7.3960106092764641E-3</v>
      </c>
    </row>
    <row r="10" spans="1:114" x14ac:dyDescent="0.25">
      <c r="A10" s="1" t="s">
        <v>7</v>
      </c>
      <c r="B10" s="9">
        <v>9963755282.9028206</v>
      </c>
      <c r="C10" s="9">
        <v>148990179.35199299</v>
      </c>
      <c r="D10" s="9">
        <v>479033534.35382998</v>
      </c>
      <c r="E10" s="9">
        <v>16576696.283866599</v>
      </c>
      <c r="F10" s="9">
        <v>5297547.2150913598</v>
      </c>
      <c r="G10" s="9">
        <v>714215761.21624196</v>
      </c>
      <c r="H10" s="9">
        <v>2491332726.9723001</v>
      </c>
      <c r="I10" s="9">
        <v>9587761.8166144099</v>
      </c>
      <c r="J10" s="9">
        <v>5641015.4056838704</v>
      </c>
      <c r="K10" s="9">
        <v>7048504.2639084598</v>
      </c>
      <c r="L10" s="9">
        <v>172485.38488160199</v>
      </c>
      <c r="M10" s="9">
        <v>842951791.63470995</v>
      </c>
      <c r="N10" s="9">
        <v>39107279.065023601</v>
      </c>
      <c r="O10" s="9">
        <v>3033812.9302294902</v>
      </c>
      <c r="P10" s="9">
        <v>7281016760.61765</v>
      </c>
      <c r="Q10" s="9">
        <v>22486454.236065801</v>
      </c>
      <c r="R10" s="9">
        <v>62981049.975103103</v>
      </c>
      <c r="S10" s="9">
        <v>15141444777.7393</v>
      </c>
      <c r="T10" s="9">
        <v>13076150943.2547</v>
      </c>
      <c r="U10" s="9">
        <v>785107320.42256796</v>
      </c>
      <c r="V10" s="9">
        <v>28424986.863481801</v>
      </c>
      <c r="W10" s="9">
        <v>1132240951.66205</v>
      </c>
      <c r="X10" s="9">
        <v>1108905124.3202701</v>
      </c>
      <c r="Y10" s="9">
        <v>1052672723.99858</v>
      </c>
      <c r="Z10" s="9">
        <v>18447216.4281356</v>
      </c>
      <c r="AA10" s="9">
        <v>427255092.12751299</v>
      </c>
      <c r="AB10" s="9">
        <v>49079370.992762901</v>
      </c>
      <c r="AC10" s="9">
        <v>358217.31481535098</v>
      </c>
      <c r="AD10" s="9">
        <v>177183380.54588199</v>
      </c>
      <c r="AE10" s="9">
        <v>19332401.684928101</v>
      </c>
      <c r="AF10" s="9">
        <v>2491332726.9723001</v>
      </c>
      <c r="AG10" s="9">
        <v>469745180.41078901</v>
      </c>
      <c r="AH10" s="9">
        <v>529139108.697133</v>
      </c>
      <c r="AI10" s="9">
        <v>20088253.575929299</v>
      </c>
      <c r="AJ10" s="9">
        <v>3117719996.92556</v>
      </c>
      <c r="AK10" s="9">
        <v>9516083.0076905098</v>
      </c>
      <c r="AL10" s="9">
        <v>4013004282.8041902</v>
      </c>
      <c r="AM10" s="9">
        <v>81215079.137151897</v>
      </c>
      <c r="AN10" s="9">
        <v>7102595.4977099299</v>
      </c>
      <c r="AO10" s="9">
        <v>4278001.7144083101</v>
      </c>
      <c r="AP10" s="9">
        <v>838286526.68516695</v>
      </c>
      <c r="AQ10" s="9">
        <v>47655812.0044493</v>
      </c>
      <c r="AR10" s="9">
        <v>648050602.38248396</v>
      </c>
      <c r="AS10" s="9">
        <v>1749497514.11572</v>
      </c>
      <c r="AT10" s="9">
        <v>2236598403.64047</v>
      </c>
      <c r="AU10" s="9">
        <v>23335787.2602253</v>
      </c>
      <c r="AV10" s="9">
        <v>3766228850.2677398</v>
      </c>
      <c r="AW10" s="9">
        <v>17951356.265962198</v>
      </c>
      <c r="AX10" s="9">
        <v>298825281.48370701</v>
      </c>
      <c r="AY10" s="9">
        <v>2878819999.1728702</v>
      </c>
      <c r="AZ10" s="9">
        <v>3486984217.88831</v>
      </c>
      <c r="BA10" s="9">
        <v>115315188.68075199</v>
      </c>
      <c r="BB10" s="9">
        <v>114285978.431391</v>
      </c>
      <c r="BC10" s="9">
        <v>39107279.065023601</v>
      </c>
      <c r="BD10" s="9">
        <v>861928852.49996996</v>
      </c>
      <c r="BE10" s="10">
        <f t="shared" si="2"/>
        <v>82975844109.568085</v>
      </c>
      <c r="BH10" s="11">
        <f t="shared" si="3"/>
        <v>0.12008019188989345</v>
      </c>
      <c r="BI10" s="11">
        <f t="shared" si="11"/>
        <v>1.7955849795906165E-3</v>
      </c>
      <c r="BJ10" s="11">
        <f t="shared" si="12"/>
        <v>5.7731685588070063E-3</v>
      </c>
      <c r="BK10" s="11">
        <f t="shared" si="13"/>
        <v>1.997773745088676E-4</v>
      </c>
      <c r="BL10" s="11">
        <f t="shared" si="14"/>
        <v>6.384445101993835E-5</v>
      </c>
      <c r="BM10" s="11">
        <f t="shared" si="15"/>
        <v>8.6075142576812255E-3</v>
      </c>
      <c r="BN10" s="11">
        <f t="shared" si="16"/>
        <v>3.0024795212478233E-2</v>
      </c>
      <c r="BO10" s="11">
        <f t="shared" si="17"/>
        <v>1.1554883134366124E-4</v>
      </c>
      <c r="BP10" s="11">
        <f t="shared" si="18"/>
        <v>6.7983826693405046E-5</v>
      </c>
      <c r="BQ10" s="11">
        <f t="shared" si="19"/>
        <v>8.4946460497600226E-5</v>
      </c>
      <c r="BR10" s="11">
        <f t="shared" si="20"/>
        <v>2.0787421536060326E-6</v>
      </c>
      <c r="BS10" s="11">
        <f t="shared" si="21"/>
        <v>1.0159002305798873E-2</v>
      </c>
      <c r="BT10" s="11">
        <f t="shared" si="22"/>
        <v>4.7130920431955059E-4</v>
      </c>
      <c r="BU10" s="11">
        <f t="shared" si="23"/>
        <v>3.6562604005852542E-5</v>
      </c>
      <c r="BV10" s="11">
        <f t="shared" si="24"/>
        <v>8.7748631408958014E-2</v>
      </c>
      <c r="BW10" s="11">
        <f t="shared" si="25"/>
        <v>2.7100000581341298E-4</v>
      </c>
      <c r="BX10" s="11">
        <f t="shared" si="26"/>
        <v>7.5902873481995285E-4</v>
      </c>
      <c r="BY10" s="11">
        <f t="shared" si="27"/>
        <v>0.18248015359440392</v>
      </c>
      <c r="BZ10" s="11">
        <f t="shared" si="28"/>
        <v>0.15758985140287191</v>
      </c>
      <c r="CA10" s="11">
        <f t="shared" si="29"/>
        <v>9.4618780784664035E-3</v>
      </c>
      <c r="CB10" s="11">
        <f t="shared" si="30"/>
        <v>3.4256942087804648E-4</v>
      </c>
      <c r="CC10" s="11">
        <f t="shared" si="31"/>
        <v>1.3645428543841586E-2</v>
      </c>
      <c r="CD10" s="11">
        <f t="shared" si="32"/>
        <v>1.336419214796997E-2</v>
      </c>
      <c r="CE10" s="11">
        <f t="shared" si="33"/>
        <v>1.2686496115767679E-2</v>
      </c>
      <c r="CF10" s="11">
        <f t="shared" si="34"/>
        <v>2.223203225721499E-4</v>
      </c>
      <c r="CG10" s="11">
        <f t="shared" si="35"/>
        <v>5.1491502944318408E-3</v>
      </c>
      <c r="CH10" s="11">
        <f t="shared" si="36"/>
        <v>5.9148986695398348E-4</v>
      </c>
      <c r="CI10" s="11">
        <f t="shared" si="37"/>
        <v>4.3171276973372103E-6</v>
      </c>
      <c r="CJ10" s="11">
        <f t="shared" si="38"/>
        <v>2.1353609890598351E-3</v>
      </c>
      <c r="CK10" s="11">
        <f t="shared" si="39"/>
        <v>2.3298830993993887E-4</v>
      </c>
      <c r="CL10" s="11">
        <f t="shared" si="40"/>
        <v>3.0024795212478233E-2</v>
      </c>
      <c r="CM10" s="11">
        <f t="shared" si="41"/>
        <v>5.6612281014038141E-3</v>
      </c>
      <c r="CN10" s="11">
        <f t="shared" si="42"/>
        <v>6.3770259209224136E-3</v>
      </c>
      <c r="CO10" s="11">
        <f t="shared" si="43"/>
        <v>2.4209761035275674E-4</v>
      </c>
      <c r="CP10" s="11">
        <f t="shared" si="44"/>
        <v>3.757382682131763E-2</v>
      </c>
      <c r="CQ10" s="11">
        <f t="shared" si="45"/>
        <v>1.1468497982526934E-4</v>
      </c>
      <c r="CR10" s="11">
        <f t="shared" si="46"/>
        <v>4.8363524660322725E-2</v>
      </c>
      <c r="CS10" s="11">
        <f t="shared" si="47"/>
        <v>9.7877978836718874E-4</v>
      </c>
      <c r="CT10" s="11">
        <f t="shared" si="48"/>
        <v>8.5598351832746438E-5</v>
      </c>
      <c r="CU10" s="11">
        <f t="shared" si="49"/>
        <v>5.1557194269205473E-5</v>
      </c>
      <c r="CV10" s="11">
        <f t="shared" si="50"/>
        <v>1.0102777931107575E-2</v>
      </c>
      <c r="CW10" s="11">
        <f t="shared" si="51"/>
        <v>5.7433356075920925E-4</v>
      </c>
      <c r="CX10" s="11">
        <f t="shared" si="52"/>
        <v>7.8101115973794131E-3</v>
      </c>
      <c r="CY10" s="11">
        <f t="shared" si="53"/>
        <v>2.1084419602957465E-2</v>
      </c>
      <c r="CZ10" s="11">
        <f t="shared" si="54"/>
        <v>2.6954813507978091E-2</v>
      </c>
      <c r="DA10" s="11">
        <f t="shared" si="55"/>
        <v>2.8123591282073394E-4</v>
      </c>
      <c r="DB10" s="11">
        <f t="shared" si="56"/>
        <v>4.5389461121895951E-2</v>
      </c>
      <c r="DC10" s="11">
        <f t="shared" si="57"/>
        <v>2.1634436453888629E-4</v>
      </c>
      <c r="DD10" s="11">
        <f t="shared" si="58"/>
        <v>3.6013527152446161E-3</v>
      </c>
      <c r="DE10" s="11">
        <f t="shared" si="59"/>
        <v>3.4694675662129339E-2</v>
      </c>
      <c r="DF10" s="11">
        <f t="shared" si="60"/>
        <v>4.202408852007352E-2</v>
      </c>
      <c r="DG10" s="11">
        <f t="shared" si="61"/>
        <v>1.3897440865859754E-3</v>
      </c>
      <c r="DH10" s="11">
        <f t="shared" si="62"/>
        <v>1.3773403531813241E-3</v>
      </c>
      <c r="DI10" s="11">
        <f t="shared" si="63"/>
        <v>4.7130920431955059E-4</v>
      </c>
      <c r="DJ10" s="11">
        <f t="shared" si="10"/>
        <v>1.0387708154698718E-2</v>
      </c>
    </row>
    <row r="11" spans="1:114" x14ac:dyDescent="0.25">
      <c r="A11" s="1" t="s">
        <v>8</v>
      </c>
      <c r="B11" s="9">
        <v>9761074832.8391304</v>
      </c>
      <c r="C11" s="9">
        <v>146722745.951897</v>
      </c>
      <c r="D11" s="9">
        <v>477542069.79366797</v>
      </c>
      <c r="E11" s="9">
        <v>17365367.3456534</v>
      </c>
      <c r="F11" s="9">
        <v>5434058.3369388301</v>
      </c>
      <c r="G11" s="9">
        <v>661873743.77270496</v>
      </c>
      <c r="H11" s="9">
        <v>2372649921.2094598</v>
      </c>
      <c r="I11" s="9">
        <v>9685784.1744841691</v>
      </c>
      <c r="J11" s="9">
        <v>5667020.8820155403</v>
      </c>
      <c r="K11" s="9">
        <v>6862203.9381557601</v>
      </c>
      <c r="L11" s="9">
        <v>384419.92776665703</v>
      </c>
      <c r="M11" s="9">
        <v>824151285.13724303</v>
      </c>
      <c r="N11" s="9">
        <v>33481545.8502848</v>
      </c>
      <c r="O11" s="9">
        <v>4065484.5612527002</v>
      </c>
      <c r="P11" s="9">
        <v>6872917259.0862598</v>
      </c>
      <c r="Q11" s="9">
        <v>21290952.1238418</v>
      </c>
      <c r="R11" s="9">
        <v>56977482.205407903</v>
      </c>
      <c r="S11" s="9">
        <v>14958385487.5749</v>
      </c>
      <c r="T11" s="9">
        <v>12518620634.680599</v>
      </c>
      <c r="U11" s="9">
        <v>728997745.39596403</v>
      </c>
      <c r="V11" s="9">
        <v>25426146.803799801</v>
      </c>
      <c r="W11" s="9">
        <v>1094607434.6887801</v>
      </c>
      <c r="X11" s="9">
        <v>1113716501.9231801</v>
      </c>
      <c r="Y11" s="9">
        <v>1101232162.18519</v>
      </c>
      <c r="Z11" s="9">
        <v>16639035.2786662</v>
      </c>
      <c r="AA11" s="9">
        <v>440868711.59498298</v>
      </c>
      <c r="AB11" s="9">
        <v>46855179.345599398</v>
      </c>
      <c r="AC11" s="9">
        <v>410679.46434908098</v>
      </c>
      <c r="AD11" s="9">
        <v>141997414.968815</v>
      </c>
      <c r="AE11" s="9">
        <v>20529654.3170285</v>
      </c>
      <c r="AF11" s="9">
        <v>2372649921.2094598</v>
      </c>
      <c r="AG11" s="9">
        <v>440231552.89319497</v>
      </c>
      <c r="AH11" s="9">
        <v>505378354.425816</v>
      </c>
      <c r="AI11" s="9">
        <v>19456076.634172998</v>
      </c>
      <c r="AJ11" s="9">
        <v>2972887869.1696301</v>
      </c>
      <c r="AK11" s="9">
        <v>11077863.969160501</v>
      </c>
      <c r="AL11" s="9">
        <v>3844742076.8294601</v>
      </c>
      <c r="AM11" s="9">
        <v>78895507.701536193</v>
      </c>
      <c r="AN11" s="9">
        <v>7179315.9750846196</v>
      </c>
      <c r="AO11" s="9">
        <v>3696614.8302488099</v>
      </c>
      <c r="AP11" s="9">
        <v>787101986.01984704</v>
      </c>
      <c r="AQ11" s="9">
        <v>43771094.807307899</v>
      </c>
      <c r="AR11" s="9">
        <v>636215330.33253098</v>
      </c>
      <c r="AS11" s="9">
        <v>1674171336.7845099</v>
      </c>
      <c r="AT11" s="9">
        <v>2192969664.3536901</v>
      </c>
      <c r="AU11" s="9">
        <v>20870480.5852996</v>
      </c>
      <c r="AV11" s="9">
        <v>3749787690.0866199</v>
      </c>
      <c r="AW11" s="9">
        <v>17741170.016096301</v>
      </c>
      <c r="AX11" s="9">
        <v>277071788.82572597</v>
      </c>
      <c r="AY11" s="9">
        <v>2711681601.1048102</v>
      </c>
      <c r="AZ11" s="9">
        <v>3335220817.62992</v>
      </c>
      <c r="BA11" s="9">
        <v>107976262.43633699</v>
      </c>
      <c r="BB11" s="9">
        <v>109851107.151407</v>
      </c>
      <c r="BC11" s="9">
        <v>33481545.8502848</v>
      </c>
      <c r="BD11" s="9">
        <v>611604410.58787596</v>
      </c>
      <c r="BE11" s="10">
        <f t="shared" si="2"/>
        <v>80052144405.568054</v>
      </c>
      <c r="BH11" s="11">
        <f t="shared" si="3"/>
        <v>0.12193395823835289</v>
      </c>
      <c r="BI11" s="11">
        <f t="shared" si="11"/>
        <v>1.8328396702099045E-3</v>
      </c>
      <c r="BJ11" s="11">
        <f t="shared" si="12"/>
        <v>5.9653876025393812E-3</v>
      </c>
      <c r="BK11" s="11">
        <f t="shared" si="13"/>
        <v>2.1692569855062552E-4</v>
      </c>
      <c r="BL11" s="11">
        <f t="shared" si="14"/>
        <v>6.7881483716516938E-5</v>
      </c>
      <c r="BM11" s="11">
        <f t="shared" si="15"/>
        <v>8.2680326515609005E-3</v>
      </c>
      <c r="BN11" s="11">
        <f t="shared" si="16"/>
        <v>2.9638805291572295E-2</v>
      </c>
      <c r="BO11" s="11">
        <f t="shared" si="17"/>
        <v>1.2099343804474613E-4</v>
      </c>
      <c r="BP11" s="11">
        <f t="shared" si="18"/>
        <v>7.079161868924737E-5</v>
      </c>
      <c r="BQ11" s="11">
        <f t="shared" si="19"/>
        <v>8.5721675404343782E-5</v>
      </c>
      <c r="BR11" s="11">
        <f t="shared" si="20"/>
        <v>4.8021190515405924E-6</v>
      </c>
      <c r="BS11" s="11">
        <f t="shared" si="21"/>
        <v>1.0295180613299334E-2</v>
      </c>
      <c r="BT11" s="11">
        <f t="shared" si="22"/>
        <v>4.1824670780406953E-4</v>
      </c>
      <c r="BU11" s="11">
        <f t="shared" si="23"/>
        <v>5.0785454798758945E-5</v>
      </c>
      <c r="BV11" s="11">
        <f t="shared" si="24"/>
        <v>8.5855504685371203E-2</v>
      </c>
      <c r="BW11" s="11">
        <f t="shared" si="25"/>
        <v>2.6596354516095764E-4</v>
      </c>
      <c r="BX11" s="11">
        <f t="shared" si="26"/>
        <v>7.1175460230950185E-4</v>
      </c>
      <c r="BY11" s="11">
        <f t="shared" si="27"/>
        <v>0.18685802358761627</v>
      </c>
      <c r="BZ11" s="11">
        <f t="shared" si="28"/>
        <v>0.1563808281169525</v>
      </c>
      <c r="CA11" s="11">
        <f t="shared" si="29"/>
        <v>9.106536131032841E-3</v>
      </c>
      <c r="CB11" s="11">
        <f t="shared" si="30"/>
        <v>3.1761980884588615E-4</v>
      </c>
      <c r="CC11" s="11">
        <f t="shared" si="31"/>
        <v>1.3673680359431374E-2</v>
      </c>
      <c r="CD11" s="11">
        <f t="shared" si="32"/>
        <v>1.3912388108940093E-2</v>
      </c>
      <c r="CE11" s="11">
        <f t="shared" si="33"/>
        <v>1.3756435512907927E-2</v>
      </c>
      <c r="CF11" s="11">
        <f t="shared" si="34"/>
        <v>2.0785246169506568E-4</v>
      </c>
      <c r="CG11" s="11">
        <f t="shared" si="35"/>
        <v>5.5072692289342123E-3</v>
      </c>
      <c r="CH11" s="11">
        <f t="shared" si="36"/>
        <v>5.8530823494517615E-4</v>
      </c>
      <c r="CI11" s="11">
        <f t="shared" si="37"/>
        <v>5.1301494469461835E-6</v>
      </c>
      <c r="CJ11" s="11">
        <f t="shared" si="38"/>
        <v>1.7738115077769025E-3</v>
      </c>
      <c r="CK11" s="11">
        <f t="shared" si="39"/>
        <v>2.5645352125758361E-4</v>
      </c>
      <c r="CL11" s="11">
        <f t="shared" si="40"/>
        <v>2.9638805291572295E-2</v>
      </c>
      <c r="CM11" s="11">
        <f t="shared" si="41"/>
        <v>5.4993099330712556E-3</v>
      </c>
      <c r="CN11" s="11">
        <f t="shared" si="42"/>
        <v>6.3131145102799302E-3</v>
      </c>
      <c r="CO11" s="11">
        <f t="shared" si="43"/>
        <v>2.4304254156644084E-4</v>
      </c>
      <c r="CP11" s="11">
        <f t="shared" si="44"/>
        <v>3.7136892349917482E-2</v>
      </c>
      <c r="CQ11" s="11">
        <f t="shared" si="45"/>
        <v>1.3838310080785263E-4</v>
      </c>
      <c r="CR11" s="11">
        <f t="shared" si="46"/>
        <v>4.8027971085332195E-2</v>
      </c>
      <c r="CS11" s="11">
        <f t="shared" si="47"/>
        <v>9.8555145883198335E-4</v>
      </c>
      <c r="CT11" s="11">
        <f t="shared" si="48"/>
        <v>8.9682993858503809E-5</v>
      </c>
      <c r="CU11" s="11">
        <f t="shared" si="49"/>
        <v>4.617758659306684E-5</v>
      </c>
      <c r="CV11" s="11">
        <f t="shared" si="50"/>
        <v>9.8323660392175567E-3</v>
      </c>
      <c r="CW11" s="11">
        <f t="shared" si="51"/>
        <v>5.4678228962300461E-4</v>
      </c>
      <c r="CX11" s="11">
        <f t="shared" si="52"/>
        <v>7.9475114009347984E-3</v>
      </c>
      <c r="CY11" s="11">
        <f t="shared" si="53"/>
        <v>2.0913510177849304E-2</v>
      </c>
      <c r="CZ11" s="11">
        <f t="shared" si="54"/>
        <v>2.7394265083561676E-2</v>
      </c>
      <c r="DA11" s="11">
        <f t="shared" si="55"/>
        <v>2.6071107451617432E-4</v>
      </c>
      <c r="DB11" s="11">
        <f t="shared" si="56"/>
        <v>4.6841814393991453E-2</v>
      </c>
      <c r="DC11" s="11">
        <f t="shared" si="57"/>
        <v>2.2162017204953611E-4</v>
      </c>
      <c r="DD11" s="11">
        <f t="shared" si="58"/>
        <v>3.4611413708294635E-3</v>
      </c>
      <c r="DE11" s="11">
        <f t="shared" si="59"/>
        <v>3.3873940807464469E-2</v>
      </c>
      <c r="DF11" s="11">
        <f t="shared" si="60"/>
        <v>4.1663103997972822E-2</v>
      </c>
      <c r="DG11" s="11">
        <f t="shared" si="61"/>
        <v>1.348824110061275E-3</v>
      </c>
      <c r="DH11" s="11">
        <f t="shared" si="62"/>
        <v>1.3722444035336333E-3</v>
      </c>
      <c r="DI11" s="11">
        <f t="shared" si="63"/>
        <v>4.1824670780406953E-4</v>
      </c>
      <c r="DJ11" s="11">
        <f t="shared" si="10"/>
        <v>7.6400752925406407E-3</v>
      </c>
    </row>
    <row r="12" spans="1:114" x14ac:dyDescent="0.25">
      <c r="A12" s="1" t="s">
        <v>9</v>
      </c>
      <c r="B12" s="9">
        <v>8368478120.2831697</v>
      </c>
      <c r="C12" s="9">
        <v>119428259.640642</v>
      </c>
      <c r="D12" s="9">
        <v>386008099.178716</v>
      </c>
      <c r="E12" s="9">
        <v>13020496.775172099</v>
      </c>
      <c r="F12" s="9">
        <v>4890672.6197710996</v>
      </c>
      <c r="G12" s="9">
        <v>556459864.63530195</v>
      </c>
      <c r="H12" s="9">
        <v>2281803101.4330602</v>
      </c>
      <c r="I12" s="9">
        <v>6019543.33701008</v>
      </c>
      <c r="J12" s="9">
        <v>5016244.0811300101</v>
      </c>
      <c r="K12" s="9">
        <v>5528994.8423384698</v>
      </c>
      <c r="L12" s="9">
        <v>0</v>
      </c>
      <c r="M12" s="9">
        <v>710229950.04656398</v>
      </c>
      <c r="N12" s="9">
        <v>28290238.914038599</v>
      </c>
      <c r="O12" s="9">
        <v>3611556.10164198</v>
      </c>
      <c r="P12" s="9">
        <v>5719574743.98596</v>
      </c>
      <c r="Q12" s="9">
        <v>16282595.3164542</v>
      </c>
      <c r="R12" s="9">
        <v>49548722.376695998</v>
      </c>
      <c r="S12" s="9">
        <v>13029518470.7388</v>
      </c>
      <c r="T12" s="9">
        <v>10480108666.522499</v>
      </c>
      <c r="U12" s="9">
        <v>584465645.25783598</v>
      </c>
      <c r="V12" s="9">
        <v>20859333.9508176</v>
      </c>
      <c r="W12" s="9">
        <v>1056874931.70452</v>
      </c>
      <c r="X12" s="9">
        <v>946755069.96328795</v>
      </c>
      <c r="Y12" s="9">
        <v>1108076796.3829899</v>
      </c>
      <c r="Z12" s="9">
        <v>15798671.8130512</v>
      </c>
      <c r="AA12" s="9">
        <v>512226334.66425198</v>
      </c>
      <c r="AB12" s="9">
        <v>40959862.807099</v>
      </c>
      <c r="AC12" s="9">
        <v>271730.51291238097</v>
      </c>
      <c r="AD12" s="9">
        <v>127806046.947675</v>
      </c>
      <c r="AE12" s="9">
        <v>17920823.831209201</v>
      </c>
      <c r="AF12" s="9">
        <v>2281803101.4330602</v>
      </c>
      <c r="AG12" s="9">
        <v>345124312.87660301</v>
      </c>
      <c r="AH12" s="9">
        <v>474513878.95635098</v>
      </c>
      <c r="AI12" s="9">
        <v>16818362.902642399</v>
      </c>
      <c r="AJ12" s="9">
        <v>2810569312.7638798</v>
      </c>
      <c r="AK12" s="9">
        <v>8758616.8059123997</v>
      </c>
      <c r="AL12" s="9">
        <v>3565046170.1596198</v>
      </c>
      <c r="AM12" s="9">
        <v>72765129.739136294</v>
      </c>
      <c r="AN12" s="9">
        <v>6233083.3945270302</v>
      </c>
      <c r="AO12" s="9">
        <v>3539545.6536772898</v>
      </c>
      <c r="AP12" s="9">
        <v>717442705.747352</v>
      </c>
      <c r="AQ12" s="9">
        <v>38979648.126732998</v>
      </c>
      <c r="AR12" s="9">
        <v>575491240.65292799</v>
      </c>
      <c r="AS12" s="9">
        <v>1471369744.91874</v>
      </c>
      <c r="AT12" s="9">
        <v>1975563002.44978</v>
      </c>
      <c r="AU12" s="9">
        <v>18740744.452905901</v>
      </c>
      <c r="AV12" s="9">
        <v>3025192281.5936298</v>
      </c>
      <c r="AW12" s="9">
        <v>15741428.5907316</v>
      </c>
      <c r="AX12" s="9">
        <v>254933461.91707</v>
      </c>
      <c r="AY12" s="9">
        <v>2346294046.3657699</v>
      </c>
      <c r="AZ12" s="9">
        <v>2869594508.1379399</v>
      </c>
      <c r="BA12" s="9">
        <v>92696286.057119697</v>
      </c>
      <c r="BB12" s="9">
        <v>88468775.950739294</v>
      </c>
      <c r="BC12" s="9">
        <v>28290238.914038599</v>
      </c>
      <c r="BD12" s="9">
        <v>178653806.99514601</v>
      </c>
      <c r="BE12" s="10">
        <f t="shared" si="2"/>
        <v>69498457024.220642</v>
      </c>
      <c r="BH12" s="11">
        <f t="shared" si="3"/>
        <v>0.12041243041362347</v>
      </c>
      <c r="BI12" s="11">
        <f t="shared" si="11"/>
        <v>1.7184303760732489E-3</v>
      </c>
      <c r="BJ12" s="11">
        <f t="shared" si="12"/>
        <v>5.5541966787002166E-3</v>
      </c>
      <c r="BK12" s="11">
        <f t="shared" si="13"/>
        <v>1.873494367023771E-4</v>
      </c>
      <c r="BL12" s="11">
        <f t="shared" si="14"/>
        <v>7.0370952524408855E-5</v>
      </c>
      <c r="BM12" s="11">
        <f t="shared" si="15"/>
        <v>8.0067945169109613E-3</v>
      </c>
      <c r="BN12" s="11">
        <f t="shared" si="16"/>
        <v>3.2832428216900376E-2</v>
      </c>
      <c r="BO12" s="11">
        <f t="shared" si="17"/>
        <v>8.6614057271979891E-5</v>
      </c>
      <c r="BP12" s="11">
        <f t="shared" si="18"/>
        <v>7.2177776254540705E-5</v>
      </c>
      <c r="BQ12" s="11">
        <f t="shared" si="19"/>
        <v>7.955564884572302E-5</v>
      </c>
      <c r="BR12" s="11">
        <f t="shared" si="20"/>
        <v>0</v>
      </c>
      <c r="BS12" s="11">
        <f t="shared" si="21"/>
        <v>1.0219362852891028E-2</v>
      </c>
      <c r="BT12" s="11">
        <f t="shared" si="22"/>
        <v>4.0706283456306484E-4</v>
      </c>
      <c r="BU12" s="11">
        <f t="shared" si="23"/>
        <v>5.1965989696481033E-5</v>
      </c>
      <c r="BV12" s="11">
        <f t="shared" si="24"/>
        <v>8.229786658418406E-2</v>
      </c>
      <c r="BW12" s="11">
        <f t="shared" si="25"/>
        <v>2.3428714842949123E-4</v>
      </c>
      <c r="BX12" s="11">
        <f t="shared" si="26"/>
        <v>7.12947085421306E-4</v>
      </c>
      <c r="BY12" s="11">
        <f t="shared" si="27"/>
        <v>0.1874792481536379</v>
      </c>
      <c r="BZ12" s="11">
        <f t="shared" si="28"/>
        <v>0.15079627829536008</v>
      </c>
      <c r="CA12" s="11">
        <f t="shared" si="29"/>
        <v>8.4097643355469914E-3</v>
      </c>
      <c r="CB12" s="11">
        <f t="shared" si="30"/>
        <v>3.0014096490729275E-4</v>
      </c>
      <c r="CC12" s="11">
        <f t="shared" si="31"/>
        <v>1.5207171165486344E-2</v>
      </c>
      <c r="CD12" s="11">
        <f t="shared" si="32"/>
        <v>1.3622677545680445E-2</v>
      </c>
      <c r="CE12" s="11">
        <f t="shared" si="33"/>
        <v>1.5943904999168805E-2</v>
      </c>
      <c r="CF12" s="11">
        <f t="shared" si="34"/>
        <v>2.2732406573494523E-4</v>
      </c>
      <c r="CG12" s="11">
        <f t="shared" si="35"/>
        <v>7.3703267179836517E-3</v>
      </c>
      <c r="CH12" s="11">
        <f t="shared" si="36"/>
        <v>5.8936362850220165E-4</v>
      </c>
      <c r="CI12" s="11">
        <f t="shared" si="37"/>
        <v>3.9098783562587756E-6</v>
      </c>
      <c r="CJ12" s="11">
        <f t="shared" si="38"/>
        <v>1.8389767545937575E-3</v>
      </c>
      <c r="CK12" s="11">
        <f t="shared" si="39"/>
        <v>2.5785930506289778E-4</v>
      </c>
      <c r="CL12" s="11">
        <f t="shared" si="40"/>
        <v>3.2832428216900376E-2</v>
      </c>
      <c r="CM12" s="11">
        <f t="shared" si="41"/>
        <v>4.9659277004714657E-3</v>
      </c>
      <c r="CN12" s="11">
        <f t="shared" si="42"/>
        <v>6.827689408859537E-3</v>
      </c>
      <c r="CO12" s="11">
        <f t="shared" si="43"/>
        <v>2.4199620571117278E-4</v>
      </c>
      <c r="CP12" s="11">
        <f t="shared" si="44"/>
        <v>4.0440744055431029E-2</v>
      </c>
      <c r="CQ12" s="11">
        <f t="shared" si="45"/>
        <v>1.2602606131039668E-4</v>
      </c>
      <c r="CR12" s="11">
        <f t="shared" si="46"/>
        <v>5.129676719178354E-2</v>
      </c>
      <c r="CS12" s="11">
        <f t="shared" si="47"/>
        <v>1.0470035286362861E-3</v>
      </c>
      <c r="CT12" s="11">
        <f t="shared" si="48"/>
        <v>8.9686644299955641E-5</v>
      </c>
      <c r="CU12" s="11">
        <f t="shared" si="49"/>
        <v>5.0929845139493334E-5</v>
      </c>
      <c r="CV12" s="11">
        <f t="shared" si="50"/>
        <v>1.0323145814551233E-2</v>
      </c>
      <c r="CW12" s="11">
        <f t="shared" si="51"/>
        <v>5.6087069836886229E-4</v>
      </c>
      <c r="CX12" s="11">
        <f t="shared" si="52"/>
        <v>8.2806333448865732E-3</v>
      </c>
      <c r="CY12" s="11">
        <f t="shared" si="53"/>
        <v>2.1171257721678032E-2</v>
      </c>
      <c r="CZ12" s="11">
        <f t="shared" si="54"/>
        <v>2.8425998029874017E-2</v>
      </c>
      <c r="DA12" s="11">
        <f t="shared" si="55"/>
        <v>2.6965698600149693E-4</v>
      </c>
      <c r="DB12" s="11">
        <f t="shared" si="56"/>
        <v>4.3528912887077935E-2</v>
      </c>
      <c r="DC12" s="11">
        <f t="shared" si="57"/>
        <v>2.2650040396214285E-4</v>
      </c>
      <c r="DD12" s="11">
        <f t="shared" si="58"/>
        <v>3.6681888035042867E-3</v>
      </c>
      <c r="DE12" s="11">
        <f t="shared" si="59"/>
        <v>3.376037608357365E-2</v>
      </c>
      <c r="DF12" s="11">
        <f t="shared" si="60"/>
        <v>4.1290046297543966E-2</v>
      </c>
      <c r="DG12" s="11">
        <f t="shared" si="61"/>
        <v>1.3337891231860655E-3</v>
      </c>
      <c r="DH12" s="11">
        <f t="shared" si="62"/>
        <v>1.2729602891745839E-3</v>
      </c>
      <c r="DI12" s="11">
        <f t="shared" si="63"/>
        <v>4.0706283456306484E-4</v>
      </c>
      <c r="DJ12" s="11">
        <f t="shared" si="10"/>
        <v>2.5706154444966175E-3</v>
      </c>
    </row>
    <row r="13" spans="1:114" x14ac:dyDescent="0.25">
      <c r="A13" s="1" t="s">
        <v>80</v>
      </c>
      <c r="B13" s="9">
        <v>5638440645.00383</v>
      </c>
      <c r="C13" s="9">
        <v>18195914.205626201</v>
      </c>
      <c r="D13" s="9">
        <v>303732281.85209203</v>
      </c>
      <c r="E13" s="9">
        <v>26231145.803266399</v>
      </c>
      <c r="F13" s="9">
        <v>5659739.8180807596</v>
      </c>
      <c r="G13" s="9">
        <v>741109228.88704705</v>
      </c>
      <c r="H13" s="9">
        <v>1393578914.2437601</v>
      </c>
      <c r="I13" s="9">
        <v>5422999.6942510903</v>
      </c>
      <c r="J13" s="9">
        <v>5742218.98555829</v>
      </c>
      <c r="K13" s="9">
        <v>5233716.9917493798</v>
      </c>
      <c r="L13" s="9">
        <v>157338.00069220099</v>
      </c>
      <c r="M13" s="9">
        <v>691703406.20251596</v>
      </c>
      <c r="N13" s="9">
        <v>54749619.273788698</v>
      </c>
      <c r="O13" s="9">
        <v>4043375.53954816</v>
      </c>
      <c r="P13" s="9">
        <v>6541066984.1785402</v>
      </c>
      <c r="Q13" s="9">
        <v>16851324.948490299</v>
      </c>
      <c r="R13" s="9">
        <v>48115239.298252299</v>
      </c>
      <c r="S13" s="9">
        <v>14736535492.7544</v>
      </c>
      <c r="T13" s="9">
        <v>11840949716.0394</v>
      </c>
      <c r="U13" s="9">
        <v>673149380.16701198</v>
      </c>
      <c r="V13" s="9">
        <v>23109011.788275801</v>
      </c>
      <c r="W13" s="9">
        <v>1100186928.3957901</v>
      </c>
      <c r="X13" s="9">
        <v>988656780.89835203</v>
      </c>
      <c r="Y13" s="9">
        <v>1060340042.63112</v>
      </c>
      <c r="Z13" s="9">
        <v>14196357.858477101</v>
      </c>
      <c r="AA13" s="9">
        <v>458106865.63393801</v>
      </c>
      <c r="AB13" s="9">
        <v>24957574.012866799</v>
      </c>
      <c r="AC13" s="9">
        <v>149854.50459345599</v>
      </c>
      <c r="AD13" s="9">
        <v>147572445.31198299</v>
      </c>
      <c r="AE13" s="9">
        <v>11746018.056833399</v>
      </c>
      <c r="AF13" s="9">
        <v>1393578914.2437601</v>
      </c>
      <c r="AG13" s="9">
        <v>402365318.97490603</v>
      </c>
      <c r="AH13" s="9">
        <v>467623646.76620197</v>
      </c>
      <c r="AI13" s="9">
        <v>35664021.371840999</v>
      </c>
      <c r="AJ13" s="9">
        <v>2927886730.76755</v>
      </c>
      <c r="AK13" s="9">
        <v>8409778.0912040602</v>
      </c>
      <c r="AL13" s="9">
        <v>4011911617.12007</v>
      </c>
      <c r="AM13" s="9">
        <v>82074758.906437606</v>
      </c>
      <c r="AN13" s="9">
        <v>7535682.1765347896</v>
      </c>
      <c r="AO13" s="9">
        <v>18489690.815482199</v>
      </c>
      <c r="AP13" s="9">
        <v>853646668.62514496</v>
      </c>
      <c r="AQ13" s="9">
        <v>45293017.424102902</v>
      </c>
      <c r="AR13" s="9">
        <v>595937987.74765599</v>
      </c>
      <c r="AS13" s="9">
        <v>1524128725.9356599</v>
      </c>
      <c r="AT13" s="9">
        <v>2075582436.6402199</v>
      </c>
      <c r="AU13" s="9">
        <v>15935213.0990668</v>
      </c>
      <c r="AV13" s="9">
        <v>3028790987.8403802</v>
      </c>
      <c r="AW13" s="9">
        <v>15023229.413548499</v>
      </c>
      <c r="AX13" s="9">
        <v>276271702.55579001</v>
      </c>
      <c r="AY13" s="9">
        <v>2547510739.2913499</v>
      </c>
      <c r="AZ13" s="9">
        <v>3063904112.3342099</v>
      </c>
      <c r="BA13" s="9">
        <v>80399714.723787099</v>
      </c>
      <c r="BB13" s="9">
        <v>100478159.241892</v>
      </c>
      <c r="BC13" s="9">
        <v>47797937.955133103</v>
      </c>
      <c r="BD13" s="9">
        <v>449635086.130436</v>
      </c>
      <c r="BE13" s="10">
        <f t="shared" si="2"/>
        <v>70655566439.172516</v>
      </c>
      <c r="BH13" s="11">
        <f t="shared" si="3"/>
        <v>7.9801789571073242E-2</v>
      </c>
      <c r="BI13" s="11">
        <f t="shared" si="11"/>
        <v>2.5752980441096725E-4</v>
      </c>
      <c r="BJ13" s="11">
        <f t="shared" si="12"/>
        <v>4.2987735738213295E-3</v>
      </c>
      <c r="BK13" s="11">
        <f t="shared" si="13"/>
        <v>3.7125377553725837E-4</v>
      </c>
      <c r="BL13" s="11">
        <f t="shared" si="14"/>
        <v>8.0103240315159579E-5</v>
      </c>
      <c r="BM13" s="11">
        <f t="shared" si="15"/>
        <v>1.048904235344386E-2</v>
      </c>
      <c r="BN13" s="11">
        <f t="shared" si="16"/>
        <v>1.9723554483757403E-2</v>
      </c>
      <c r="BO13" s="11">
        <f t="shared" si="17"/>
        <v>7.6752617911849292E-5</v>
      </c>
      <c r="BP13" s="11">
        <f t="shared" si="18"/>
        <v>8.1270581709960176E-5</v>
      </c>
      <c r="BQ13" s="11">
        <f t="shared" si="19"/>
        <v>7.4073668296964189E-5</v>
      </c>
      <c r="BR13" s="11">
        <f t="shared" si="20"/>
        <v>2.226830929558162E-6</v>
      </c>
      <c r="BS13" s="11">
        <f t="shared" si="21"/>
        <v>9.7897935160990383E-3</v>
      </c>
      <c r="BT13" s="11">
        <f t="shared" si="22"/>
        <v>7.7488048051985723E-4</v>
      </c>
      <c r="BU13" s="11">
        <f t="shared" si="23"/>
        <v>5.7226567464137567E-5</v>
      </c>
      <c r="BV13" s="11">
        <f t="shared" si="24"/>
        <v>9.2576810488240222E-2</v>
      </c>
      <c r="BW13" s="11">
        <f t="shared" si="25"/>
        <v>2.3849960870383271E-4</v>
      </c>
      <c r="BX13" s="11">
        <f t="shared" si="26"/>
        <v>6.8098299572298779E-4</v>
      </c>
      <c r="BY13" s="11">
        <f t="shared" si="27"/>
        <v>0.20856864130359928</v>
      </c>
      <c r="BZ13" s="11">
        <f t="shared" si="28"/>
        <v>0.16758693352537612</v>
      </c>
      <c r="CA13" s="11">
        <f t="shared" si="29"/>
        <v>9.5271952953137427E-3</v>
      </c>
      <c r="CB13" s="11">
        <f t="shared" si="30"/>
        <v>3.2706569280950261E-4</v>
      </c>
      <c r="CC13" s="11">
        <f t="shared" si="31"/>
        <v>1.5571128841532148E-2</v>
      </c>
      <c r="CD13" s="11">
        <f t="shared" si="32"/>
        <v>1.3992624087862747E-2</v>
      </c>
      <c r="CE13" s="11">
        <f t="shared" si="33"/>
        <v>1.5007169230522952E-2</v>
      </c>
      <c r="CF13" s="11">
        <f t="shared" si="34"/>
        <v>2.0092341727525129E-4</v>
      </c>
      <c r="CG13" s="11">
        <f t="shared" si="35"/>
        <v>6.483662770269104E-3</v>
      </c>
      <c r="CH13" s="11">
        <f t="shared" si="36"/>
        <v>3.5322870186530614E-4</v>
      </c>
      <c r="CI13" s="11">
        <f t="shared" si="37"/>
        <v>2.1209157628432002E-6</v>
      </c>
      <c r="CJ13" s="11">
        <f t="shared" si="38"/>
        <v>2.088617397739332E-3</v>
      </c>
      <c r="CK13" s="11">
        <f t="shared" si="39"/>
        <v>1.6624334994109154E-4</v>
      </c>
      <c r="CL13" s="11">
        <f t="shared" si="40"/>
        <v>1.9723554483757403E-2</v>
      </c>
      <c r="CM13" s="11">
        <f t="shared" si="41"/>
        <v>5.6947433762533474E-3</v>
      </c>
      <c r="CN13" s="11">
        <f t="shared" si="42"/>
        <v>6.6183553587215223E-3</v>
      </c>
      <c r="CO13" s="11">
        <f t="shared" si="43"/>
        <v>5.0475883457171361E-4</v>
      </c>
      <c r="CP13" s="11">
        <f t="shared" si="44"/>
        <v>4.1438868560882205E-2</v>
      </c>
      <c r="CQ13" s="11">
        <f t="shared" si="45"/>
        <v>1.19024990033079E-4</v>
      </c>
      <c r="CR13" s="11">
        <f t="shared" si="46"/>
        <v>5.6781253329473071E-2</v>
      </c>
      <c r="CS13" s="11">
        <f t="shared" si="47"/>
        <v>1.1616177329368082E-3</v>
      </c>
      <c r="CT13" s="11">
        <f t="shared" si="48"/>
        <v>1.0665376496588234E-4</v>
      </c>
      <c r="CU13" s="11">
        <f t="shared" si="49"/>
        <v>2.6168767370083999E-4</v>
      </c>
      <c r="CV13" s="11">
        <f t="shared" si="50"/>
        <v>1.2081803481966996E-2</v>
      </c>
      <c r="CW13" s="11">
        <f t="shared" si="51"/>
        <v>6.4103961947705465E-4</v>
      </c>
      <c r="CX13" s="11">
        <f t="shared" si="52"/>
        <v>8.4344095982968291E-3</v>
      </c>
      <c r="CY13" s="11">
        <f t="shared" si="53"/>
        <v>2.1571247712631171E-2</v>
      </c>
      <c r="CZ13" s="11">
        <f t="shared" si="54"/>
        <v>2.9376063928764792E-2</v>
      </c>
      <c r="DA13" s="11">
        <f t="shared" si="55"/>
        <v>2.255337251140071E-4</v>
      </c>
      <c r="DB13" s="11">
        <f t="shared" si="56"/>
        <v>4.2866983317554619E-2</v>
      </c>
      <c r="DC13" s="11">
        <f t="shared" si="57"/>
        <v>2.1262626811550679E-4</v>
      </c>
      <c r="DD13" s="11">
        <f t="shared" si="58"/>
        <v>3.9101194212862586E-3</v>
      </c>
      <c r="DE13" s="11">
        <f t="shared" si="59"/>
        <v>3.6055343799196712E-2</v>
      </c>
      <c r="DF13" s="11">
        <f t="shared" si="60"/>
        <v>4.3363945216856048E-2</v>
      </c>
      <c r="DG13" s="11">
        <f t="shared" si="61"/>
        <v>1.1379105536292507E-3</v>
      </c>
      <c r="DH13" s="11">
        <f t="shared" si="62"/>
        <v>1.4220841231015224E-3</v>
      </c>
      <c r="DI13" s="11">
        <f t="shared" si="63"/>
        <v>6.7649217696502965E-4</v>
      </c>
      <c r="DJ13" s="11">
        <f t="shared" si="10"/>
        <v>6.3637602639209966E-3</v>
      </c>
    </row>
    <row r="14" spans="1:114" x14ac:dyDescent="0.25">
      <c r="A14" s="1" t="s">
        <v>10</v>
      </c>
      <c r="B14" s="9">
        <v>6163163595.0977001</v>
      </c>
      <c r="C14" s="9">
        <v>19889698.601700399</v>
      </c>
      <c r="D14" s="9">
        <v>315745565.87928998</v>
      </c>
      <c r="E14" s="9">
        <v>31284800.2053155</v>
      </c>
      <c r="F14" s="9">
        <v>7069795.1586215701</v>
      </c>
      <c r="G14" s="9">
        <v>784830869.87168002</v>
      </c>
      <c r="H14" s="9">
        <v>1513975015.85744</v>
      </c>
      <c r="I14" s="9">
        <v>7124052.5988384001</v>
      </c>
      <c r="J14" s="9">
        <v>6051228.0231528701</v>
      </c>
      <c r="K14" s="9">
        <v>5590933.7340712501</v>
      </c>
      <c r="L14" s="9">
        <v>306164.25884257001</v>
      </c>
      <c r="M14" s="9">
        <v>723697606.90453506</v>
      </c>
      <c r="N14" s="9">
        <v>47797937.955133103</v>
      </c>
      <c r="O14" s="9">
        <v>4679699.8123099701</v>
      </c>
      <c r="P14" s="9">
        <v>6612425104.0408602</v>
      </c>
      <c r="Q14" s="9">
        <v>17660960.620761398</v>
      </c>
      <c r="R14" s="9">
        <v>50570879.991841502</v>
      </c>
      <c r="S14" s="9">
        <v>14194353781.920799</v>
      </c>
      <c r="T14" s="9">
        <v>12745018848.524799</v>
      </c>
      <c r="U14" s="9">
        <v>708095707.541026</v>
      </c>
      <c r="V14" s="9">
        <v>23634302.643495101</v>
      </c>
      <c r="W14" s="9">
        <v>976070693.16280401</v>
      </c>
      <c r="X14" s="9">
        <v>1004621597.38349</v>
      </c>
      <c r="Y14" s="9">
        <v>1055614358.79281</v>
      </c>
      <c r="Z14" s="9">
        <v>15456681.5992181</v>
      </c>
      <c r="AA14" s="9">
        <v>436766228.67640501</v>
      </c>
      <c r="AB14" s="9">
        <v>26668248.969450802</v>
      </c>
      <c r="AC14" s="9">
        <v>98202.807915058103</v>
      </c>
      <c r="AD14" s="9">
        <v>150565834.764467</v>
      </c>
      <c r="AE14" s="9">
        <v>12375189.0162846</v>
      </c>
      <c r="AF14" s="9">
        <v>1513975015.85744</v>
      </c>
      <c r="AG14" s="9">
        <v>412573504.38172299</v>
      </c>
      <c r="AH14" s="9">
        <v>502427987.00955498</v>
      </c>
      <c r="AI14" s="9">
        <v>35973410.766971</v>
      </c>
      <c r="AJ14" s="9">
        <v>2975749742.6654301</v>
      </c>
      <c r="AK14" s="9">
        <v>9851832.3718577195</v>
      </c>
      <c r="AL14" s="9">
        <v>3987349549.1543198</v>
      </c>
      <c r="AM14" s="9">
        <v>82161552.877689198</v>
      </c>
      <c r="AN14" s="9">
        <v>7306268.1659901999</v>
      </c>
      <c r="AO14" s="9">
        <v>20618551.689601999</v>
      </c>
      <c r="AP14" s="9">
        <v>891622628.27805901</v>
      </c>
      <c r="AQ14" s="9">
        <v>45439875.240719996</v>
      </c>
      <c r="AR14" s="9">
        <v>603265447.06648195</v>
      </c>
      <c r="AS14" s="9">
        <v>1500670987.3747399</v>
      </c>
      <c r="AT14" s="9">
        <v>2190564249.1327701</v>
      </c>
      <c r="AU14" s="9">
        <v>15692365.9296124</v>
      </c>
      <c r="AV14" s="9">
        <v>3429776782.2810502</v>
      </c>
      <c r="AW14" s="9">
        <v>17103747.3025738</v>
      </c>
      <c r="AX14" s="9">
        <v>279387393.14976001</v>
      </c>
      <c r="AY14" s="9">
        <v>2727037099.3082199</v>
      </c>
      <c r="AZ14" s="9">
        <v>3339806476.5192299</v>
      </c>
      <c r="BA14" s="9">
        <v>85941881.960645899</v>
      </c>
      <c r="BB14" s="9">
        <v>92664452.182008594</v>
      </c>
      <c r="BC14" s="9">
        <v>47124929.647000298</v>
      </c>
      <c r="BD14" s="9">
        <v>801933914.94184697</v>
      </c>
      <c r="BE14" s="10">
        <f t="shared" si="2"/>
        <v>73277223229.670349</v>
      </c>
      <c r="BH14" s="11">
        <f t="shared" si="3"/>
        <v>8.4107493753969129E-2</v>
      </c>
      <c r="BI14" s="11">
        <f t="shared" si="11"/>
        <v>2.7143084474367678E-4</v>
      </c>
      <c r="BJ14" s="11">
        <f t="shared" si="12"/>
        <v>4.30891826904602E-3</v>
      </c>
      <c r="BK14" s="11">
        <f t="shared" si="13"/>
        <v>4.2693757796007906E-4</v>
      </c>
      <c r="BL14" s="11">
        <f t="shared" si="14"/>
        <v>9.6480118200753152E-5</v>
      </c>
      <c r="BM14" s="11">
        <f t="shared" si="15"/>
        <v>1.0710434092348326E-2</v>
      </c>
      <c r="BN14" s="11">
        <f t="shared" si="16"/>
        <v>2.0660922304769094E-2</v>
      </c>
      <c r="BO14" s="11">
        <f t="shared" si="17"/>
        <v>9.7220558924697792E-5</v>
      </c>
      <c r="BP14" s="11">
        <f t="shared" si="18"/>
        <v>8.257993079495806E-5</v>
      </c>
      <c r="BQ14" s="11">
        <f t="shared" si="19"/>
        <v>7.6298384240731579E-5</v>
      </c>
      <c r="BR14" s="11">
        <f t="shared" si="20"/>
        <v>4.1781640371793236E-6</v>
      </c>
      <c r="BS14" s="11">
        <f t="shared" si="21"/>
        <v>9.8761603538970611E-3</v>
      </c>
      <c r="BT14" s="11">
        <f t="shared" si="22"/>
        <v>6.5228915409801518E-4</v>
      </c>
      <c r="BU14" s="11">
        <f t="shared" si="23"/>
        <v>6.3862952307056501E-5</v>
      </c>
      <c r="BV14" s="11">
        <f t="shared" si="24"/>
        <v>9.0238478105478387E-2</v>
      </c>
      <c r="BW14" s="11">
        <f t="shared" si="25"/>
        <v>2.4101569140259641E-4</v>
      </c>
      <c r="BX14" s="11">
        <f t="shared" si="26"/>
        <v>6.9013095424397958E-4</v>
      </c>
      <c r="BY14" s="11">
        <f t="shared" si="27"/>
        <v>0.19370758274275637</v>
      </c>
      <c r="BZ14" s="11">
        <f t="shared" si="28"/>
        <v>0.17392879105937889</v>
      </c>
      <c r="CA14" s="11">
        <f t="shared" si="29"/>
        <v>9.663244270619608E-3</v>
      </c>
      <c r="CB14" s="11">
        <f t="shared" si="30"/>
        <v>3.225327271124739E-4</v>
      </c>
      <c r="CC14" s="11">
        <f t="shared" si="31"/>
        <v>1.3320246730741125E-2</v>
      </c>
      <c r="CD14" s="11">
        <f t="shared" si="32"/>
        <v>1.3709875362426576E-2</v>
      </c>
      <c r="CE14" s="11">
        <f t="shared" si="33"/>
        <v>1.4405763650244131E-2</v>
      </c>
      <c r="CF14" s="11">
        <f t="shared" si="34"/>
        <v>2.109343247187839E-4</v>
      </c>
      <c r="CG14" s="11">
        <f t="shared" si="35"/>
        <v>5.9604636942568526E-3</v>
      </c>
      <c r="CH14" s="11">
        <f t="shared" si="36"/>
        <v>3.6393640198217393E-4</v>
      </c>
      <c r="CI14" s="11">
        <f t="shared" si="37"/>
        <v>1.3401546017548227E-6</v>
      </c>
      <c r="CJ14" s="11">
        <f t="shared" si="38"/>
        <v>2.054742635273631E-3</v>
      </c>
      <c r="CK14" s="11">
        <f t="shared" si="39"/>
        <v>1.6888179533628694E-4</v>
      </c>
      <c r="CL14" s="11">
        <f t="shared" si="40"/>
        <v>2.0660922304769094E-2</v>
      </c>
      <c r="CM14" s="11">
        <f t="shared" si="41"/>
        <v>5.6303102955826759E-3</v>
      </c>
      <c r="CN14" s="11">
        <f t="shared" si="42"/>
        <v>6.8565369273725311E-3</v>
      </c>
      <c r="CO14" s="11">
        <f t="shared" si="43"/>
        <v>4.9092213352873297E-4</v>
      </c>
      <c r="CP14" s="11">
        <f t="shared" si="44"/>
        <v>4.0609477427094053E-2</v>
      </c>
      <c r="CQ14" s="11">
        <f t="shared" si="45"/>
        <v>1.3444603845016686E-4</v>
      </c>
      <c r="CR14" s="11">
        <f t="shared" si="46"/>
        <v>5.4414583050682794E-2</v>
      </c>
      <c r="CS14" s="11">
        <f t="shared" si="47"/>
        <v>1.1212427171287999E-3</v>
      </c>
      <c r="CT14" s="11">
        <f t="shared" si="48"/>
        <v>9.9707219296375465E-5</v>
      </c>
      <c r="CU14" s="11">
        <f t="shared" si="49"/>
        <v>2.8137736094308545E-4</v>
      </c>
      <c r="CV14" s="11">
        <f t="shared" si="50"/>
        <v>1.2167800429384121E-2</v>
      </c>
      <c r="CW14" s="11">
        <f t="shared" si="51"/>
        <v>6.201091312958096E-4</v>
      </c>
      <c r="CX14" s="11">
        <f t="shared" si="52"/>
        <v>8.2326461140003523E-3</v>
      </c>
      <c r="CY14" s="11">
        <f t="shared" si="53"/>
        <v>2.0479364818058635E-2</v>
      </c>
      <c r="CZ14" s="11">
        <f t="shared" si="54"/>
        <v>2.9894203854681528E-2</v>
      </c>
      <c r="DA14" s="11">
        <f t="shared" si="55"/>
        <v>2.1415066289327508E-4</v>
      </c>
      <c r="DB14" s="11">
        <f t="shared" si="56"/>
        <v>4.6805496047949521E-2</v>
      </c>
      <c r="DC14" s="11">
        <f t="shared" si="57"/>
        <v>2.3341150972609997E-4</v>
      </c>
      <c r="DD14" s="11">
        <f t="shared" si="58"/>
        <v>3.8127453639186823E-3</v>
      </c>
      <c r="DE14" s="11">
        <f t="shared" si="59"/>
        <v>3.7215344401915436E-2</v>
      </c>
      <c r="DF14" s="11">
        <f t="shared" si="60"/>
        <v>4.5577688800398267E-2</v>
      </c>
      <c r="DG14" s="11">
        <f t="shared" si="61"/>
        <v>1.1728321321794787E-3</v>
      </c>
      <c r="DH14" s="11">
        <f t="shared" si="62"/>
        <v>1.2645737392582891E-3</v>
      </c>
      <c r="DI14" s="11">
        <f t="shared" si="63"/>
        <v>6.4310474073639781E-4</v>
      </c>
      <c r="DJ14" s="11">
        <f t="shared" si="10"/>
        <v>1.0943836018845479E-2</v>
      </c>
    </row>
    <row r="15" spans="1:114" x14ac:dyDescent="0.25">
      <c r="A15" s="1" t="s">
        <v>11</v>
      </c>
      <c r="B15" s="9">
        <v>5567432899.9613705</v>
      </c>
      <c r="C15" s="9">
        <v>18674885.510077901</v>
      </c>
      <c r="D15" s="9">
        <v>295602046.69537097</v>
      </c>
      <c r="E15" s="9">
        <v>27610793.227250099</v>
      </c>
      <c r="F15" s="9">
        <v>5457247.8552565202</v>
      </c>
      <c r="G15" s="9">
        <v>710936458.18414104</v>
      </c>
      <c r="H15" s="9">
        <v>1440567210.1879399</v>
      </c>
      <c r="I15" s="9">
        <v>7128673.7543593403</v>
      </c>
      <c r="J15" s="9">
        <v>5625720.2233833298</v>
      </c>
      <c r="K15" s="9">
        <v>5492863.4512245804</v>
      </c>
      <c r="L15" s="9">
        <v>0</v>
      </c>
      <c r="M15" s="9">
        <v>656530786.42116702</v>
      </c>
      <c r="N15" s="9">
        <v>47124929.647000298</v>
      </c>
      <c r="O15" s="9">
        <v>3357515.8938294598</v>
      </c>
      <c r="P15" s="9">
        <v>6337760888.3979597</v>
      </c>
      <c r="Q15" s="9">
        <v>17241841.703131601</v>
      </c>
      <c r="R15" s="9">
        <v>48795355.321263202</v>
      </c>
      <c r="S15" s="9">
        <v>13828524633.862301</v>
      </c>
      <c r="T15" s="9">
        <v>11836514997.403799</v>
      </c>
      <c r="U15" s="9">
        <v>629893764.61399496</v>
      </c>
      <c r="V15" s="9">
        <v>22100908.907616701</v>
      </c>
      <c r="W15" s="9">
        <v>1046552970.4418499</v>
      </c>
      <c r="X15" s="9">
        <v>899819492.69000697</v>
      </c>
      <c r="Y15" s="9">
        <v>1066346081.35447</v>
      </c>
      <c r="Z15" s="9">
        <v>15055823.650763899</v>
      </c>
      <c r="AA15" s="9">
        <v>455989242.23144501</v>
      </c>
      <c r="AB15" s="9">
        <v>22921343.339745998</v>
      </c>
      <c r="AC15" s="9">
        <v>100058.25846240199</v>
      </c>
      <c r="AD15" s="9">
        <v>135672613.71865499</v>
      </c>
      <c r="AE15" s="9">
        <v>10723840.1919639</v>
      </c>
      <c r="AF15" s="9">
        <v>1440567210.1879399</v>
      </c>
      <c r="AG15" s="9">
        <v>380681750.520643</v>
      </c>
      <c r="AH15" s="9">
        <v>443324228.89644998</v>
      </c>
      <c r="AI15" s="9">
        <v>30723396.659691598</v>
      </c>
      <c r="AJ15" s="9">
        <v>2808754112.8727198</v>
      </c>
      <c r="AK15" s="9">
        <v>8927427.5152789708</v>
      </c>
      <c r="AL15" s="9">
        <v>3687490928.1034002</v>
      </c>
      <c r="AM15" s="9">
        <v>76189635.056193307</v>
      </c>
      <c r="AN15" s="9">
        <v>7209127.0844146898</v>
      </c>
      <c r="AO15" s="9">
        <v>17333181.263730701</v>
      </c>
      <c r="AP15" s="9">
        <v>812544733.29493201</v>
      </c>
      <c r="AQ15" s="9">
        <v>43765413.914599299</v>
      </c>
      <c r="AR15" s="9">
        <v>576385597.61115599</v>
      </c>
      <c r="AS15" s="9">
        <v>1498948681.4008501</v>
      </c>
      <c r="AT15" s="9">
        <v>1902731857.80794</v>
      </c>
      <c r="AU15" s="9">
        <v>14496766.262739999</v>
      </c>
      <c r="AV15" s="9">
        <v>3194883245.48629</v>
      </c>
      <c r="AW15" s="9">
        <v>15710181.1556662</v>
      </c>
      <c r="AX15" s="9">
        <v>258236588.53189501</v>
      </c>
      <c r="AY15" s="9">
        <v>2563563300.8095102</v>
      </c>
      <c r="AZ15" s="9">
        <v>3153486433.1855502</v>
      </c>
      <c r="BA15" s="9">
        <v>77525303.099225894</v>
      </c>
      <c r="BB15" s="9">
        <v>92622488.6217985</v>
      </c>
      <c r="BC15" s="9">
        <v>47076370.256836303</v>
      </c>
      <c r="BD15" s="9">
        <v>720232498.55211794</v>
      </c>
      <c r="BE15" s="10">
        <f t="shared" si="2"/>
        <v>69038966345.251358</v>
      </c>
      <c r="BH15" s="11">
        <f t="shared" si="3"/>
        <v>8.0641892465765599E-2</v>
      </c>
      <c r="BI15" s="11">
        <f t="shared" si="11"/>
        <v>2.7049775653778161E-4</v>
      </c>
      <c r="BJ15" s="11">
        <f t="shared" si="12"/>
        <v>4.2816696475019445E-3</v>
      </c>
      <c r="BK15" s="11">
        <f t="shared" si="13"/>
        <v>3.9993057093545587E-4</v>
      </c>
      <c r="BL15" s="11">
        <f t="shared" si="14"/>
        <v>7.9045909059035052E-5</v>
      </c>
      <c r="BM15" s="11">
        <f t="shared" si="15"/>
        <v>1.0297611563720069E-2</v>
      </c>
      <c r="BN15" s="11">
        <f t="shared" si="16"/>
        <v>2.0866002005069492E-2</v>
      </c>
      <c r="BO15" s="11">
        <f t="shared" si="17"/>
        <v>1.0325580077068557E-4</v>
      </c>
      <c r="BP15" s="11">
        <f t="shared" si="18"/>
        <v>8.1486159500855244E-5</v>
      </c>
      <c r="BQ15" s="11">
        <f t="shared" si="19"/>
        <v>7.9561785785664367E-5</v>
      </c>
      <c r="BR15" s="11">
        <f t="shared" si="20"/>
        <v>0</v>
      </c>
      <c r="BS15" s="11">
        <f t="shared" si="21"/>
        <v>9.5095685983763948E-3</v>
      </c>
      <c r="BT15" s="11">
        <f t="shared" si="22"/>
        <v>6.8258451917337613E-4</v>
      </c>
      <c r="BU15" s="11">
        <f t="shared" si="23"/>
        <v>4.8632186597915319E-5</v>
      </c>
      <c r="BV15" s="11">
        <f t="shared" si="24"/>
        <v>9.1799765029852362E-2</v>
      </c>
      <c r="BW15" s="11">
        <f t="shared" si="25"/>
        <v>2.4974072782185463E-4</v>
      </c>
      <c r="BX15" s="11">
        <f t="shared" si="26"/>
        <v>7.0677992305456132E-4</v>
      </c>
      <c r="BY15" s="11">
        <f t="shared" si="27"/>
        <v>0.20030028498266261</v>
      </c>
      <c r="BZ15" s="11">
        <f t="shared" si="28"/>
        <v>0.17144687448261511</v>
      </c>
      <c r="CA15" s="11">
        <f t="shared" si="29"/>
        <v>9.123742691395615E-3</v>
      </c>
      <c r="CB15" s="11">
        <f t="shared" si="30"/>
        <v>3.2012224512594905E-4</v>
      </c>
      <c r="CC15" s="11">
        <f t="shared" si="31"/>
        <v>1.5158873688928485E-2</v>
      </c>
      <c r="CD15" s="11">
        <f t="shared" si="32"/>
        <v>1.303350180809737E-2</v>
      </c>
      <c r="CE15" s="11">
        <f t="shared" si="33"/>
        <v>1.5445568463784155E-2</v>
      </c>
      <c r="CF15" s="11">
        <f t="shared" si="34"/>
        <v>2.1807718811247049E-4</v>
      </c>
      <c r="CG15" s="11">
        <f t="shared" si="35"/>
        <v>6.6048098106093519E-3</v>
      </c>
      <c r="CH15" s="11">
        <f t="shared" si="36"/>
        <v>3.3200588816930591E-4</v>
      </c>
      <c r="CI15" s="11">
        <f t="shared" si="37"/>
        <v>1.449301224500216E-6</v>
      </c>
      <c r="CJ15" s="11">
        <f t="shared" si="38"/>
        <v>1.9651599799478578E-3</v>
      </c>
      <c r="CK15" s="11">
        <f t="shared" si="39"/>
        <v>1.5533025419783833E-4</v>
      </c>
      <c r="CL15" s="11">
        <f t="shared" si="40"/>
        <v>2.0866002005069492E-2</v>
      </c>
      <c r="CM15" s="11">
        <f t="shared" si="41"/>
        <v>5.5140128926166503E-3</v>
      </c>
      <c r="CN15" s="11">
        <f t="shared" si="42"/>
        <v>6.4213624908499621E-3</v>
      </c>
      <c r="CO15" s="11">
        <f t="shared" si="43"/>
        <v>4.4501530492286717E-4</v>
      </c>
      <c r="CP15" s="11">
        <f t="shared" si="44"/>
        <v>4.0683606107696481E-2</v>
      </c>
      <c r="CQ15" s="11">
        <f t="shared" si="45"/>
        <v>1.2930998228789412E-4</v>
      </c>
      <c r="CR15" s="11">
        <f t="shared" si="46"/>
        <v>5.3411734319180365E-2</v>
      </c>
      <c r="CS15" s="11">
        <f t="shared" si="47"/>
        <v>1.1035743883415455E-3</v>
      </c>
      <c r="CT15" s="11">
        <f t="shared" si="48"/>
        <v>1.0442113296371142E-4</v>
      </c>
      <c r="CU15" s="11">
        <f t="shared" si="49"/>
        <v>2.5106374242410585E-4</v>
      </c>
      <c r="CV15" s="11">
        <f t="shared" si="50"/>
        <v>1.1769364118685425E-2</v>
      </c>
      <c r="CW15" s="11">
        <f t="shared" si="51"/>
        <v>6.339233657661732E-4</v>
      </c>
      <c r="CX15" s="11">
        <f t="shared" si="52"/>
        <v>8.3486996999456234E-3</v>
      </c>
      <c r="CY15" s="11">
        <f t="shared" si="53"/>
        <v>2.1711632730781041E-2</v>
      </c>
      <c r="CZ15" s="11">
        <f t="shared" si="54"/>
        <v>2.7560259930496683E-2</v>
      </c>
      <c r="DA15" s="11">
        <f t="shared" si="55"/>
        <v>2.0997948014233437E-4</v>
      </c>
      <c r="DB15" s="11">
        <f t="shared" si="56"/>
        <v>4.6276522008010058E-2</v>
      </c>
      <c r="DC15" s="11">
        <f t="shared" si="57"/>
        <v>2.2755527765439638E-4</v>
      </c>
      <c r="DD15" s="11">
        <f t="shared" si="58"/>
        <v>3.7404469128419541E-3</v>
      </c>
      <c r="DE15" s="11">
        <f t="shared" si="59"/>
        <v>3.7132121706307059E-2</v>
      </c>
      <c r="DF15" s="11">
        <f t="shared" si="60"/>
        <v>4.5676906827016153E-2</v>
      </c>
      <c r="DG15" s="11">
        <f t="shared" si="61"/>
        <v>1.1229209706231102E-3</v>
      </c>
      <c r="DH15" s="11">
        <f t="shared" si="62"/>
        <v>1.3415972678184407E-3</v>
      </c>
      <c r="DI15" s="11">
        <f t="shared" si="63"/>
        <v>6.8188115710504573E-4</v>
      </c>
      <c r="DJ15" s="11">
        <f t="shared" si="10"/>
        <v>1.0432260746059924E-2</v>
      </c>
    </row>
    <row r="16" spans="1:114" x14ac:dyDescent="0.25">
      <c r="A16" s="1" t="s">
        <v>12</v>
      </c>
      <c r="B16" s="9">
        <v>5893379631.9624996</v>
      </c>
      <c r="C16" s="9">
        <v>17997635.4878815</v>
      </c>
      <c r="D16" s="9">
        <v>274463180.674649</v>
      </c>
      <c r="E16" s="9">
        <v>28093539.940127701</v>
      </c>
      <c r="F16" s="9">
        <v>7042429.8132708501</v>
      </c>
      <c r="G16" s="9">
        <v>721850386.24189901</v>
      </c>
      <c r="H16" s="9">
        <v>1473693986.11919</v>
      </c>
      <c r="I16" s="9">
        <v>9135601.4157880992</v>
      </c>
      <c r="J16" s="9">
        <v>5693462.6345998701</v>
      </c>
      <c r="K16" s="9">
        <v>5129880.07737845</v>
      </c>
      <c r="L16" s="9">
        <v>169150.85859456801</v>
      </c>
      <c r="M16" s="9">
        <v>713340837.01238596</v>
      </c>
      <c r="N16" s="9">
        <v>47076370.256836303</v>
      </c>
      <c r="O16" s="9">
        <v>3589221.4424018301</v>
      </c>
      <c r="P16" s="9">
        <v>6296493250.9436998</v>
      </c>
      <c r="Q16" s="9">
        <v>15592588.488953801</v>
      </c>
      <c r="R16" s="9">
        <v>46745359.7023075</v>
      </c>
      <c r="S16" s="9">
        <v>13994190737.1614</v>
      </c>
      <c r="T16" s="9">
        <v>11493094512.6716</v>
      </c>
      <c r="U16" s="9">
        <v>618491985.96629095</v>
      </c>
      <c r="V16" s="9">
        <v>22833716.328449398</v>
      </c>
      <c r="W16" s="9">
        <v>1070664639.00269</v>
      </c>
      <c r="X16" s="9">
        <v>908670690.968593</v>
      </c>
      <c r="Y16" s="9">
        <v>949068153.80655897</v>
      </c>
      <c r="Z16" s="9">
        <v>14881416.484548699</v>
      </c>
      <c r="AA16" s="9">
        <v>441277013.963148</v>
      </c>
      <c r="AB16" s="9">
        <v>23082588.660562601</v>
      </c>
      <c r="AC16" s="9">
        <v>66973.512306738805</v>
      </c>
      <c r="AD16" s="9">
        <v>135661143.694269</v>
      </c>
      <c r="AE16" s="9">
        <v>10915097.2075064</v>
      </c>
      <c r="AF16" s="9">
        <v>1473693986.11919</v>
      </c>
      <c r="AG16" s="9">
        <v>400808793.85818702</v>
      </c>
      <c r="AH16" s="9">
        <v>458809748.19566703</v>
      </c>
      <c r="AI16" s="9">
        <v>34122957.304419599</v>
      </c>
      <c r="AJ16" s="9">
        <v>2872735446.5625601</v>
      </c>
      <c r="AK16" s="9">
        <v>9202011.2607112303</v>
      </c>
      <c r="AL16" s="9">
        <v>3829729570.1026702</v>
      </c>
      <c r="AM16" s="9">
        <v>78708490.745841905</v>
      </c>
      <c r="AN16" s="9">
        <v>7227818.3828383703</v>
      </c>
      <c r="AO16" s="9">
        <v>17620376.5765156</v>
      </c>
      <c r="AP16" s="9">
        <v>828145284.19826198</v>
      </c>
      <c r="AQ16" s="9">
        <v>43582421.1069085</v>
      </c>
      <c r="AR16" s="9">
        <v>577091315.66034603</v>
      </c>
      <c r="AS16" s="9">
        <v>1434835023.5416801</v>
      </c>
      <c r="AT16" s="9">
        <v>1848892163.27668</v>
      </c>
      <c r="AU16" s="9">
        <v>13620086.370585401</v>
      </c>
      <c r="AV16" s="9">
        <v>3220464007.7796202</v>
      </c>
      <c r="AW16" s="9">
        <v>15521106.711866099</v>
      </c>
      <c r="AX16" s="9">
        <v>248794262.72257799</v>
      </c>
      <c r="AY16" s="9">
        <v>2488621439.5341702</v>
      </c>
      <c r="AZ16" s="9">
        <v>2951878862.0085802</v>
      </c>
      <c r="BA16" s="9">
        <v>77590031.399216205</v>
      </c>
      <c r="BB16" s="9">
        <v>91177591.767215207</v>
      </c>
      <c r="BC16" s="9">
        <v>43549860.0619279</v>
      </c>
      <c r="BD16" s="9">
        <v>290179484.49146301</v>
      </c>
      <c r="BE16" s="10">
        <f t="shared" si="2"/>
        <v>68598987322.240082</v>
      </c>
      <c r="BH16" s="11">
        <f t="shared" si="3"/>
        <v>8.5910592298960087E-2</v>
      </c>
      <c r="BI16" s="11">
        <f t="shared" si="11"/>
        <v>2.6236007542412496E-4</v>
      </c>
      <c r="BJ16" s="11">
        <f t="shared" si="12"/>
        <v>4.0009800638218292E-3</v>
      </c>
      <c r="BK16" s="11">
        <f t="shared" si="13"/>
        <v>4.0953286683606272E-4</v>
      </c>
      <c r="BL16" s="11">
        <f t="shared" si="14"/>
        <v>1.0266084221024155E-4</v>
      </c>
      <c r="BM16" s="11">
        <f t="shared" si="15"/>
        <v>1.0522755720154372E-2</v>
      </c>
      <c r="BN16" s="11">
        <f t="shared" si="16"/>
        <v>2.1482736752316635E-2</v>
      </c>
      <c r="BO16" s="11">
        <f t="shared" si="17"/>
        <v>1.3317399822353207E-4</v>
      </c>
      <c r="BP16" s="11">
        <f t="shared" si="18"/>
        <v>8.2996307334030068E-5</v>
      </c>
      <c r="BQ16" s="11">
        <f t="shared" si="19"/>
        <v>7.4780696882318574E-5</v>
      </c>
      <c r="BR16" s="11">
        <f t="shared" si="20"/>
        <v>2.4657923563797071E-6</v>
      </c>
      <c r="BS16" s="11">
        <f t="shared" si="21"/>
        <v>1.0398707981817653E-2</v>
      </c>
      <c r="BT16" s="11">
        <f t="shared" si="22"/>
        <v>6.8625459492131519E-4</v>
      </c>
      <c r="BU16" s="11">
        <f t="shared" si="23"/>
        <v>5.2321784657573063E-5</v>
      </c>
      <c r="BV16" s="11">
        <f t="shared" si="24"/>
        <v>9.1786970868334525E-2</v>
      </c>
      <c r="BW16" s="11">
        <f t="shared" si="25"/>
        <v>2.2730056371981773E-4</v>
      </c>
      <c r="BX16" s="11">
        <f t="shared" si="26"/>
        <v>6.8142929694754337E-4</v>
      </c>
      <c r="BY16" s="11">
        <f t="shared" si="27"/>
        <v>0.20399996098228734</v>
      </c>
      <c r="BZ16" s="11">
        <f t="shared" si="28"/>
        <v>0.16754029412538413</v>
      </c>
      <c r="CA16" s="11">
        <f t="shared" si="29"/>
        <v>9.0160512583219027E-3</v>
      </c>
      <c r="CB16" s="11">
        <f t="shared" si="30"/>
        <v>3.3285792137410477E-4</v>
      </c>
      <c r="CC16" s="11">
        <f t="shared" si="31"/>
        <v>1.5607586653915166E-2</v>
      </c>
      <c r="CD16" s="11">
        <f t="shared" si="32"/>
        <v>1.3246123979938084E-2</v>
      </c>
      <c r="CE16" s="11">
        <f t="shared" si="33"/>
        <v>1.3835016971145099E-2</v>
      </c>
      <c r="CF16" s="11">
        <f t="shared" si="34"/>
        <v>2.1693347184039379E-4</v>
      </c>
      <c r="CG16" s="11">
        <f t="shared" si="35"/>
        <v>6.4327044930018104E-3</v>
      </c>
      <c r="CH16" s="11">
        <f t="shared" si="36"/>
        <v>3.3648585149126723E-4</v>
      </c>
      <c r="CI16" s="11">
        <f t="shared" si="37"/>
        <v>9.763046791366512E-7</v>
      </c>
      <c r="CJ16" s="11">
        <f t="shared" si="38"/>
        <v>1.9775968857529635E-3</v>
      </c>
      <c r="CK16" s="11">
        <f t="shared" si="39"/>
        <v>1.5911455305066404E-4</v>
      </c>
      <c r="CL16" s="11">
        <f t="shared" si="40"/>
        <v>2.1482736752316635E-2</v>
      </c>
      <c r="CM16" s="11">
        <f t="shared" si="41"/>
        <v>5.8427800395275389E-3</v>
      </c>
      <c r="CN16" s="11">
        <f t="shared" si="42"/>
        <v>6.6882874821523634E-3</v>
      </c>
      <c r="CO16" s="11">
        <f t="shared" si="43"/>
        <v>4.9742654573206493E-4</v>
      </c>
      <c r="CP16" s="11">
        <f t="shared" si="44"/>
        <v>4.1877228202626939E-2</v>
      </c>
      <c r="CQ16" s="11">
        <f t="shared" si="45"/>
        <v>1.3414208605566251E-4</v>
      </c>
      <c r="CR16" s="11">
        <f t="shared" si="46"/>
        <v>5.5827785796789098E-2</v>
      </c>
      <c r="CS16" s="11">
        <f t="shared" si="47"/>
        <v>1.1473710300723969E-3</v>
      </c>
      <c r="CT16" s="11">
        <f t="shared" si="48"/>
        <v>1.0536333938700988E-4</v>
      </c>
      <c r="CU16" s="11">
        <f t="shared" si="49"/>
        <v>2.5686059320008359E-4</v>
      </c>
      <c r="CV16" s="11">
        <f t="shared" si="50"/>
        <v>1.2072266902543236E-2</v>
      </c>
      <c r="CW16" s="11">
        <f t="shared" si="51"/>
        <v>6.3532163969392728E-4</v>
      </c>
      <c r="CX16" s="11">
        <f t="shared" si="52"/>
        <v>8.4125340356628053E-3</v>
      </c>
      <c r="CY16" s="11">
        <f t="shared" si="53"/>
        <v>2.0916271209684468E-2</v>
      </c>
      <c r="CZ16" s="11">
        <f t="shared" si="54"/>
        <v>2.6952178675635659E-2</v>
      </c>
      <c r="DA16" s="11">
        <f t="shared" si="55"/>
        <v>1.9854646405501254E-4</v>
      </c>
      <c r="DB16" s="11">
        <f t="shared" si="56"/>
        <v>4.6946232495410793E-2</v>
      </c>
      <c r="DC16" s="11">
        <f t="shared" si="57"/>
        <v>2.2625853992503604E-4</v>
      </c>
      <c r="DD16" s="11">
        <f t="shared" si="58"/>
        <v>3.6267920625982454E-3</v>
      </c>
      <c r="DE16" s="11">
        <f t="shared" si="59"/>
        <v>3.6277815995212931E-2</v>
      </c>
      <c r="DF16" s="11">
        <f t="shared" si="60"/>
        <v>4.3030939336499048E-2</v>
      </c>
      <c r="DG16" s="11">
        <f t="shared" si="61"/>
        <v>1.1310667172788015E-3</v>
      </c>
      <c r="DH16" s="11">
        <f t="shared" si="62"/>
        <v>1.3291390343550312E-3</v>
      </c>
      <c r="DI16" s="11">
        <f t="shared" si="63"/>
        <v>6.3484698188553067E-4</v>
      </c>
      <c r="DJ16" s="11">
        <f t="shared" si="10"/>
        <v>4.23008408459968E-3</v>
      </c>
    </row>
    <row r="17" spans="1:114" x14ac:dyDescent="0.25">
      <c r="A17" s="1" t="s">
        <v>13</v>
      </c>
      <c r="B17" s="9">
        <v>5807124674.1917896</v>
      </c>
      <c r="C17" s="9">
        <v>19216030.187623601</v>
      </c>
      <c r="D17" s="9">
        <v>289383373.63496298</v>
      </c>
      <c r="E17" s="9">
        <v>26412425.448551599</v>
      </c>
      <c r="F17" s="9">
        <v>5758943.7604525797</v>
      </c>
      <c r="G17" s="9">
        <v>723793107.23598695</v>
      </c>
      <c r="H17" s="9">
        <v>1343870092.9493101</v>
      </c>
      <c r="I17" s="9">
        <v>7641125.05085536</v>
      </c>
      <c r="J17" s="9">
        <v>5168134.8491986599</v>
      </c>
      <c r="K17" s="9">
        <v>4801730.6493266998</v>
      </c>
      <c r="L17" s="9">
        <v>0</v>
      </c>
      <c r="M17" s="9">
        <v>644273509.97901404</v>
      </c>
      <c r="N17" s="9">
        <v>43549860.0619279</v>
      </c>
      <c r="O17" s="9">
        <v>3575375.2861566502</v>
      </c>
      <c r="P17" s="9">
        <v>6247658253.36203</v>
      </c>
      <c r="Q17" s="9">
        <v>17054327.0774193</v>
      </c>
      <c r="R17" s="9">
        <v>45460573.337388702</v>
      </c>
      <c r="S17" s="9">
        <v>14765959113.0532</v>
      </c>
      <c r="T17" s="9">
        <v>11972173965.170401</v>
      </c>
      <c r="U17" s="9">
        <v>681376274.59980094</v>
      </c>
      <c r="V17" s="9">
        <v>23202643.2803053</v>
      </c>
      <c r="W17" s="9">
        <v>1105268550.8636899</v>
      </c>
      <c r="X17" s="9">
        <v>974996149.34197104</v>
      </c>
      <c r="Y17" s="9">
        <v>1015873850.72961</v>
      </c>
      <c r="Z17" s="9">
        <v>14160887.391249301</v>
      </c>
      <c r="AA17" s="9">
        <v>464074095.92136902</v>
      </c>
      <c r="AB17" s="9">
        <v>24037812.067435399</v>
      </c>
      <c r="AC17" s="9">
        <v>86883.040370097806</v>
      </c>
      <c r="AD17" s="9">
        <v>138895492.87965801</v>
      </c>
      <c r="AE17" s="9">
        <v>10702346.1313172</v>
      </c>
      <c r="AF17" s="9">
        <v>1343870092.9493101</v>
      </c>
      <c r="AG17" s="9">
        <v>369074760.58600199</v>
      </c>
      <c r="AH17" s="9">
        <v>447353374.70909703</v>
      </c>
      <c r="AI17" s="9">
        <v>30875417.975930799</v>
      </c>
      <c r="AJ17" s="9">
        <v>2618493889.3176899</v>
      </c>
      <c r="AK17" s="9">
        <v>8818530.0806137491</v>
      </c>
      <c r="AL17" s="9">
        <v>3694149985.6522102</v>
      </c>
      <c r="AM17" s="9">
        <v>74787564.064510405</v>
      </c>
      <c r="AN17" s="9">
        <v>6372803.76720329</v>
      </c>
      <c r="AO17" s="9">
        <v>17305225.091371302</v>
      </c>
      <c r="AP17" s="9">
        <v>814381498.34729898</v>
      </c>
      <c r="AQ17" s="9">
        <v>40461771.953424998</v>
      </c>
      <c r="AR17" s="9">
        <v>570211584.41320598</v>
      </c>
      <c r="AS17" s="9">
        <v>1498583404.1495299</v>
      </c>
      <c r="AT17" s="9">
        <v>1839379837.2961099</v>
      </c>
      <c r="AU17" s="9">
        <v>13609293.910977099</v>
      </c>
      <c r="AV17" s="9">
        <v>2999884440.2796302</v>
      </c>
      <c r="AW17" s="9">
        <v>16267875.386842901</v>
      </c>
      <c r="AX17" s="9">
        <v>255153641.67148399</v>
      </c>
      <c r="AY17" s="9">
        <v>2448372198.5507898</v>
      </c>
      <c r="AZ17" s="9">
        <v>2799604905.45821</v>
      </c>
      <c r="BA17" s="9">
        <v>76216014.434178501</v>
      </c>
      <c r="BB17" s="9">
        <v>105982139.80215999</v>
      </c>
      <c r="BC17" s="9">
        <v>24853754.002377801</v>
      </c>
      <c r="BD17" s="9">
        <v>848597866.817307</v>
      </c>
      <c r="BE17" s="10">
        <f t="shared" si="2"/>
        <v>69388211472.199844</v>
      </c>
      <c r="BH17" s="11">
        <f t="shared" si="3"/>
        <v>8.3690363982337188E-2</v>
      </c>
      <c r="BI17" s="11">
        <f t="shared" si="11"/>
        <v>2.7693508421560109E-4</v>
      </c>
      <c r="BJ17" s="11">
        <f t="shared" si="12"/>
        <v>4.1704976608440683E-3</v>
      </c>
      <c r="BK17" s="11">
        <f t="shared" si="13"/>
        <v>3.8064715732201356E-4</v>
      </c>
      <c r="BL17" s="11">
        <f t="shared" si="14"/>
        <v>8.2995996557136821E-5</v>
      </c>
      <c r="BM17" s="11">
        <f t="shared" si="15"/>
        <v>1.0431067351058216E-2</v>
      </c>
      <c r="BN17" s="11">
        <f t="shared" si="16"/>
        <v>1.9367412193463541E-2</v>
      </c>
      <c r="BO17" s="11">
        <f t="shared" si="17"/>
        <v>1.1012137204194623E-4</v>
      </c>
      <c r="BP17" s="11">
        <f t="shared" si="18"/>
        <v>7.4481453543002126E-5</v>
      </c>
      <c r="BQ17" s="11">
        <f t="shared" si="19"/>
        <v>6.92009571575497E-5</v>
      </c>
      <c r="BR17" s="11">
        <f t="shared" si="20"/>
        <v>0</v>
      </c>
      <c r="BS17" s="11">
        <f t="shared" si="21"/>
        <v>9.2850571633070565E-3</v>
      </c>
      <c r="BT17" s="11">
        <f t="shared" si="22"/>
        <v>6.2762620822668139E-4</v>
      </c>
      <c r="BU17" s="11">
        <f t="shared" si="23"/>
        <v>5.1527128460273292E-5</v>
      </c>
      <c r="BV17" s="11">
        <f t="shared" si="24"/>
        <v>9.0039188513529184E-2</v>
      </c>
      <c r="BW17" s="11">
        <f t="shared" si="25"/>
        <v>2.4578133252868263E-4</v>
      </c>
      <c r="BX17" s="11">
        <f t="shared" si="26"/>
        <v>6.5516277726227791E-4</v>
      </c>
      <c r="BY17" s="11">
        <f t="shared" si="27"/>
        <v>0.21280212877325902</v>
      </c>
      <c r="BZ17" s="11">
        <f t="shared" si="28"/>
        <v>0.1725390193976539</v>
      </c>
      <c r="CA17" s="11">
        <f t="shared" si="29"/>
        <v>9.8197699601003854E-3</v>
      </c>
      <c r="CB17" s="11">
        <f t="shared" si="30"/>
        <v>3.343888362016848E-4</v>
      </c>
      <c r="CC17" s="11">
        <f t="shared" si="31"/>
        <v>1.5928765526785658E-2</v>
      </c>
      <c r="CD17" s="11">
        <f t="shared" si="32"/>
        <v>1.4051322676512566E-2</v>
      </c>
      <c r="CE17" s="11">
        <f t="shared" si="33"/>
        <v>1.4640438615954475E-2</v>
      </c>
      <c r="CF17" s="11">
        <f t="shared" si="34"/>
        <v>2.0408203484136226E-4</v>
      </c>
      <c r="CG17" s="11">
        <f t="shared" si="35"/>
        <v>6.6880826883295406E-3</v>
      </c>
      <c r="CH17" s="11">
        <f t="shared" si="36"/>
        <v>3.4642501308836972E-4</v>
      </c>
      <c r="CI17" s="11">
        <f t="shared" si="37"/>
        <v>1.2521296993640945E-6</v>
      </c>
      <c r="CJ17" s="11">
        <f t="shared" si="38"/>
        <v>2.0017159966042074E-3</v>
      </c>
      <c r="CK17" s="11">
        <f t="shared" si="39"/>
        <v>1.5423867980233298E-4</v>
      </c>
      <c r="CL17" s="11">
        <f t="shared" si="40"/>
        <v>1.9367412193463541E-2</v>
      </c>
      <c r="CM17" s="11">
        <f t="shared" si="41"/>
        <v>5.3189836249615766E-3</v>
      </c>
      <c r="CN17" s="11">
        <f t="shared" si="42"/>
        <v>6.447109173412369E-3</v>
      </c>
      <c r="CO17" s="11">
        <f t="shared" si="43"/>
        <v>4.449663324771086E-4</v>
      </c>
      <c r="CP17" s="11">
        <f t="shared" si="44"/>
        <v>3.7736869617496636E-2</v>
      </c>
      <c r="CQ17" s="11">
        <f t="shared" si="45"/>
        <v>1.2708974469167379E-4</v>
      </c>
      <c r="CR17" s="11">
        <f t="shared" si="46"/>
        <v>5.3238870224119543E-2</v>
      </c>
      <c r="CS17" s="11">
        <f t="shared" si="47"/>
        <v>1.0778136873361233E-3</v>
      </c>
      <c r="CT17" s="11">
        <f t="shared" si="48"/>
        <v>9.1842744350840235E-5</v>
      </c>
      <c r="CU17" s="11">
        <f t="shared" si="49"/>
        <v>2.4939719188906578E-4</v>
      </c>
      <c r="CV17" s="11">
        <f t="shared" si="50"/>
        <v>1.1736597342238432E-2</v>
      </c>
      <c r="CW17" s="11">
        <f t="shared" si="51"/>
        <v>5.8312170172646505E-4</v>
      </c>
      <c r="CX17" s="11">
        <f t="shared" si="52"/>
        <v>8.2177011384946749E-3</v>
      </c>
      <c r="CY17" s="11">
        <f t="shared" si="53"/>
        <v>2.1597089366540777E-2</v>
      </c>
      <c r="CZ17" s="11">
        <f t="shared" si="54"/>
        <v>2.6508535070586901E-2</v>
      </c>
      <c r="DA17" s="11">
        <f t="shared" si="55"/>
        <v>1.9613265167426339E-4</v>
      </c>
      <c r="DB17" s="11">
        <f t="shared" si="56"/>
        <v>4.3233344348146574E-2</v>
      </c>
      <c r="DC17" s="11">
        <f t="shared" si="57"/>
        <v>2.3444725035693667E-4</v>
      </c>
      <c r="DD17" s="11">
        <f t="shared" si="58"/>
        <v>3.6771900623740741E-3</v>
      </c>
      <c r="DE17" s="11">
        <f t="shared" si="59"/>
        <v>3.5285131964119323E-2</v>
      </c>
      <c r="DF17" s="11">
        <f t="shared" si="60"/>
        <v>4.0346981800789924E-2</v>
      </c>
      <c r="DG17" s="11">
        <f t="shared" si="61"/>
        <v>1.098400042559307E-3</v>
      </c>
      <c r="DH17" s="11">
        <f t="shared" si="62"/>
        <v>1.5273796161271772E-3</v>
      </c>
      <c r="DI17" s="11">
        <f t="shared" si="63"/>
        <v>3.5818409892774615E-4</v>
      </c>
      <c r="DJ17" s="11">
        <f t="shared" si="10"/>
        <v>1.2229712350451559E-2</v>
      </c>
    </row>
    <row r="18" spans="1:114" x14ac:dyDescent="0.25">
      <c r="A18" s="1" t="s">
        <v>14</v>
      </c>
      <c r="B18" s="9">
        <v>9896084911.9704895</v>
      </c>
      <c r="C18" s="9">
        <v>26436231.985464402</v>
      </c>
      <c r="D18" s="9">
        <v>339352049.26223999</v>
      </c>
      <c r="E18" s="9">
        <v>50564530.054157697</v>
      </c>
      <c r="F18" s="9">
        <v>5648827.5015349202</v>
      </c>
      <c r="G18" s="9">
        <v>630817773.85784101</v>
      </c>
      <c r="H18" s="9">
        <v>1745565962.6470599</v>
      </c>
      <c r="I18" s="9">
        <v>8958110.5884798095</v>
      </c>
      <c r="J18" s="9">
        <v>6507808.1276035896</v>
      </c>
      <c r="K18" s="9">
        <v>5430189.7398570599</v>
      </c>
      <c r="L18" s="9">
        <v>86251.766886527097</v>
      </c>
      <c r="M18" s="9">
        <v>748810712.60460997</v>
      </c>
      <c r="N18" s="9">
        <v>24853754.002377801</v>
      </c>
      <c r="O18" s="9">
        <v>4402997.8117461596</v>
      </c>
      <c r="P18" s="9">
        <v>6184877823.4586897</v>
      </c>
      <c r="Q18" s="9">
        <v>20110200.079363599</v>
      </c>
      <c r="R18" s="9">
        <v>62408881.605534799</v>
      </c>
      <c r="S18" s="9">
        <v>12633030176.4104</v>
      </c>
      <c r="T18" s="9">
        <v>12813569653.8806</v>
      </c>
      <c r="U18" s="9">
        <v>729256960.04165006</v>
      </c>
      <c r="V18" s="9">
        <v>25419359.846866999</v>
      </c>
      <c r="W18" s="9">
        <v>1181631390.56006</v>
      </c>
      <c r="X18" s="9">
        <v>1031604986.36593</v>
      </c>
      <c r="Y18" s="9">
        <v>1100405908.1629901</v>
      </c>
      <c r="Z18" s="9">
        <v>16316502.760650201</v>
      </c>
      <c r="AA18" s="9">
        <v>398851288.83284199</v>
      </c>
      <c r="AB18" s="9">
        <v>23857018.820774499</v>
      </c>
      <c r="AC18" s="9">
        <v>34077.840738047402</v>
      </c>
      <c r="AD18" s="9">
        <v>162764248.830091</v>
      </c>
      <c r="AE18" s="9">
        <v>14929723.0698993</v>
      </c>
      <c r="AF18" s="9">
        <v>1745565962.6470599</v>
      </c>
      <c r="AG18" s="9">
        <v>480192286.16561401</v>
      </c>
      <c r="AH18" s="9">
        <v>565654009.41875601</v>
      </c>
      <c r="AI18" s="9">
        <v>36123045.083201997</v>
      </c>
      <c r="AJ18" s="9">
        <v>3114150069.0641599</v>
      </c>
      <c r="AK18" s="9">
        <v>10441531.055284601</v>
      </c>
      <c r="AL18" s="9">
        <v>3984627943.92593</v>
      </c>
      <c r="AM18" s="9">
        <v>82549881.306000695</v>
      </c>
      <c r="AN18" s="9">
        <v>7028053.1866685599</v>
      </c>
      <c r="AO18" s="9">
        <v>12077672.711298</v>
      </c>
      <c r="AP18" s="9">
        <v>795170588.62245405</v>
      </c>
      <c r="AQ18" s="9">
        <v>48146991.989097998</v>
      </c>
      <c r="AR18" s="9">
        <v>628591595.21842098</v>
      </c>
      <c r="AS18" s="9">
        <v>1544495126.49298</v>
      </c>
      <c r="AT18" s="9">
        <v>2192326775.60149</v>
      </c>
      <c r="AU18" s="9">
        <v>14405028.812744301</v>
      </c>
      <c r="AV18" s="9">
        <v>3524585252.1034002</v>
      </c>
      <c r="AW18" s="9">
        <v>17723903.7602017</v>
      </c>
      <c r="AX18" s="9">
        <v>281001500.63777697</v>
      </c>
      <c r="AY18" s="9">
        <v>2777861320.2941298</v>
      </c>
      <c r="AZ18" s="9">
        <v>3257630848.6464601</v>
      </c>
      <c r="BA18" s="9">
        <v>97598778.401207194</v>
      </c>
      <c r="BB18" s="9">
        <v>71171339.030995399</v>
      </c>
      <c r="BC18" s="9">
        <v>18572394.571329098</v>
      </c>
      <c r="BD18" s="9">
        <v>685841925.28525496</v>
      </c>
      <c r="BE18" s="10">
        <f t="shared" si="2"/>
        <v>75886122136.519318</v>
      </c>
      <c r="BH18" s="11">
        <f t="shared" si="3"/>
        <v>0.13040704457354413</v>
      </c>
      <c r="BI18" s="11">
        <f t="shared" si="11"/>
        <v>3.4836714857962509E-4</v>
      </c>
      <c r="BJ18" s="11">
        <f t="shared" si="12"/>
        <v>4.4718591450982935E-3</v>
      </c>
      <c r="BK18" s="11">
        <f t="shared" si="13"/>
        <v>6.6632117481496794E-4</v>
      </c>
      <c r="BL18" s="11">
        <f t="shared" si="14"/>
        <v>7.4438215348158991E-5</v>
      </c>
      <c r="BM18" s="11">
        <f t="shared" si="15"/>
        <v>8.3126895418769494E-3</v>
      </c>
      <c r="BN18" s="11">
        <f t="shared" si="16"/>
        <v>2.3002439886265141E-2</v>
      </c>
      <c r="BO18" s="11">
        <f t="shared" si="17"/>
        <v>1.1804675659093697E-4</v>
      </c>
      <c r="BP18" s="11">
        <f t="shared" si="18"/>
        <v>8.5757552822320093E-5</v>
      </c>
      <c r="BQ18" s="11">
        <f t="shared" si="19"/>
        <v>7.1557085630072592E-5</v>
      </c>
      <c r="BR18" s="11">
        <f t="shared" si="20"/>
        <v>1.1365947350868708E-6</v>
      </c>
      <c r="BS18" s="11">
        <f t="shared" si="21"/>
        <v>9.8675580135389931E-3</v>
      </c>
      <c r="BT18" s="11">
        <f t="shared" si="22"/>
        <v>3.2751382337953489E-4</v>
      </c>
      <c r="BU18" s="11">
        <f t="shared" si="23"/>
        <v>5.8021120170367329E-5</v>
      </c>
      <c r="BV18" s="11">
        <f t="shared" si="24"/>
        <v>8.1502093522872063E-2</v>
      </c>
      <c r="BW18" s="11">
        <f t="shared" si="25"/>
        <v>2.6500497736839553E-4</v>
      </c>
      <c r="BX18" s="11">
        <f t="shared" si="26"/>
        <v>8.2240177582484811E-4</v>
      </c>
      <c r="BY18" s="11">
        <f t="shared" si="27"/>
        <v>0.1664735240217381</v>
      </c>
      <c r="BZ18" s="11">
        <f t="shared" si="28"/>
        <v>0.16885260826517076</v>
      </c>
      <c r="CA18" s="11">
        <f t="shared" si="29"/>
        <v>9.6098857012315766E-3</v>
      </c>
      <c r="CB18" s="11">
        <f t="shared" si="30"/>
        <v>3.3496717359120693E-4</v>
      </c>
      <c r="CC18" s="11">
        <f t="shared" si="31"/>
        <v>1.5571113100683973E-2</v>
      </c>
      <c r="CD18" s="11">
        <f t="shared" si="32"/>
        <v>1.3594119152775657E-2</v>
      </c>
      <c r="CE18" s="11">
        <f t="shared" si="33"/>
        <v>1.4500752933235371E-2</v>
      </c>
      <c r="CF18" s="11">
        <f t="shared" si="34"/>
        <v>2.1501299975899114E-4</v>
      </c>
      <c r="CG18" s="11">
        <f t="shared" si="35"/>
        <v>5.2559187056008417E-3</v>
      </c>
      <c r="CH18" s="11">
        <f t="shared" si="36"/>
        <v>3.1437920596147562E-4</v>
      </c>
      <c r="CI18" s="11">
        <f t="shared" si="37"/>
        <v>4.4906551789194451E-7</v>
      </c>
      <c r="CJ18" s="11">
        <f t="shared" si="38"/>
        <v>2.1448486791468633E-3</v>
      </c>
      <c r="CK18" s="11">
        <f t="shared" si="39"/>
        <v>1.9673851620775524E-4</v>
      </c>
      <c r="CL18" s="11">
        <f t="shared" si="40"/>
        <v>2.3002439886265141E-2</v>
      </c>
      <c r="CM18" s="11">
        <f t="shared" si="41"/>
        <v>6.3278010872890164E-3</v>
      </c>
      <c r="CN18" s="11">
        <f t="shared" si="42"/>
        <v>7.4539849117753448E-3</v>
      </c>
      <c r="CO18" s="11">
        <f t="shared" si="43"/>
        <v>4.7601648451895529E-4</v>
      </c>
      <c r="CP18" s="11">
        <f t="shared" si="44"/>
        <v>4.1037148577203565E-2</v>
      </c>
      <c r="CQ18" s="11">
        <f t="shared" si="45"/>
        <v>1.375947375002278E-4</v>
      </c>
      <c r="CR18" s="11">
        <f t="shared" si="46"/>
        <v>5.2507992657176164E-2</v>
      </c>
      <c r="CS18" s="11">
        <f t="shared" si="47"/>
        <v>1.0878126195128703E-3</v>
      </c>
      <c r="CT18" s="11">
        <f t="shared" si="48"/>
        <v>9.2613154932664438E-5</v>
      </c>
      <c r="CU18" s="11">
        <f t="shared" si="49"/>
        <v>1.5915522326427799E-4</v>
      </c>
      <c r="CV18" s="11">
        <f t="shared" si="50"/>
        <v>1.0478471771056376E-2</v>
      </c>
      <c r="CW18" s="11">
        <f t="shared" si="51"/>
        <v>6.3446372845988154E-4</v>
      </c>
      <c r="CX18" s="11">
        <f t="shared" si="52"/>
        <v>8.2833537611473034E-3</v>
      </c>
      <c r="CY18" s="11">
        <f t="shared" si="53"/>
        <v>2.0352800788982595E-2</v>
      </c>
      <c r="CZ18" s="11">
        <f t="shared" si="54"/>
        <v>2.888969305425159E-2</v>
      </c>
      <c r="DA18" s="11">
        <f t="shared" si="55"/>
        <v>1.8982428416660453E-4</v>
      </c>
      <c r="DB18" s="11">
        <f t="shared" si="56"/>
        <v>4.6445715670681696E-2</v>
      </c>
      <c r="DC18" s="11">
        <f t="shared" si="57"/>
        <v>2.3355922349433477E-4</v>
      </c>
      <c r="DD18" s="11">
        <f t="shared" si="58"/>
        <v>3.7029366203777626E-3</v>
      </c>
      <c r="DE18" s="11">
        <f t="shared" si="59"/>
        <v>3.6605656503263542E-2</v>
      </c>
      <c r="DF18" s="11">
        <f t="shared" si="60"/>
        <v>4.2927886640273624E-2</v>
      </c>
      <c r="DG18" s="11">
        <f t="shared" si="61"/>
        <v>1.286121568125813E-3</v>
      </c>
      <c r="DH18" s="11">
        <f t="shared" si="62"/>
        <v>9.3787028546481774E-4</v>
      </c>
      <c r="DI18" s="11">
        <f t="shared" si="63"/>
        <v>2.4474032996332735E-4</v>
      </c>
      <c r="DJ18" s="11">
        <f t="shared" si="10"/>
        <v>9.0377780017724934E-3</v>
      </c>
    </row>
    <row r="19" spans="1:114" x14ac:dyDescent="0.25">
      <c r="A19" s="1" t="s">
        <v>15</v>
      </c>
      <c r="B19" s="9">
        <v>7392115937.3195</v>
      </c>
      <c r="C19" s="9">
        <v>21476858.337875701</v>
      </c>
      <c r="D19" s="9">
        <v>268224605.344982</v>
      </c>
      <c r="E19" s="9">
        <v>37497413.668140002</v>
      </c>
      <c r="F19" s="9">
        <v>4881467.4670634596</v>
      </c>
      <c r="G19" s="9">
        <v>491377661.56490302</v>
      </c>
      <c r="H19" s="9">
        <v>1261849586.62921</v>
      </c>
      <c r="I19" s="9">
        <v>6898189.6860915199</v>
      </c>
      <c r="J19" s="9">
        <v>4258686.4250448598</v>
      </c>
      <c r="K19" s="9">
        <v>4812154.1954920096</v>
      </c>
      <c r="L19" s="9">
        <v>0</v>
      </c>
      <c r="M19" s="9">
        <v>578963040.85636997</v>
      </c>
      <c r="N19" s="9">
        <v>18572394.571329098</v>
      </c>
      <c r="O19" s="9">
        <v>2749734.7037027702</v>
      </c>
      <c r="P19" s="9">
        <v>4992372710.7333097</v>
      </c>
      <c r="Q19" s="9">
        <v>14187155.9471133</v>
      </c>
      <c r="R19" s="9">
        <v>43762252.587161697</v>
      </c>
      <c r="S19" s="9">
        <v>14760725349.610399</v>
      </c>
      <c r="T19" s="9">
        <v>9969658522.4631195</v>
      </c>
      <c r="U19" s="9">
        <v>567804817.69203699</v>
      </c>
      <c r="V19" s="9">
        <v>21218085.886948999</v>
      </c>
      <c r="W19" s="9">
        <v>972303710.62375998</v>
      </c>
      <c r="X19" s="9">
        <v>732233871.58573604</v>
      </c>
      <c r="Y19" s="9">
        <v>1317344715.5932</v>
      </c>
      <c r="Z19" s="9">
        <v>13228495.9138563</v>
      </c>
      <c r="AA19" s="9">
        <v>340877196.764732</v>
      </c>
      <c r="AB19" s="9">
        <v>20784294.641522899</v>
      </c>
      <c r="AC19" s="9">
        <v>42007.402849628503</v>
      </c>
      <c r="AD19" s="9">
        <v>103927588.250616</v>
      </c>
      <c r="AE19" s="9">
        <v>10552941.2082495</v>
      </c>
      <c r="AF19" s="9">
        <v>1261849586.62921</v>
      </c>
      <c r="AG19" s="9">
        <v>306580699.56423098</v>
      </c>
      <c r="AH19" s="9">
        <v>414751881.69082397</v>
      </c>
      <c r="AI19" s="9">
        <v>27060931.218444102</v>
      </c>
      <c r="AJ19" s="9">
        <v>2374155471.99436</v>
      </c>
      <c r="AK19" s="9">
        <v>8228260.6660780301</v>
      </c>
      <c r="AL19" s="9">
        <v>3361690621.7607098</v>
      </c>
      <c r="AM19" s="9">
        <v>67329424.336492002</v>
      </c>
      <c r="AN19" s="9">
        <v>5935041.95183302</v>
      </c>
      <c r="AO19" s="9">
        <v>9081710.3551228996</v>
      </c>
      <c r="AP19" s="9">
        <v>618680917.55660903</v>
      </c>
      <c r="AQ19" s="9">
        <v>35464315.061478697</v>
      </c>
      <c r="AR19" s="9">
        <v>481331407.17148</v>
      </c>
      <c r="AS19" s="9">
        <v>1274832011.01458</v>
      </c>
      <c r="AT19" s="9">
        <v>1747290223.3873501</v>
      </c>
      <c r="AU19" s="9">
        <v>10216536.0399755</v>
      </c>
      <c r="AV19" s="9">
        <v>2715046699.47086</v>
      </c>
      <c r="AW19" s="9">
        <v>12546917.9786683</v>
      </c>
      <c r="AX19" s="9">
        <v>213739065.47546801</v>
      </c>
      <c r="AY19" s="9">
        <v>2061172351.87099</v>
      </c>
      <c r="AZ19" s="9">
        <v>2466311672.2062702</v>
      </c>
      <c r="BA19" s="9">
        <v>74062423.6146207</v>
      </c>
      <c r="BB19" s="9">
        <v>105510233.670297</v>
      </c>
      <c r="BC19" s="9">
        <v>22816600.9778606</v>
      </c>
      <c r="BD19" s="9">
        <v>437865499.46264499</v>
      </c>
      <c r="BE19" s="10">
        <f t="shared" si="2"/>
        <v>64088251952.800804</v>
      </c>
      <c r="BH19" s="11">
        <f t="shared" si="3"/>
        <v>0.1153427611469819</v>
      </c>
      <c r="BI19" s="11">
        <f t="shared" si="11"/>
        <v>3.3511381077600314E-4</v>
      </c>
      <c r="BJ19" s="11">
        <f t="shared" si="12"/>
        <v>4.1852382795917395E-3</v>
      </c>
      <c r="BK19" s="11">
        <f t="shared" si="13"/>
        <v>5.8509028605985064E-4</v>
      </c>
      <c r="BL19" s="11">
        <f t="shared" si="14"/>
        <v>7.6167898457560104E-5</v>
      </c>
      <c r="BM19" s="11">
        <f t="shared" si="15"/>
        <v>7.6672033733544307E-3</v>
      </c>
      <c r="BN19" s="11">
        <f t="shared" si="16"/>
        <v>1.9689249561035412E-2</v>
      </c>
      <c r="BO19" s="11">
        <f t="shared" si="17"/>
        <v>1.0763579089615118E-4</v>
      </c>
      <c r="BP19" s="11">
        <f t="shared" si="18"/>
        <v>6.6450344568319057E-5</v>
      </c>
      <c r="BQ19" s="11">
        <f t="shared" si="19"/>
        <v>7.5086369948676801E-5</v>
      </c>
      <c r="BR19" s="11">
        <f t="shared" si="20"/>
        <v>0</v>
      </c>
      <c r="BS19" s="11">
        <f t="shared" si="21"/>
        <v>9.0338404187207347E-3</v>
      </c>
      <c r="BT19" s="11">
        <f t="shared" si="22"/>
        <v>2.8979405749757605E-4</v>
      </c>
      <c r="BU19" s="11">
        <f t="shared" si="23"/>
        <v>4.290544085564812E-5</v>
      </c>
      <c r="BV19" s="11">
        <f t="shared" si="24"/>
        <v>7.7898406628566688E-2</v>
      </c>
      <c r="BW19" s="11">
        <f t="shared" si="25"/>
        <v>2.2136905774184233E-4</v>
      </c>
      <c r="BX19" s="11">
        <f t="shared" si="26"/>
        <v>6.8284359853333751E-4</v>
      </c>
      <c r="BY19" s="11">
        <f t="shared" si="27"/>
        <v>0.23031873861189503</v>
      </c>
      <c r="BZ19" s="11">
        <f t="shared" si="28"/>
        <v>0.15556140507320271</v>
      </c>
      <c r="CA19" s="11">
        <f t="shared" si="29"/>
        <v>8.8597332645335564E-3</v>
      </c>
      <c r="CB19" s="11">
        <f t="shared" si="30"/>
        <v>3.3107605903458752E-4</v>
      </c>
      <c r="CC19" s="11">
        <f t="shared" si="31"/>
        <v>1.5171325180468868E-2</v>
      </c>
      <c r="CD19" s="11">
        <f t="shared" si="32"/>
        <v>1.1425399340350331E-2</v>
      </c>
      <c r="CE19" s="11">
        <f t="shared" si="33"/>
        <v>2.0555166905837707E-2</v>
      </c>
      <c r="CF19" s="11">
        <f t="shared" si="34"/>
        <v>2.0641062145990055E-4</v>
      </c>
      <c r="CG19" s="11">
        <f t="shared" si="35"/>
        <v>5.3188718115728681E-3</v>
      </c>
      <c r="CH19" s="11">
        <f t="shared" si="36"/>
        <v>3.2430740437155233E-4</v>
      </c>
      <c r="CI19" s="11">
        <f t="shared" si="37"/>
        <v>6.5546182911285786E-7</v>
      </c>
      <c r="CJ19" s="11">
        <f t="shared" si="38"/>
        <v>1.6216324378320655E-3</v>
      </c>
      <c r="CK19" s="11">
        <f t="shared" si="39"/>
        <v>1.646626470015354E-4</v>
      </c>
      <c r="CL19" s="11">
        <f t="shared" si="40"/>
        <v>1.9689249561035412E-2</v>
      </c>
      <c r="CM19" s="11">
        <f t="shared" si="41"/>
        <v>4.7837269737052435E-3</v>
      </c>
      <c r="CN19" s="11">
        <f t="shared" si="42"/>
        <v>6.4715742597610103E-3</v>
      </c>
      <c r="CO19" s="11">
        <f t="shared" si="43"/>
        <v>4.2224480140874677E-4</v>
      </c>
      <c r="CP19" s="11">
        <f t="shared" si="44"/>
        <v>3.7045096404608735E-2</v>
      </c>
      <c r="CQ19" s="11">
        <f t="shared" si="45"/>
        <v>1.2838953186206285E-4</v>
      </c>
      <c r="CR19" s="11">
        <f t="shared" si="46"/>
        <v>5.2454085098724498E-2</v>
      </c>
      <c r="CS19" s="11">
        <f t="shared" si="47"/>
        <v>1.0505735807255006E-3</v>
      </c>
      <c r="CT19" s="11">
        <f t="shared" si="48"/>
        <v>9.2607330844411413E-5</v>
      </c>
      <c r="CU19" s="11">
        <f t="shared" si="49"/>
        <v>1.4170632024433001E-4</v>
      </c>
      <c r="CV19" s="11">
        <f t="shared" si="50"/>
        <v>9.6535776636917821E-3</v>
      </c>
      <c r="CW19" s="11">
        <f t="shared" si="51"/>
        <v>5.5336686492240682E-4</v>
      </c>
      <c r="CX19" s="11">
        <f t="shared" si="52"/>
        <v>7.5104468058508917E-3</v>
      </c>
      <c r="CY19" s="11">
        <f t="shared" si="53"/>
        <v>1.9891820609391219E-2</v>
      </c>
      <c r="CZ19" s="11">
        <f t="shared" si="54"/>
        <v>2.7263814664100688E-2</v>
      </c>
      <c r="DA19" s="11">
        <f t="shared" si="55"/>
        <v>1.5941355441399292E-4</v>
      </c>
      <c r="DB19" s="11">
        <f t="shared" si="56"/>
        <v>4.2364187144165136E-2</v>
      </c>
      <c r="DC19" s="11">
        <f t="shared" si="57"/>
        <v>1.9577563120162417E-4</v>
      </c>
      <c r="DD19" s="11">
        <f t="shared" si="58"/>
        <v>3.3350740418521762E-3</v>
      </c>
      <c r="DE19" s="11">
        <f t="shared" si="59"/>
        <v>3.2161469365539652E-2</v>
      </c>
      <c r="DF19" s="11">
        <f t="shared" si="60"/>
        <v>3.8483054180080294E-2</v>
      </c>
      <c r="DG19" s="11">
        <f t="shared" si="61"/>
        <v>1.1556318257699646E-3</v>
      </c>
      <c r="DH19" s="11">
        <f t="shared" si="62"/>
        <v>1.6463272199716465E-3</v>
      </c>
      <c r="DI19" s="11">
        <f t="shared" si="63"/>
        <v>3.5601846333185036E-4</v>
      </c>
      <c r="DJ19" s="11">
        <f t="shared" si="10"/>
        <v>6.8322272198205782E-3</v>
      </c>
    </row>
    <row r="20" spans="1:114" x14ac:dyDescent="0.25">
      <c r="A20" s="1" t="s">
        <v>16</v>
      </c>
      <c r="B20" s="9">
        <v>9857098151.7422791</v>
      </c>
      <c r="C20" s="9">
        <v>27038719.331021301</v>
      </c>
      <c r="D20" s="9">
        <v>336216587.30642301</v>
      </c>
      <c r="E20" s="9">
        <v>51521170.168440901</v>
      </c>
      <c r="F20" s="9">
        <v>5798225.3564901799</v>
      </c>
      <c r="G20" s="9">
        <v>555226163.87957895</v>
      </c>
      <c r="H20" s="9">
        <v>1783257518.01472</v>
      </c>
      <c r="I20" s="9">
        <v>9568316.5429392606</v>
      </c>
      <c r="J20" s="9">
        <v>6395690.0492289104</v>
      </c>
      <c r="K20" s="9">
        <v>6497114.9512121398</v>
      </c>
      <c r="L20" s="9">
        <v>104382.10883578099</v>
      </c>
      <c r="M20" s="9">
        <v>704382596.16547203</v>
      </c>
      <c r="N20" s="9">
        <v>22816600.9778606</v>
      </c>
      <c r="O20" s="9">
        <v>4838481.9079908105</v>
      </c>
      <c r="P20" s="9">
        <v>7008465503.4991703</v>
      </c>
      <c r="Q20" s="9">
        <v>19051464.194586899</v>
      </c>
      <c r="R20" s="9">
        <v>63541567.429894999</v>
      </c>
      <c r="S20" s="9">
        <v>11787747742.759501</v>
      </c>
      <c r="T20" s="9">
        <v>13254120182.8666</v>
      </c>
      <c r="U20" s="9">
        <v>724050672.73951399</v>
      </c>
      <c r="V20" s="9">
        <v>24616769.8048071</v>
      </c>
      <c r="W20" s="9">
        <v>1053241762.40219</v>
      </c>
      <c r="X20" s="9">
        <v>1118386124.4393301</v>
      </c>
      <c r="Y20" s="9">
        <v>1197833137.35042</v>
      </c>
      <c r="Z20" s="9">
        <v>16718631.2215237</v>
      </c>
      <c r="AA20" s="9">
        <v>352225621.03591102</v>
      </c>
      <c r="AB20" s="9">
        <v>23976934.914689101</v>
      </c>
      <c r="AC20" s="9">
        <v>151580.38714171699</v>
      </c>
      <c r="AD20" s="9">
        <v>162077183.926613</v>
      </c>
      <c r="AE20" s="9">
        <v>14851764.1764799</v>
      </c>
      <c r="AF20" s="9">
        <v>1783257518.01472</v>
      </c>
      <c r="AG20" s="9">
        <v>481608910.452416</v>
      </c>
      <c r="AH20" s="9">
        <v>550175787.73224103</v>
      </c>
      <c r="AI20" s="9">
        <v>38790559.655690901</v>
      </c>
      <c r="AJ20" s="9">
        <v>3076971039.89329</v>
      </c>
      <c r="AK20" s="9">
        <v>9587523.7762598209</v>
      </c>
      <c r="AL20" s="9">
        <v>3974345180.8065</v>
      </c>
      <c r="AM20" s="9">
        <v>83334428.969455898</v>
      </c>
      <c r="AN20" s="9">
        <v>7720993.4238374904</v>
      </c>
      <c r="AO20" s="9">
        <v>11537934.5446984</v>
      </c>
      <c r="AP20" s="9">
        <v>802214526.31650996</v>
      </c>
      <c r="AQ20" s="9">
        <v>49241836.334064297</v>
      </c>
      <c r="AR20" s="9">
        <v>649312110.06142795</v>
      </c>
      <c r="AS20" s="9">
        <v>1491257188.3394301</v>
      </c>
      <c r="AT20" s="9">
        <v>2429658640.20467</v>
      </c>
      <c r="AU20" s="9">
        <v>13889051.809268599</v>
      </c>
      <c r="AV20" s="9">
        <v>3690952748.7586098</v>
      </c>
      <c r="AW20" s="9">
        <v>17700577.925308</v>
      </c>
      <c r="AX20" s="9">
        <v>265094736.300616</v>
      </c>
      <c r="AY20" s="9">
        <v>2683387169.35144</v>
      </c>
      <c r="AZ20" s="9">
        <v>3377354598.7803202</v>
      </c>
      <c r="BA20" s="9">
        <v>102937916.84189101</v>
      </c>
      <c r="BB20" s="9">
        <v>73044477.708136007</v>
      </c>
      <c r="BC20" s="9">
        <v>12778864.4178604</v>
      </c>
      <c r="BD20" s="9">
        <v>687921314.25794995</v>
      </c>
      <c r="BE20" s="10">
        <f t="shared" si="2"/>
        <v>76555891996.327469</v>
      </c>
      <c r="BH20" s="11">
        <f t="shared" si="3"/>
        <v>0.12875688460680654</v>
      </c>
      <c r="BI20" s="11">
        <f t="shared" si="11"/>
        <v>3.5318926637702033E-4</v>
      </c>
      <c r="BJ20" s="11">
        <f t="shared" si="12"/>
        <v>4.3917793724165865E-3</v>
      </c>
      <c r="BK20" s="11">
        <f t="shared" si="13"/>
        <v>6.7298765418228647E-4</v>
      </c>
      <c r="BL20" s="11">
        <f t="shared" si="14"/>
        <v>7.573845990545485E-5</v>
      </c>
      <c r="BM20" s="11">
        <f t="shared" si="15"/>
        <v>7.2525595274393019E-3</v>
      </c>
      <c r="BN20" s="11">
        <f t="shared" si="16"/>
        <v>2.3293537198943046E-2</v>
      </c>
      <c r="BO20" s="11">
        <f t="shared" si="17"/>
        <v>1.2498471761518071E-4</v>
      </c>
      <c r="BP20" s="11">
        <f t="shared" si="18"/>
        <v>8.3542753959887545E-5</v>
      </c>
      <c r="BQ20" s="11">
        <f t="shared" si="19"/>
        <v>8.4867601719327087E-5</v>
      </c>
      <c r="BR20" s="11">
        <f t="shared" si="20"/>
        <v>1.3634758359394259E-6</v>
      </c>
      <c r="BS20" s="11">
        <f t="shared" si="21"/>
        <v>9.2008933316231577E-3</v>
      </c>
      <c r="BT20" s="11">
        <f t="shared" si="22"/>
        <v>2.9803847075487219E-4</v>
      </c>
      <c r="BU20" s="11">
        <f t="shared" si="23"/>
        <v>6.3201953263413376E-5</v>
      </c>
      <c r="BV20" s="11">
        <f t="shared" si="24"/>
        <v>9.1547042569047193E-2</v>
      </c>
      <c r="BW20" s="11">
        <f t="shared" si="25"/>
        <v>2.4885692920279516E-4</v>
      </c>
      <c r="BX20" s="11">
        <f t="shared" si="26"/>
        <v>8.3000231298909313E-4</v>
      </c>
      <c r="BY20" s="11">
        <f t="shared" si="27"/>
        <v>0.15397570892812509</v>
      </c>
      <c r="BZ20" s="11">
        <f t="shared" si="28"/>
        <v>0.17312998173285507</v>
      </c>
      <c r="CA20" s="11">
        <f t="shared" si="29"/>
        <v>9.4578046687020263E-3</v>
      </c>
      <c r="CB20" s="11">
        <f t="shared" si="30"/>
        <v>3.2155290942189024E-4</v>
      </c>
      <c r="CC20" s="11">
        <f t="shared" si="31"/>
        <v>1.375781451874032E-2</v>
      </c>
      <c r="CD20" s="11">
        <f t="shared" si="32"/>
        <v>1.460875309888599E-2</v>
      </c>
      <c r="CE20" s="11">
        <f t="shared" si="33"/>
        <v>1.5646517937611938E-2</v>
      </c>
      <c r="CF20" s="11">
        <f t="shared" si="34"/>
        <v>2.1838464402355504E-4</v>
      </c>
      <c r="CG20" s="11">
        <f t="shared" si="35"/>
        <v>4.6008950043036267E-3</v>
      </c>
      <c r="CH20" s="11">
        <f t="shared" si="36"/>
        <v>3.1319516093992241E-4</v>
      </c>
      <c r="CI20" s="11">
        <f t="shared" si="37"/>
        <v>1.9799963554599898E-6</v>
      </c>
      <c r="CJ20" s="11">
        <f t="shared" si="38"/>
        <v>2.1171092087123502E-3</v>
      </c>
      <c r="CK20" s="11">
        <f t="shared" si="39"/>
        <v>1.9399896976175744E-4</v>
      </c>
      <c r="CL20" s="11">
        <f t="shared" si="40"/>
        <v>2.3293537198943046E-2</v>
      </c>
      <c r="CM20" s="11">
        <f t="shared" si="41"/>
        <v>6.2909450584877217E-3</v>
      </c>
      <c r="CN20" s="11">
        <f t="shared" si="42"/>
        <v>7.1865897370594805E-3</v>
      </c>
      <c r="CO20" s="11">
        <f t="shared" si="43"/>
        <v>5.0669593997483249E-4</v>
      </c>
      <c r="CP20" s="11">
        <f t="shared" si="44"/>
        <v>4.0192478457972879E-2</v>
      </c>
      <c r="CQ20" s="11">
        <f t="shared" si="45"/>
        <v>1.252356092555195E-4</v>
      </c>
      <c r="CR20" s="11">
        <f t="shared" si="46"/>
        <v>5.1914295257602862E-2</v>
      </c>
      <c r="CS20" s="11">
        <f t="shared" si="47"/>
        <v>1.0885436351973225E-3</v>
      </c>
      <c r="CT20" s="11">
        <f t="shared" si="48"/>
        <v>1.0085433299122008E-4</v>
      </c>
      <c r="CU20" s="11">
        <f t="shared" si="49"/>
        <v>1.5071256102994524E-4</v>
      </c>
      <c r="CV20" s="11">
        <f t="shared" si="50"/>
        <v>1.0478808428683631E-2</v>
      </c>
      <c r="CW20" s="11">
        <f t="shared" si="51"/>
        <v>6.432141935780269E-4</v>
      </c>
      <c r="CX20" s="11">
        <f t="shared" si="52"/>
        <v>8.4815432637448292E-3</v>
      </c>
      <c r="CY20" s="11">
        <f t="shared" si="53"/>
        <v>1.9479326142669312E-2</v>
      </c>
      <c r="CZ20" s="11">
        <f t="shared" si="54"/>
        <v>3.1737056114782454E-2</v>
      </c>
      <c r="DA20" s="11">
        <f t="shared" si="55"/>
        <v>1.8142368205878762E-4</v>
      </c>
      <c r="DB20" s="11">
        <f t="shared" si="56"/>
        <v>4.8212523589114105E-2</v>
      </c>
      <c r="DC20" s="11">
        <f t="shared" si="57"/>
        <v>2.3121117739908418E-4</v>
      </c>
      <c r="DD20" s="11">
        <f t="shared" si="58"/>
        <v>3.4627607279833286E-3</v>
      </c>
      <c r="DE20" s="11">
        <f t="shared" si="59"/>
        <v>3.5051347445343162E-2</v>
      </c>
      <c r="DF20" s="11">
        <f t="shared" si="60"/>
        <v>4.4116194204129162E-2</v>
      </c>
      <c r="DG20" s="11">
        <f t="shared" si="61"/>
        <v>1.3446112919281135E-3</v>
      </c>
      <c r="DH20" s="11">
        <f t="shared" si="62"/>
        <v>9.5413267095940946E-4</v>
      </c>
      <c r="DI20" s="11">
        <f t="shared" si="63"/>
        <v>1.6692202369575194E-4</v>
      </c>
      <c r="DJ20" s="11">
        <f t="shared" si="10"/>
        <v>8.9858702748960313E-3</v>
      </c>
    </row>
    <row r="21" spans="1:114" x14ac:dyDescent="0.25">
      <c r="A21" s="1" t="s">
        <v>17</v>
      </c>
      <c r="B21" s="9">
        <v>7639631408.4146299</v>
      </c>
      <c r="C21" s="9">
        <v>19941476.167345699</v>
      </c>
      <c r="D21" s="9">
        <v>238409615.175385</v>
      </c>
      <c r="E21" s="9">
        <v>33147654.8600052</v>
      </c>
      <c r="F21" s="9">
        <v>3878185.9723353498</v>
      </c>
      <c r="G21" s="9">
        <v>420463057.838902</v>
      </c>
      <c r="H21" s="9">
        <v>1308535519.8687699</v>
      </c>
      <c r="I21" s="9">
        <v>6164998.1987832598</v>
      </c>
      <c r="J21" s="9">
        <v>4180591.9261794598</v>
      </c>
      <c r="K21" s="9">
        <v>5316372.2818919402</v>
      </c>
      <c r="L21" s="9">
        <v>0</v>
      </c>
      <c r="M21" s="9">
        <v>503860162.63368601</v>
      </c>
      <c r="N21" s="9">
        <v>12778864.4178604</v>
      </c>
      <c r="O21" s="9">
        <v>3063691.0083062798</v>
      </c>
      <c r="P21" s="9">
        <v>5080410920.01618</v>
      </c>
      <c r="Q21" s="9">
        <v>14816848.845900901</v>
      </c>
      <c r="R21" s="9">
        <v>43270114.891504303</v>
      </c>
      <c r="S21" s="9">
        <v>13482701208.0002</v>
      </c>
      <c r="T21" s="9">
        <v>9077864932.7535</v>
      </c>
      <c r="U21" s="9">
        <v>432926728.53914499</v>
      </c>
      <c r="V21" s="9">
        <v>18289190.760867201</v>
      </c>
      <c r="W21" s="9">
        <v>1013504086.77485</v>
      </c>
      <c r="X21" s="9">
        <v>719130001.21876299</v>
      </c>
      <c r="Y21" s="9">
        <v>1615504409.5569201</v>
      </c>
      <c r="Z21" s="9">
        <v>10534348.020645</v>
      </c>
      <c r="AA21" s="9">
        <v>357700361.25197202</v>
      </c>
      <c r="AB21" s="9">
        <v>16976154.280057002</v>
      </c>
      <c r="AC21" s="9">
        <v>55500.978423280198</v>
      </c>
      <c r="AD21" s="9">
        <v>88263235.540464893</v>
      </c>
      <c r="AE21" s="9">
        <v>10725793.9877667</v>
      </c>
      <c r="AF21" s="9">
        <v>1308535519.8687699</v>
      </c>
      <c r="AG21" s="9">
        <v>281556577.64728397</v>
      </c>
      <c r="AH21" s="9">
        <v>382481225.53618598</v>
      </c>
      <c r="AI21" s="9">
        <v>26471099.910700101</v>
      </c>
      <c r="AJ21" s="9">
        <v>2260630216.3127999</v>
      </c>
      <c r="AK21" s="9">
        <v>8358307.7053229297</v>
      </c>
      <c r="AL21" s="9">
        <v>3129644282.02738</v>
      </c>
      <c r="AM21" s="9">
        <v>65135036.668087602</v>
      </c>
      <c r="AN21" s="9">
        <v>5476257.1684955498</v>
      </c>
      <c r="AO21" s="9">
        <v>9616923.9380597398</v>
      </c>
      <c r="AP21" s="9">
        <v>587808822.13329101</v>
      </c>
      <c r="AQ21" s="9">
        <v>34461816.338481501</v>
      </c>
      <c r="AR21" s="9">
        <v>460544129.84606701</v>
      </c>
      <c r="AS21" s="9">
        <v>1156398442.9702899</v>
      </c>
      <c r="AT21" s="9">
        <v>1986685081.0184</v>
      </c>
      <c r="AU21" s="9">
        <v>9614725.4423165508</v>
      </c>
      <c r="AV21" s="9">
        <v>2809693623.7038798</v>
      </c>
      <c r="AW21" s="9">
        <v>12858446.114953499</v>
      </c>
      <c r="AX21" s="9">
        <v>208570925.356637</v>
      </c>
      <c r="AY21" s="9">
        <v>1858403467.8627501</v>
      </c>
      <c r="AZ21" s="9">
        <v>2346326108.0479298</v>
      </c>
      <c r="BA21" s="9">
        <v>70247928.859877005</v>
      </c>
      <c r="BB21" s="9">
        <v>94346661.272243902</v>
      </c>
      <c r="BC21" s="9">
        <v>17270867.061292499</v>
      </c>
      <c r="BD21" s="9">
        <v>630527218.53769302</v>
      </c>
      <c r="BE21" s="10">
        <f t="shared" si="2"/>
        <v>61943709145.530441</v>
      </c>
      <c r="BH21" s="11">
        <f t="shared" si="3"/>
        <v>0.1233318364979742</v>
      </c>
      <c r="BI21" s="11">
        <f t="shared" si="11"/>
        <v>3.219289971883219E-4</v>
      </c>
      <c r="BJ21" s="11">
        <f t="shared" si="12"/>
        <v>3.8488107745576856E-3</v>
      </c>
      <c r="BK21" s="11">
        <f t="shared" si="13"/>
        <v>5.3512544400801309E-4</v>
      </c>
      <c r="BL21" s="11">
        <f t="shared" si="14"/>
        <v>6.2608229727153513E-5</v>
      </c>
      <c r="BM21" s="11">
        <f t="shared" si="15"/>
        <v>6.7878250049745459E-3</v>
      </c>
      <c r="BN21" s="11">
        <f t="shared" si="16"/>
        <v>2.1124590986221034E-2</v>
      </c>
      <c r="BO21" s="11">
        <f t="shared" si="17"/>
        <v>9.9525816000123977E-5</v>
      </c>
      <c r="BP21" s="11">
        <f t="shared" si="18"/>
        <v>6.7490177515162745E-5</v>
      </c>
      <c r="BQ21" s="11">
        <f t="shared" si="19"/>
        <v>8.5825862791032818E-5</v>
      </c>
      <c r="BR21" s="11">
        <f t="shared" si="20"/>
        <v>0</v>
      </c>
      <c r="BS21" s="11">
        <f t="shared" si="21"/>
        <v>8.1341619606587947E-3</v>
      </c>
      <c r="BT21" s="11">
        <f t="shared" si="22"/>
        <v>2.0629801789617987E-4</v>
      </c>
      <c r="BU21" s="11">
        <f t="shared" si="23"/>
        <v>4.9459276019594654E-5</v>
      </c>
      <c r="BV21" s="11">
        <f t="shared" si="24"/>
        <v>8.2016575857287971E-2</v>
      </c>
      <c r="BW21" s="11">
        <f t="shared" si="25"/>
        <v>2.3919860548050523E-4</v>
      </c>
      <c r="BX21" s="11">
        <f t="shared" si="26"/>
        <v>6.9853929460125753E-4</v>
      </c>
      <c r="BY21" s="11">
        <f t="shared" si="27"/>
        <v>0.21766054041620217</v>
      </c>
      <c r="BZ21" s="11">
        <f t="shared" si="28"/>
        <v>0.14655023178263316</v>
      </c>
      <c r="CA21" s="11">
        <f t="shared" si="29"/>
        <v>6.9890346333963908E-3</v>
      </c>
      <c r="CB21" s="11">
        <f t="shared" si="30"/>
        <v>2.9525501480543581E-4</v>
      </c>
      <c r="CC21" s="11">
        <f t="shared" si="31"/>
        <v>1.6361695170589885E-2</v>
      </c>
      <c r="CD21" s="11">
        <f t="shared" si="32"/>
        <v>1.1609411369429626E-2</v>
      </c>
      <c r="CE21" s="11">
        <f t="shared" si="33"/>
        <v>2.6080201393194856E-2</v>
      </c>
      <c r="CF21" s="11">
        <f t="shared" si="34"/>
        <v>1.7006324235275646E-4</v>
      </c>
      <c r="CG21" s="11">
        <f t="shared" si="35"/>
        <v>5.7746035261077343E-3</v>
      </c>
      <c r="CH21" s="11">
        <f t="shared" si="36"/>
        <v>2.740577617038278E-4</v>
      </c>
      <c r="CI21" s="11">
        <f t="shared" si="37"/>
        <v>8.9599055640801706E-7</v>
      </c>
      <c r="CJ21" s="11">
        <f t="shared" si="38"/>
        <v>1.424894258965013E-3</v>
      </c>
      <c r="CK21" s="11">
        <f t="shared" si="39"/>
        <v>1.7315388658059754E-4</v>
      </c>
      <c r="CL21" s="11">
        <f t="shared" si="40"/>
        <v>2.1124590986221034E-2</v>
      </c>
      <c r="CM21" s="11">
        <f t="shared" si="41"/>
        <v>4.5453619347494258E-3</v>
      </c>
      <c r="CN21" s="11">
        <f t="shared" si="42"/>
        <v>6.1746581018838455E-3</v>
      </c>
      <c r="CO21" s="11">
        <f t="shared" si="43"/>
        <v>4.2734121472301484E-4</v>
      </c>
      <c r="CP21" s="11">
        <f t="shared" si="44"/>
        <v>3.6494912033789892E-2</v>
      </c>
      <c r="CQ21" s="11">
        <f t="shared" si="45"/>
        <v>1.3493392340594161E-4</v>
      </c>
      <c r="CR21" s="11">
        <f t="shared" si="46"/>
        <v>5.0524005184684681E-2</v>
      </c>
      <c r="CS21" s="11">
        <f t="shared" si="47"/>
        <v>1.0515198002602566E-3</v>
      </c>
      <c r="CT21" s="11">
        <f t="shared" si="48"/>
        <v>8.8406994738233076E-5</v>
      </c>
      <c r="CU21" s="11">
        <f t="shared" si="49"/>
        <v>1.5525263292622267E-4</v>
      </c>
      <c r="CV21" s="11">
        <f t="shared" si="50"/>
        <v>9.4894030441782882E-3</v>
      </c>
      <c r="CW21" s="11">
        <f t="shared" si="51"/>
        <v>5.5634085872250511E-4</v>
      </c>
      <c r="CX21" s="11">
        <f t="shared" si="52"/>
        <v>7.4348813818053009E-3</v>
      </c>
      <c r="CY21" s="11">
        <f t="shared" si="53"/>
        <v>1.8668537272339462E-2</v>
      </c>
      <c r="CZ21" s="11">
        <f t="shared" si="54"/>
        <v>3.2072426860181809E-2</v>
      </c>
      <c r="DA21" s="11">
        <f t="shared" si="55"/>
        <v>1.5521714109382329E-4</v>
      </c>
      <c r="DB21" s="11">
        <f t="shared" si="56"/>
        <v>4.5358821137151971E-2</v>
      </c>
      <c r="DC21" s="11">
        <f t="shared" si="57"/>
        <v>2.0758276009503869E-4</v>
      </c>
      <c r="DD21" s="11">
        <f t="shared" si="58"/>
        <v>3.367104234372224E-3</v>
      </c>
      <c r="DE21" s="11">
        <f t="shared" si="59"/>
        <v>3.0001488343176549E-2</v>
      </c>
      <c r="DF21" s="11">
        <f t="shared" si="60"/>
        <v>3.7878359891808794E-2</v>
      </c>
      <c r="DG21" s="11">
        <f t="shared" si="61"/>
        <v>1.134060743679986E-3</v>
      </c>
      <c r="DH21" s="11">
        <f t="shared" si="62"/>
        <v>1.523103194395189E-3</v>
      </c>
      <c r="DI21" s="11">
        <f t="shared" si="63"/>
        <v>2.7881551330283363E-4</v>
      </c>
      <c r="DJ21" s="11">
        <f t="shared" si="10"/>
        <v>1.0179035566894024E-2</v>
      </c>
    </row>
    <row r="22" spans="1:114" x14ac:dyDescent="0.25">
      <c r="A22" s="1" t="s">
        <v>18</v>
      </c>
      <c r="B22" s="9">
        <v>9620684733.1756096</v>
      </c>
      <c r="C22" s="9">
        <v>26766819.390206698</v>
      </c>
      <c r="D22" s="9">
        <v>321638581.57720602</v>
      </c>
      <c r="E22" s="9">
        <v>52750291.450891703</v>
      </c>
      <c r="F22" s="9">
        <v>6426429.8303018101</v>
      </c>
      <c r="G22" s="9">
        <v>541874045.75612104</v>
      </c>
      <c r="H22" s="9">
        <v>1693105569.80618</v>
      </c>
      <c r="I22" s="9">
        <v>9538478.8317316305</v>
      </c>
      <c r="J22" s="9">
        <v>5882387.2047604099</v>
      </c>
      <c r="K22" s="9">
        <v>5587243.0343393004</v>
      </c>
      <c r="L22" s="9">
        <v>261697.78827181301</v>
      </c>
      <c r="M22" s="9">
        <v>651312546.06508398</v>
      </c>
      <c r="N22" s="9">
        <v>17270867.061292499</v>
      </c>
      <c r="O22" s="9">
        <v>4495835.7361146901</v>
      </c>
      <c r="P22" s="9">
        <v>6111802620.0174799</v>
      </c>
      <c r="Q22" s="9">
        <v>17069387.876217902</v>
      </c>
      <c r="R22" s="9">
        <v>54908970.271823503</v>
      </c>
      <c r="S22" s="9">
        <v>13949593621.267099</v>
      </c>
      <c r="T22" s="9">
        <v>11094853043.975</v>
      </c>
      <c r="U22" s="9">
        <v>617653934.27585196</v>
      </c>
      <c r="V22" s="9">
        <v>22496964.732492901</v>
      </c>
      <c r="W22" s="9">
        <v>1070532674.91169</v>
      </c>
      <c r="X22" s="9">
        <v>981245790.34890294</v>
      </c>
      <c r="Y22" s="9">
        <v>1017450359.17326</v>
      </c>
      <c r="Z22" s="9">
        <v>15666630.2992357</v>
      </c>
      <c r="AA22" s="9">
        <v>403116414.56650102</v>
      </c>
      <c r="AB22" s="9">
        <v>21397151.895984098</v>
      </c>
      <c r="AC22" s="9">
        <v>21091.0889879887</v>
      </c>
      <c r="AD22" s="9">
        <v>134562606.73322299</v>
      </c>
      <c r="AE22" s="9">
        <v>14524762.0766178</v>
      </c>
      <c r="AF22" s="9">
        <v>1693105569.80618</v>
      </c>
      <c r="AG22" s="9">
        <v>403811402.34527302</v>
      </c>
      <c r="AH22" s="9">
        <v>518806261.52531999</v>
      </c>
      <c r="AI22" s="9">
        <v>33527768.774130698</v>
      </c>
      <c r="AJ22" s="9">
        <v>2881401304.1227298</v>
      </c>
      <c r="AK22" s="9">
        <v>9180549.4004270993</v>
      </c>
      <c r="AL22" s="9">
        <v>3595830099.1538601</v>
      </c>
      <c r="AM22" s="9">
        <v>73846886.290093794</v>
      </c>
      <c r="AN22" s="9">
        <v>6695733.4529384198</v>
      </c>
      <c r="AO22" s="9">
        <v>10681481.7982645</v>
      </c>
      <c r="AP22" s="9">
        <v>708610208.03944004</v>
      </c>
      <c r="AQ22" s="9">
        <v>41556170.664987899</v>
      </c>
      <c r="AR22" s="9">
        <v>547518292.47431898</v>
      </c>
      <c r="AS22" s="9">
        <v>1451250949.18014</v>
      </c>
      <c r="AT22" s="9">
        <v>2071313945.78122</v>
      </c>
      <c r="AU22" s="9">
        <v>12576886.122114301</v>
      </c>
      <c r="AV22" s="9">
        <v>3271907546.8267498</v>
      </c>
      <c r="AW22" s="9">
        <v>14913061.299365601</v>
      </c>
      <c r="AX22" s="9">
        <v>264032118.432347</v>
      </c>
      <c r="AY22" s="9">
        <v>2514604946.0837302</v>
      </c>
      <c r="AZ22" s="9">
        <v>2931185829.4801898</v>
      </c>
      <c r="BA22" s="9">
        <v>84349568.079037398</v>
      </c>
      <c r="BB22" s="9">
        <v>92946396.1825158</v>
      </c>
      <c r="BC22" s="9">
        <v>54749619.273788698</v>
      </c>
      <c r="BD22" s="9">
        <v>863996220.082389</v>
      </c>
      <c r="BE22" s="10">
        <f t="shared" si="2"/>
        <v>72636890364.890015</v>
      </c>
      <c r="BH22" s="11">
        <f t="shared" si="3"/>
        <v>0.13244901708823556</v>
      </c>
      <c r="BI22" s="11">
        <f t="shared" si="11"/>
        <v>3.6850172489136165E-4</v>
      </c>
      <c r="BJ22" s="11">
        <f t="shared" si="12"/>
        <v>4.4280334684133754E-3</v>
      </c>
      <c r="BK22" s="11">
        <f t="shared" si="13"/>
        <v>7.2621902157294499E-4</v>
      </c>
      <c r="BL22" s="11">
        <f t="shared" si="14"/>
        <v>8.8473361098179778E-5</v>
      </c>
      <c r="BM22" s="11">
        <f t="shared" si="15"/>
        <v>7.4600391486203121E-3</v>
      </c>
      <c r="BN22" s="11">
        <f t="shared" si="16"/>
        <v>2.3309169229311675E-2</v>
      </c>
      <c r="BO22" s="11">
        <f t="shared" si="17"/>
        <v>1.3131727946798474E-4</v>
      </c>
      <c r="BP22" s="11">
        <f t="shared" si="18"/>
        <v>8.0983466874894438E-5</v>
      </c>
      <c r="BQ22" s="11">
        <f t="shared" si="19"/>
        <v>7.6920184857472458E-5</v>
      </c>
      <c r="BR22" s="11">
        <f t="shared" si="20"/>
        <v>3.6028220227652812E-6</v>
      </c>
      <c r="BS22" s="11">
        <f t="shared" si="21"/>
        <v>8.9666909306445799E-3</v>
      </c>
      <c r="BT22" s="11">
        <f t="shared" si="22"/>
        <v>2.3776991243062076E-4</v>
      </c>
      <c r="BU22" s="11">
        <f t="shared" si="23"/>
        <v>6.1894661425206205E-5</v>
      </c>
      <c r="BV22" s="11">
        <f t="shared" si="24"/>
        <v>8.4141853943842548E-2</v>
      </c>
      <c r="BW22" s="11">
        <f t="shared" si="25"/>
        <v>2.34996126492615E-4</v>
      </c>
      <c r="BX22" s="11">
        <f t="shared" si="26"/>
        <v>7.5593778858083478E-4</v>
      </c>
      <c r="BY22" s="11">
        <f t="shared" si="27"/>
        <v>0.19204557837197581</v>
      </c>
      <c r="BZ22" s="11">
        <f t="shared" si="28"/>
        <v>0.15274405316968032</v>
      </c>
      <c r="CA22" s="11">
        <f t="shared" si="29"/>
        <v>8.503309147364092E-3</v>
      </c>
      <c r="CB22" s="11">
        <f t="shared" si="30"/>
        <v>3.0971816964465071E-4</v>
      </c>
      <c r="CC22" s="11">
        <f t="shared" si="31"/>
        <v>1.4738140214068772E-2</v>
      </c>
      <c r="CD22" s="11">
        <f t="shared" si="32"/>
        <v>1.350891792613414E-2</v>
      </c>
      <c r="CE22" s="11">
        <f t="shared" si="33"/>
        <v>1.4007350177879557E-2</v>
      </c>
      <c r="CF22" s="11">
        <f t="shared" si="34"/>
        <v>2.1568420978010876E-4</v>
      </c>
      <c r="CG22" s="11">
        <f t="shared" si="35"/>
        <v>5.5497476907595232E-3</v>
      </c>
      <c r="CH22" s="11">
        <f t="shared" si="36"/>
        <v>2.9457692624912656E-4</v>
      </c>
      <c r="CI22" s="11">
        <f t="shared" si="37"/>
        <v>2.90363324779434E-7</v>
      </c>
      <c r="CJ22" s="11">
        <f t="shared" si="38"/>
        <v>1.8525380981654134E-3</v>
      </c>
      <c r="CK22" s="11">
        <f t="shared" si="39"/>
        <v>1.9996398529249998E-4</v>
      </c>
      <c r="CL22" s="11">
        <f t="shared" si="40"/>
        <v>2.3309169229311675E-2</v>
      </c>
      <c r="CM22" s="11">
        <f t="shared" si="41"/>
        <v>5.5593156633872163E-3</v>
      </c>
      <c r="CN22" s="11">
        <f t="shared" si="42"/>
        <v>7.1424624446215518E-3</v>
      </c>
      <c r="CO22" s="11">
        <f t="shared" si="43"/>
        <v>4.615804532064162E-4</v>
      </c>
      <c r="CP22" s="11">
        <f t="shared" si="44"/>
        <v>3.96685663393362E-2</v>
      </c>
      <c r="CQ22" s="11">
        <f t="shared" si="45"/>
        <v>1.2638962590921481E-4</v>
      </c>
      <c r="CR22" s="11">
        <f t="shared" si="46"/>
        <v>4.9504185560398817E-2</v>
      </c>
      <c r="CS22" s="11">
        <f t="shared" si="47"/>
        <v>1.0166581460071514E-3</v>
      </c>
      <c r="CT22" s="11">
        <f t="shared" si="48"/>
        <v>9.21808934730346E-5</v>
      </c>
      <c r="CU22" s="11">
        <f t="shared" si="49"/>
        <v>1.4705312609895993E-4</v>
      </c>
      <c r="CV22" s="11">
        <f t="shared" si="50"/>
        <v>9.7555140986866368E-3</v>
      </c>
      <c r="CW22" s="11">
        <f t="shared" si="51"/>
        <v>5.7210833856228258E-4</v>
      </c>
      <c r="CX22" s="11">
        <f t="shared" si="52"/>
        <v>7.5377441094170118E-3</v>
      </c>
      <c r="CY22" s="11">
        <f t="shared" si="53"/>
        <v>1.9979530261962055E-2</v>
      </c>
      <c r="CZ22" s="11">
        <f t="shared" si="54"/>
        <v>2.8516005233374039E-2</v>
      </c>
      <c r="DA22" s="11">
        <f t="shared" si="55"/>
        <v>1.7314736436175278E-4</v>
      </c>
      <c r="DB22" s="11">
        <f t="shared" si="56"/>
        <v>4.5044708417312271E-2</v>
      </c>
      <c r="DC22" s="11">
        <f t="shared" si="57"/>
        <v>2.0530974308578088E-4</v>
      </c>
      <c r="DD22" s="11">
        <f t="shared" si="58"/>
        <v>3.6349590009427269E-3</v>
      </c>
      <c r="DE22" s="11">
        <f t="shared" si="59"/>
        <v>3.4618840832139987E-2</v>
      </c>
      <c r="DF22" s="11">
        <f t="shared" si="60"/>
        <v>4.0353955335304614E-2</v>
      </c>
      <c r="DG22" s="11">
        <f t="shared" si="61"/>
        <v>1.1612497128567726E-3</v>
      </c>
      <c r="DH22" s="11">
        <f t="shared" si="62"/>
        <v>1.2796031839414019E-3</v>
      </c>
      <c r="DI22" s="11">
        <f t="shared" si="63"/>
        <v>7.5374398599327484E-4</v>
      </c>
      <c r="DJ22" s="11">
        <f t="shared" si="10"/>
        <v>1.1894730291207686E-2</v>
      </c>
    </row>
    <row r="23" spans="1:114" x14ac:dyDescent="0.25">
      <c r="A23" s="1" t="s">
        <v>19</v>
      </c>
      <c r="B23" s="9">
        <v>1572214512.64375</v>
      </c>
      <c r="C23" s="9">
        <v>7014329.0791357402</v>
      </c>
      <c r="D23" s="9">
        <v>263158369.695847</v>
      </c>
      <c r="E23" s="9">
        <v>8025507.4852584796</v>
      </c>
      <c r="F23" s="9">
        <v>3242274.7508439701</v>
      </c>
      <c r="G23" s="9">
        <v>956573525.94201303</v>
      </c>
      <c r="H23" s="9">
        <v>424395554.60003299</v>
      </c>
      <c r="I23" s="9">
        <v>6236624.7682684697</v>
      </c>
      <c r="J23" s="9">
        <v>4449673.8488704199</v>
      </c>
      <c r="K23" s="9">
        <v>4595190.67717335</v>
      </c>
      <c r="L23" s="9">
        <v>0</v>
      </c>
      <c r="M23" s="9">
        <v>666859309.68652797</v>
      </c>
      <c r="N23" s="9">
        <v>130582899.84916</v>
      </c>
      <c r="O23" s="9">
        <v>2100711.6605529399</v>
      </c>
      <c r="P23" s="9">
        <v>5452667282.9535503</v>
      </c>
      <c r="Q23" s="9">
        <v>16298618.0509602</v>
      </c>
      <c r="R23" s="9">
        <v>38410468.105787903</v>
      </c>
      <c r="S23" s="28">
        <v>14155758160.9604</v>
      </c>
      <c r="T23" s="9">
        <v>10880176095.1017</v>
      </c>
      <c r="U23" s="9">
        <v>570210183.89190602</v>
      </c>
      <c r="V23" s="9">
        <v>21765119.895946302</v>
      </c>
      <c r="W23" s="9">
        <v>1035761718.17011</v>
      </c>
      <c r="X23" s="9">
        <v>889160336.01020396</v>
      </c>
      <c r="Y23" s="9">
        <v>1285426682.6808901</v>
      </c>
      <c r="Z23" s="9">
        <v>12102027.215241</v>
      </c>
      <c r="AA23" s="9">
        <v>259957258.45214599</v>
      </c>
      <c r="AB23" s="9">
        <v>43126762.815134302</v>
      </c>
      <c r="AC23" s="9">
        <v>319116.50537648401</v>
      </c>
      <c r="AD23" s="9">
        <v>116011793.22209001</v>
      </c>
      <c r="AE23" s="9">
        <v>3466984.0323101301</v>
      </c>
      <c r="AF23" s="9">
        <v>424395554.60003299</v>
      </c>
      <c r="AG23" s="9">
        <v>299021492.92329502</v>
      </c>
      <c r="AH23" s="9">
        <v>228904372.86353901</v>
      </c>
      <c r="AI23" s="9">
        <v>14980306.9460172</v>
      </c>
      <c r="AJ23" s="9">
        <v>2506636916.9471798</v>
      </c>
      <c r="AK23" s="9">
        <v>10560556.0245093</v>
      </c>
      <c r="AL23" s="9">
        <v>3767975663.9177799</v>
      </c>
      <c r="AM23" s="9">
        <v>77951886.9661704</v>
      </c>
      <c r="AN23" s="9">
        <v>6484238.7115915399</v>
      </c>
      <c r="AO23" s="9">
        <v>2642602.1972217802</v>
      </c>
      <c r="AP23" s="9">
        <v>800424932.11368406</v>
      </c>
      <c r="AQ23" s="9">
        <v>37464553.309519902</v>
      </c>
      <c r="AR23" s="9">
        <v>490171624.60317898</v>
      </c>
      <c r="AS23" s="9">
        <v>1475356010.4559801</v>
      </c>
      <c r="AT23" s="9">
        <v>1862214073.5945599</v>
      </c>
      <c r="AU23" s="9">
        <v>10554641.596981799</v>
      </c>
      <c r="AV23" s="9">
        <v>3102584414.2340298</v>
      </c>
      <c r="AW23" s="9">
        <v>14983593.6543711</v>
      </c>
      <c r="AX23" s="9">
        <v>231255815.668749</v>
      </c>
      <c r="AY23" s="9">
        <v>2092164391.81003</v>
      </c>
      <c r="AZ23" s="9">
        <v>2610778419.8917899</v>
      </c>
      <c r="BA23" s="9">
        <v>81131686.574514404</v>
      </c>
      <c r="BB23" s="9">
        <v>76489166.295050994</v>
      </c>
      <c r="BC23" s="9">
        <v>130582899.84916</v>
      </c>
      <c r="BD23" s="9">
        <v>399162228.913656</v>
      </c>
      <c r="BE23" s="10">
        <f t="shared" si="2"/>
        <v>59584939137.413788</v>
      </c>
      <c r="BH23" s="11">
        <f t="shared" si="3"/>
        <v>2.6386105875142965E-2</v>
      </c>
      <c r="BI23" s="11">
        <f t="shared" si="11"/>
        <v>1.1771983290877266E-4</v>
      </c>
      <c r="BJ23" s="11">
        <f t="shared" si="12"/>
        <v>4.4165249391118046E-3</v>
      </c>
      <c r="BK23" s="11">
        <f t="shared" si="13"/>
        <v>1.3469020194432335E-4</v>
      </c>
      <c r="BL23" s="11">
        <f t="shared" si="14"/>
        <v>5.4414333517513382E-5</v>
      </c>
      <c r="BM23" s="11">
        <f t="shared" si="15"/>
        <v>1.605394819210907E-2</v>
      </c>
      <c r="BN23" s="11">
        <f t="shared" si="16"/>
        <v>7.1225306385108338E-3</v>
      </c>
      <c r="BO23" s="11">
        <f t="shared" si="17"/>
        <v>1.0466780462569023E-4</v>
      </c>
      <c r="BP23" s="11">
        <f t="shared" si="18"/>
        <v>7.4677828211062804E-5</v>
      </c>
      <c r="BQ23" s="11">
        <f t="shared" si="19"/>
        <v>7.7120002868107302E-5</v>
      </c>
      <c r="BR23" s="11">
        <f t="shared" si="20"/>
        <v>0</v>
      </c>
      <c r="BS23" s="11">
        <f t="shared" si="21"/>
        <v>1.1191742734663675E-2</v>
      </c>
      <c r="BT23" s="11">
        <f t="shared" si="22"/>
        <v>2.1915420530683417E-3</v>
      </c>
      <c r="BU23" s="11">
        <f t="shared" si="23"/>
        <v>3.5255749035982294E-5</v>
      </c>
      <c r="BV23" s="11">
        <f t="shared" si="24"/>
        <v>9.1510830788610872E-2</v>
      </c>
      <c r="BW23" s="11">
        <f t="shared" si="25"/>
        <v>2.7353586807183944E-4</v>
      </c>
      <c r="BX23" s="11">
        <f t="shared" si="26"/>
        <v>6.4463383972259043E-4</v>
      </c>
      <c r="BY23" s="11">
        <f t="shared" si="27"/>
        <v>0.23757275522787105</v>
      </c>
      <c r="BZ23" s="11">
        <f t="shared" si="28"/>
        <v>0.18259943288705927</v>
      </c>
      <c r="CA23" s="11">
        <f t="shared" si="29"/>
        <v>9.569703219414168E-3</v>
      </c>
      <c r="CB23" s="11">
        <f t="shared" si="30"/>
        <v>3.6527888105670374E-4</v>
      </c>
      <c r="CC23" s="11">
        <f t="shared" si="31"/>
        <v>1.7382944971739481E-2</v>
      </c>
      <c r="CD23" s="11">
        <f t="shared" si="32"/>
        <v>1.4922568502749282E-2</v>
      </c>
      <c r="CE23" s="11">
        <f t="shared" si="33"/>
        <v>2.1573013269619367E-2</v>
      </c>
      <c r="CF23" s="11">
        <f t="shared" si="34"/>
        <v>2.0310547246396455E-4</v>
      </c>
      <c r="CG23" s="11">
        <f t="shared" si="35"/>
        <v>4.3628014430397745E-3</v>
      </c>
      <c r="CH23" s="11">
        <f t="shared" si="36"/>
        <v>7.2378630304003645E-4</v>
      </c>
      <c r="CI23" s="11">
        <f t="shared" si="37"/>
        <v>5.3556571508874559E-6</v>
      </c>
      <c r="CJ23" s="11">
        <f t="shared" si="38"/>
        <v>1.9469986023573098E-3</v>
      </c>
      <c r="CK23" s="11">
        <f t="shared" si="39"/>
        <v>5.8185576464459073E-5</v>
      </c>
      <c r="CL23" s="11">
        <f t="shared" si="40"/>
        <v>7.1225306385108338E-3</v>
      </c>
      <c r="CM23" s="11">
        <f t="shared" si="41"/>
        <v>5.0184072896960865E-3</v>
      </c>
      <c r="CN23" s="11">
        <f t="shared" si="42"/>
        <v>3.8416481778330526E-3</v>
      </c>
      <c r="CO23" s="11">
        <f t="shared" si="43"/>
        <v>2.5141096328838849E-4</v>
      </c>
      <c r="CP23" s="11">
        <f t="shared" si="44"/>
        <v>4.2068297009860423E-2</v>
      </c>
      <c r="CQ23" s="11">
        <f t="shared" si="45"/>
        <v>1.7723532451975361E-4</v>
      </c>
      <c r="CR23" s="11">
        <f t="shared" si="46"/>
        <v>6.3237048127684367E-2</v>
      </c>
      <c r="CS23" s="11">
        <f t="shared" si="47"/>
        <v>1.3082481595961535E-3</v>
      </c>
      <c r="CT23" s="11">
        <f t="shared" si="48"/>
        <v>1.0882345111803668E-4</v>
      </c>
      <c r="CU23" s="11">
        <f t="shared" si="49"/>
        <v>4.4350170285941808E-5</v>
      </c>
      <c r="CV23" s="11">
        <f t="shared" si="50"/>
        <v>1.343334311826278E-2</v>
      </c>
      <c r="CW23" s="11">
        <f t="shared" si="51"/>
        <v>6.2875877448023861E-4</v>
      </c>
      <c r="CX23" s="11">
        <f t="shared" si="52"/>
        <v>8.2264349296850559E-3</v>
      </c>
      <c r="CY23" s="11">
        <f t="shared" si="53"/>
        <v>2.4760552445199931E-2</v>
      </c>
      <c r="CZ23" s="11">
        <f t="shared" si="54"/>
        <v>3.1253100205405143E-2</v>
      </c>
      <c r="DA23" s="11">
        <f t="shared" si="55"/>
        <v>1.7713606407553529E-4</v>
      </c>
      <c r="DB23" s="11">
        <f t="shared" si="56"/>
        <v>5.2069943498287405E-2</v>
      </c>
      <c r="DC23" s="11">
        <f t="shared" si="57"/>
        <v>2.5146612334060102E-4</v>
      </c>
      <c r="DD23" s="11">
        <f t="shared" si="58"/>
        <v>3.8811118886172011E-3</v>
      </c>
      <c r="DE23" s="11">
        <f t="shared" si="59"/>
        <v>3.5112302237736884E-2</v>
      </c>
      <c r="DF23" s="11">
        <f t="shared" si="60"/>
        <v>4.381607932620115E-2</v>
      </c>
      <c r="DG23" s="11">
        <f t="shared" si="61"/>
        <v>1.3616139875113386E-3</v>
      </c>
      <c r="DH23" s="11">
        <f t="shared" si="62"/>
        <v>1.2836996630751433E-3</v>
      </c>
      <c r="DI23" s="11">
        <f t="shared" si="63"/>
        <v>2.1915420530683417E-3</v>
      </c>
      <c r="DJ23" s="11">
        <f t="shared" si="10"/>
        <v>6.6990456765108836E-3</v>
      </c>
    </row>
    <row r="24" spans="1:114" x14ac:dyDescent="0.25">
      <c r="A24" s="1" t="s">
        <v>20</v>
      </c>
      <c r="B24" s="9">
        <v>1653961173.7176499</v>
      </c>
      <c r="C24" s="9">
        <v>7244047.7191784503</v>
      </c>
      <c r="D24" s="9">
        <v>253331449.20684701</v>
      </c>
      <c r="E24" s="9">
        <v>7822812.0881079603</v>
      </c>
      <c r="F24" s="9">
        <v>3248077.4083227301</v>
      </c>
      <c r="G24" s="9">
        <v>961387017.54566002</v>
      </c>
      <c r="H24" s="9">
        <v>423438978.96343499</v>
      </c>
      <c r="I24" s="9">
        <v>4837198.3417344699</v>
      </c>
      <c r="J24" s="9">
        <v>4252353.0577827897</v>
      </c>
      <c r="K24" s="9">
        <v>4622524.6573724998</v>
      </c>
      <c r="L24" s="9">
        <v>65837.577905765604</v>
      </c>
      <c r="M24" s="9">
        <v>639628202.34216702</v>
      </c>
      <c r="N24" s="9">
        <v>127317476.134711</v>
      </c>
      <c r="O24" s="9">
        <v>1701992.6980773199</v>
      </c>
      <c r="P24" s="9">
        <v>5300972284.0785704</v>
      </c>
      <c r="Q24" s="9">
        <v>15438278.198433399</v>
      </c>
      <c r="R24" s="9">
        <v>39193986.880896799</v>
      </c>
      <c r="S24" s="28">
        <v>14390446713.0336</v>
      </c>
      <c r="T24" s="9">
        <v>10378166130.5914</v>
      </c>
      <c r="U24" s="9">
        <v>614599150.52466297</v>
      </c>
      <c r="V24" s="9">
        <v>21389299.813571699</v>
      </c>
      <c r="W24" s="9">
        <v>1021366825.52133</v>
      </c>
      <c r="X24" s="9">
        <v>896453624.576859</v>
      </c>
      <c r="Y24" s="9">
        <v>1353726440.93908</v>
      </c>
      <c r="Z24" s="9">
        <v>12393286.440622499</v>
      </c>
      <c r="AA24" s="9">
        <v>255781043.875211</v>
      </c>
      <c r="AB24" s="9">
        <v>42377135.566965602</v>
      </c>
      <c r="AC24" s="9">
        <v>400552.61109790899</v>
      </c>
      <c r="AD24" s="9">
        <v>121031849.599931</v>
      </c>
      <c r="AE24" s="9">
        <v>3333547.4006463201</v>
      </c>
      <c r="AF24" s="9">
        <v>423438978.96343499</v>
      </c>
      <c r="AG24" s="9">
        <v>324262775.28243899</v>
      </c>
      <c r="AH24" s="9">
        <v>242103600.23786899</v>
      </c>
      <c r="AI24" s="9">
        <v>15720975.000698799</v>
      </c>
      <c r="AJ24" s="9">
        <v>2516740322.92307</v>
      </c>
      <c r="AK24" s="9">
        <v>10051214.4640289</v>
      </c>
      <c r="AL24" s="9">
        <v>3908976383.9045401</v>
      </c>
      <c r="AM24" s="9">
        <v>80524439.664956093</v>
      </c>
      <c r="AN24" s="9">
        <v>7347958.3055768497</v>
      </c>
      <c r="AO24" s="9">
        <v>3196279.8968457398</v>
      </c>
      <c r="AP24" s="9">
        <v>794911760.03307402</v>
      </c>
      <c r="AQ24" s="9">
        <v>38312544.917533398</v>
      </c>
      <c r="AR24" s="9">
        <v>479693490.668145</v>
      </c>
      <c r="AS24" s="9">
        <v>1558191331.5134399</v>
      </c>
      <c r="AT24" s="9">
        <v>2150568096.72191</v>
      </c>
      <c r="AU24" s="9">
        <v>12415079.7458362</v>
      </c>
      <c r="AV24" s="9">
        <v>3330802144.3935199</v>
      </c>
      <c r="AW24" s="9">
        <v>14630294.711725401</v>
      </c>
      <c r="AX24" s="9">
        <v>237131355.84923801</v>
      </c>
      <c r="AY24" s="9">
        <v>2293725396.6025701</v>
      </c>
      <c r="AZ24" s="9">
        <v>2713895774.6034598</v>
      </c>
      <c r="BA24" s="9">
        <v>78007966.458452806</v>
      </c>
      <c r="BB24" s="9">
        <v>77023769.759513602</v>
      </c>
      <c r="BC24" s="9">
        <v>127317476.134711</v>
      </c>
      <c r="BD24" s="9">
        <v>629844366.51026905</v>
      </c>
      <c r="BE24" s="10">
        <f t="shared" si="2"/>
        <v>60628763068.378685</v>
      </c>
      <c r="BH24" s="11">
        <f t="shared" si="3"/>
        <v>2.7280140481379601E-2</v>
      </c>
      <c r="BI24" s="11">
        <f t="shared" si="11"/>
        <v>1.1948203051756847E-4</v>
      </c>
      <c r="BJ24" s="11">
        <f t="shared" si="12"/>
        <v>4.1784037210380372E-3</v>
      </c>
      <c r="BK24" s="11">
        <f t="shared" si="13"/>
        <v>1.2902806674919609E-4</v>
      </c>
      <c r="BL24" s="11">
        <f t="shared" si="14"/>
        <v>5.3573209215227835E-5</v>
      </c>
      <c r="BM24" s="11">
        <f t="shared" si="15"/>
        <v>1.5856945926166807E-2</v>
      </c>
      <c r="BN24" s="11">
        <f t="shared" si="16"/>
        <v>6.9841269643893212E-3</v>
      </c>
      <c r="BO24" s="11">
        <f t="shared" si="17"/>
        <v>7.9783886342509619E-5</v>
      </c>
      <c r="BP24" s="11">
        <f t="shared" si="18"/>
        <v>7.0137552583529969E-5</v>
      </c>
      <c r="BQ24" s="11">
        <f t="shared" si="19"/>
        <v>7.6243096897079968E-5</v>
      </c>
      <c r="BR24" s="11">
        <f t="shared" si="20"/>
        <v>1.0859132625139043E-6</v>
      </c>
      <c r="BS24" s="11">
        <f t="shared" si="21"/>
        <v>1.0549913439942323E-2</v>
      </c>
      <c r="BT24" s="11">
        <f t="shared" si="22"/>
        <v>2.0999517339834075E-3</v>
      </c>
      <c r="BU24" s="11">
        <f t="shared" si="23"/>
        <v>2.8072363873855856E-5</v>
      </c>
      <c r="BV24" s="11">
        <f t="shared" si="24"/>
        <v>8.7433290995892449E-2</v>
      </c>
      <c r="BW24" s="11">
        <f t="shared" si="25"/>
        <v>2.5463620593779409E-4</v>
      </c>
      <c r="BX24" s="11">
        <f t="shared" si="26"/>
        <v>6.4645862619187541E-4</v>
      </c>
      <c r="BY24" s="11">
        <f t="shared" si="27"/>
        <v>0.23735346038321253</v>
      </c>
      <c r="BZ24" s="11">
        <f t="shared" si="28"/>
        <v>0.17117562037158232</v>
      </c>
      <c r="CA24" s="11">
        <f t="shared" si="29"/>
        <v>1.0137088725222749E-2</v>
      </c>
      <c r="CB24" s="11">
        <f t="shared" si="30"/>
        <v>3.5279129461124407E-4</v>
      </c>
      <c r="CC24" s="11">
        <f t="shared" si="31"/>
        <v>1.6846242176661367E-2</v>
      </c>
      <c r="CD24" s="11">
        <f t="shared" si="32"/>
        <v>1.4785946128668589E-2</v>
      </c>
      <c r="CE24" s="11">
        <f t="shared" si="33"/>
        <v>2.2328122370108595E-2</v>
      </c>
      <c r="CF24" s="11">
        <f t="shared" si="34"/>
        <v>2.0441265520533596E-4</v>
      </c>
      <c r="CG24" s="11">
        <f t="shared" si="35"/>
        <v>4.2188068984144464E-3</v>
      </c>
      <c r="CH24" s="11">
        <f t="shared" si="36"/>
        <v>6.9896091264754281E-4</v>
      </c>
      <c r="CI24" s="11">
        <f t="shared" si="37"/>
        <v>6.606643296452468E-6</v>
      </c>
      <c r="CJ24" s="11">
        <f t="shared" si="38"/>
        <v>1.9962777314692722E-3</v>
      </c>
      <c r="CK24" s="11">
        <f t="shared" si="39"/>
        <v>5.4982936018118316E-5</v>
      </c>
      <c r="CL24" s="11">
        <f t="shared" si="40"/>
        <v>6.9841269643893212E-3</v>
      </c>
      <c r="CM24" s="11">
        <f t="shared" si="41"/>
        <v>5.3483323569825606E-3</v>
      </c>
      <c r="CN24" s="11">
        <f t="shared" si="42"/>
        <v>3.9932135835398508E-3</v>
      </c>
      <c r="CO24" s="11">
        <f t="shared" si="43"/>
        <v>2.5929895655249106E-4</v>
      </c>
      <c r="CP24" s="11">
        <f t="shared" si="44"/>
        <v>4.1510665821841444E-2</v>
      </c>
      <c r="CQ24" s="11">
        <f t="shared" si="45"/>
        <v>1.6578293792160795E-4</v>
      </c>
      <c r="CR24" s="11">
        <f t="shared" si="46"/>
        <v>6.4473958993619837E-2</v>
      </c>
      <c r="CS24" s="11">
        <f t="shared" si="47"/>
        <v>1.3281557397788002E-3</v>
      </c>
      <c r="CT24" s="11">
        <f t="shared" si="48"/>
        <v>1.2119591318875552E-4</v>
      </c>
      <c r="CU24" s="11">
        <f t="shared" si="49"/>
        <v>5.2718870303207287E-5</v>
      </c>
      <c r="CV24" s="11">
        <f t="shared" si="50"/>
        <v>1.3111132733098184E-2</v>
      </c>
      <c r="CW24" s="11">
        <f t="shared" si="51"/>
        <v>6.3192027972471616E-4</v>
      </c>
      <c r="CX24" s="11">
        <f t="shared" si="52"/>
        <v>7.9119788428989434E-3</v>
      </c>
      <c r="CY24" s="11">
        <f t="shared" si="53"/>
        <v>2.570052979237052E-2</v>
      </c>
      <c r="CZ24" s="11">
        <f t="shared" si="54"/>
        <v>3.5471086459350057E-2</v>
      </c>
      <c r="DA24" s="11">
        <f t="shared" si="55"/>
        <v>2.0477211009292987E-4</v>
      </c>
      <c r="DB24" s="11">
        <f t="shared" si="56"/>
        <v>5.4937656251323408E-2</v>
      </c>
      <c r="DC24" s="11">
        <f t="shared" si="57"/>
        <v>2.4130947047732075E-4</v>
      </c>
      <c r="DD24" s="11">
        <f t="shared" si="58"/>
        <v>3.9112022717962287E-3</v>
      </c>
      <c r="DE24" s="11">
        <f t="shared" si="59"/>
        <v>3.7832297419883816E-2</v>
      </c>
      <c r="DF24" s="11">
        <f t="shared" si="60"/>
        <v>4.4762512663216597E-2</v>
      </c>
      <c r="DG24" s="11">
        <f t="shared" si="61"/>
        <v>1.2866494797275248E-3</v>
      </c>
      <c r="DH24" s="11">
        <f t="shared" si="62"/>
        <v>1.2704163149864069E-3</v>
      </c>
      <c r="DI24" s="11">
        <f t="shared" si="63"/>
        <v>2.0999517339834075E-3</v>
      </c>
      <c r="DJ24" s="11">
        <f t="shared" si="10"/>
        <v>1.038854059747045E-2</v>
      </c>
    </row>
    <row r="25" spans="1:114" x14ac:dyDescent="0.25">
      <c r="A25" s="1" t="s">
        <v>21</v>
      </c>
      <c r="B25" s="9">
        <v>1958381186.67624</v>
      </c>
      <c r="C25" s="9">
        <v>8832570.2712951191</v>
      </c>
      <c r="D25" s="9">
        <v>337016034.032107</v>
      </c>
      <c r="E25" s="9">
        <v>8956411.29203205</v>
      </c>
      <c r="F25" s="9">
        <v>4675765.5985188298</v>
      </c>
      <c r="G25" s="9">
        <v>1125583263.6942799</v>
      </c>
      <c r="H25" s="9">
        <v>520343120.84012902</v>
      </c>
      <c r="I25" s="9">
        <v>7271633.5097527197</v>
      </c>
      <c r="J25" s="9">
        <v>5399228.0739943897</v>
      </c>
      <c r="K25" s="9">
        <v>5579924.7860161103</v>
      </c>
      <c r="L25" s="9">
        <v>93402.649414123196</v>
      </c>
      <c r="M25" s="9">
        <v>771559129.09060001</v>
      </c>
      <c r="N25" s="9">
        <v>161726108.082275</v>
      </c>
      <c r="O25" s="9">
        <v>2503082.6657222202</v>
      </c>
      <c r="P25" s="9">
        <v>6606784338.3631001</v>
      </c>
      <c r="Q25" s="9">
        <v>17846573.5853521</v>
      </c>
      <c r="R25" s="9">
        <v>57817552.160270698</v>
      </c>
      <c r="S25" s="28">
        <v>15983470048.9168</v>
      </c>
      <c r="T25" s="9">
        <v>13252081981.7854</v>
      </c>
      <c r="U25" s="9">
        <v>727208876.69456804</v>
      </c>
      <c r="V25" s="9">
        <v>24789937.5078439</v>
      </c>
      <c r="W25" s="9">
        <v>1030789707.74711</v>
      </c>
      <c r="X25" s="9">
        <v>1163680613.34447</v>
      </c>
      <c r="Y25" s="9">
        <v>1167379611.8747001</v>
      </c>
      <c r="Z25" s="9">
        <v>15611517.305808701</v>
      </c>
      <c r="AA25" s="9">
        <v>277401586.95873201</v>
      </c>
      <c r="AB25" s="9">
        <v>47812809.532269701</v>
      </c>
      <c r="AC25" s="9">
        <v>363285.26194282999</v>
      </c>
      <c r="AD25" s="9">
        <v>158488628.68447399</v>
      </c>
      <c r="AE25" s="9">
        <v>4382799.8237054097</v>
      </c>
      <c r="AF25" s="9">
        <v>520343120.84012902</v>
      </c>
      <c r="AG25" s="9">
        <v>445293127.55599499</v>
      </c>
      <c r="AH25" s="9">
        <v>288233113.251513</v>
      </c>
      <c r="AI25" s="9">
        <v>18077529.171804201</v>
      </c>
      <c r="AJ25" s="9">
        <v>2982563632.92554</v>
      </c>
      <c r="AK25" s="9">
        <v>8150794.99087591</v>
      </c>
      <c r="AL25" s="9">
        <v>4303883686.0222397</v>
      </c>
      <c r="AM25" s="9">
        <v>86575135.051328897</v>
      </c>
      <c r="AN25" s="9">
        <v>7683422.4167424096</v>
      </c>
      <c r="AO25" s="9">
        <v>3245495.2444115598</v>
      </c>
      <c r="AP25" s="9">
        <v>981760017.76085103</v>
      </c>
      <c r="AQ25" s="9">
        <v>49485249.015028499</v>
      </c>
      <c r="AR25" s="9">
        <v>626160119.53813803</v>
      </c>
      <c r="AS25" s="9">
        <v>1667750414.16257</v>
      </c>
      <c r="AT25" s="9">
        <v>2470033911.7564301</v>
      </c>
      <c r="AU25" s="9">
        <v>15807392.979851199</v>
      </c>
      <c r="AV25" s="9">
        <v>3773097399.1645098</v>
      </c>
      <c r="AW25" s="9">
        <v>16942437.5015877</v>
      </c>
      <c r="AX25" s="9">
        <v>289086677.84668499</v>
      </c>
      <c r="AY25" s="9">
        <v>2738475464.5552402</v>
      </c>
      <c r="AZ25" s="9">
        <v>3288265791.3817</v>
      </c>
      <c r="BA25" s="9">
        <v>93523178.245695099</v>
      </c>
      <c r="BB25" s="9">
        <v>91866541.001396</v>
      </c>
      <c r="BC25" s="9">
        <v>161726108.082275</v>
      </c>
      <c r="BD25" s="9">
        <v>282349864.04547501</v>
      </c>
      <c r="BE25" s="10">
        <f t="shared" si="2"/>
        <v>70664210355.316925</v>
      </c>
      <c r="BH25" s="11">
        <f t="shared" si="3"/>
        <v>2.7713904631906598E-2</v>
      </c>
      <c r="BI25" s="11">
        <f t="shared" si="11"/>
        <v>1.2499354661833474E-4</v>
      </c>
      <c r="BJ25" s="11">
        <f t="shared" si="12"/>
        <v>4.7692605965241521E-3</v>
      </c>
      <c r="BK25" s="11">
        <f t="shared" si="13"/>
        <v>1.267460748092567E-4</v>
      </c>
      <c r="BL25" s="11">
        <f t="shared" si="14"/>
        <v>6.6168794287913742E-5</v>
      </c>
      <c r="BM25" s="11">
        <f t="shared" si="15"/>
        <v>1.5928618717092741E-2</v>
      </c>
      <c r="BN25" s="11">
        <f t="shared" si="16"/>
        <v>7.3636020019712464E-3</v>
      </c>
      <c r="BO25" s="11">
        <f t="shared" si="17"/>
        <v>1.0290405104916857E-4</v>
      </c>
      <c r="BP25" s="11">
        <f t="shared" si="18"/>
        <v>7.6406826692688575E-5</v>
      </c>
      <c r="BQ25" s="11">
        <f t="shared" si="19"/>
        <v>7.8963944519564919E-5</v>
      </c>
      <c r="BR25" s="11">
        <f t="shared" si="20"/>
        <v>1.3217815488841076E-6</v>
      </c>
      <c r="BS25" s="11">
        <f t="shared" si="21"/>
        <v>1.0918669085963206E-2</v>
      </c>
      <c r="BT25" s="11">
        <f t="shared" si="22"/>
        <v>2.2886565528586053E-3</v>
      </c>
      <c r="BU25" s="11">
        <f t="shared" si="23"/>
        <v>3.5422212363742674E-5</v>
      </c>
      <c r="BV25" s="11">
        <f t="shared" si="24"/>
        <v>9.3495481024164467E-2</v>
      </c>
      <c r="BW25" s="11">
        <f t="shared" si="25"/>
        <v>2.525546312003653E-4</v>
      </c>
      <c r="BX25" s="11">
        <f t="shared" si="26"/>
        <v>8.1820134788954568E-4</v>
      </c>
      <c r="BY25" s="11">
        <f t="shared" si="27"/>
        <v>0.22618904207020787</v>
      </c>
      <c r="BZ25" s="11">
        <f t="shared" si="28"/>
        <v>0.18753598059258983</v>
      </c>
      <c r="CA25" s="11">
        <f t="shared" si="29"/>
        <v>1.0291049359187402E-2</v>
      </c>
      <c r="CB25" s="11">
        <f t="shared" si="30"/>
        <v>3.5081319642848953E-4</v>
      </c>
      <c r="CC25" s="11">
        <f t="shared" si="31"/>
        <v>1.4587153844414979E-2</v>
      </c>
      <c r="CD25" s="11">
        <f t="shared" si="32"/>
        <v>1.6467750895300455E-2</v>
      </c>
      <c r="CE25" s="11">
        <f t="shared" si="33"/>
        <v>1.6520097033630318E-2</v>
      </c>
      <c r="CF25" s="11">
        <f t="shared" si="34"/>
        <v>2.2092537689602949E-4</v>
      </c>
      <c r="CG25" s="11">
        <f t="shared" si="35"/>
        <v>3.925630606553006E-3</v>
      </c>
      <c r="CH25" s="11">
        <f t="shared" si="36"/>
        <v>6.7661988001925175E-4</v>
      </c>
      <c r="CI25" s="11">
        <f t="shared" si="37"/>
        <v>5.1410078753607076E-6</v>
      </c>
      <c r="CJ25" s="11">
        <f t="shared" si="38"/>
        <v>2.2428415726653481E-3</v>
      </c>
      <c r="CK25" s="11">
        <f t="shared" si="39"/>
        <v>6.2022908084129441E-5</v>
      </c>
      <c r="CL25" s="11">
        <f t="shared" si="40"/>
        <v>7.3636020019712464E-3</v>
      </c>
      <c r="CM25" s="11">
        <f t="shared" si="41"/>
        <v>6.3015368786681729E-3</v>
      </c>
      <c r="CN25" s="11">
        <f t="shared" si="42"/>
        <v>4.0789122499523657E-3</v>
      </c>
      <c r="CO25" s="11">
        <f t="shared" si="43"/>
        <v>2.55822984236376E-4</v>
      </c>
      <c r="CP25" s="11">
        <f t="shared" si="44"/>
        <v>4.2207556242806379E-2</v>
      </c>
      <c r="CQ25" s="11">
        <f t="shared" si="45"/>
        <v>1.1534544785672577E-4</v>
      </c>
      <c r="CR25" s="11">
        <f t="shared" si="46"/>
        <v>6.0906131468550492E-2</v>
      </c>
      <c r="CS25" s="11">
        <f t="shared" si="47"/>
        <v>1.2251624212031515E-3</v>
      </c>
      <c r="CT25" s="11">
        <f t="shared" si="48"/>
        <v>1.0873145511862771E-4</v>
      </c>
      <c r="CU25" s="11">
        <f t="shared" si="49"/>
        <v>4.5928415927842628E-5</v>
      </c>
      <c r="CV25" s="11">
        <f t="shared" si="50"/>
        <v>1.3893313359398226E-2</v>
      </c>
      <c r="CW25" s="11">
        <f t="shared" si="51"/>
        <v>7.0028729913211465E-4</v>
      </c>
      <c r="CX25" s="11">
        <f t="shared" si="52"/>
        <v>8.8610644113852246E-3</v>
      </c>
      <c r="CY25" s="11">
        <f t="shared" si="53"/>
        <v>2.3601062062063853E-2</v>
      </c>
      <c r="CZ25" s="11">
        <f t="shared" si="54"/>
        <v>3.4954525060656529E-2</v>
      </c>
      <c r="DA25" s="11">
        <f t="shared" si="55"/>
        <v>2.2369729882167739E-4</v>
      </c>
      <c r="DB25" s="11">
        <f t="shared" si="56"/>
        <v>5.3394743678482411E-2</v>
      </c>
      <c r="DC25" s="11">
        <f t="shared" si="57"/>
        <v>2.3975980791969488E-4</v>
      </c>
      <c r="DD25" s="11">
        <f t="shared" si="58"/>
        <v>4.0909914140848172E-3</v>
      </c>
      <c r="DE25" s="11">
        <f t="shared" si="59"/>
        <v>3.8753358323619778E-2</v>
      </c>
      <c r="DF25" s="11">
        <f t="shared" si="60"/>
        <v>4.6533680555510291E-2</v>
      </c>
      <c r="DG25" s="11">
        <f t="shared" si="61"/>
        <v>1.3234872048444001E-3</v>
      </c>
      <c r="DH25" s="11">
        <f t="shared" si="62"/>
        <v>1.3000434100865002E-3</v>
      </c>
      <c r="DI25" s="11">
        <f t="shared" si="63"/>
        <v>2.2886565528586053E-3</v>
      </c>
      <c r="DJ25" s="11">
        <f t="shared" si="10"/>
        <v>3.9956558295316802E-3</v>
      </c>
    </row>
    <row r="26" spans="1:114" x14ac:dyDescent="0.25">
      <c r="A26" s="1" t="s">
        <v>22</v>
      </c>
      <c r="B26" s="9">
        <v>1789690103.68485</v>
      </c>
      <c r="C26" s="9">
        <v>8634079.4060296007</v>
      </c>
      <c r="D26" s="9">
        <v>295450651.32150102</v>
      </c>
      <c r="E26" s="9">
        <v>9514419.8524149694</v>
      </c>
      <c r="F26" s="9">
        <v>4504109.8857163899</v>
      </c>
      <c r="G26" s="9">
        <v>1011171847.80011</v>
      </c>
      <c r="H26" s="9">
        <v>497916310.72459799</v>
      </c>
      <c r="I26" s="9">
        <v>6596900.8298474001</v>
      </c>
      <c r="J26" s="9">
        <v>4759160.6344962101</v>
      </c>
      <c r="K26" s="9">
        <v>4949275.0943805398</v>
      </c>
      <c r="L26" s="9">
        <v>71960.416789781098</v>
      </c>
      <c r="M26" s="9">
        <v>695042187.00423503</v>
      </c>
      <c r="N26" s="9">
        <v>139514500.36495599</v>
      </c>
      <c r="O26" s="9">
        <v>2345295.8637522398</v>
      </c>
      <c r="P26" s="9">
        <v>5765371486.91154</v>
      </c>
      <c r="Q26" s="9">
        <v>16379558.7598799</v>
      </c>
      <c r="R26" s="9">
        <v>48036778.397899002</v>
      </c>
      <c r="S26" s="28">
        <v>15606712567.905199</v>
      </c>
      <c r="T26" s="9">
        <v>11937244734.9004</v>
      </c>
      <c r="U26" s="9">
        <v>669760122.625934</v>
      </c>
      <c r="V26" s="9">
        <v>23755685.094544899</v>
      </c>
      <c r="W26" s="9">
        <v>999106611.55997503</v>
      </c>
      <c r="X26" s="9">
        <v>1057086980.95241</v>
      </c>
      <c r="Y26" s="9">
        <v>1255887454.0725801</v>
      </c>
      <c r="Z26" s="9">
        <v>15122645.293794701</v>
      </c>
      <c r="AA26" s="9">
        <v>255808480.89558399</v>
      </c>
      <c r="AB26" s="9">
        <v>46702881.7451405</v>
      </c>
      <c r="AC26" s="9">
        <v>297655.63396757899</v>
      </c>
      <c r="AD26" s="9">
        <v>145741383.17527401</v>
      </c>
      <c r="AE26" s="9">
        <v>3574359.18133512</v>
      </c>
      <c r="AF26" s="9">
        <v>497916310.72459799</v>
      </c>
      <c r="AG26" s="9">
        <v>374933351.24923599</v>
      </c>
      <c r="AH26" s="9">
        <v>260370590.51721999</v>
      </c>
      <c r="AI26" s="9">
        <v>17697146.656116899</v>
      </c>
      <c r="AJ26" s="9">
        <v>2677605137.0671701</v>
      </c>
      <c r="AK26" s="9">
        <v>10266812.285221901</v>
      </c>
      <c r="AL26" s="9">
        <v>4244284227.22258</v>
      </c>
      <c r="AM26" s="9">
        <v>86690006.177495494</v>
      </c>
      <c r="AN26" s="9">
        <v>7574196.0958208898</v>
      </c>
      <c r="AO26" s="9">
        <v>3221295.4250487802</v>
      </c>
      <c r="AP26" s="9">
        <v>873395429.74284101</v>
      </c>
      <c r="AQ26" s="9">
        <v>44085490.661191598</v>
      </c>
      <c r="AR26" s="9">
        <v>556420973.44343603</v>
      </c>
      <c r="AS26" s="9">
        <v>1597840084.03286</v>
      </c>
      <c r="AT26" s="9">
        <v>2214657952.7030501</v>
      </c>
      <c r="AU26" s="9">
        <v>13454676.913422801</v>
      </c>
      <c r="AV26" s="9">
        <v>3296813758.48031</v>
      </c>
      <c r="AW26" s="9">
        <v>14632216.500431299</v>
      </c>
      <c r="AX26" s="9">
        <v>264563441.813344</v>
      </c>
      <c r="AY26" s="9">
        <v>2530127646.63099</v>
      </c>
      <c r="AZ26" s="9">
        <v>3010214765.46841</v>
      </c>
      <c r="BA26" s="9">
        <v>89942066.873245806</v>
      </c>
      <c r="BB26" s="9">
        <v>85310585.037108302</v>
      </c>
      <c r="BC26" s="9">
        <v>139514500.36495599</v>
      </c>
      <c r="BD26" s="9">
        <v>738963456.47902095</v>
      </c>
      <c r="BE26" s="10">
        <f t="shared" si="2"/>
        <v>65967246308.554268</v>
      </c>
      <c r="BH26" s="11">
        <f t="shared" si="3"/>
        <v>2.7129980465059565E-2</v>
      </c>
      <c r="BI26" s="11">
        <f t="shared" si="11"/>
        <v>1.3088433865565162E-4</v>
      </c>
      <c r="BJ26" s="11">
        <f t="shared" si="12"/>
        <v>4.4787476794099345E-3</v>
      </c>
      <c r="BK26" s="11">
        <f t="shared" si="13"/>
        <v>1.4422945302146396E-4</v>
      </c>
      <c r="BL26" s="11">
        <f t="shared" si="14"/>
        <v>6.8277973354366342E-5</v>
      </c>
      <c r="BM26" s="11">
        <f t="shared" si="15"/>
        <v>1.532839256425028E-2</v>
      </c>
      <c r="BN26" s="11">
        <f t="shared" si="16"/>
        <v>7.5479323238028043E-3</v>
      </c>
      <c r="BO26" s="11">
        <f t="shared" si="17"/>
        <v>1.0000267100723213E-4</v>
      </c>
      <c r="BP26" s="11">
        <f t="shared" si="18"/>
        <v>7.2144297371998505E-5</v>
      </c>
      <c r="BQ26" s="11">
        <f t="shared" si="19"/>
        <v>7.5026249712332541E-5</v>
      </c>
      <c r="BR26" s="11">
        <f t="shared" si="20"/>
        <v>1.0908506996516796E-6</v>
      </c>
      <c r="BS26" s="11">
        <f t="shared" si="21"/>
        <v>1.0536170992393021E-2</v>
      </c>
      <c r="BT26" s="11">
        <f t="shared" si="22"/>
        <v>2.1149056262314307E-3</v>
      </c>
      <c r="BU26" s="11">
        <f t="shared" si="23"/>
        <v>3.5552429349292313E-5</v>
      </c>
      <c r="BV26" s="11">
        <f t="shared" si="24"/>
        <v>8.7397486018207779E-2</v>
      </c>
      <c r="BW26" s="11">
        <f t="shared" si="25"/>
        <v>2.4829835526658767E-4</v>
      </c>
      <c r="BX26" s="11">
        <f t="shared" si="26"/>
        <v>7.2819135383054266E-4</v>
      </c>
      <c r="BY26" s="11">
        <f t="shared" si="27"/>
        <v>0.23658275039868396</v>
      </c>
      <c r="BZ26" s="11">
        <f t="shared" si="28"/>
        <v>0.18095714771941973</v>
      </c>
      <c r="CA26" s="11">
        <f t="shared" si="29"/>
        <v>1.0152919215290683E-2</v>
      </c>
      <c r="CB26" s="11">
        <f t="shared" si="30"/>
        <v>3.601133353881469E-4</v>
      </c>
      <c r="CC26" s="11">
        <f t="shared" si="31"/>
        <v>1.5145495188426812E-2</v>
      </c>
      <c r="CD26" s="11">
        <f t="shared" si="32"/>
        <v>1.6024421816972719E-2</v>
      </c>
      <c r="CE26" s="11">
        <f t="shared" si="33"/>
        <v>1.9038045762867072E-2</v>
      </c>
      <c r="CF26" s="11">
        <f t="shared" si="34"/>
        <v>2.2924475614853246E-4</v>
      </c>
      <c r="CG26" s="11">
        <f t="shared" si="35"/>
        <v>3.8778105076429747E-3</v>
      </c>
      <c r="CH26" s="11">
        <f t="shared" si="36"/>
        <v>7.0797076365281496E-4</v>
      </c>
      <c r="CI26" s="11">
        <f t="shared" si="37"/>
        <v>4.5121730953468745E-6</v>
      </c>
      <c r="CJ26" s="11">
        <f t="shared" si="38"/>
        <v>2.209299179983735E-3</v>
      </c>
      <c r="CK26" s="11">
        <f t="shared" si="39"/>
        <v>5.418384700517076E-5</v>
      </c>
      <c r="CL26" s="11">
        <f t="shared" si="40"/>
        <v>7.5479323238028043E-3</v>
      </c>
      <c r="CM26" s="11">
        <f t="shared" si="41"/>
        <v>5.6836289557324858E-3</v>
      </c>
      <c r="CN26" s="11">
        <f t="shared" si="42"/>
        <v>3.9469677012038103E-3</v>
      </c>
      <c r="CO26" s="11">
        <f t="shared" si="43"/>
        <v>2.682717203828778E-4</v>
      </c>
      <c r="CP26" s="11">
        <f t="shared" si="44"/>
        <v>4.0589918283733983E-2</v>
      </c>
      <c r="CQ26" s="11">
        <f t="shared" si="45"/>
        <v>1.556349985748997E-4</v>
      </c>
      <c r="CR26" s="11">
        <f t="shared" si="46"/>
        <v>6.4339266298466133E-2</v>
      </c>
      <c r="CS26" s="11">
        <f t="shared" si="47"/>
        <v>1.3141371063453654E-3</v>
      </c>
      <c r="CT26" s="11">
        <f t="shared" si="48"/>
        <v>1.1481752717694857E-4</v>
      </c>
      <c r="CU26" s="11">
        <f t="shared" si="49"/>
        <v>4.8831740072664827E-5</v>
      </c>
      <c r="CV26" s="11">
        <f t="shared" si="50"/>
        <v>1.3239834593938233E-2</v>
      </c>
      <c r="CW26" s="11">
        <f t="shared" si="51"/>
        <v>6.6829363249432518E-4</v>
      </c>
      <c r="CX26" s="11">
        <f t="shared" si="52"/>
        <v>8.4348067348580906E-3</v>
      </c>
      <c r="CY26" s="11">
        <f t="shared" si="53"/>
        <v>2.4221718708086516E-2</v>
      </c>
      <c r="CZ26" s="11">
        <f t="shared" si="54"/>
        <v>3.3572084278677333E-2</v>
      </c>
      <c r="DA26" s="11">
        <f t="shared" si="55"/>
        <v>2.0395995992450686E-4</v>
      </c>
      <c r="DB26" s="11">
        <f t="shared" si="56"/>
        <v>4.9976525366237659E-2</v>
      </c>
      <c r="DC26" s="11">
        <f t="shared" si="57"/>
        <v>2.2181032738566615E-4</v>
      </c>
      <c r="DD26" s="11">
        <f t="shared" si="58"/>
        <v>4.0105272937402707E-3</v>
      </c>
      <c r="DE26" s="11">
        <f t="shared" si="59"/>
        <v>3.8354301387640261E-2</v>
      </c>
      <c r="DF26" s="11">
        <f t="shared" si="60"/>
        <v>4.5631960312371898E-2</v>
      </c>
      <c r="DG26" s="11">
        <f t="shared" si="61"/>
        <v>1.3634352183286846E-3</v>
      </c>
      <c r="DH26" s="11">
        <f t="shared" si="62"/>
        <v>1.2932264087252903E-3</v>
      </c>
      <c r="DI26" s="11">
        <f t="shared" si="63"/>
        <v>2.1149056262314307E-3</v>
      </c>
      <c r="DJ26" s="11">
        <f t="shared" si="10"/>
        <v>1.1201975189666152E-2</v>
      </c>
    </row>
    <row r="27" spans="1:114" x14ac:dyDescent="0.25">
      <c r="A27" s="1" t="s">
        <v>23</v>
      </c>
      <c r="B27" s="9">
        <v>2074014027.0420001</v>
      </c>
      <c r="C27" s="9">
        <v>9055014.5435197093</v>
      </c>
      <c r="D27" s="9">
        <v>353634078.73184901</v>
      </c>
      <c r="E27" s="9">
        <v>10658711.3520422</v>
      </c>
      <c r="F27" s="9">
        <v>3958608.8359083501</v>
      </c>
      <c r="G27" s="9">
        <v>1184593363.1713901</v>
      </c>
      <c r="H27" s="9">
        <v>568164214.37063098</v>
      </c>
      <c r="I27" s="9">
        <v>6395888.3187517002</v>
      </c>
      <c r="J27" s="9">
        <v>5434230.3355393102</v>
      </c>
      <c r="K27" s="9">
        <v>5537458.2213909198</v>
      </c>
      <c r="L27" s="9">
        <v>253300.886685095</v>
      </c>
      <c r="M27" s="9">
        <v>912793737.72103798</v>
      </c>
      <c r="N27" s="9">
        <v>180746160.380263</v>
      </c>
      <c r="O27" s="9">
        <v>2411773.4502030499</v>
      </c>
      <c r="P27" s="9">
        <v>7374027602.7452402</v>
      </c>
      <c r="Q27" s="9">
        <v>18996100.098879401</v>
      </c>
      <c r="R27" s="9">
        <v>53834718.039660297</v>
      </c>
      <c r="S27" s="28">
        <v>15942758406.093</v>
      </c>
      <c r="T27" s="9">
        <v>13160417197.0791</v>
      </c>
      <c r="U27" s="9">
        <v>759633803.027578</v>
      </c>
      <c r="V27" s="9">
        <v>25407872.9686841</v>
      </c>
      <c r="W27" s="9">
        <v>1286384136.2848201</v>
      </c>
      <c r="X27" s="9">
        <v>1132146372.76037</v>
      </c>
      <c r="Y27" s="9">
        <v>1109514911.3510699</v>
      </c>
      <c r="Z27" s="9">
        <v>17232121.321416099</v>
      </c>
      <c r="AA27" s="9">
        <v>283081483.16750401</v>
      </c>
      <c r="AB27" s="9">
        <v>54483018.683074303</v>
      </c>
      <c r="AC27" s="9">
        <v>295680.457093417</v>
      </c>
      <c r="AD27" s="9">
        <v>186073244.058599</v>
      </c>
      <c r="AE27" s="9">
        <v>5013831.5838367902</v>
      </c>
      <c r="AF27" s="9">
        <v>568164214.37063098</v>
      </c>
      <c r="AG27" s="9">
        <v>472133594.27271301</v>
      </c>
      <c r="AH27" s="9">
        <v>307429841.44643301</v>
      </c>
      <c r="AI27" s="9">
        <v>17295972.730186701</v>
      </c>
      <c r="AJ27" s="9">
        <v>3130389963.0359802</v>
      </c>
      <c r="AK27" s="9">
        <v>10334032.960371301</v>
      </c>
      <c r="AL27" s="9">
        <v>4319125762.8617897</v>
      </c>
      <c r="AM27" s="9">
        <v>89902690.052429095</v>
      </c>
      <c r="AN27" s="9">
        <v>7853177.6252811998</v>
      </c>
      <c r="AO27" s="9">
        <v>4179328.6342361602</v>
      </c>
      <c r="AP27" s="9">
        <v>985550689.50808203</v>
      </c>
      <c r="AQ27" s="9">
        <v>53651128.036628202</v>
      </c>
      <c r="AR27" s="9">
        <v>651350262.88454401</v>
      </c>
      <c r="AS27" s="9">
        <v>1759930843.49859</v>
      </c>
      <c r="AT27" s="9">
        <v>2385994078.10079</v>
      </c>
      <c r="AU27" s="9">
        <v>16008757.932749299</v>
      </c>
      <c r="AV27" s="9">
        <v>3933381294.1037202</v>
      </c>
      <c r="AW27" s="9">
        <v>19718548.184665099</v>
      </c>
      <c r="AX27" s="9">
        <v>298272452.35667402</v>
      </c>
      <c r="AY27" s="9">
        <v>3142380745.0114799</v>
      </c>
      <c r="AZ27" s="9">
        <v>3609884905.1025901</v>
      </c>
      <c r="BA27" s="9">
        <v>102145025.80343799</v>
      </c>
      <c r="BB27" s="9">
        <v>97897310.360744894</v>
      </c>
      <c r="BC27" s="9">
        <v>180746160.380263</v>
      </c>
      <c r="BD27" s="9">
        <v>608409660.00595796</v>
      </c>
      <c r="BE27" s="10">
        <f t="shared" si="2"/>
        <v>73499081506.342102</v>
      </c>
      <c r="BH27" s="11">
        <f>B27/$BE27</f>
        <v>2.8218230548405387E-2</v>
      </c>
      <c r="BI27" s="11">
        <f t="shared" si="11"/>
        <v>1.2319901634061058E-4</v>
      </c>
      <c r="BJ27" s="11">
        <f t="shared" si="12"/>
        <v>4.8114081357783301E-3</v>
      </c>
      <c r="BK27" s="11">
        <f t="shared" si="13"/>
        <v>1.4501829320305831E-4</v>
      </c>
      <c r="BL27" s="11">
        <f t="shared" si="14"/>
        <v>5.385929667116682E-5</v>
      </c>
      <c r="BM27" s="11">
        <f t="shared" si="15"/>
        <v>1.6117117913496289E-2</v>
      </c>
      <c r="BN27" s="11">
        <f t="shared" si="16"/>
        <v>7.7302219664011056E-3</v>
      </c>
      <c r="BO27" s="11">
        <f t="shared" si="17"/>
        <v>8.7019976136706013E-5</v>
      </c>
      <c r="BP27" s="11">
        <f t="shared" si="18"/>
        <v>7.3936030548496043E-5</v>
      </c>
      <c r="BQ27" s="11">
        <f t="shared" si="19"/>
        <v>7.5340509131574689E-5</v>
      </c>
      <c r="BR27" s="11">
        <f t="shared" si="20"/>
        <v>3.4463136340450474E-6</v>
      </c>
      <c r="BS27" s="11">
        <f t="shared" si="21"/>
        <v>1.241911761362997E-2</v>
      </c>
      <c r="BT27" s="11">
        <f t="shared" si="22"/>
        <v>2.4591621646954426E-3</v>
      </c>
      <c r="BU27" s="11">
        <f t="shared" si="23"/>
        <v>3.2813654276685651E-5</v>
      </c>
      <c r="BV27" s="11">
        <f t="shared" si="24"/>
        <v>0.10032815991188881</v>
      </c>
      <c r="BW27" s="11">
        <f t="shared" si="25"/>
        <v>2.5845357124959804E-4</v>
      </c>
      <c r="BX27" s="11">
        <f t="shared" si="26"/>
        <v>7.3245429652090278E-4</v>
      </c>
      <c r="BY27" s="11">
        <f t="shared" si="27"/>
        <v>0.21691098826476257</v>
      </c>
      <c r="BZ27" s="11">
        <f t="shared" si="28"/>
        <v>0.1790555327680321</v>
      </c>
      <c r="CA27" s="11">
        <f t="shared" si="29"/>
        <v>1.0335282937679031E-2</v>
      </c>
      <c r="CB27" s="11">
        <f t="shared" si="30"/>
        <v>3.4568966642789544E-4</v>
      </c>
      <c r="CC27" s="11">
        <f t="shared" si="31"/>
        <v>1.7502043697972203E-2</v>
      </c>
      <c r="CD27" s="11">
        <f t="shared" si="32"/>
        <v>1.5403544500929296E-2</v>
      </c>
      <c r="CE27" s="11">
        <f t="shared" si="33"/>
        <v>1.5095629613484788E-2</v>
      </c>
      <c r="CF27" s="11">
        <f t="shared" si="34"/>
        <v>2.344535600751578E-4</v>
      </c>
      <c r="CG27" s="11">
        <f t="shared" si="35"/>
        <v>3.8514968808566327E-3</v>
      </c>
      <c r="CH27" s="11">
        <f t="shared" si="36"/>
        <v>7.4127482366392655E-4</v>
      </c>
      <c r="CI27" s="11">
        <f t="shared" si="37"/>
        <v>4.0229136342051194E-6</v>
      </c>
      <c r="CJ27" s="11">
        <f t="shared" si="38"/>
        <v>2.5316403993775496E-3</v>
      </c>
      <c r="CK27" s="11">
        <f t="shared" si="39"/>
        <v>6.8216248163647535E-5</v>
      </c>
      <c r="CL27" s="11">
        <f t="shared" si="40"/>
        <v>7.7302219664011056E-3</v>
      </c>
      <c r="CM27" s="11">
        <f t="shared" si="41"/>
        <v>6.4236665900644415E-3</v>
      </c>
      <c r="CN27" s="11">
        <f t="shared" si="42"/>
        <v>4.1827712012959704E-3</v>
      </c>
      <c r="CO27" s="11">
        <f t="shared" si="43"/>
        <v>2.3532229758128694E-4</v>
      </c>
      <c r="CP27" s="11">
        <f t="shared" si="44"/>
        <v>4.2590871870499016E-2</v>
      </c>
      <c r="CQ27" s="11">
        <f t="shared" si="45"/>
        <v>1.4060084491640342E-4</v>
      </c>
      <c r="CR27" s="11">
        <f t="shared" si="46"/>
        <v>5.8764350170676626E-2</v>
      </c>
      <c r="CS27" s="11">
        <f t="shared" si="47"/>
        <v>1.2231811365516392E-3</v>
      </c>
      <c r="CT27" s="11">
        <f t="shared" si="48"/>
        <v>1.0684728930392911E-4</v>
      </c>
      <c r="CU27" s="11">
        <f t="shared" si="49"/>
        <v>5.6862324651982671E-5</v>
      </c>
      <c r="CV27" s="11">
        <f t="shared" si="50"/>
        <v>1.3409020484467423E-2</v>
      </c>
      <c r="CW27" s="11">
        <f t="shared" si="51"/>
        <v>7.2995644213592989E-4</v>
      </c>
      <c r="CX27" s="11">
        <f t="shared" si="52"/>
        <v>8.8620190828961609E-3</v>
      </c>
      <c r="CY27" s="11">
        <f t="shared" si="53"/>
        <v>2.394493655470686E-2</v>
      </c>
      <c r="CZ27" s="11">
        <f t="shared" si="54"/>
        <v>3.2462910137113846E-2</v>
      </c>
      <c r="DA27" s="11">
        <f t="shared" si="55"/>
        <v>2.1780895222980347E-4</v>
      </c>
      <c r="DB27" s="11">
        <f t="shared" si="56"/>
        <v>5.3516060520624548E-2</v>
      </c>
      <c r="DC27" s="11">
        <f t="shared" si="57"/>
        <v>2.6828291973912113E-4</v>
      </c>
      <c r="DD27" s="11">
        <f t="shared" si="58"/>
        <v>4.0581793165801209E-3</v>
      </c>
      <c r="DE27" s="11">
        <f t="shared" si="59"/>
        <v>4.2754013800027274E-2</v>
      </c>
      <c r="DF27" s="11">
        <f t="shared" si="60"/>
        <v>4.9114694103913392E-2</v>
      </c>
      <c r="DG27" s="11">
        <f t="shared" si="61"/>
        <v>1.3897456091968182E-3</v>
      </c>
      <c r="DH27" s="11">
        <f t="shared" si="62"/>
        <v>1.331952840149404E-3</v>
      </c>
      <c r="DI27" s="11">
        <f t="shared" si="63"/>
        <v>2.4591621646954426E-3</v>
      </c>
      <c r="DJ27" s="11">
        <f>BD27/$BE27</f>
        <v>8.2777858925143083E-3</v>
      </c>
    </row>
    <row r="28" spans="1:114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114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114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114" x14ac:dyDescent="0.25">
      <c r="A31" s="1" t="s">
        <v>24</v>
      </c>
      <c r="B31" s="2">
        <v>6759324667.3224096</v>
      </c>
      <c r="C31" s="2">
        <v>56130658.873503499</v>
      </c>
      <c r="D31" s="2">
        <v>362444240.632505</v>
      </c>
      <c r="E31" s="2">
        <v>25262038.977444101</v>
      </c>
      <c r="F31" s="2">
        <v>4936980.6539705005</v>
      </c>
      <c r="G31" s="2">
        <v>781870545.55527401</v>
      </c>
      <c r="H31" s="2">
        <v>1511207082.9843299</v>
      </c>
      <c r="I31" s="2">
        <v>8180117.5175445396</v>
      </c>
      <c r="J31" s="2">
        <v>4751760.5077181999</v>
      </c>
      <c r="K31" s="2">
        <v>5094074.2144673299</v>
      </c>
      <c r="L31" s="2">
        <v>178138.25427014401</v>
      </c>
      <c r="M31" s="2">
        <v>713393191.39069903</v>
      </c>
      <c r="N31" s="2">
        <v>57274247.357012503</v>
      </c>
      <c r="O31" s="2">
        <v>3225057.5359013099</v>
      </c>
      <c r="P31" s="2">
        <v>5977818554.8999596</v>
      </c>
      <c r="Q31" s="2">
        <v>19057154.3976487</v>
      </c>
      <c r="R31" s="2">
        <v>52211920.027846701</v>
      </c>
      <c r="S31" s="2">
        <v>15177576015.7234</v>
      </c>
      <c r="T31" s="2">
        <v>11634644460.4016</v>
      </c>
      <c r="U31" s="2">
        <v>682316182.79581106</v>
      </c>
      <c r="V31" s="2">
        <v>24389751.404862199</v>
      </c>
      <c r="W31" s="2">
        <v>1026814640.3133301</v>
      </c>
      <c r="X31" s="2">
        <v>956547341.30113697</v>
      </c>
      <c r="Y31" s="2">
        <v>1036383217.5957201</v>
      </c>
      <c r="Z31" s="2">
        <v>17202224.378706101</v>
      </c>
      <c r="AA31" s="2">
        <v>412830787.59554899</v>
      </c>
      <c r="AB31" s="2">
        <v>38156673.2458001</v>
      </c>
      <c r="AC31" s="2">
        <v>207986.93392540899</v>
      </c>
      <c r="AD31" s="2">
        <v>151604502.40816101</v>
      </c>
      <c r="AE31" s="2">
        <v>13376127.234564601</v>
      </c>
      <c r="AF31" s="2">
        <v>1511207082.9843299</v>
      </c>
      <c r="AG31" s="2">
        <v>443725332.92765898</v>
      </c>
      <c r="AH31" s="2">
        <v>407845681.882379</v>
      </c>
      <c r="AI31" s="2">
        <v>28229309.785617501</v>
      </c>
      <c r="AJ31" s="2">
        <v>2747146966.0465202</v>
      </c>
      <c r="AK31" s="2">
        <v>10751307.1177497</v>
      </c>
      <c r="AL31" s="2">
        <v>3921618163.8159499</v>
      </c>
      <c r="AM31" s="2">
        <v>78981977.841795504</v>
      </c>
      <c r="AN31" s="2">
        <v>7404358.7691817796</v>
      </c>
      <c r="AO31" s="2">
        <v>11024218.7749459</v>
      </c>
      <c r="AP31" s="2">
        <v>803760964.45718002</v>
      </c>
      <c r="AQ31" s="2">
        <v>44845084.551631503</v>
      </c>
      <c r="AR31" s="2">
        <v>578053028.11143303</v>
      </c>
      <c r="AS31" s="2">
        <v>1643163588.2659199</v>
      </c>
      <c r="AT31" s="2">
        <v>2009364471.18027</v>
      </c>
      <c r="AU31" s="2">
        <v>16588718.8121388</v>
      </c>
      <c r="AV31" s="2">
        <v>2943963067.9930201</v>
      </c>
      <c r="AW31" s="2">
        <v>14825245.749075901</v>
      </c>
      <c r="AX31" s="2">
        <v>264128716.134435</v>
      </c>
      <c r="AY31" s="2">
        <v>2357373271.5336099</v>
      </c>
      <c r="AZ31" s="2">
        <v>2865352015.8583999</v>
      </c>
      <c r="BA31" s="2">
        <v>82267528.753835797</v>
      </c>
      <c r="BB31" s="2">
        <v>96811832.615319297</v>
      </c>
      <c r="BC31" s="2">
        <v>57274247.357012503</v>
      </c>
      <c r="BD31" s="2"/>
    </row>
    <row r="32" spans="1:114" x14ac:dyDescent="0.25">
      <c r="A32" s="1" t="s">
        <v>25</v>
      </c>
      <c r="B32" s="2">
        <v>6780323483.5586395</v>
      </c>
      <c r="C32" s="2">
        <v>55316997.3499856</v>
      </c>
      <c r="D32" s="2">
        <v>344487931.46578801</v>
      </c>
      <c r="E32" s="2">
        <v>23230836.210732002</v>
      </c>
      <c r="F32" s="2">
        <v>5557849.0597022204</v>
      </c>
      <c r="G32" s="2">
        <v>791902793.426826</v>
      </c>
      <c r="H32" s="2">
        <v>1533358351.69997</v>
      </c>
      <c r="I32" s="2">
        <v>8906182.3847461697</v>
      </c>
      <c r="J32" s="2">
        <v>5106705.0642964002</v>
      </c>
      <c r="K32" s="2">
        <v>4986335.2666968498</v>
      </c>
      <c r="L32" s="2">
        <v>147530.62868357799</v>
      </c>
      <c r="M32" s="2">
        <v>723257390.59965801</v>
      </c>
      <c r="N32" s="2">
        <v>63286850.831646398</v>
      </c>
      <c r="O32" s="2">
        <v>3375290.30685351</v>
      </c>
      <c r="P32" s="2">
        <v>5970042583.1844301</v>
      </c>
      <c r="Q32" s="2">
        <v>17523406.862267699</v>
      </c>
      <c r="R32" s="2">
        <v>53283835.641274601</v>
      </c>
      <c r="S32" s="2">
        <v>15292132607.413799</v>
      </c>
      <c r="T32" s="2">
        <v>11520742077.458599</v>
      </c>
      <c r="U32" s="2">
        <v>696535794.33527005</v>
      </c>
      <c r="V32" s="2">
        <v>24546494.131423101</v>
      </c>
      <c r="W32" s="2">
        <v>1116430082.18927</v>
      </c>
      <c r="X32" s="2">
        <v>1031246037.04158</v>
      </c>
      <c r="Y32" s="2">
        <v>1073447525.48597</v>
      </c>
      <c r="Z32" s="2">
        <v>16993631.148560598</v>
      </c>
      <c r="AA32" s="2">
        <v>426778608.29687202</v>
      </c>
      <c r="AB32" s="2">
        <v>38420405.838783003</v>
      </c>
      <c r="AC32" s="2">
        <v>166709.05638914101</v>
      </c>
      <c r="AD32" s="2">
        <v>148083044.98237199</v>
      </c>
      <c r="AE32" s="2">
        <v>13568564.639151201</v>
      </c>
      <c r="AF32" s="2">
        <v>1533358351.69997</v>
      </c>
      <c r="AG32" s="2">
        <v>401792595.36658299</v>
      </c>
      <c r="AH32" s="2">
        <v>441259261.15770799</v>
      </c>
      <c r="AI32" s="2">
        <v>29221675.495492298</v>
      </c>
      <c r="AJ32" s="2">
        <v>2783998737.9608698</v>
      </c>
      <c r="AK32" s="2">
        <v>9319633.73654861</v>
      </c>
      <c r="AL32" s="2">
        <v>3986300088.4888902</v>
      </c>
      <c r="AM32" s="2">
        <v>80986615.636217207</v>
      </c>
      <c r="AN32" s="2">
        <v>6858132.96998051</v>
      </c>
      <c r="AO32" s="2">
        <v>10843375.193120001</v>
      </c>
      <c r="AP32" s="2">
        <v>814977857.00478804</v>
      </c>
      <c r="AQ32" s="2">
        <v>45159928.912034698</v>
      </c>
      <c r="AR32" s="2">
        <v>571353757.69270504</v>
      </c>
      <c r="AS32" s="2">
        <v>1500304490.82936</v>
      </c>
      <c r="AT32" s="2">
        <v>2051924609.9173801</v>
      </c>
      <c r="AU32" s="2">
        <v>14903796.494857401</v>
      </c>
      <c r="AV32" s="2">
        <v>2952446245.5262899</v>
      </c>
      <c r="AW32" s="2">
        <v>15339940.764884699</v>
      </c>
      <c r="AX32" s="2">
        <v>243676713.636852</v>
      </c>
      <c r="AY32" s="2">
        <v>2365001029.0602498</v>
      </c>
      <c r="AZ32" s="2">
        <v>3032153279.7100301</v>
      </c>
      <c r="BA32" s="2">
        <v>84637232.566113099</v>
      </c>
      <c r="BB32" s="2">
        <v>100196169.347785</v>
      </c>
      <c r="BC32" s="2">
        <v>63286850.831646398</v>
      </c>
      <c r="BD32" s="2"/>
    </row>
    <row r="33" spans="1:56" x14ac:dyDescent="0.25">
      <c r="A33" s="1" t="s">
        <v>26</v>
      </c>
      <c r="B33" s="2">
        <v>6784290447.9284801</v>
      </c>
      <c r="C33" s="2">
        <v>52896219.240954898</v>
      </c>
      <c r="D33" s="2">
        <v>340106061.08066201</v>
      </c>
      <c r="E33" s="2">
        <v>24537354.755895801</v>
      </c>
      <c r="F33" s="2">
        <v>5852798.6733718803</v>
      </c>
      <c r="G33" s="2">
        <v>785137759.41759002</v>
      </c>
      <c r="H33" s="2">
        <v>1577530397.9642</v>
      </c>
      <c r="I33" s="2">
        <v>8382347.8321830099</v>
      </c>
      <c r="J33" s="2">
        <v>5211336.35576999</v>
      </c>
      <c r="K33" s="2">
        <v>5175378.6083030896</v>
      </c>
      <c r="L33" s="2">
        <v>210974.271743675</v>
      </c>
      <c r="M33" s="2">
        <v>787428753.61471701</v>
      </c>
      <c r="N33" s="2">
        <v>56714995.961655602</v>
      </c>
      <c r="O33" s="2">
        <v>3549094.1835749098</v>
      </c>
      <c r="P33" s="2">
        <v>5803388488.6242704</v>
      </c>
      <c r="Q33" s="2">
        <v>16972122.383481499</v>
      </c>
      <c r="R33" s="2">
        <v>58933255.596549697</v>
      </c>
      <c r="S33" s="2">
        <v>15219622475.6192</v>
      </c>
      <c r="T33" s="2">
        <v>11707738711.305201</v>
      </c>
      <c r="U33" s="2">
        <v>682105202.96547902</v>
      </c>
      <c r="V33" s="2">
        <v>23495223.921275102</v>
      </c>
      <c r="W33" s="2">
        <v>1051817077.38095</v>
      </c>
      <c r="X33" s="2">
        <v>979506370.96490395</v>
      </c>
      <c r="Y33" s="2">
        <v>1068007495.5458699</v>
      </c>
      <c r="Z33" s="2">
        <v>18769377.664217498</v>
      </c>
      <c r="AA33" s="2">
        <v>432574052.68811399</v>
      </c>
      <c r="AB33" s="2">
        <v>32622131.774312299</v>
      </c>
      <c r="AC33" s="2">
        <v>180350.58371484399</v>
      </c>
      <c r="AD33" s="2">
        <v>146732701.45592701</v>
      </c>
      <c r="AE33" s="2">
        <v>13095237.9754615</v>
      </c>
      <c r="AF33" s="2">
        <v>1577530397.9642</v>
      </c>
      <c r="AG33" s="2">
        <v>407320647.85364801</v>
      </c>
      <c r="AH33" s="2">
        <v>439251391.59187102</v>
      </c>
      <c r="AI33" s="2">
        <v>25123600.306299701</v>
      </c>
      <c r="AJ33" s="2">
        <v>2786048834.0085201</v>
      </c>
      <c r="AK33" s="2">
        <v>10227147.953701001</v>
      </c>
      <c r="AL33" s="2">
        <v>3929654291.2402902</v>
      </c>
      <c r="AM33" s="2">
        <v>80901213.223291203</v>
      </c>
      <c r="AN33" s="2">
        <v>7339965.6714084204</v>
      </c>
      <c r="AO33" s="2">
        <v>10481361.403173201</v>
      </c>
      <c r="AP33" s="2">
        <v>764389291.09948802</v>
      </c>
      <c r="AQ33" s="2">
        <v>42149246.911770202</v>
      </c>
      <c r="AR33" s="2">
        <v>568091549.91445398</v>
      </c>
      <c r="AS33" s="2">
        <v>1578588534.22592</v>
      </c>
      <c r="AT33" s="2">
        <v>2206153241.3565402</v>
      </c>
      <c r="AU33" s="2">
        <v>16082954.8241606</v>
      </c>
      <c r="AV33" s="2">
        <v>3216031175.3354802</v>
      </c>
      <c r="AW33" s="2">
        <v>15226581.285614001</v>
      </c>
      <c r="AX33" s="2">
        <v>259044670.48028901</v>
      </c>
      <c r="AY33" s="2">
        <v>2574308193.2643499</v>
      </c>
      <c r="AZ33" s="2">
        <v>2905156972.1666999</v>
      </c>
      <c r="BA33" s="2">
        <v>83613001.393334001</v>
      </c>
      <c r="BB33" s="2">
        <v>94003045.123552501</v>
      </c>
      <c r="BC33" s="2">
        <v>56714995.961655602</v>
      </c>
      <c r="BD33" s="2"/>
    </row>
    <row r="34" spans="1:56" x14ac:dyDescent="0.25">
      <c r="A34" s="1" t="s">
        <v>27</v>
      </c>
      <c r="B34" s="2">
        <v>6904078463.8381395</v>
      </c>
      <c r="C34" s="2">
        <v>56134918.436884202</v>
      </c>
      <c r="D34" s="2">
        <v>343117550.089028</v>
      </c>
      <c r="E34" s="2">
        <v>24769902.0099224</v>
      </c>
      <c r="F34" s="2">
        <v>5269654.0974815702</v>
      </c>
      <c r="G34" s="2">
        <v>805073336.64311504</v>
      </c>
      <c r="H34" s="2">
        <v>1527729315.35606</v>
      </c>
      <c r="I34" s="2">
        <v>9577775.3937175106</v>
      </c>
      <c r="J34" s="2">
        <v>5339724.8307078397</v>
      </c>
      <c r="K34" s="2">
        <v>4520579.6593216397</v>
      </c>
      <c r="L34" s="2">
        <v>265131.57823084999</v>
      </c>
      <c r="M34" s="2">
        <v>743681104.98921394</v>
      </c>
      <c r="N34" s="2">
        <v>65039526.319310397</v>
      </c>
      <c r="O34" s="2">
        <v>3034054.53517969</v>
      </c>
      <c r="P34" s="2">
        <v>6071649574.0795698</v>
      </c>
      <c r="Q34" s="2">
        <v>20533271.465791401</v>
      </c>
      <c r="R34" s="2">
        <v>49274666.315329701</v>
      </c>
      <c r="S34" s="2">
        <v>14636305028.772699</v>
      </c>
      <c r="T34" s="2">
        <v>11530264835.7988</v>
      </c>
      <c r="U34" s="2">
        <v>687858387.64262795</v>
      </c>
      <c r="V34" s="2">
        <v>24057454.236108799</v>
      </c>
      <c r="W34" s="2">
        <v>1033429270.17372</v>
      </c>
      <c r="X34" s="2">
        <v>1045231061.08433</v>
      </c>
      <c r="Y34" s="2">
        <v>1016058551.72859</v>
      </c>
      <c r="Z34" s="2">
        <v>17291355.565584999</v>
      </c>
      <c r="AA34" s="2">
        <v>434313833.99133301</v>
      </c>
      <c r="AB34" s="2">
        <v>37675243.384409197</v>
      </c>
      <c r="AC34" s="2">
        <v>288109.38518419699</v>
      </c>
      <c r="AD34" s="2">
        <v>152070377.45196199</v>
      </c>
      <c r="AE34" s="2">
        <v>12645651.1629616</v>
      </c>
      <c r="AF34" s="2">
        <v>1527729315.35606</v>
      </c>
      <c r="AG34" s="2">
        <v>447189465.19382203</v>
      </c>
      <c r="AH34" s="2">
        <v>447548712.87518197</v>
      </c>
      <c r="AI34" s="2">
        <v>27673082.028185502</v>
      </c>
      <c r="AJ34" s="2">
        <v>2877925176.4891901</v>
      </c>
      <c r="AK34" s="2">
        <v>11482036.099821899</v>
      </c>
      <c r="AL34" s="2">
        <v>3964410313.47685</v>
      </c>
      <c r="AM34" s="2">
        <v>81514466.575836301</v>
      </c>
      <c r="AN34" s="2">
        <v>7409423.4325352702</v>
      </c>
      <c r="AO34" s="2">
        <v>10288687.7647241</v>
      </c>
      <c r="AP34" s="2">
        <v>770488129.00273204</v>
      </c>
      <c r="AQ34" s="2">
        <v>43148130.979727201</v>
      </c>
      <c r="AR34" s="2">
        <v>545803928.90843296</v>
      </c>
      <c r="AS34" s="2">
        <v>1587885677.2492299</v>
      </c>
      <c r="AT34" s="2">
        <v>1889536623.0775101</v>
      </c>
      <c r="AU34" s="2">
        <v>17117531.4126391</v>
      </c>
      <c r="AV34" s="2">
        <v>3182573438.2442799</v>
      </c>
      <c r="AW34" s="2">
        <v>15968126.749589</v>
      </c>
      <c r="AX34" s="2">
        <v>276527617.48322201</v>
      </c>
      <c r="AY34" s="2">
        <v>2578811203.8129601</v>
      </c>
      <c r="AZ34" s="2">
        <v>3019516671.8309698</v>
      </c>
      <c r="BA34" s="2">
        <v>85975709.631739303</v>
      </c>
      <c r="BB34" s="2">
        <v>95776551.316800505</v>
      </c>
      <c r="BC34" s="2">
        <v>65039526.319310397</v>
      </c>
      <c r="BD34" s="2"/>
    </row>
    <row r="36" spans="1:56" x14ac:dyDescent="0.25">
      <c r="A36" s="3" t="s">
        <v>218</v>
      </c>
      <c r="B36" s="7">
        <f>100*STDEV(B31:B34)/AVERAGE(B31:B34)</f>
        <v>0.96425224149249078</v>
      </c>
      <c r="C36" s="7">
        <f t="shared" ref="C36:BC36" si="64">100*STDEV(C31:C34)/AVERAGE(C31:C34)</f>
        <v>2.7783055084267119</v>
      </c>
      <c r="D36" s="7">
        <f t="shared" si="64"/>
        <v>2.9073027700782554</v>
      </c>
      <c r="E36" s="7">
        <f t="shared" si="64"/>
        <v>3.5465332708113713</v>
      </c>
      <c r="F36" s="7">
        <f t="shared" si="64"/>
        <v>7.2554478582607747</v>
      </c>
      <c r="G36" s="7">
        <f t="shared" si="64"/>
        <v>1.2987072894744032</v>
      </c>
      <c r="H36" s="7">
        <f t="shared" si="64"/>
        <v>1.8421164814799749</v>
      </c>
      <c r="I36" s="7">
        <f t="shared" si="64"/>
        <v>7.1246412026996486</v>
      </c>
      <c r="J36" s="7">
        <f t="shared" si="64"/>
        <v>4.9472208075694803</v>
      </c>
      <c r="K36" s="7">
        <f t="shared" si="64"/>
        <v>5.9215272577858196</v>
      </c>
      <c r="L36" s="7">
        <f t="shared" si="64"/>
        <v>25.098413975949864</v>
      </c>
      <c r="M36" s="7">
        <f t="shared" si="64"/>
        <v>4.4267951861747568</v>
      </c>
      <c r="N36" s="7">
        <f t="shared" si="64"/>
        <v>6.9436231788688998</v>
      </c>
      <c r="O36" s="7">
        <f t="shared" si="64"/>
        <v>6.6471833259889115</v>
      </c>
      <c r="P36" s="7">
        <f t="shared" si="64"/>
        <v>1.8731842481184207</v>
      </c>
      <c r="Q36" s="7">
        <f t="shared" si="64"/>
        <v>8.6671999532513322</v>
      </c>
      <c r="R36" s="7">
        <f t="shared" si="64"/>
        <v>7.5690378708661523</v>
      </c>
      <c r="S36" s="7">
        <f>100*STDEV(S31:S34)/AVERAGE(S31:S34)</f>
        <v>1.9924175001352937</v>
      </c>
      <c r="T36" s="7">
        <f t="shared" si="64"/>
        <v>0.7702314833678725</v>
      </c>
      <c r="U36" s="7">
        <f t="shared" si="64"/>
        <v>0.98479469691841148</v>
      </c>
      <c r="V36" s="7">
        <f t="shared" si="64"/>
        <v>1.9280171022812602</v>
      </c>
      <c r="W36" s="7">
        <f t="shared" si="64"/>
        <v>3.8717061515201467</v>
      </c>
      <c r="X36" s="7">
        <f t="shared" si="64"/>
        <v>4.1865003165643495</v>
      </c>
      <c r="Y36" s="7">
        <f t="shared" si="64"/>
        <v>2.5840939639804024</v>
      </c>
      <c r="Z36" s="7">
        <f t="shared" si="64"/>
        <v>4.6294072782607483</v>
      </c>
      <c r="AA36" s="7">
        <f t="shared" si="64"/>
        <v>2.2838831732263443</v>
      </c>
      <c r="AB36" s="7">
        <f t="shared" si="64"/>
        <v>7.4849178784466126</v>
      </c>
      <c r="AC36" s="7">
        <f t="shared" si="64"/>
        <v>25.775443016426383</v>
      </c>
      <c r="AD36" s="7">
        <f t="shared" si="64"/>
        <v>1.7531152996998769</v>
      </c>
      <c r="AE36" s="7">
        <f t="shared" si="64"/>
        <v>3.0427796284469473</v>
      </c>
      <c r="AF36" s="7">
        <f t="shared" si="64"/>
        <v>1.8421164814799749</v>
      </c>
      <c r="AG36" s="7">
        <f t="shared" si="64"/>
        <v>5.5913881648155161</v>
      </c>
      <c r="AH36" s="7">
        <f t="shared" si="64"/>
        <v>4.0959235687362447</v>
      </c>
      <c r="AI36" s="7">
        <f t="shared" si="64"/>
        <v>6.3391242180614285</v>
      </c>
      <c r="AJ36" s="7">
        <f t="shared" si="64"/>
        <v>1.9904765464367769</v>
      </c>
      <c r="AK36" s="7">
        <f t="shared" si="64"/>
        <v>8.7103065276378651</v>
      </c>
      <c r="AL36" s="7">
        <f t="shared" si="64"/>
        <v>0.76553972623543198</v>
      </c>
      <c r="AM36" s="7">
        <f t="shared" si="64"/>
        <v>1.3768814101308993</v>
      </c>
      <c r="AN36" s="7">
        <f t="shared" si="64"/>
        <v>3.65528602343492</v>
      </c>
      <c r="AO36" s="7">
        <f t="shared" si="64"/>
        <v>3.1399140472192815</v>
      </c>
      <c r="AP36" s="7">
        <f t="shared" si="64"/>
        <v>3.1409639485251213</v>
      </c>
      <c r="AQ36" s="7">
        <f t="shared" si="64"/>
        <v>3.250732031026867</v>
      </c>
      <c r="AR36" s="7">
        <f t="shared" si="64"/>
        <v>2.4702017720012974</v>
      </c>
      <c r="AS36" s="7">
        <f t="shared" si="64"/>
        <v>3.7288126030718267</v>
      </c>
      <c r="AT36" s="7">
        <f t="shared" si="64"/>
        <v>6.4140555195029867</v>
      </c>
      <c r="AU36" s="7">
        <f t="shared" si="64"/>
        <v>5.8482919089905057</v>
      </c>
      <c r="AV36" s="7">
        <f t="shared" si="64"/>
        <v>4.7386534414689967</v>
      </c>
      <c r="AW36" s="7">
        <f t="shared" si="64"/>
        <v>3.0861840062377075</v>
      </c>
      <c r="AX36" s="7">
        <f t="shared" si="64"/>
        <v>5.2130770126562895</v>
      </c>
      <c r="AY36" s="7">
        <f t="shared" si="64"/>
        <v>5.0386531868115672</v>
      </c>
      <c r="AZ36" s="7">
        <f t="shared" si="64"/>
        <v>2.8061013100907464</v>
      </c>
      <c r="BA36" s="7">
        <f t="shared" si="64"/>
        <v>1.8669551112913318</v>
      </c>
      <c r="BB36" s="7">
        <f t="shared" si="64"/>
        <v>2.6942441378216975</v>
      </c>
      <c r="BC36" s="7">
        <f t="shared" si="64"/>
        <v>6.9436231788688998</v>
      </c>
      <c r="BD36" s="7"/>
    </row>
    <row r="40" spans="1:56" x14ac:dyDescent="0.25">
      <c r="A40" s="8" t="s">
        <v>81</v>
      </c>
    </row>
  </sheetData>
  <mergeCells count="2">
    <mergeCell ref="B1:BA1"/>
    <mergeCell ref="BH1:DG1"/>
  </mergeCells>
  <conditionalFormatting sqref="B36:BC3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9"/>
  <sheetViews>
    <sheetView topLeftCell="A87" zoomScaleNormal="100" workbookViewId="0">
      <selection activeCell="E131" sqref="E131"/>
    </sheetView>
  </sheetViews>
  <sheetFormatPr defaultRowHeight="12" x14ac:dyDescent="0.25"/>
  <cols>
    <col min="1" max="1" width="9.140625" style="46"/>
    <col min="2" max="2" width="11.28515625" style="46" bestFit="1" customWidth="1"/>
    <col min="3" max="3" width="14.85546875" style="46" customWidth="1"/>
    <col min="4" max="4" width="10" style="46" customWidth="1"/>
    <col min="5" max="5" width="11.140625" style="46" customWidth="1"/>
    <col min="6" max="6" width="11.42578125" style="46" customWidth="1"/>
    <col min="7" max="7" width="10.7109375" style="46" customWidth="1"/>
    <col min="8" max="8" width="10.28515625" style="46" customWidth="1"/>
    <col min="9" max="9" width="11" style="46" customWidth="1"/>
    <col min="10" max="10" width="13.28515625" style="46" customWidth="1"/>
    <col min="11" max="11" width="15.42578125" style="46" customWidth="1"/>
    <col min="12" max="12" width="11" style="46" customWidth="1"/>
    <col min="13" max="13" width="15.5703125" style="46" customWidth="1"/>
    <col min="14" max="14" width="9.28515625" style="46" customWidth="1"/>
    <col min="15" max="15" width="12.42578125" style="46" customWidth="1"/>
    <col min="16" max="16" width="14" style="46" customWidth="1"/>
    <col min="17" max="17" width="15.42578125" style="46" customWidth="1"/>
    <col min="18" max="18" width="11.7109375" style="46" customWidth="1"/>
    <col min="19" max="19" width="9" style="46" customWidth="1"/>
    <col min="20" max="20" width="9.7109375" style="46" customWidth="1"/>
    <col min="21" max="21" width="12" style="46" customWidth="1"/>
    <col min="22" max="22" width="12.5703125" style="46" customWidth="1"/>
    <col min="23" max="23" width="11" style="46" customWidth="1"/>
    <col min="24" max="24" width="16" style="46" customWidth="1"/>
    <col min="25" max="25" width="14.85546875" style="46" bestFit="1" customWidth="1"/>
    <col min="26" max="26" width="11" style="46" customWidth="1"/>
    <col min="27" max="27" width="15" style="46" customWidth="1"/>
    <col min="28" max="28" width="10" style="46" customWidth="1"/>
    <col min="29" max="29" width="11.85546875" style="46" customWidth="1"/>
    <col min="30" max="30" width="14.5703125" style="46" customWidth="1"/>
    <col min="31" max="31" width="11" style="46" customWidth="1"/>
    <col min="32" max="32" width="10" style="46" customWidth="1"/>
    <col min="33" max="33" width="19.42578125" style="46" customWidth="1"/>
    <col min="34" max="34" width="10" style="46" customWidth="1"/>
    <col min="35" max="35" width="11" style="46" customWidth="1"/>
    <col min="36" max="36" width="15.42578125" style="46" customWidth="1"/>
    <col min="37" max="37" width="11.5703125" style="46" customWidth="1"/>
    <col min="38" max="38" width="9" style="46" customWidth="1"/>
    <col min="39" max="39" width="11" style="46" customWidth="1"/>
    <col min="40" max="40" width="9" style="46" customWidth="1"/>
    <col min="41" max="41" width="11.140625" style="46" customWidth="1"/>
    <col min="42" max="42" width="10" style="46" customWidth="1"/>
    <col min="43" max="43" width="11" style="46" customWidth="1"/>
    <col min="44" max="44" width="22" style="46" customWidth="1"/>
    <col min="45" max="45" width="8" style="46" customWidth="1"/>
    <col min="46" max="46" width="13.42578125" style="46" customWidth="1"/>
    <col min="47" max="47" width="11" style="46" customWidth="1"/>
    <col min="48" max="48" width="14.85546875" style="46" customWidth="1"/>
    <col min="49" max="49" width="9.85546875" style="46" customWidth="1"/>
    <col min="50" max="50" width="11" style="46" customWidth="1"/>
    <col min="51" max="52" width="9" style="46" customWidth="1"/>
    <col min="53" max="53" width="10" style="46" customWidth="1"/>
    <col min="54" max="54" width="9" style="46" customWidth="1"/>
    <col min="55" max="55" width="11" style="46" customWidth="1"/>
    <col min="56" max="56" width="8.5703125" style="46" customWidth="1"/>
    <col min="57" max="57" width="9" style="46" customWidth="1"/>
    <col min="58" max="58" width="11.140625" style="46" customWidth="1"/>
    <col min="59" max="59" width="10" style="46" bestFit="1" customWidth="1"/>
    <col min="60" max="60" width="15.42578125" style="46" bestFit="1" customWidth="1"/>
    <col min="61" max="61" width="12.140625" style="46" bestFit="1" customWidth="1"/>
    <col min="62" max="62" width="9" style="46" bestFit="1" customWidth="1"/>
    <col min="63" max="63" width="15.140625" style="46" bestFit="1" customWidth="1"/>
    <col min="64" max="64" width="10" style="46" bestFit="1" customWidth="1"/>
    <col min="65" max="65" width="15.42578125" style="46" bestFit="1" customWidth="1"/>
    <col min="66" max="66" width="10" style="46" bestFit="1" customWidth="1"/>
    <col min="67" max="67" width="11" style="46" bestFit="1" customWidth="1"/>
    <col min="68" max="68" width="8.42578125" style="46" bestFit="1" customWidth="1"/>
    <col min="69" max="69" width="8" style="46" bestFit="1" customWidth="1"/>
    <col min="70" max="70" width="18.7109375" style="46" bestFit="1" customWidth="1"/>
    <col min="71" max="16384" width="9.140625" style="46"/>
  </cols>
  <sheetData>
    <row r="1" spans="1:70" ht="12.75" thickBot="1" x14ac:dyDescent="0.3">
      <c r="B1" s="46" t="s">
        <v>114</v>
      </c>
      <c r="C1" s="46" t="s">
        <v>187</v>
      </c>
      <c r="D1" s="46" t="s">
        <v>188</v>
      </c>
      <c r="E1" s="46" t="s">
        <v>189</v>
      </c>
      <c r="F1" s="46" t="s">
        <v>40</v>
      </c>
      <c r="G1" s="46" t="s">
        <v>190</v>
      </c>
      <c r="H1" s="46" t="s">
        <v>191</v>
      </c>
      <c r="I1" s="46" t="s">
        <v>192</v>
      </c>
      <c r="J1" s="46" t="s">
        <v>44</v>
      </c>
      <c r="K1" s="52" t="s">
        <v>34</v>
      </c>
      <c r="L1" s="46" t="s">
        <v>60</v>
      </c>
      <c r="M1" s="46" t="s">
        <v>49</v>
      </c>
      <c r="N1" s="46" t="s">
        <v>193</v>
      </c>
      <c r="O1" s="46" t="s">
        <v>43</v>
      </c>
      <c r="P1" s="46" t="s">
        <v>194</v>
      </c>
      <c r="Q1" s="52" t="s">
        <v>28</v>
      </c>
      <c r="R1" s="46" t="s">
        <v>178</v>
      </c>
      <c r="S1" s="46" t="s">
        <v>113</v>
      </c>
      <c r="T1" s="46" t="s">
        <v>195</v>
      </c>
      <c r="U1" s="46" t="s">
        <v>47</v>
      </c>
      <c r="V1" s="46" t="s">
        <v>196</v>
      </c>
      <c r="W1" s="46" t="s">
        <v>197</v>
      </c>
      <c r="X1" s="46" t="s">
        <v>179</v>
      </c>
      <c r="Y1" s="46" t="s">
        <v>50</v>
      </c>
      <c r="Z1" s="46" t="s">
        <v>51</v>
      </c>
      <c r="AA1" s="46" t="s">
        <v>198</v>
      </c>
      <c r="AB1" s="46" t="s">
        <v>48</v>
      </c>
      <c r="AC1" s="46" t="s">
        <v>199</v>
      </c>
      <c r="AD1" s="52" t="s">
        <v>36</v>
      </c>
      <c r="AE1" s="46" t="s">
        <v>54</v>
      </c>
      <c r="AF1" s="46" t="s">
        <v>52</v>
      </c>
      <c r="AG1" s="46" t="s">
        <v>200</v>
      </c>
      <c r="AH1" s="46" t="s">
        <v>57</v>
      </c>
      <c r="AI1" s="46" t="s">
        <v>201</v>
      </c>
      <c r="AJ1" s="52" t="s">
        <v>117</v>
      </c>
      <c r="AK1" s="46" t="s">
        <v>202</v>
      </c>
      <c r="AL1" s="46" t="s">
        <v>203</v>
      </c>
      <c r="AM1" s="46" t="s">
        <v>62</v>
      </c>
      <c r="AN1" s="46" t="s">
        <v>204</v>
      </c>
      <c r="AO1" s="46" t="s">
        <v>205</v>
      </c>
      <c r="AP1" s="46" t="s">
        <v>110</v>
      </c>
      <c r="AQ1" s="46" t="s">
        <v>206</v>
      </c>
      <c r="AR1" s="46" t="s">
        <v>207</v>
      </c>
      <c r="AS1" s="46" t="s">
        <v>55</v>
      </c>
      <c r="AT1" s="46" t="s">
        <v>208</v>
      </c>
      <c r="AU1" s="46" t="s">
        <v>64</v>
      </c>
      <c r="AV1" s="46" t="s">
        <v>209</v>
      </c>
      <c r="AW1" s="46" t="s">
        <v>67</v>
      </c>
      <c r="AX1" s="46" t="s">
        <v>46</v>
      </c>
      <c r="AY1" s="46" t="s">
        <v>70</v>
      </c>
      <c r="AZ1" s="46" t="s">
        <v>68</v>
      </c>
      <c r="BA1" s="46" t="s">
        <v>59</v>
      </c>
      <c r="BB1" s="46" t="s">
        <v>69</v>
      </c>
      <c r="BC1" s="46" t="s">
        <v>71</v>
      </c>
      <c r="BD1" s="46" t="s">
        <v>61</v>
      </c>
      <c r="BE1" s="46" t="s">
        <v>42</v>
      </c>
      <c r="BF1" s="46" t="s">
        <v>210</v>
      </c>
      <c r="BG1" s="46" t="s">
        <v>31</v>
      </c>
      <c r="BH1" s="52" t="s">
        <v>180</v>
      </c>
      <c r="BI1" s="46" t="s">
        <v>211</v>
      </c>
      <c r="BJ1" s="46" t="s">
        <v>30</v>
      </c>
      <c r="BK1" s="46" t="s">
        <v>212</v>
      </c>
      <c r="BL1" s="46" t="s">
        <v>76</v>
      </c>
      <c r="BM1" s="52" t="s">
        <v>33</v>
      </c>
      <c r="BN1" s="46" t="s">
        <v>78</v>
      </c>
      <c r="BO1" s="46" t="s">
        <v>77</v>
      </c>
      <c r="BP1" s="46" t="s">
        <v>213</v>
      </c>
      <c r="BQ1" s="46" t="s">
        <v>66</v>
      </c>
      <c r="BR1" s="46" t="s">
        <v>214</v>
      </c>
    </row>
    <row r="2" spans="1:70" ht="12.75" thickBot="1" x14ac:dyDescent="0.3">
      <c r="A2" s="78" t="s">
        <v>226</v>
      </c>
      <c r="B2" s="72" t="s">
        <v>0</v>
      </c>
      <c r="C2" s="73">
        <v>788582.35222232901</v>
      </c>
      <c r="D2" s="73">
        <v>247931.863772318</v>
      </c>
      <c r="E2" s="73">
        <v>0</v>
      </c>
      <c r="F2" s="73">
        <v>188841268.64769799</v>
      </c>
      <c r="G2" s="73">
        <v>8778560.1838270202</v>
      </c>
      <c r="H2" s="73">
        <v>1198164.6865113101</v>
      </c>
      <c r="I2" s="73">
        <v>457644073.88327098</v>
      </c>
      <c r="J2" s="73">
        <v>5673123.6259596599</v>
      </c>
      <c r="K2" s="74">
        <v>78606632.984470904</v>
      </c>
      <c r="L2" s="73">
        <v>368784095.62045598</v>
      </c>
      <c r="M2" s="73">
        <v>7557855.4544644495</v>
      </c>
      <c r="N2" s="73">
        <v>306233.94920055498</v>
      </c>
      <c r="O2" s="73">
        <v>453317022.95351303</v>
      </c>
      <c r="P2" s="73">
        <v>19281.7197331391</v>
      </c>
      <c r="Q2" s="74">
        <v>362038674.23500198</v>
      </c>
      <c r="R2" s="73">
        <v>11157928.050298</v>
      </c>
      <c r="S2" s="73">
        <v>5292126.7751319399</v>
      </c>
      <c r="T2" s="73">
        <v>551283.590520025</v>
      </c>
      <c r="U2" s="73">
        <v>2180638297.4263902</v>
      </c>
      <c r="V2" s="73">
        <v>16254323.1443813</v>
      </c>
      <c r="W2" s="73">
        <v>889665836.28907299</v>
      </c>
      <c r="X2" s="73">
        <v>2148152516.1593599</v>
      </c>
      <c r="Y2" s="73">
        <v>1330874033.3032801</v>
      </c>
      <c r="Z2" s="73">
        <v>291356831.57067198</v>
      </c>
      <c r="AA2" s="73">
        <v>508344.40837386303</v>
      </c>
      <c r="AB2" s="73">
        <v>55873993.612450801</v>
      </c>
      <c r="AC2" s="73">
        <v>237777.599673983</v>
      </c>
      <c r="AD2" s="74">
        <v>683782.63805536297</v>
      </c>
      <c r="AE2" s="73">
        <v>313493435.09145802</v>
      </c>
      <c r="AF2" s="73">
        <v>196794978.67384899</v>
      </c>
      <c r="AG2" s="73">
        <v>24514419.371986099</v>
      </c>
      <c r="AH2" s="73">
        <v>72738027.426861301</v>
      </c>
      <c r="AI2" s="73">
        <v>10868003.895646499</v>
      </c>
      <c r="AJ2" s="75">
        <v>706550663.88085306</v>
      </c>
      <c r="AK2" s="73">
        <v>6418650.2150107399</v>
      </c>
      <c r="AL2" s="73">
        <v>5282489.6762501001</v>
      </c>
      <c r="AM2" s="73">
        <v>304541439.14536703</v>
      </c>
      <c r="AN2" s="73">
        <v>4251857.8374460796</v>
      </c>
      <c r="AO2" s="73">
        <v>24116993.575095501</v>
      </c>
      <c r="AP2" s="73">
        <v>38505940.534005299</v>
      </c>
      <c r="AQ2" s="73">
        <v>702377461.94313705</v>
      </c>
      <c r="AR2" s="73">
        <v>16704004.4683183</v>
      </c>
      <c r="AS2" s="73">
        <v>1063482.01796209</v>
      </c>
      <c r="AT2" s="73">
        <v>4208229.6952389199</v>
      </c>
      <c r="AU2" s="73">
        <v>271015701.68749499</v>
      </c>
      <c r="AV2" s="73">
        <v>35143748.184559003</v>
      </c>
      <c r="AW2" s="73">
        <v>550133.81036773894</v>
      </c>
      <c r="AX2" s="76">
        <v>289536758.794734</v>
      </c>
      <c r="AY2" s="73">
        <v>6763613.5710381204</v>
      </c>
      <c r="AZ2" s="73">
        <v>13848041.6961738</v>
      </c>
      <c r="BA2" s="73">
        <v>80679338.526127294</v>
      </c>
      <c r="BB2" s="73">
        <v>6908399.83514015</v>
      </c>
      <c r="BC2" s="73">
        <v>703504395.06271005</v>
      </c>
      <c r="BD2" s="73">
        <v>885233.37766322203</v>
      </c>
      <c r="BE2" s="73">
        <v>11930123.552628599</v>
      </c>
      <c r="BF2" s="73">
        <v>1960320.7179362599</v>
      </c>
      <c r="BG2" s="73">
        <v>25935628.996734999</v>
      </c>
      <c r="BH2" s="74">
        <v>7338572.6000251798</v>
      </c>
      <c r="BI2" s="73">
        <v>586070.86945892998</v>
      </c>
      <c r="BJ2" s="73">
        <v>7845807.84500976</v>
      </c>
      <c r="BK2" s="73">
        <v>0</v>
      </c>
      <c r="BL2" s="73">
        <v>33481629.099354699</v>
      </c>
      <c r="BM2" s="74">
        <v>587793.97453635</v>
      </c>
      <c r="BN2" s="73">
        <v>331393919.24500501</v>
      </c>
      <c r="BO2" s="73">
        <v>1477637952.4377301</v>
      </c>
      <c r="BP2" s="73">
        <v>270611.00045600801</v>
      </c>
      <c r="BQ2" s="73">
        <v>441338.15188624401</v>
      </c>
      <c r="BR2" s="77">
        <v>313070.383721249</v>
      </c>
    </row>
    <row r="3" spans="1:70" x14ac:dyDescent="0.25">
      <c r="B3" s="47" t="s">
        <v>1</v>
      </c>
      <c r="C3" s="48">
        <v>3884328.68181758</v>
      </c>
      <c r="D3" s="48">
        <v>1395375.8858401801</v>
      </c>
      <c r="E3" s="48">
        <v>859213.38306187897</v>
      </c>
      <c r="F3" s="48">
        <v>702093300.98726296</v>
      </c>
      <c r="G3" s="48">
        <v>35677318.843163401</v>
      </c>
      <c r="H3" s="48">
        <v>4936517.9318602104</v>
      </c>
      <c r="I3" s="48">
        <v>2067822235.1170599</v>
      </c>
      <c r="J3" s="48">
        <v>27310724.243680902</v>
      </c>
      <c r="K3" s="54">
        <v>383240209.45501202</v>
      </c>
      <c r="L3" s="48">
        <v>1461651313.09675</v>
      </c>
      <c r="M3" s="48">
        <v>41112455.777159803</v>
      </c>
      <c r="N3" s="48">
        <v>1464105.56105329</v>
      </c>
      <c r="O3" s="48">
        <v>2600667660.8053799</v>
      </c>
      <c r="P3" s="48">
        <v>301367.26009852497</v>
      </c>
      <c r="Q3" s="54">
        <v>1533819486.4453299</v>
      </c>
      <c r="R3" s="48">
        <v>28078968.645966299</v>
      </c>
      <c r="S3" s="48">
        <v>13492787.7852748</v>
      </c>
      <c r="T3" s="48">
        <v>2224093.6593300998</v>
      </c>
      <c r="U3" s="48">
        <v>9752442724.7854195</v>
      </c>
      <c r="V3" s="48">
        <v>58158372.2479221</v>
      </c>
      <c r="W3" s="48">
        <v>2606969039.6903601</v>
      </c>
      <c r="X3" s="48">
        <v>9728305206.0455894</v>
      </c>
      <c r="Y3" s="48">
        <v>5501172159.2016401</v>
      </c>
      <c r="Z3" s="48">
        <v>1376659298.4639399</v>
      </c>
      <c r="AA3" s="48">
        <v>3198018.1049001999</v>
      </c>
      <c r="AB3" s="48">
        <v>377237686.618801</v>
      </c>
      <c r="AC3" s="48">
        <v>1025525.54654905</v>
      </c>
      <c r="AD3" s="54">
        <v>5259949.6504124803</v>
      </c>
      <c r="AE3" s="48">
        <v>1428268741.89643</v>
      </c>
      <c r="AF3" s="48">
        <v>950833360.77862</v>
      </c>
      <c r="AG3" s="48">
        <v>74427795.414985999</v>
      </c>
      <c r="AH3" s="48">
        <v>274810673.634202</v>
      </c>
      <c r="AI3" s="48">
        <v>47867829.433839001</v>
      </c>
      <c r="AJ3" s="53">
        <v>3383597783.0749798</v>
      </c>
      <c r="AK3" s="48">
        <v>25407210.042021502</v>
      </c>
      <c r="AL3" s="48">
        <v>17766848.378575701</v>
      </c>
      <c r="AM3" s="48">
        <v>1128915171.33742</v>
      </c>
      <c r="AN3" s="48">
        <v>13227074.4007951</v>
      </c>
      <c r="AO3" s="48">
        <v>73720585.202754006</v>
      </c>
      <c r="AP3" s="48">
        <v>134108439.44128101</v>
      </c>
      <c r="AQ3" s="48">
        <v>2228720780.3322601</v>
      </c>
      <c r="AR3" s="48">
        <v>84413360.400514305</v>
      </c>
      <c r="AS3" s="48">
        <v>5512063.2688843897</v>
      </c>
      <c r="AT3" s="48">
        <v>17053566.633114401</v>
      </c>
      <c r="AU3" s="48">
        <v>986666439.85177398</v>
      </c>
      <c r="AV3" s="48">
        <v>70274647.023655206</v>
      </c>
      <c r="AW3" s="48">
        <v>2321733.6931992201</v>
      </c>
      <c r="AX3" s="51">
        <v>989415795.28978598</v>
      </c>
      <c r="AY3" s="48">
        <v>22734018.105207201</v>
      </c>
      <c r="AZ3" s="48">
        <v>52083798.743663102</v>
      </c>
      <c r="BA3" s="48">
        <v>367934427.02910298</v>
      </c>
      <c r="BB3" s="48">
        <v>37647913.078060798</v>
      </c>
      <c r="BC3" s="48">
        <v>2628526375.12713</v>
      </c>
      <c r="BD3" s="48">
        <v>4973595.5188274002</v>
      </c>
      <c r="BE3" s="48">
        <v>56019671.725311898</v>
      </c>
      <c r="BF3" s="48">
        <v>11523554.1568712</v>
      </c>
      <c r="BG3" s="48">
        <v>116843091.55868299</v>
      </c>
      <c r="BH3" s="54">
        <v>34881424.677823603</v>
      </c>
      <c r="BI3" s="48">
        <v>1649339.1864003299</v>
      </c>
      <c r="BJ3" s="48">
        <v>30394695.5128957</v>
      </c>
      <c r="BK3" s="48">
        <v>345194.45531934802</v>
      </c>
      <c r="BL3" s="48">
        <v>116831254.929178</v>
      </c>
      <c r="BM3" s="54">
        <v>3762102.7097133701</v>
      </c>
      <c r="BN3" s="48">
        <v>454282863.35487598</v>
      </c>
      <c r="BO3" s="48">
        <v>2022879446.6394601</v>
      </c>
      <c r="BP3" s="48">
        <v>530250.41130395397</v>
      </c>
      <c r="BQ3" s="48">
        <v>1557455.25838275</v>
      </c>
      <c r="BR3" s="48">
        <v>369440.176555635</v>
      </c>
    </row>
    <row r="4" spans="1:70" x14ac:dyDescent="0.25">
      <c r="B4" s="47" t="s">
        <v>2</v>
      </c>
      <c r="C4" s="48">
        <v>4770515.3660200303</v>
      </c>
      <c r="D4" s="48">
        <v>1249154.8106783801</v>
      </c>
      <c r="E4" s="48">
        <v>724083.87726885895</v>
      </c>
      <c r="F4" s="48">
        <v>685904048.71241105</v>
      </c>
      <c r="G4" s="48">
        <v>17133066.4021184</v>
      </c>
      <c r="H4" s="48">
        <v>5134136.1114302697</v>
      </c>
      <c r="I4" s="48">
        <v>1855184282.93205</v>
      </c>
      <c r="J4" s="48">
        <v>26254834.045982201</v>
      </c>
      <c r="K4" s="54">
        <v>347470101.14986598</v>
      </c>
      <c r="L4" s="48">
        <v>1431359826.57233</v>
      </c>
      <c r="M4" s="48">
        <v>39603107.456790701</v>
      </c>
      <c r="N4" s="48">
        <v>1444739.1479867999</v>
      </c>
      <c r="O4" s="48">
        <v>2514982720.07515</v>
      </c>
      <c r="P4" s="48">
        <v>283345.48065203102</v>
      </c>
      <c r="Q4" s="54">
        <v>1470977393.2560501</v>
      </c>
      <c r="R4" s="48">
        <v>28927391.725130402</v>
      </c>
      <c r="S4" s="48">
        <v>12710260.3059204</v>
      </c>
      <c r="T4" s="48">
        <v>2368718.6655935501</v>
      </c>
      <c r="U4" s="48">
        <v>9606513823.2166309</v>
      </c>
      <c r="V4" s="48">
        <v>56367478.787209503</v>
      </c>
      <c r="W4" s="48">
        <v>2572821714.7116299</v>
      </c>
      <c r="X4" s="48">
        <v>9425318049.0508995</v>
      </c>
      <c r="Y4" s="48">
        <v>5206120189.5489902</v>
      </c>
      <c r="Z4" s="48">
        <v>1312258328.1387501</v>
      </c>
      <c r="AA4" s="48">
        <v>2817120.9932335899</v>
      </c>
      <c r="AB4" s="48">
        <v>358603736.80688798</v>
      </c>
      <c r="AC4" s="48">
        <v>1059760.38481301</v>
      </c>
      <c r="AD4" s="54">
        <v>5482695.1111127296</v>
      </c>
      <c r="AE4" s="48">
        <v>1312140983.48282</v>
      </c>
      <c r="AF4" s="48">
        <v>889688490.80881798</v>
      </c>
      <c r="AG4" s="48">
        <v>73665101.715966493</v>
      </c>
      <c r="AH4" s="48">
        <v>255405703.26217699</v>
      </c>
      <c r="AI4" s="48">
        <v>44564968.147129998</v>
      </c>
      <c r="AJ4" s="53">
        <v>3211879478.0266399</v>
      </c>
      <c r="AK4" s="48">
        <v>25886116.9280558</v>
      </c>
      <c r="AL4" s="48">
        <v>17117809.134261198</v>
      </c>
      <c r="AM4" s="48">
        <v>1045756085.2439899</v>
      </c>
      <c r="AN4" s="48">
        <v>13039268.113306001</v>
      </c>
      <c r="AO4" s="48">
        <v>72576569.977130204</v>
      </c>
      <c r="AP4" s="48">
        <v>139311249.73558301</v>
      </c>
      <c r="AQ4" s="48">
        <v>2188473357.8726401</v>
      </c>
      <c r="AR4" s="48">
        <v>83042730.098265201</v>
      </c>
      <c r="AS4" s="48">
        <v>5393948.9831778398</v>
      </c>
      <c r="AT4" s="48">
        <v>16073458.700298799</v>
      </c>
      <c r="AU4" s="48">
        <v>962013434.23125601</v>
      </c>
      <c r="AV4" s="48">
        <v>65744481.0942</v>
      </c>
      <c r="AW4" s="48">
        <v>2335526.4610144198</v>
      </c>
      <c r="AX4" s="51">
        <v>997368822.75056696</v>
      </c>
      <c r="AY4" s="48">
        <v>22139435.8815808</v>
      </c>
      <c r="AZ4" s="48">
        <v>50292444.8850547</v>
      </c>
      <c r="BA4" s="48">
        <v>357287935.72303897</v>
      </c>
      <c r="BB4" s="48">
        <v>35922630.246274501</v>
      </c>
      <c r="BC4" s="48">
        <v>2517145939.7560501</v>
      </c>
      <c r="BD4" s="48">
        <v>5190298.8816269403</v>
      </c>
      <c r="BE4" s="48">
        <v>54834762.441474199</v>
      </c>
      <c r="BF4" s="48">
        <v>10464597.8077733</v>
      </c>
      <c r="BG4" s="48">
        <v>118696570.164746</v>
      </c>
      <c r="BH4" s="54">
        <v>35038718.039969496</v>
      </c>
      <c r="BI4" s="48">
        <v>1636458.7189692501</v>
      </c>
      <c r="BJ4" s="48">
        <v>28555686.488556702</v>
      </c>
      <c r="BK4" s="48">
        <v>264773.814295505</v>
      </c>
      <c r="BL4" s="48">
        <v>113523418.23485699</v>
      </c>
      <c r="BM4" s="54">
        <v>3498572.6944376598</v>
      </c>
      <c r="BN4" s="48">
        <v>449519942.29290098</v>
      </c>
      <c r="BO4" s="48">
        <v>2090150918.2224801</v>
      </c>
      <c r="BP4" s="48">
        <v>457098.740933005</v>
      </c>
      <c r="BQ4" s="48">
        <v>1453026.27399406</v>
      </c>
      <c r="BR4" s="48">
        <v>391604.516655277</v>
      </c>
    </row>
    <row r="5" spans="1:70" x14ac:dyDescent="0.25">
      <c r="B5" s="47" t="s">
        <v>3</v>
      </c>
      <c r="C5" s="48">
        <v>4725111.7707068799</v>
      </c>
      <c r="D5" s="48">
        <v>954445.85507349402</v>
      </c>
      <c r="E5" s="48">
        <v>612083.43227469199</v>
      </c>
      <c r="F5" s="48">
        <v>696040988.32097399</v>
      </c>
      <c r="G5" s="48">
        <v>18014118.3840243</v>
      </c>
      <c r="H5" s="48">
        <v>4709615.7626522304</v>
      </c>
      <c r="I5" s="48">
        <v>1868173442.9839101</v>
      </c>
      <c r="J5" s="48">
        <v>25152550.468892898</v>
      </c>
      <c r="K5" s="54">
        <v>354686756.56989503</v>
      </c>
      <c r="L5" s="48">
        <v>1434195121.8494799</v>
      </c>
      <c r="M5" s="48">
        <v>38240699.904908501</v>
      </c>
      <c r="N5" s="48">
        <v>1374254.46232206</v>
      </c>
      <c r="O5" s="48">
        <v>2586456549.1561198</v>
      </c>
      <c r="P5" s="48">
        <v>197406.759636478</v>
      </c>
      <c r="Q5" s="54">
        <v>1415715719.1464801</v>
      </c>
      <c r="R5" s="48">
        <v>30084955.444596399</v>
      </c>
      <c r="S5" s="48">
        <v>12601159.4589577</v>
      </c>
      <c r="T5" s="48">
        <v>2054110.1893219899</v>
      </c>
      <c r="U5" s="48">
        <v>9705825003.90452</v>
      </c>
      <c r="V5" s="48">
        <v>57189562.965294302</v>
      </c>
      <c r="W5" s="48">
        <v>2450374627.2912998</v>
      </c>
      <c r="X5" s="48">
        <v>9658388025.71735</v>
      </c>
      <c r="Y5" s="48">
        <v>5250311900.6028004</v>
      </c>
      <c r="Z5" s="48">
        <v>1288604673.6286199</v>
      </c>
      <c r="AA5" s="48">
        <v>2576462.3451104201</v>
      </c>
      <c r="AB5" s="48">
        <v>345747799.15930498</v>
      </c>
      <c r="AC5" s="48">
        <v>1028774.73982437</v>
      </c>
      <c r="AD5" s="54">
        <v>4893303.7329006204</v>
      </c>
      <c r="AE5" s="48">
        <v>1270427430.23965</v>
      </c>
      <c r="AF5" s="48">
        <v>860449847.56598198</v>
      </c>
      <c r="AG5" s="48">
        <v>68929527.673699602</v>
      </c>
      <c r="AH5" s="48">
        <v>252627906.01790199</v>
      </c>
      <c r="AI5" s="48">
        <v>45824894.617136098</v>
      </c>
      <c r="AJ5" s="53">
        <v>3146358576.48417</v>
      </c>
      <c r="AK5" s="48">
        <v>24132417.2757474</v>
      </c>
      <c r="AL5" s="48">
        <v>16304865.1433283</v>
      </c>
      <c r="AM5" s="48">
        <v>1019022773.02188</v>
      </c>
      <c r="AN5" s="48">
        <v>12322708.243383201</v>
      </c>
      <c r="AO5" s="48">
        <v>65855761.082877599</v>
      </c>
      <c r="AP5" s="48">
        <v>124040472.485704</v>
      </c>
      <c r="AQ5" s="48">
        <v>2181821747.7743602</v>
      </c>
      <c r="AR5" s="48">
        <v>81882593.768300995</v>
      </c>
      <c r="AS5" s="48">
        <v>4949016.8010598803</v>
      </c>
      <c r="AT5" s="48">
        <v>15347870.8356084</v>
      </c>
      <c r="AU5" s="48">
        <v>907170741.81131995</v>
      </c>
      <c r="AV5" s="48">
        <v>68160291.727304503</v>
      </c>
      <c r="AW5" s="48">
        <v>2087468.6921574201</v>
      </c>
      <c r="AX5" s="51">
        <v>950354265.762905</v>
      </c>
      <c r="AY5" s="48">
        <v>20900267.758281399</v>
      </c>
      <c r="AZ5" s="48">
        <v>46050868.832322299</v>
      </c>
      <c r="BA5" s="48">
        <v>323029451.87857699</v>
      </c>
      <c r="BB5" s="48">
        <v>33157074.4129613</v>
      </c>
      <c r="BC5" s="48">
        <v>2479737698.9893498</v>
      </c>
      <c r="BD5" s="48">
        <v>4671201.4398036003</v>
      </c>
      <c r="BE5" s="48">
        <v>54965079.609692298</v>
      </c>
      <c r="BF5" s="48">
        <v>9625857.54798018</v>
      </c>
      <c r="BG5" s="48">
        <v>107447651.504325</v>
      </c>
      <c r="BH5" s="54">
        <v>32530483.745100901</v>
      </c>
      <c r="BI5" s="48">
        <v>1996973.8028839999</v>
      </c>
      <c r="BJ5" s="48">
        <v>31223369.321604501</v>
      </c>
      <c r="BK5" s="48">
        <v>362848.38773484901</v>
      </c>
      <c r="BL5" s="48">
        <v>109713179.5343</v>
      </c>
      <c r="BM5" s="54">
        <v>3395201.2716497099</v>
      </c>
      <c r="BN5" s="48">
        <v>412698390.18297702</v>
      </c>
      <c r="BO5" s="48">
        <v>2131402411.02635</v>
      </c>
      <c r="BP5" s="48">
        <v>528930.76370272005</v>
      </c>
      <c r="BQ5" s="48">
        <v>1241676.7334358101</v>
      </c>
      <c r="BR5" s="48">
        <v>355916.867227385</v>
      </c>
    </row>
    <row r="6" spans="1:70" x14ac:dyDescent="0.25">
      <c r="B6" s="47" t="s">
        <v>4</v>
      </c>
      <c r="C6" s="48">
        <v>4382314.3934240397</v>
      </c>
      <c r="D6" s="48">
        <v>755069.12233460695</v>
      </c>
      <c r="E6" s="48">
        <v>455217.87378826702</v>
      </c>
      <c r="F6" s="48">
        <v>702417395.97748005</v>
      </c>
      <c r="G6" s="48">
        <v>13829718.270477699</v>
      </c>
      <c r="H6" s="48">
        <v>4846924.0487428699</v>
      </c>
      <c r="I6" s="48">
        <v>1909991488.6037199</v>
      </c>
      <c r="J6" s="48">
        <v>26462729.938834701</v>
      </c>
      <c r="K6" s="54">
        <v>354641161.332452</v>
      </c>
      <c r="L6" s="48">
        <v>1413047347.59589</v>
      </c>
      <c r="M6" s="48">
        <v>40158117.538547799</v>
      </c>
      <c r="N6" s="48">
        <v>1256962.7713425399</v>
      </c>
      <c r="O6" s="48">
        <v>2478038624.8301802</v>
      </c>
      <c r="P6" s="48">
        <v>310173.10779068299</v>
      </c>
      <c r="Q6" s="54">
        <v>1527722202.85532</v>
      </c>
      <c r="R6" s="48">
        <v>28774039.8898203</v>
      </c>
      <c r="S6" s="48">
        <v>12180085.1575255</v>
      </c>
      <c r="T6" s="48">
        <v>2155750.9381736</v>
      </c>
      <c r="U6" s="48">
        <v>9381526053.4840794</v>
      </c>
      <c r="V6" s="48">
        <v>54921305.216676399</v>
      </c>
      <c r="W6" s="48">
        <v>2561416763.5097098</v>
      </c>
      <c r="X6" s="48">
        <v>9350723909.7367706</v>
      </c>
      <c r="Y6" s="48">
        <v>5244863277.8035898</v>
      </c>
      <c r="Z6" s="48">
        <v>1289452616.36222</v>
      </c>
      <c r="AA6" s="48">
        <v>2785118.8437257302</v>
      </c>
      <c r="AB6" s="48">
        <v>333925833.09309</v>
      </c>
      <c r="AC6" s="48">
        <v>1030437.06425514</v>
      </c>
      <c r="AD6" s="54">
        <v>4584823.9783491204</v>
      </c>
      <c r="AE6" s="48">
        <v>1348862574.68309</v>
      </c>
      <c r="AF6" s="48">
        <v>920665270.63132405</v>
      </c>
      <c r="AG6" s="48">
        <v>71641913.422573105</v>
      </c>
      <c r="AH6" s="48">
        <v>268107475.369807</v>
      </c>
      <c r="AI6" s="48">
        <v>46062584.875454597</v>
      </c>
      <c r="AJ6" s="53">
        <v>3095002423.572</v>
      </c>
      <c r="AK6" s="48">
        <v>26644912.6749768</v>
      </c>
      <c r="AL6" s="48">
        <v>17654624.992210101</v>
      </c>
      <c r="AM6" s="48">
        <v>999736438.53282797</v>
      </c>
      <c r="AN6" s="48">
        <v>12596500.631864101</v>
      </c>
      <c r="AO6" s="48">
        <v>75439721.945848405</v>
      </c>
      <c r="AP6" s="48">
        <v>142971538.562686</v>
      </c>
      <c r="AQ6" s="48">
        <v>2165956564.1503</v>
      </c>
      <c r="AR6" s="48">
        <v>79579958.127713501</v>
      </c>
      <c r="AS6" s="48">
        <v>5265386.8690684</v>
      </c>
      <c r="AT6" s="48">
        <v>15750035.447649</v>
      </c>
      <c r="AU6" s="48">
        <v>940627746.41516495</v>
      </c>
      <c r="AV6" s="48">
        <v>68767359.893267006</v>
      </c>
      <c r="AW6" s="48">
        <v>2276699.3457362</v>
      </c>
      <c r="AX6" s="51">
        <v>972859233.46348</v>
      </c>
      <c r="AY6" s="48">
        <v>22031290.029306699</v>
      </c>
      <c r="AZ6" s="48">
        <v>49536516.6631817</v>
      </c>
      <c r="BA6" s="48">
        <v>355124380.896878</v>
      </c>
      <c r="BB6" s="48">
        <v>35396869.818798997</v>
      </c>
      <c r="BC6" s="48">
        <v>2486870577.4920902</v>
      </c>
      <c r="BD6" s="48">
        <v>4734107.2899482204</v>
      </c>
      <c r="BE6" s="48">
        <v>52903530.7453105</v>
      </c>
      <c r="BF6" s="48">
        <v>13789129.722826499</v>
      </c>
      <c r="BG6" s="48">
        <v>117776640.26730099</v>
      </c>
      <c r="BH6" s="54">
        <v>33531863.8616569</v>
      </c>
      <c r="BI6" s="48">
        <v>1474719.0861257699</v>
      </c>
      <c r="BJ6" s="48">
        <v>29556889.313022599</v>
      </c>
      <c r="BK6" s="48">
        <v>342875.69839226699</v>
      </c>
      <c r="BL6" s="48">
        <v>112221080.22409</v>
      </c>
      <c r="BM6" s="54">
        <v>2937217.82181171</v>
      </c>
      <c r="BN6" s="48">
        <v>433520495.45808101</v>
      </c>
      <c r="BO6" s="48">
        <v>1957732282.6728799</v>
      </c>
      <c r="BP6" s="48">
        <v>528142.52742305398</v>
      </c>
      <c r="BQ6" s="48">
        <v>1314724.5569165901</v>
      </c>
      <c r="BR6" s="48">
        <v>289062.909081797</v>
      </c>
    </row>
    <row r="7" spans="1:70" x14ac:dyDescent="0.25">
      <c r="B7" s="47" t="s">
        <v>5</v>
      </c>
      <c r="C7" s="48">
        <v>5002553.3106842097</v>
      </c>
      <c r="D7" s="48">
        <v>1650825.3874794401</v>
      </c>
      <c r="E7" s="48">
        <v>1187553.2348835799</v>
      </c>
      <c r="F7" s="48">
        <v>688982625.76875997</v>
      </c>
      <c r="G7" s="48">
        <v>22771202.313334901</v>
      </c>
      <c r="H7" s="48">
        <v>4179809.1366067301</v>
      </c>
      <c r="I7" s="48">
        <v>2083674213.8401101</v>
      </c>
      <c r="J7" s="48">
        <v>27704201.838764898</v>
      </c>
      <c r="K7" s="54">
        <v>301610128.26490003</v>
      </c>
      <c r="L7" s="48">
        <v>1420321315.4781599</v>
      </c>
      <c r="M7" s="48">
        <v>37725537.884624504</v>
      </c>
      <c r="N7" s="48">
        <v>1111305.15395167</v>
      </c>
      <c r="O7" s="48">
        <v>2395562823.7859502</v>
      </c>
      <c r="P7" s="48">
        <v>249874.33663105301</v>
      </c>
      <c r="Q7" s="54">
        <v>2245243448.5184302</v>
      </c>
      <c r="R7" s="48">
        <v>12379409.2563376</v>
      </c>
      <c r="S7" s="48">
        <v>12467102.5116002</v>
      </c>
      <c r="T7" s="48">
        <v>2075571.780454</v>
      </c>
      <c r="U7" s="48">
        <v>9207746208.3913307</v>
      </c>
      <c r="V7" s="48">
        <v>62453966.337235801</v>
      </c>
      <c r="W7" s="48">
        <v>2342299687.3460498</v>
      </c>
      <c r="X7" s="48">
        <v>9309778214.6413193</v>
      </c>
      <c r="Y7" s="48">
        <v>5277207524.40448</v>
      </c>
      <c r="Z7" s="48">
        <v>1296645794.5543399</v>
      </c>
      <c r="AA7" s="48">
        <v>2973270.74767842</v>
      </c>
      <c r="AB7" s="48">
        <v>348712693.66448098</v>
      </c>
      <c r="AC7" s="48">
        <v>1076705.05161841</v>
      </c>
      <c r="AD7" s="54">
        <v>4601026.6255033901</v>
      </c>
      <c r="AE7" s="48">
        <v>1171977526.7934999</v>
      </c>
      <c r="AF7" s="48">
        <v>870523158.809798</v>
      </c>
      <c r="AG7" s="48">
        <v>68633000.711492494</v>
      </c>
      <c r="AH7" s="48">
        <v>253063903.63329399</v>
      </c>
      <c r="AI7" s="48">
        <v>45181192.123799399</v>
      </c>
      <c r="AJ7" s="53">
        <v>3193190931.3323398</v>
      </c>
      <c r="AK7" s="48">
        <v>25586905.914959401</v>
      </c>
      <c r="AL7" s="48">
        <v>15235080.686402701</v>
      </c>
      <c r="AM7" s="48">
        <v>967611465.58186305</v>
      </c>
      <c r="AN7" s="48">
        <v>12314470.2355412</v>
      </c>
      <c r="AO7" s="48">
        <v>66187162.978638202</v>
      </c>
      <c r="AP7" s="48">
        <v>143830066.486099</v>
      </c>
      <c r="AQ7" s="48">
        <v>2243762570.5529199</v>
      </c>
      <c r="AR7" s="48">
        <v>81273695.518760905</v>
      </c>
      <c r="AS7" s="48">
        <v>4665611.6648497498</v>
      </c>
      <c r="AT7" s="48">
        <v>14544372.518137701</v>
      </c>
      <c r="AU7" s="48">
        <v>881428098.32275701</v>
      </c>
      <c r="AV7" s="48">
        <v>67384300.258511305</v>
      </c>
      <c r="AW7" s="48">
        <v>538588.16065247904</v>
      </c>
      <c r="AX7" s="51">
        <v>917333407.88691199</v>
      </c>
      <c r="AY7" s="48">
        <v>21098230.306427602</v>
      </c>
      <c r="AZ7" s="48">
        <v>39627790.398025699</v>
      </c>
      <c r="BA7" s="48">
        <v>453406445.89857501</v>
      </c>
      <c r="BB7" s="48">
        <v>29128186.786565099</v>
      </c>
      <c r="BC7" s="48">
        <v>2662538615.11935</v>
      </c>
      <c r="BD7" s="48">
        <v>3277551.89499657</v>
      </c>
      <c r="BE7" s="48">
        <v>50201806.142888904</v>
      </c>
      <c r="BF7" s="48">
        <v>5989284.3260566797</v>
      </c>
      <c r="BG7" s="48">
        <v>126021379.41909</v>
      </c>
      <c r="BH7" s="54">
        <v>48509869.449229702</v>
      </c>
      <c r="BI7" s="48">
        <v>1239631.3822085001</v>
      </c>
      <c r="BJ7" s="48">
        <v>51785369.447054602</v>
      </c>
      <c r="BK7" s="48">
        <v>627364.99347655103</v>
      </c>
      <c r="BL7" s="48">
        <v>110699314.188949</v>
      </c>
      <c r="BM7" s="54">
        <v>1795198.0275662299</v>
      </c>
      <c r="BN7" s="48">
        <v>443108620.78381002</v>
      </c>
      <c r="BO7" s="48">
        <v>2231610901.1545901</v>
      </c>
      <c r="BP7" s="48">
        <v>564700.71714572003</v>
      </c>
      <c r="BQ7" s="48">
        <v>1303314.27782284</v>
      </c>
      <c r="BR7" s="48">
        <v>327859.11708961002</v>
      </c>
    </row>
    <row r="8" spans="1:70" x14ac:dyDescent="0.25">
      <c r="B8" s="47" t="s">
        <v>6</v>
      </c>
      <c r="C8" s="48">
        <v>6996236.2293658899</v>
      </c>
      <c r="D8" s="48">
        <v>1784672.8252639601</v>
      </c>
      <c r="E8" s="48">
        <v>996027.94639851002</v>
      </c>
      <c r="F8" s="48">
        <v>628707649.52087104</v>
      </c>
      <c r="G8" s="48">
        <v>22147413.909449201</v>
      </c>
      <c r="H8" s="48">
        <v>4509230.4524143497</v>
      </c>
      <c r="I8" s="48">
        <v>2205069131.0121799</v>
      </c>
      <c r="J8" s="48">
        <v>27436987.873928599</v>
      </c>
      <c r="K8" s="54">
        <v>303168694.98579001</v>
      </c>
      <c r="L8" s="48">
        <v>1401469033.5857</v>
      </c>
      <c r="M8" s="48">
        <v>43006484.857490398</v>
      </c>
      <c r="N8" s="48">
        <v>1376871.6300194699</v>
      </c>
      <c r="O8" s="48">
        <v>2434812966.3567801</v>
      </c>
      <c r="P8" s="48">
        <v>334109.25281549402</v>
      </c>
      <c r="Q8" s="54">
        <v>2235429468.0218601</v>
      </c>
      <c r="R8" s="48">
        <v>13181364.4765669</v>
      </c>
      <c r="S8" s="48">
        <v>11126417.074187901</v>
      </c>
      <c r="T8" s="48">
        <v>2233207.97648936</v>
      </c>
      <c r="U8" s="48">
        <v>9382414695.4797497</v>
      </c>
      <c r="V8" s="48">
        <v>65250214.4335225</v>
      </c>
      <c r="W8" s="48">
        <v>2299715618.3586302</v>
      </c>
      <c r="X8" s="48">
        <v>9378206256.2647991</v>
      </c>
      <c r="Y8" s="48">
        <v>5216092822.2195597</v>
      </c>
      <c r="Z8" s="48">
        <v>1244186856.49857</v>
      </c>
      <c r="AA8" s="48">
        <v>2986078.25578732</v>
      </c>
      <c r="AB8" s="48">
        <v>334844878.03736597</v>
      </c>
      <c r="AC8" s="48">
        <v>1064178.38330942</v>
      </c>
      <c r="AD8" s="54">
        <v>5259744.67933717</v>
      </c>
      <c r="AE8" s="48">
        <v>1111118162.1463599</v>
      </c>
      <c r="AF8" s="48">
        <v>806022351.96655297</v>
      </c>
      <c r="AG8" s="48">
        <v>70893607.437226504</v>
      </c>
      <c r="AH8" s="48">
        <v>271038498.26265901</v>
      </c>
      <c r="AI8" s="48">
        <v>45691457.634602398</v>
      </c>
      <c r="AJ8" s="53">
        <v>3389406637.2960901</v>
      </c>
      <c r="AK8" s="48">
        <v>25908317.513272699</v>
      </c>
      <c r="AL8" s="48">
        <v>13105004.4845166</v>
      </c>
      <c r="AM8" s="48">
        <v>924029291.09944201</v>
      </c>
      <c r="AN8" s="48">
        <v>13193780.959722901</v>
      </c>
      <c r="AO8" s="48">
        <v>66418959.418039396</v>
      </c>
      <c r="AP8" s="48">
        <v>133531295.046866</v>
      </c>
      <c r="AQ8" s="48">
        <v>2259416204.8304801</v>
      </c>
      <c r="AR8" s="48">
        <v>77416588.184077606</v>
      </c>
      <c r="AS8" s="48">
        <v>4948436.9920659102</v>
      </c>
      <c r="AT8" s="48">
        <v>14745903.9388452</v>
      </c>
      <c r="AU8" s="48">
        <v>931317889.24760306</v>
      </c>
      <c r="AV8" s="48">
        <v>72302299.774789304</v>
      </c>
      <c r="AW8" s="48">
        <v>448450.58153778501</v>
      </c>
      <c r="AX8" s="51">
        <v>963265165.13302398</v>
      </c>
      <c r="AY8" s="48">
        <v>20525897.4588692</v>
      </c>
      <c r="AZ8" s="48">
        <v>40097769.970681898</v>
      </c>
      <c r="BA8" s="48">
        <v>410096952.613873</v>
      </c>
      <c r="BB8" s="48">
        <v>29591364.859648898</v>
      </c>
      <c r="BC8" s="48">
        <v>2781223190.7365098</v>
      </c>
      <c r="BD8" s="48">
        <v>3862364.5191096598</v>
      </c>
      <c r="BE8" s="48">
        <v>56673283.901267402</v>
      </c>
      <c r="BF8" s="48">
        <v>5412964.7757562296</v>
      </c>
      <c r="BG8" s="48">
        <v>131646860.937463</v>
      </c>
      <c r="BH8" s="54">
        <v>45808725.478576399</v>
      </c>
      <c r="BI8" s="48">
        <v>1409328.4300651001</v>
      </c>
      <c r="BJ8" s="48">
        <v>50236985.380641803</v>
      </c>
      <c r="BK8" s="48">
        <v>676713.60668295098</v>
      </c>
      <c r="BL8" s="48">
        <v>108774991.31635401</v>
      </c>
      <c r="BM8" s="54">
        <v>1576007.4467879699</v>
      </c>
      <c r="BN8" s="48">
        <v>477282193.92778403</v>
      </c>
      <c r="BO8" s="48">
        <v>2334345176.9980898</v>
      </c>
      <c r="BP8" s="48">
        <v>565155.65050161502</v>
      </c>
      <c r="BQ8" s="48">
        <v>1566696.6081408199</v>
      </c>
      <c r="BR8" s="48">
        <v>361170.23550612299</v>
      </c>
    </row>
    <row r="9" spans="1:70" x14ac:dyDescent="0.25">
      <c r="B9" s="47" t="s">
        <v>7</v>
      </c>
      <c r="C9" s="48">
        <v>6446643.8471621098</v>
      </c>
      <c r="D9" s="48">
        <v>1578618.1355794701</v>
      </c>
      <c r="E9" s="48">
        <v>890694.83852254995</v>
      </c>
      <c r="F9" s="48">
        <v>676282455.86299598</v>
      </c>
      <c r="G9" s="48">
        <v>17373993.931203701</v>
      </c>
      <c r="H9" s="48">
        <v>4388791.6083696401</v>
      </c>
      <c r="I9" s="48">
        <v>2242897142.0325599</v>
      </c>
      <c r="J9" s="48">
        <v>28147424.470060099</v>
      </c>
      <c r="K9" s="54">
        <v>313659031.88604701</v>
      </c>
      <c r="L9" s="48">
        <v>1499321561.4660101</v>
      </c>
      <c r="M9" s="48">
        <v>43303378.486057103</v>
      </c>
      <c r="N9" s="48">
        <v>1295227.00283286</v>
      </c>
      <c r="O9" s="48">
        <v>2546714104.1831698</v>
      </c>
      <c r="P9" s="48">
        <v>496796.44108382898</v>
      </c>
      <c r="Q9" s="54">
        <v>2425296839.3775401</v>
      </c>
      <c r="R9" s="48">
        <v>14801966.269125</v>
      </c>
      <c r="S9" s="48">
        <v>11321500.1554955</v>
      </c>
      <c r="T9" s="48">
        <v>2499985.6752299299</v>
      </c>
      <c r="U9" s="48">
        <v>9273948611.8113995</v>
      </c>
      <c r="V9" s="48">
        <v>65895892.003098004</v>
      </c>
      <c r="W9" s="48">
        <v>1986262560.1059501</v>
      </c>
      <c r="X9" s="48">
        <v>9374190075.1149292</v>
      </c>
      <c r="Y9" s="48">
        <v>5287803681.3931599</v>
      </c>
      <c r="Z9" s="48">
        <v>1255818318.00348</v>
      </c>
      <c r="AA9" s="48">
        <v>2548256.6462773201</v>
      </c>
      <c r="AB9" s="48">
        <v>345095142.84665602</v>
      </c>
      <c r="AC9" s="48">
        <v>1095008.15566957</v>
      </c>
      <c r="AD9" s="54">
        <v>5513336.4986680299</v>
      </c>
      <c r="AE9" s="48">
        <v>1176641908.4498601</v>
      </c>
      <c r="AF9" s="48">
        <v>769008705.67967403</v>
      </c>
      <c r="AG9" s="48">
        <v>72612270.258335993</v>
      </c>
      <c r="AH9" s="48">
        <v>292750695.007851</v>
      </c>
      <c r="AI9" s="48">
        <v>43716743.457759202</v>
      </c>
      <c r="AJ9" s="53">
        <v>3323863807.63767</v>
      </c>
      <c r="AK9" s="48">
        <v>26702256.041092101</v>
      </c>
      <c r="AL9" s="48">
        <v>10866938.631056599</v>
      </c>
      <c r="AM9" s="48">
        <v>786689439.987059</v>
      </c>
      <c r="AN9" s="48">
        <v>13454652.59307</v>
      </c>
      <c r="AO9" s="48">
        <v>68951920.976715297</v>
      </c>
      <c r="AP9" s="48">
        <v>114310899.181785</v>
      </c>
      <c r="AQ9" s="48">
        <v>2023028140.8410499</v>
      </c>
      <c r="AR9" s="48">
        <v>68958147.308149606</v>
      </c>
      <c r="AS9" s="48">
        <v>4552527.2069594096</v>
      </c>
      <c r="AT9" s="48">
        <v>13610569.756627999</v>
      </c>
      <c r="AU9" s="48">
        <v>868646508.14506698</v>
      </c>
      <c r="AV9" s="48">
        <v>72152293.080440998</v>
      </c>
      <c r="AW9" s="48">
        <v>353228.71485787298</v>
      </c>
      <c r="AX9" s="51">
        <v>966292866.07909</v>
      </c>
      <c r="AY9" s="48">
        <v>15128082.878766799</v>
      </c>
      <c r="AZ9" s="48">
        <v>30404090.38558</v>
      </c>
      <c r="BA9" s="48">
        <v>338657440.37652498</v>
      </c>
      <c r="BB9" s="48">
        <v>22469858.033856999</v>
      </c>
      <c r="BC9" s="48">
        <v>2737610459.8789601</v>
      </c>
      <c r="BD9" s="48">
        <v>3375470.3638358298</v>
      </c>
      <c r="BE9" s="48">
        <v>55923652.275273502</v>
      </c>
      <c r="BF9" s="48">
        <v>4994019.8188070599</v>
      </c>
      <c r="BG9" s="48">
        <v>130560923.979294</v>
      </c>
      <c r="BH9" s="54">
        <v>44094107.995889701</v>
      </c>
      <c r="BI9" s="48">
        <v>1293810.3198685299</v>
      </c>
      <c r="BJ9" s="48">
        <v>48713523.199358702</v>
      </c>
      <c r="BK9" s="48">
        <v>546164.70475145802</v>
      </c>
      <c r="BL9" s="48">
        <v>103024369.22391701</v>
      </c>
      <c r="BM9" s="54">
        <v>1283686.4904300401</v>
      </c>
      <c r="BN9" s="48">
        <v>443850633.85437697</v>
      </c>
      <c r="BO9" s="48">
        <v>2195381718.0497599</v>
      </c>
      <c r="BP9" s="48">
        <v>409130.16978534602</v>
      </c>
      <c r="BQ9" s="48">
        <v>1135107.41501565</v>
      </c>
      <c r="BR9" s="48">
        <v>334742.58671074198</v>
      </c>
    </row>
    <row r="10" spans="1:70" x14ac:dyDescent="0.25">
      <c r="B10" s="47" t="s">
        <v>8</v>
      </c>
      <c r="C10" s="48">
        <v>6294475.9022456799</v>
      </c>
      <c r="D10" s="48">
        <v>1435653.4086508299</v>
      </c>
      <c r="E10" s="48">
        <v>890541.68624006002</v>
      </c>
      <c r="F10" s="48">
        <v>661204196.54340196</v>
      </c>
      <c r="G10" s="48">
        <v>20692152.8662607</v>
      </c>
      <c r="H10" s="48">
        <v>4642276.93005432</v>
      </c>
      <c r="I10" s="48">
        <v>2150359842.38799</v>
      </c>
      <c r="J10" s="48">
        <v>27860011.6098582</v>
      </c>
      <c r="K10" s="54">
        <v>299626485.04970598</v>
      </c>
      <c r="L10" s="48">
        <v>1419683635.8984301</v>
      </c>
      <c r="M10" s="48">
        <v>42270028.744255498</v>
      </c>
      <c r="N10" s="48">
        <v>1313587.24003951</v>
      </c>
      <c r="O10" s="48">
        <v>2470206066.0418701</v>
      </c>
      <c r="P10" s="48">
        <v>343807.822425252</v>
      </c>
      <c r="Q10" s="54">
        <v>2233774023.4538298</v>
      </c>
      <c r="R10" s="48">
        <v>14358254.123090001</v>
      </c>
      <c r="S10" s="48">
        <v>12701829.7390846</v>
      </c>
      <c r="T10" s="48">
        <v>2070605.29929261</v>
      </c>
      <c r="U10" s="48">
        <v>9148912247.5624294</v>
      </c>
      <c r="V10" s="48">
        <v>65986495.575387903</v>
      </c>
      <c r="W10" s="48">
        <v>2229547711.53018</v>
      </c>
      <c r="X10" s="48">
        <v>9179333897.7707691</v>
      </c>
      <c r="Y10" s="48">
        <v>5141717646.4470997</v>
      </c>
      <c r="Z10" s="48">
        <v>1210157066.0998399</v>
      </c>
      <c r="AA10" s="48">
        <v>2522347.3522723801</v>
      </c>
      <c r="AB10" s="48">
        <v>325039303.39931101</v>
      </c>
      <c r="AC10" s="48">
        <v>890964.76877928001</v>
      </c>
      <c r="AD10" s="54">
        <v>5584837.0164234396</v>
      </c>
      <c r="AE10" s="48">
        <v>1104630488.4135699</v>
      </c>
      <c r="AF10" s="48">
        <v>813521038.40076602</v>
      </c>
      <c r="AG10" s="48">
        <v>68073246.865382507</v>
      </c>
      <c r="AH10" s="48">
        <v>271830329.50141102</v>
      </c>
      <c r="AI10" s="48">
        <v>45615129.4609643</v>
      </c>
      <c r="AJ10" s="53">
        <v>3237465981.3264098</v>
      </c>
      <c r="AK10" s="48">
        <v>25760158.0031811</v>
      </c>
      <c r="AL10" s="48">
        <v>13666874.6239397</v>
      </c>
      <c r="AM10" s="48">
        <v>929748237.85987997</v>
      </c>
      <c r="AN10" s="48">
        <v>12809736.108611399</v>
      </c>
      <c r="AO10" s="48">
        <v>66889589.029196002</v>
      </c>
      <c r="AP10" s="48">
        <v>128093400.096815</v>
      </c>
      <c r="AQ10" s="48">
        <v>2195383102.8538098</v>
      </c>
      <c r="AR10" s="48">
        <v>76564977.303647503</v>
      </c>
      <c r="AS10" s="48">
        <v>5161264.6999287801</v>
      </c>
      <c r="AT10" s="48">
        <v>15240275.612818699</v>
      </c>
      <c r="AU10" s="48">
        <v>921988827.40451705</v>
      </c>
      <c r="AV10" s="48">
        <v>71160467.687112898</v>
      </c>
      <c r="AW10" s="48">
        <v>451121.18803723803</v>
      </c>
      <c r="AX10" s="51">
        <v>951319079.29157698</v>
      </c>
      <c r="AY10" s="48">
        <v>19559207.922614601</v>
      </c>
      <c r="AZ10" s="48">
        <v>39499557.369257003</v>
      </c>
      <c r="BA10" s="48">
        <v>407612168.90083498</v>
      </c>
      <c r="BB10" s="48">
        <v>28450147.8695039</v>
      </c>
      <c r="BC10" s="48">
        <v>2729826061.7684002</v>
      </c>
      <c r="BD10" s="48">
        <v>3830842.9253193699</v>
      </c>
      <c r="BE10" s="48">
        <v>59337866.697465397</v>
      </c>
      <c r="BF10" s="48">
        <v>6240940.3224651804</v>
      </c>
      <c r="BG10" s="48">
        <v>127442716.525968</v>
      </c>
      <c r="BH10" s="54">
        <v>45068079.641854897</v>
      </c>
      <c r="BI10" s="48">
        <v>1763362.52052376</v>
      </c>
      <c r="BJ10" s="48">
        <v>45366358.047027901</v>
      </c>
      <c r="BK10" s="48">
        <v>575958.77117404703</v>
      </c>
      <c r="BL10" s="48">
        <v>108047498.89297999</v>
      </c>
      <c r="BM10" s="54">
        <v>1722954.7958559401</v>
      </c>
      <c r="BN10" s="48">
        <v>467693174.91046</v>
      </c>
      <c r="BO10" s="48">
        <v>2266981705.43924</v>
      </c>
      <c r="BP10" s="48">
        <v>509037.271243044</v>
      </c>
      <c r="BQ10" s="48">
        <v>1174319.4942810501</v>
      </c>
      <c r="BR10" s="48">
        <v>381118.60489163001</v>
      </c>
    </row>
    <row r="11" spans="1:70" x14ac:dyDescent="0.25">
      <c r="B11" s="47" t="s">
        <v>9</v>
      </c>
      <c r="C11" s="48">
        <v>4241040.8505209899</v>
      </c>
      <c r="D11" s="48">
        <v>1706347.18765957</v>
      </c>
      <c r="E11" s="48">
        <v>942611.23575104901</v>
      </c>
      <c r="F11" s="48">
        <v>631382841.71233904</v>
      </c>
      <c r="G11" s="48">
        <v>19791029.731426202</v>
      </c>
      <c r="H11" s="48">
        <v>4534938.8614153396</v>
      </c>
      <c r="I11" s="48">
        <v>1859482411.7964499</v>
      </c>
      <c r="J11" s="48">
        <v>23140946.7443811</v>
      </c>
      <c r="K11" s="54">
        <v>277221241.05683601</v>
      </c>
      <c r="L11" s="48">
        <v>1345266491.8424301</v>
      </c>
      <c r="M11" s="48">
        <v>37392256.346730903</v>
      </c>
      <c r="N11" s="48">
        <v>1089763.1480612501</v>
      </c>
      <c r="O11" s="48">
        <v>2179930943.4830399</v>
      </c>
      <c r="P11" s="48">
        <v>401530.86003659701</v>
      </c>
      <c r="Q11" s="54">
        <v>1890082691.9463899</v>
      </c>
      <c r="R11" s="48">
        <v>13575639.4883356</v>
      </c>
      <c r="S11" s="48">
        <v>11522160.1644984</v>
      </c>
      <c r="T11" s="48">
        <v>1650373.95828542</v>
      </c>
      <c r="U11" s="48">
        <v>8212735512.9163799</v>
      </c>
      <c r="V11" s="48">
        <v>54857111.482728302</v>
      </c>
      <c r="W11" s="48">
        <v>2188930312.8147802</v>
      </c>
      <c r="X11" s="48">
        <v>8148165703.0411501</v>
      </c>
      <c r="Y11" s="48">
        <v>4592513658.3853197</v>
      </c>
      <c r="Z11" s="48">
        <v>1122274479.47419</v>
      </c>
      <c r="AA11" s="48">
        <v>2612043.7140328302</v>
      </c>
      <c r="AB11" s="48">
        <v>285539837.79702199</v>
      </c>
      <c r="AC11" s="48">
        <v>980280.47726816498</v>
      </c>
      <c r="AD11" s="54">
        <v>4564999.2876461605</v>
      </c>
      <c r="AE11" s="48">
        <v>1060318653.38148</v>
      </c>
      <c r="AF11" s="48">
        <v>783670255.13345397</v>
      </c>
      <c r="AG11" s="48">
        <v>58061092.533634499</v>
      </c>
      <c r="AH11" s="48">
        <v>233472525.35468999</v>
      </c>
      <c r="AI11" s="48">
        <v>38187850.6609639</v>
      </c>
      <c r="AJ11" s="53">
        <v>2773431220.6589699</v>
      </c>
      <c r="AK11" s="48">
        <v>23152183.482230902</v>
      </c>
      <c r="AL11" s="48">
        <v>14045129.5030302</v>
      </c>
      <c r="AM11" s="48">
        <v>945501426.37142003</v>
      </c>
      <c r="AN11" s="48">
        <v>10748460.886324801</v>
      </c>
      <c r="AO11" s="48">
        <v>57633223.643115498</v>
      </c>
      <c r="AP11" s="48">
        <v>133917095.59191801</v>
      </c>
      <c r="AQ11" s="48">
        <v>2025642936.2014899</v>
      </c>
      <c r="AR11" s="48">
        <v>73965315.380897</v>
      </c>
      <c r="AS11" s="48">
        <v>4233382.2274408499</v>
      </c>
      <c r="AT11" s="48">
        <v>13543581.479380099</v>
      </c>
      <c r="AU11" s="48">
        <v>810476854.40311003</v>
      </c>
      <c r="AV11" s="48">
        <v>70763164.858399406</v>
      </c>
      <c r="AW11" s="48">
        <v>427978.754457662</v>
      </c>
      <c r="AX11" s="51">
        <v>816136119.98082399</v>
      </c>
      <c r="AY11" s="48">
        <v>20533525.4431112</v>
      </c>
      <c r="AZ11" s="48">
        <v>39229697.2692957</v>
      </c>
      <c r="BA11" s="48">
        <v>372040484.62769598</v>
      </c>
      <c r="BB11" s="48">
        <v>27180393.518807899</v>
      </c>
      <c r="BC11" s="48">
        <v>2417483348.8379302</v>
      </c>
      <c r="BD11" s="48">
        <v>3025714.3467455301</v>
      </c>
      <c r="BE11" s="48">
        <v>55149650.641673103</v>
      </c>
      <c r="BF11" s="48">
        <v>5357229.40845796</v>
      </c>
      <c r="BG11" s="48">
        <v>110618185.807034</v>
      </c>
      <c r="BH11" s="54">
        <v>35712727.3143887</v>
      </c>
      <c r="BI11" s="48">
        <v>1372364.30110453</v>
      </c>
      <c r="BJ11" s="48">
        <v>40578846.243628003</v>
      </c>
      <c r="BK11" s="48">
        <v>443562.45949601103</v>
      </c>
      <c r="BL11" s="48">
        <v>99219606.031151101</v>
      </c>
      <c r="BM11" s="54">
        <v>2154664.0545129701</v>
      </c>
      <c r="BN11" s="48">
        <v>396012046.70688301</v>
      </c>
      <c r="BO11" s="48">
        <v>2025386329.15553</v>
      </c>
      <c r="BP11" s="48">
        <v>464081.96218714101</v>
      </c>
      <c r="BQ11" s="48">
        <v>1013919.24799201</v>
      </c>
      <c r="BR11" s="48">
        <v>291982.99305262999</v>
      </c>
    </row>
    <row r="12" spans="1:70" x14ac:dyDescent="0.25">
      <c r="B12" s="47" t="s">
        <v>10</v>
      </c>
      <c r="C12" s="48">
        <v>5155167.1518586399</v>
      </c>
      <c r="D12" s="48">
        <v>931958.07802550006</v>
      </c>
      <c r="E12" s="48">
        <v>587009.30578374397</v>
      </c>
      <c r="F12" s="48">
        <v>746343678.42707598</v>
      </c>
      <c r="G12" s="48">
        <v>16871995.552255001</v>
      </c>
      <c r="H12" s="48">
        <v>5023356.6273254203</v>
      </c>
      <c r="I12" s="48">
        <v>2268535872.3852301</v>
      </c>
      <c r="J12" s="48">
        <v>26401908.437607002</v>
      </c>
      <c r="K12" s="54">
        <v>391624195.78853399</v>
      </c>
      <c r="L12" s="48">
        <v>1573888157.2397001</v>
      </c>
      <c r="M12" s="48">
        <v>41221262.718278699</v>
      </c>
      <c r="N12" s="48">
        <v>1449492.1937831601</v>
      </c>
      <c r="O12" s="48">
        <v>2723667194.0023599</v>
      </c>
      <c r="P12" s="48">
        <v>198509.97966079001</v>
      </c>
      <c r="Q12" s="54">
        <v>1431370118.3371501</v>
      </c>
      <c r="R12" s="48">
        <v>24913469.6453203</v>
      </c>
      <c r="S12" s="48">
        <v>12798244.1641945</v>
      </c>
      <c r="T12" s="48">
        <v>2345213.4585225</v>
      </c>
      <c r="U12" s="48">
        <v>10013594736.6877</v>
      </c>
      <c r="V12" s="48">
        <v>61440784.276871301</v>
      </c>
      <c r="W12" s="48">
        <v>2554794255.5517902</v>
      </c>
      <c r="X12" s="48">
        <v>10037300157.930401</v>
      </c>
      <c r="Y12" s="48">
        <v>5654176369.2990599</v>
      </c>
      <c r="Z12" s="48">
        <v>1446148095.62254</v>
      </c>
      <c r="AA12" s="48">
        <v>9453577.0686933193</v>
      </c>
      <c r="AB12" s="48">
        <v>388802325.06907099</v>
      </c>
      <c r="AC12" s="48">
        <v>1126236.41989652</v>
      </c>
      <c r="AD12" s="54">
        <v>4151427.1248487602</v>
      </c>
      <c r="AE12" s="48">
        <v>1181362260.0720999</v>
      </c>
      <c r="AF12" s="48">
        <v>966244794.087098</v>
      </c>
      <c r="AG12" s="48">
        <v>76237049.860961899</v>
      </c>
      <c r="AH12" s="48">
        <v>267338701.773132</v>
      </c>
      <c r="AI12" s="48">
        <v>50563592.199640699</v>
      </c>
      <c r="AJ12" s="53">
        <v>3438131236.08041</v>
      </c>
      <c r="AK12" s="48">
        <v>26290177.274616499</v>
      </c>
      <c r="AL12" s="48">
        <v>17634522.629336201</v>
      </c>
      <c r="AM12" s="48">
        <v>1082945982.09062</v>
      </c>
      <c r="AN12" s="48">
        <v>14511229.4450479</v>
      </c>
      <c r="AO12" s="48">
        <v>73804097.049478203</v>
      </c>
      <c r="AP12" s="48">
        <v>150324081.31433001</v>
      </c>
      <c r="AQ12" s="48">
        <v>2229185536.4520102</v>
      </c>
      <c r="AR12" s="48">
        <v>66376275.2522939</v>
      </c>
      <c r="AS12" s="48">
        <v>2853331.5733872601</v>
      </c>
      <c r="AT12" s="48">
        <v>16820744.376382899</v>
      </c>
      <c r="AU12" s="48">
        <v>1000850414.43529</v>
      </c>
      <c r="AV12" s="48">
        <v>73569787.740979895</v>
      </c>
      <c r="AW12" s="48">
        <v>3074603.8211633102</v>
      </c>
      <c r="AX12" s="51">
        <v>1016749797.6682</v>
      </c>
      <c r="AY12" s="48">
        <v>22004333.3333202</v>
      </c>
      <c r="AZ12" s="48">
        <v>52716432.503022701</v>
      </c>
      <c r="BA12" s="48">
        <v>306042998.09193999</v>
      </c>
      <c r="BB12" s="48">
        <v>36959625.687186398</v>
      </c>
      <c r="BC12" s="48">
        <v>2675060395.86941</v>
      </c>
      <c r="BD12" s="48">
        <v>7802860.5955737</v>
      </c>
      <c r="BE12" s="48">
        <v>71092441.694566295</v>
      </c>
      <c r="BF12" s="48">
        <v>11045202.0535082</v>
      </c>
      <c r="BG12" s="48">
        <v>93347519.861780703</v>
      </c>
      <c r="BH12" s="54">
        <v>31554857.480658799</v>
      </c>
      <c r="BI12" s="48">
        <v>2666180.34493443</v>
      </c>
      <c r="BJ12" s="48">
        <v>7509955.9339504298</v>
      </c>
      <c r="BK12" s="48">
        <v>0</v>
      </c>
      <c r="BL12" s="48">
        <v>118531920.171809</v>
      </c>
      <c r="BM12" s="54">
        <v>3523654.5731650698</v>
      </c>
      <c r="BN12" s="48">
        <v>460318246.78945798</v>
      </c>
      <c r="BO12" s="48">
        <v>2234185069.0506301</v>
      </c>
      <c r="BP12" s="48">
        <v>588903.50320398004</v>
      </c>
      <c r="BQ12" s="48">
        <v>1277736.6857288999</v>
      </c>
      <c r="BR12" s="48">
        <v>320159.363589135</v>
      </c>
    </row>
    <row r="13" spans="1:70" x14ac:dyDescent="0.25">
      <c r="B13" s="47" t="s">
        <v>11</v>
      </c>
      <c r="C13" s="48">
        <v>4098934.6749511398</v>
      </c>
      <c r="D13" s="48">
        <v>1575950.48758464</v>
      </c>
      <c r="E13" s="48">
        <v>976538.54240607203</v>
      </c>
      <c r="F13" s="48">
        <v>640086685.14790201</v>
      </c>
      <c r="G13" s="48">
        <v>18382783.816294599</v>
      </c>
      <c r="H13" s="48">
        <v>4988317.7957506096</v>
      </c>
      <c r="I13" s="48">
        <v>1733360844.6393199</v>
      </c>
      <c r="J13" s="48">
        <v>22022093.7089593</v>
      </c>
      <c r="K13" s="54">
        <v>322733213.99459797</v>
      </c>
      <c r="L13" s="48">
        <v>1222572953.1633799</v>
      </c>
      <c r="M13" s="48">
        <v>32978724.563016701</v>
      </c>
      <c r="N13" s="48">
        <v>1178147.98583721</v>
      </c>
      <c r="O13" s="48">
        <v>2153793393.8147001</v>
      </c>
      <c r="P13" s="48">
        <v>181184.944727305</v>
      </c>
      <c r="Q13" s="54">
        <v>1259873174.7499101</v>
      </c>
      <c r="R13" s="48">
        <v>22712573.133666199</v>
      </c>
      <c r="S13" s="48">
        <v>11571437.111034401</v>
      </c>
      <c r="T13" s="48">
        <v>1957482.57185538</v>
      </c>
      <c r="U13" s="48">
        <v>8496045322.5797796</v>
      </c>
      <c r="V13" s="48">
        <v>48453450.399928898</v>
      </c>
      <c r="W13" s="48">
        <v>2436724321.1740298</v>
      </c>
      <c r="X13" s="48">
        <v>8541511605.0520601</v>
      </c>
      <c r="Y13" s="48">
        <v>4632917525.8060703</v>
      </c>
      <c r="Z13" s="48">
        <v>1172943747.4301901</v>
      </c>
      <c r="AA13" s="48">
        <v>7437330.0826475797</v>
      </c>
      <c r="AB13" s="48">
        <v>289960519.37368602</v>
      </c>
      <c r="AC13" s="48">
        <v>1007679.22987835</v>
      </c>
      <c r="AD13" s="54">
        <v>3813517.4199581202</v>
      </c>
      <c r="AE13" s="48">
        <v>962804360.23769999</v>
      </c>
      <c r="AF13" s="48">
        <v>797357019.40320802</v>
      </c>
      <c r="AG13" s="48">
        <v>66581644.646196701</v>
      </c>
      <c r="AH13" s="48">
        <v>217239780.796249</v>
      </c>
      <c r="AI13" s="48">
        <v>44134110.545158803</v>
      </c>
      <c r="AJ13" s="53">
        <v>3018377811.8597002</v>
      </c>
      <c r="AK13" s="48">
        <v>21042042.425069001</v>
      </c>
      <c r="AL13" s="48">
        <v>17487779.7665621</v>
      </c>
      <c r="AM13" s="48">
        <v>1023812098.29424</v>
      </c>
      <c r="AN13" s="48">
        <v>12326257.963786799</v>
      </c>
      <c r="AO13" s="48">
        <v>65889734.936487898</v>
      </c>
      <c r="AP13" s="48">
        <v>133020991.928545</v>
      </c>
      <c r="AQ13" s="48">
        <v>2109496467.6779001</v>
      </c>
      <c r="AR13" s="48">
        <v>59056318.933217898</v>
      </c>
      <c r="AS13" s="48">
        <v>2651973.6939126202</v>
      </c>
      <c r="AT13" s="48">
        <v>15168875.6127425</v>
      </c>
      <c r="AU13" s="48">
        <v>882165686.48288405</v>
      </c>
      <c r="AV13" s="48">
        <v>69730440.282518402</v>
      </c>
      <c r="AW13" s="48">
        <v>2332934.01069825</v>
      </c>
      <c r="AX13" s="51">
        <v>917594366.97421598</v>
      </c>
      <c r="AY13" s="48">
        <v>20357802.188257899</v>
      </c>
      <c r="AZ13" s="48">
        <v>44395597.389618002</v>
      </c>
      <c r="BA13" s="48">
        <v>258987644.97761899</v>
      </c>
      <c r="BB13" s="48">
        <v>31413057.751023799</v>
      </c>
      <c r="BC13" s="48">
        <v>2415652625.6210198</v>
      </c>
      <c r="BD13" s="48">
        <v>5728381.5689024096</v>
      </c>
      <c r="BE13" s="48">
        <v>57784457.893555403</v>
      </c>
      <c r="BF13" s="48">
        <v>8439692.9226615392</v>
      </c>
      <c r="BG13" s="48">
        <v>80449162.763237804</v>
      </c>
      <c r="BH13" s="54">
        <v>26203286.743044</v>
      </c>
      <c r="BI13" s="48">
        <v>2625027.2211035001</v>
      </c>
      <c r="BJ13" s="48">
        <v>6088006.1540631503</v>
      </c>
      <c r="BK13" s="48">
        <v>0</v>
      </c>
      <c r="BL13" s="48">
        <v>104965875.53024399</v>
      </c>
      <c r="BM13" s="54">
        <v>2841699.9260106999</v>
      </c>
      <c r="BN13" s="48">
        <v>374484384.91307002</v>
      </c>
      <c r="BO13" s="48">
        <v>1748399151.60584</v>
      </c>
      <c r="BP13" s="48">
        <v>470316.050119541</v>
      </c>
      <c r="BQ13" s="48">
        <v>1339659.72840766</v>
      </c>
      <c r="BR13" s="48">
        <v>312738.42940249498</v>
      </c>
    </row>
    <row r="14" spans="1:70" x14ac:dyDescent="0.25">
      <c r="B14" s="47" t="s">
        <v>12</v>
      </c>
      <c r="C14" s="48">
        <v>1880578.5285568901</v>
      </c>
      <c r="D14" s="48">
        <v>644315.63228362903</v>
      </c>
      <c r="E14" s="48">
        <v>414149.02142878098</v>
      </c>
      <c r="F14" s="48">
        <v>331736049.92383999</v>
      </c>
      <c r="G14" s="48">
        <v>6900516.6592630204</v>
      </c>
      <c r="H14" s="48">
        <v>2252090.76177721</v>
      </c>
      <c r="I14" s="48">
        <v>817667887.13492501</v>
      </c>
      <c r="J14" s="48">
        <v>10193483.408250799</v>
      </c>
      <c r="K14" s="54">
        <v>144683268.11320299</v>
      </c>
      <c r="L14" s="48">
        <v>681851186.46518695</v>
      </c>
      <c r="M14" s="48">
        <v>14276882.237611599</v>
      </c>
      <c r="N14" s="48">
        <v>581968.10879888397</v>
      </c>
      <c r="O14" s="48">
        <v>1020679839.22372</v>
      </c>
      <c r="P14" s="48">
        <v>63180.585931053203</v>
      </c>
      <c r="Q14" s="54">
        <v>579048610.71679902</v>
      </c>
      <c r="R14" s="48">
        <v>14895702.574670101</v>
      </c>
      <c r="S14" s="48">
        <v>7034972.3656214001</v>
      </c>
      <c r="T14" s="48">
        <v>1072824.0846176101</v>
      </c>
      <c r="U14" s="48">
        <v>4345113362.3591003</v>
      </c>
      <c r="V14" s="48">
        <v>28546872.1906331</v>
      </c>
      <c r="W14" s="48">
        <v>1448641365.2443299</v>
      </c>
      <c r="X14" s="48">
        <v>4282817137.2817602</v>
      </c>
      <c r="Y14" s="48">
        <v>2429060779.1182899</v>
      </c>
      <c r="Z14" s="48">
        <v>550436257.57852304</v>
      </c>
      <c r="AA14" s="48">
        <v>3357997.3510246798</v>
      </c>
      <c r="AB14" s="48">
        <v>117443096.749163</v>
      </c>
      <c r="AC14" s="48">
        <v>386696.33511241199</v>
      </c>
      <c r="AD14" s="54">
        <v>1998237.5235415199</v>
      </c>
      <c r="AE14" s="48">
        <v>476328218.08502197</v>
      </c>
      <c r="AF14" s="48">
        <v>367793912.97534299</v>
      </c>
      <c r="AG14" s="48">
        <v>35837175.5809021</v>
      </c>
      <c r="AH14" s="48">
        <v>114777644.61765</v>
      </c>
      <c r="AI14" s="48">
        <v>20429677.429261301</v>
      </c>
      <c r="AJ14" s="53">
        <v>1376945245.99699</v>
      </c>
      <c r="AK14" s="48">
        <v>11040182.1418292</v>
      </c>
      <c r="AL14" s="48">
        <v>8492967.6295035202</v>
      </c>
      <c r="AM14" s="48">
        <v>520904887.40440398</v>
      </c>
      <c r="AN14" s="48">
        <v>6353259.3806817997</v>
      </c>
      <c r="AO14" s="48">
        <v>35445755.748157099</v>
      </c>
      <c r="AP14" s="48">
        <v>73576692.501731798</v>
      </c>
      <c r="AQ14" s="48">
        <v>1164468831.8501599</v>
      </c>
      <c r="AR14" s="48">
        <v>27521470.413373701</v>
      </c>
      <c r="AS14" s="48">
        <v>995211.99558013096</v>
      </c>
      <c r="AT14" s="48">
        <v>7214826.2455883101</v>
      </c>
      <c r="AU14" s="48">
        <v>459619444.63076699</v>
      </c>
      <c r="AV14" s="48">
        <v>48697755.127152301</v>
      </c>
      <c r="AW14" s="48">
        <v>1105528.9048053699</v>
      </c>
      <c r="AX14" s="51">
        <v>477290741.10902703</v>
      </c>
      <c r="AY14" s="48">
        <v>11361954.518914901</v>
      </c>
      <c r="AZ14" s="48">
        <v>23090484.518312</v>
      </c>
      <c r="BA14" s="48">
        <v>126906126.64385401</v>
      </c>
      <c r="BB14" s="48">
        <v>13478119.320105599</v>
      </c>
      <c r="BC14" s="48">
        <v>1246134460.7472899</v>
      </c>
      <c r="BD14" s="48">
        <v>2770149.14092944</v>
      </c>
      <c r="BE14" s="48">
        <v>29118407.626104198</v>
      </c>
      <c r="BF14" s="48">
        <v>3503164.2844538102</v>
      </c>
      <c r="BG14" s="48">
        <v>36222162.0858123</v>
      </c>
      <c r="BH14" s="54">
        <v>11899356.973200001</v>
      </c>
      <c r="BI14" s="48">
        <v>1345111.2071547699</v>
      </c>
      <c r="BJ14" s="48">
        <v>0</v>
      </c>
      <c r="BK14" s="48">
        <v>0</v>
      </c>
      <c r="BL14" s="48">
        <v>55140649.928958699</v>
      </c>
      <c r="BM14" s="54">
        <v>1043080.21443215</v>
      </c>
      <c r="BN14" s="48">
        <v>335421427.750561</v>
      </c>
      <c r="BO14" s="48">
        <v>1521623003.3094001</v>
      </c>
      <c r="BP14" s="48">
        <v>376356.24577538</v>
      </c>
      <c r="BQ14" s="48">
        <v>500760.48380611598</v>
      </c>
      <c r="BR14" s="48">
        <v>295818.79527508299</v>
      </c>
    </row>
    <row r="15" spans="1:70" x14ac:dyDescent="0.25">
      <c r="B15" s="47" t="s">
        <v>13</v>
      </c>
      <c r="C15" s="48">
        <v>0</v>
      </c>
      <c r="D15" s="48">
        <v>0</v>
      </c>
      <c r="E15" s="48">
        <v>0</v>
      </c>
      <c r="F15" s="48">
        <v>121412695.448838</v>
      </c>
      <c r="G15" s="48">
        <v>2620819.6535592601</v>
      </c>
      <c r="H15" s="48">
        <v>1101590.1336362399</v>
      </c>
      <c r="I15" s="48">
        <v>318692992.44258898</v>
      </c>
      <c r="J15" s="48">
        <v>3314387.2071120599</v>
      </c>
      <c r="K15" s="54">
        <v>51027652.782793403</v>
      </c>
      <c r="L15" s="48">
        <v>250252359.11323401</v>
      </c>
      <c r="M15" s="48">
        <v>5075469.1946501499</v>
      </c>
      <c r="N15" s="48">
        <v>159206.50294266699</v>
      </c>
      <c r="O15" s="48">
        <v>283131205.925264</v>
      </c>
      <c r="P15" s="48">
        <v>8920.0597592929207</v>
      </c>
      <c r="Q15" s="54">
        <v>182186403.04580799</v>
      </c>
      <c r="R15" s="48">
        <v>6722750.6671989895</v>
      </c>
      <c r="S15" s="48">
        <v>3437929.66630388</v>
      </c>
      <c r="T15" s="48">
        <v>264742.4021523</v>
      </c>
      <c r="U15" s="48">
        <v>1325332020.56917</v>
      </c>
      <c r="V15" s="48">
        <v>11587126.641842499</v>
      </c>
      <c r="W15" s="48">
        <v>621561364.80960798</v>
      </c>
      <c r="X15" s="48">
        <v>1321716717.9937999</v>
      </c>
      <c r="Y15" s="48">
        <v>900630586.78165996</v>
      </c>
      <c r="Z15" s="48">
        <v>177999927.023424</v>
      </c>
      <c r="AA15" s="48">
        <v>1056959.12362143</v>
      </c>
      <c r="AB15" s="48">
        <v>33504245.216451801</v>
      </c>
      <c r="AC15" s="48">
        <v>135725.20641195</v>
      </c>
      <c r="AD15" s="54">
        <v>0</v>
      </c>
      <c r="AE15" s="48">
        <v>159590705.38213199</v>
      </c>
      <c r="AF15" s="48">
        <v>118637908.46581399</v>
      </c>
      <c r="AG15" s="48">
        <v>18413440.922330301</v>
      </c>
      <c r="AH15" s="48">
        <v>41538060.523453102</v>
      </c>
      <c r="AI15" s="48">
        <v>6529167.1136982096</v>
      </c>
      <c r="AJ15" s="53">
        <v>420906607.899225</v>
      </c>
      <c r="AK15" s="48">
        <v>3646903.08936803</v>
      </c>
      <c r="AL15" s="48">
        <v>3366090.04449753</v>
      </c>
      <c r="AM15" s="48">
        <v>197131271.84446999</v>
      </c>
      <c r="AN15" s="48">
        <v>2750468.0013625901</v>
      </c>
      <c r="AO15" s="48">
        <v>17021028.4610928</v>
      </c>
      <c r="AP15" s="48">
        <v>7607789.6717600003</v>
      </c>
      <c r="AQ15" s="48">
        <v>471975888.48871899</v>
      </c>
      <c r="AR15" s="48">
        <v>7076017.9010415897</v>
      </c>
      <c r="AS15" s="48">
        <v>236344.287777213</v>
      </c>
      <c r="AT15" s="48">
        <v>2635757.5976969399</v>
      </c>
      <c r="AU15" s="48">
        <v>184955416.50530899</v>
      </c>
      <c r="AV15" s="48">
        <v>24519859.748081598</v>
      </c>
      <c r="AW15" s="48">
        <v>393581.04273285402</v>
      </c>
      <c r="AX15" s="51">
        <v>195894515.96585599</v>
      </c>
      <c r="AY15" s="48">
        <v>4468434.1250526505</v>
      </c>
      <c r="AZ15" s="48">
        <v>9334324.8477306999</v>
      </c>
      <c r="BA15" s="48">
        <v>42371395.5098233</v>
      </c>
      <c r="BB15" s="48">
        <v>4179712.68947929</v>
      </c>
      <c r="BC15" s="48">
        <v>472966762.647515</v>
      </c>
      <c r="BD15" s="48">
        <v>834837.97738363896</v>
      </c>
      <c r="BE15" s="48">
        <v>9069395.9921192303</v>
      </c>
      <c r="BF15" s="48">
        <v>1284118.6463103101</v>
      </c>
      <c r="BG15" s="48">
        <v>11957386.7069089</v>
      </c>
      <c r="BH15" s="54">
        <v>4649398.4949406097</v>
      </c>
      <c r="BI15" s="48">
        <v>725464.27012385603</v>
      </c>
      <c r="BJ15" s="48">
        <v>0</v>
      </c>
      <c r="BK15" s="48">
        <v>0</v>
      </c>
      <c r="BL15" s="48">
        <v>21745020.171485301</v>
      </c>
      <c r="BM15" s="54">
        <v>331589.73304295499</v>
      </c>
      <c r="BN15" s="48">
        <v>317375100.04321802</v>
      </c>
      <c r="BO15" s="48">
        <v>1505361429.7616601</v>
      </c>
      <c r="BP15" s="48">
        <v>234918.084504375</v>
      </c>
      <c r="BQ15" s="48">
        <v>222986.68101790399</v>
      </c>
      <c r="BR15" s="48">
        <v>227032.64230403199</v>
      </c>
    </row>
    <row r="16" spans="1:70" x14ac:dyDescent="0.25">
      <c r="B16" s="47" t="s">
        <v>14</v>
      </c>
      <c r="C16" s="48">
        <v>6230689.7851165999</v>
      </c>
      <c r="D16" s="48">
        <v>1255376.6084105701</v>
      </c>
      <c r="E16" s="48">
        <v>714256.40099544905</v>
      </c>
      <c r="F16" s="48">
        <v>589131498.95670199</v>
      </c>
      <c r="G16" s="48">
        <v>15968265.9268688</v>
      </c>
      <c r="H16" s="48">
        <v>4670843.7559846602</v>
      </c>
      <c r="I16" s="48">
        <v>2152652161.4124498</v>
      </c>
      <c r="J16" s="48">
        <v>28107615.066532299</v>
      </c>
      <c r="K16" s="54">
        <v>297117677.919119</v>
      </c>
      <c r="L16" s="48">
        <v>1297772620.2581201</v>
      </c>
      <c r="M16" s="48">
        <v>38936193.013076097</v>
      </c>
      <c r="N16" s="48">
        <v>1263820.69540589</v>
      </c>
      <c r="O16" s="48">
        <v>2326182055.82687</v>
      </c>
      <c r="P16" s="48">
        <v>377279.53372635302</v>
      </c>
      <c r="Q16" s="54">
        <v>2465300696.0011902</v>
      </c>
      <c r="R16" s="48">
        <v>10647994.4040819</v>
      </c>
      <c r="S16" s="48">
        <v>12414770.958694</v>
      </c>
      <c r="T16" s="48">
        <v>2222466.5351614002</v>
      </c>
      <c r="U16" s="48">
        <v>8894891416.0269699</v>
      </c>
      <c r="V16" s="48">
        <v>62022506.546757698</v>
      </c>
      <c r="W16" s="48">
        <v>2108440397.2147501</v>
      </c>
      <c r="X16" s="48">
        <v>9014106100.1464901</v>
      </c>
      <c r="Y16" s="48">
        <v>5048795622.8568001</v>
      </c>
      <c r="Z16" s="48">
        <v>1153977435.52967</v>
      </c>
      <c r="AA16" s="48">
        <v>11981028.1515547</v>
      </c>
      <c r="AB16" s="48">
        <v>322664680.475546</v>
      </c>
      <c r="AC16" s="48">
        <v>858101.08752162894</v>
      </c>
      <c r="AD16" s="54">
        <v>4893517.9691997804</v>
      </c>
      <c r="AE16" s="48">
        <v>863474625.06601703</v>
      </c>
      <c r="AF16" s="48">
        <v>730341958.46812105</v>
      </c>
      <c r="AG16" s="48">
        <v>68115798.797800407</v>
      </c>
      <c r="AH16" s="48">
        <v>263557489.04511601</v>
      </c>
      <c r="AI16" s="48">
        <v>43814929.586057901</v>
      </c>
      <c r="AJ16" s="53">
        <v>3357844073.1803799</v>
      </c>
      <c r="AK16" s="48">
        <v>24766179.279608998</v>
      </c>
      <c r="AL16" s="48">
        <v>12512011.094302701</v>
      </c>
      <c r="AM16" s="48">
        <v>848108788.72328103</v>
      </c>
      <c r="AN16" s="48">
        <v>12949400.8138503</v>
      </c>
      <c r="AO16" s="48">
        <v>65210235.621838696</v>
      </c>
      <c r="AP16" s="48">
        <v>128701313.972573</v>
      </c>
      <c r="AQ16" s="48">
        <v>2018298596.01125</v>
      </c>
      <c r="AR16" s="48">
        <v>47804880.073028602</v>
      </c>
      <c r="AS16" s="48">
        <v>2416130.7065441599</v>
      </c>
      <c r="AT16" s="48">
        <v>15903155.586784201</v>
      </c>
      <c r="AU16" s="48">
        <v>937875146.59391201</v>
      </c>
      <c r="AV16" s="48">
        <v>69166397.431452498</v>
      </c>
      <c r="AW16" s="48">
        <v>1537370.38764791</v>
      </c>
      <c r="AX16" s="51">
        <v>947283572.90404606</v>
      </c>
      <c r="AY16" s="48">
        <v>15765046.531029001</v>
      </c>
      <c r="AZ16" s="48">
        <v>33247244.645835798</v>
      </c>
      <c r="BA16" s="48">
        <v>253574677.02407199</v>
      </c>
      <c r="BB16" s="48">
        <v>23978293.685922101</v>
      </c>
      <c r="BC16" s="48">
        <v>2487363647.1135302</v>
      </c>
      <c r="BD16" s="48">
        <v>6534889.05592719</v>
      </c>
      <c r="BE16" s="48">
        <v>70958571.756617606</v>
      </c>
      <c r="BF16" s="48">
        <v>4910292.7457370702</v>
      </c>
      <c r="BG16" s="48">
        <v>94427681.568053395</v>
      </c>
      <c r="BH16" s="54">
        <v>36419410.083419502</v>
      </c>
      <c r="BI16" s="48">
        <v>2791461.2133966698</v>
      </c>
      <c r="BJ16" s="48">
        <v>10296161.5244349</v>
      </c>
      <c r="BK16" s="48">
        <v>75997.026541018597</v>
      </c>
      <c r="BL16" s="48">
        <v>106347333.13877299</v>
      </c>
      <c r="BM16" s="54">
        <v>1715092.8230357501</v>
      </c>
      <c r="BN16" s="48">
        <v>452763177.44793099</v>
      </c>
      <c r="BO16" s="48">
        <v>2210124529.5149498</v>
      </c>
      <c r="BP16" s="48">
        <v>588342.48023491597</v>
      </c>
      <c r="BQ16" s="48">
        <v>1458142.2105425701</v>
      </c>
      <c r="BR16" s="48">
        <v>307864.45747854398</v>
      </c>
    </row>
    <row r="17" spans="2:70" x14ac:dyDescent="0.25">
      <c r="B17" s="47" t="s">
        <v>15</v>
      </c>
      <c r="C17" s="48">
        <v>4187827.3905202001</v>
      </c>
      <c r="D17" s="48">
        <v>1722456.5869072599</v>
      </c>
      <c r="E17" s="48">
        <v>802793.98867761903</v>
      </c>
      <c r="F17" s="48">
        <v>509393989.644503</v>
      </c>
      <c r="G17" s="48">
        <v>14085159.2198286</v>
      </c>
      <c r="H17" s="48">
        <v>3192196.9549017302</v>
      </c>
      <c r="I17" s="48">
        <v>1775697310.6379399</v>
      </c>
      <c r="J17" s="48">
        <v>21804075.962388799</v>
      </c>
      <c r="K17" s="54">
        <v>223763948.10482001</v>
      </c>
      <c r="L17" s="48">
        <v>1129439883.7807</v>
      </c>
      <c r="M17" s="48">
        <v>29087403.3515229</v>
      </c>
      <c r="N17" s="48">
        <v>850300.73159722204</v>
      </c>
      <c r="O17" s="48">
        <v>1733554021.34955</v>
      </c>
      <c r="P17" s="48">
        <v>165326.26331316601</v>
      </c>
      <c r="Q17" s="54">
        <v>1629584513.5169101</v>
      </c>
      <c r="R17" s="48">
        <v>9130573.9221341591</v>
      </c>
      <c r="S17" s="48">
        <v>10263064.794766201</v>
      </c>
      <c r="T17" s="48">
        <v>1810585.4802244999</v>
      </c>
      <c r="U17" s="48">
        <v>6538156158.8925896</v>
      </c>
      <c r="V17" s="48">
        <v>48435623.114374198</v>
      </c>
      <c r="W17" s="48">
        <v>1479611872.3746901</v>
      </c>
      <c r="X17" s="48">
        <v>6534072800.9100599</v>
      </c>
      <c r="Y17" s="48">
        <v>3628091033.6285601</v>
      </c>
      <c r="Z17" s="48">
        <v>807450019.18650901</v>
      </c>
      <c r="AA17" s="48">
        <v>7533857.7841088697</v>
      </c>
      <c r="AB17" s="48">
        <v>208469243.94197899</v>
      </c>
      <c r="AC17" s="48">
        <v>624626.03238240595</v>
      </c>
      <c r="AD17" s="54">
        <v>3114207.3974740398</v>
      </c>
      <c r="AE17" s="48">
        <v>652060865.34915698</v>
      </c>
      <c r="AF17" s="48">
        <v>553987972.78219604</v>
      </c>
      <c r="AG17" s="48">
        <v>53314818.745001502</v>
      </c>
      <c r="AH17" s="48">
        <v>202243504.414675</v>
      </c>
      <c r="AI17" s="48">
        <v>32330401.357904501</v>
      </c>
      <c r="AJ17" s="53">
        <v>2363380542.1346698</v>
      </c>
      <c r="AK17" s="48">
        <v>19258712.587283701</v>
      </c>
      <c r="AL17" s="48">
        <v>8649124.2753954995</v>
      </c>
      <c r="AM17" s="48">
        <v>605748945.69004202</v>
      </c>
      <c r="AN17" s="48">
        <v>9823237.7072703894</v>
      </c>
      <c r="AO17" s="48">
        <v>53011212.400400698</v>
      </c>
      <c r="AP17" s="48">
        <v>95762511.235820502</v>
      </c>
      <c r="AQ17" s="48">
        <v>1574921415.4182601</v>
      </c>
      <c r="AR17" s="48">
        <v>31823022.631506301</v>
      </c>
      <c r="AS17" s="48">
        <v>1683057.4620821299</v>
      </c>
      <c r="AT17" s="48">
        <v>10306196.656773999</v>
      </c>
      <c r="AU17" s="48">
        <v>664335909.55880105</v>
      </c>
      <c r="AV17" s="48">
        <v>60992232.073100999</v>
      </c>
      <c r="AW17" s="48">
        <v>965701.276948874</v>
      </c>
      <c r="AX17" s="51">
        <v>711761099.29708695</v>
      </c>
      <c r="AY17" s="48">
        <v>11028118.363876799</v>
      </c>
      <c r="AZ17" s="48">
        <v>21038315.612136599</v>
      </c>
      <c r="BA17" s="48">
        <v>162677784.41832799</v>
      </c>
      <c r="BB17" s="48">
        <v>14152251.7592494</v>
      </c>
      <c r="BC17" s="48">
        <v>1941268966.37448</v>
      </c>
      <c r="BD17" s="48">
        <v>4265473.1488124495</v>
      </c>
      <c r="BE17" s="48">
        <v>50140441.041243501</v>
      </c>
      <c r="BF17" s="48">
        <v>3755967.9288033098</v>
      </c>
      <c r="BG17" s="48">
        <v>66728176.814763904</v>
      </c>
      <c r="BH17" s="54">
        <v>23529273.6306381</v>
      </c>
      <c r="BI17" s="48">
        <v>1520202.91421294</v>
      </c>
      <c r="BJ17" s="48">
        <v>6157294.5932739396</v>
      </c>
      <c r="BK17" s="48">
        <v>46530.018176030899</v>
      </c>
      <c r="BL17" s="48">
        <v>71503544.925493196</v>
      </c>
      <c r="BM17" s="54">
        <v>1194480.2685109701</v>
      </c>
      <c r="BN17" s="48">
        <v>310390891.69336098</v>
      </c>
      <c r="BO17" s="48">
        <v>1568130749.2044499</v>
      </c>
      <c r="BP17" s="48">
        <v>319966.31429041998</v>
      </c>
      <c r="BQ17" s="48">
        <v>966942.931990874</v>
      </c>
      <c r="BR17" s="48">
        <v>442109.96772500902</v>
      </c>
    </row>
    <row r="18" spans="2:70" x14ac:dyDescent="0.25">
      <c r="B18" s="47" t="s">
        <v>16</v>
      </c>
      <c r="C18" s="48">
        <v>789437.86639906396</v>
      </c>
      <c r="D18" s="48">
        <v>297021.12888186797</v>
      </c>
      <c r="E18" s="48">
        <v>308811.791568955</v>
      </c>
      <c r="F18" s="48">
        <v>126518691.677238</v>
      </c>
      <c r="G18" s="48">
        <v>3163875.5024263002</v>
      </c>
      <c r="H18" s="48">
        <v>972210.86225051899</v>
      </c>
      <c r="I18" s="48">
        <v>387681675.754412</v>
      </c>
      <c r="J18" s="48">
        <v>4376067.9743086202</v>
      </c>
      <c r="K18" s="54">
        <v>44331484.450698599</v>
      </c>
      <c r="L18" s="48">
        <v>285648232.28304398</v>
      </c>
      <c r="M18" s="48">
        <v>6020106.4891308201</v>
      </c>
      <c r="N18" s="48">
        <v>158750.54078422999</v>
      </c>
      <c r="O18" s="48">
        <v>295896650.42299098</v>
      </c>
      <c r="P18" s="48">
        <v>24753.3134185458</v>
      </c>
      <c r="Q18" s="54">
        <v>381804770.90518999</v>
      </c>
      <c r="R18" s="48">
        <v>2857377.6334400098</v>
      </c>
      <c r="S18" s="48">
        <v>3332015.5251698801</v>
      </c>
      <c r="T18" s="48">
        <v>376990.38531889103</v>
      </c>
      <c r="U18" s="48">
        <v>1386609502.5806899</v>
      </c>
      <c r="V18" s="48">
        <v>14009753.022289</v>
      </c>
      <c r="W18" s="48">
        <v>617948937.95499206</v>
      </c>
      <c r="X18" s="48">
        <v>1374938414.2703199</v>
      </c>
      <c r="Y18" s="48">
        <v>954464469.041085</v>
      </c>
      <c r="Z18" s="48">
        <v>183486832.80093399</v>
      </c>
      <c r="AA18" s="48">
        <v>1882728.1559881701</v>
      </c>
      <c r="AB18" s="48">
        <v>34568055.389614001</v>
      </c>
      <c r="AC18" s="48">
        <v>95768.142659149104</v>
      </c>
      <c r="AD18" s="54">
        <v>0</v>
      </c>
      <c r="AE18" s="48">
        <v>147465486.714302</v>
      </c>
      <c r="AF18" s="48">
        <v>123207721.60759</v>
      </c>
      <c r="AG18" s="48">
        <v>18593974.310210001</v>
      </c>
      <c r="AH18" s="48">
        <v>48306875.571441904</v>
      </c>
      <c r="AI18" s="48">
        <v>7566941.6105171302</v>
      </c>
      <c r="AJ18" s="53">
        <v>485066978.55440402</v>
      </c>
      <c r="AK18" s="48">
        <v>4662590.7656304296</v>
      </c>
      <c r="AL18" s="48">
        <v>3277028.81894125</v>
      </c>
      <c r="AM18" s="48">
        <v>206839560.80717</v>
      </c>
      <c r="AN18" s="48">
        <v>3080740.7120448202</v>
      </c>
      <c r="AO18" s="48">
        <v>18550418.060928099</v>
      </c>
      <c r="AP18" s="48">
        <v>13973683.4406588</v>
      </c>
      <c r="AQ18" s="48">
        <v>528632414.69015098</v>
      </c>
      <c r="AR18" s="48">
        <v>7227429.1154406304</v>
      </c>
      <c r="AS18" s="48">
        <v>373259.31292131502</v>
      </c>
      <c r="AT18" s="48">
        <v>3143306.75735329</v>
      </c>
      <c r="AU18" s="48">
        <v>198486753.01015699</v>
      </c>
      <c r="AV18" s="48">
        <v>28074826.386724599</v>
      </c>
      <c r="AW18" s="48">
        <v>196884.799344981</v>
      </c>
      <c r="AX18" s="51">
        <v>211278184.182006</v>
      </c>
      <c r="AY18" s="48">
        <v>4551183.1892009098</v>
      </c>
      <c r="AZ18" s="48">
        <v>8321158.1884866999</v>
      </c>
      <c r="BA18" s="48">
        <v>51961895.011073403</v>
      </c>
      <c r="BB18" s="48">
        <v>4229755.5411762502</v>
      </c>
      <c r="BC18" s="48">
        <v>522312760.84563398</v>
      </c>
      <c r="BD18" s="48">
        <v>1418493.3943561099</v>
      </c>
      <c r="BE18" s="48">
        <v>12954465.908449501</v>
      </c>
      <c r="BF18" s="48">
        <v>1053282.74994838</v>
      </c>
      <c r="BG18" s="48">
        <v>16646100.3364715</v>
      </c>
      <c r="BH18" s="54">
        <v>5887448.51459454</v>
      </c>
      <c r="BI18" s="48">
        <v>822707.88280271098</v>
      </c>
      <c r="BJ18" s="48">
        <v>0</v>
      </c>
      <c r="BK18" s="48">
        <v>0</v>
      </c>
      <c r="BL18" s="48">
        <v>23052815.131753501</v>
      </c>
      <c r="BM18" s="54">
        <v>0</v>
      </c>
      <c r="BN18" s="48">
        <v>331918198.30174297</v>
      </c>
      <c r="BO18" s="48">
        <v>1489259841.3531899</v>
      </c>
      <c r="BP18" s="48">
        <v>293764.47578624199</v>
      </c>
      <c r="BQ18" s="48">
        <v>336081.34086504899</v>
      </c>
      <c r="BR18" s="48">
        <v>316598.24377725599</v>
      </c>
    </row>
    <row r="19" spans="2:70" x14ac:dyDescent="0.25">
      <c r="B19" s="47" t="s">
        <v>17</v>
      </c>
      <c r="C19" s="48">
        <v>1644556.0603844901</v>
      </c>
      <c r="D19" s="48">
        <v>581903.94602226105</v>
      </c>
      <c r="E19" s="48">
        <v>0</v>
      </c>
      <c r="F19" s="48">
        <v>218285498.406405</v>
      </c>
      <c r="G19" s="48">
        <v>3927824.8703564899</v>
      </c>
      <c r="H19" s="48">
        <v>1571744.09417878</v>
      </c>
      <c r="I19" s="48">
        <v>598994031.94950902</v>
      </c>
      <c r="J19" s="48">
        <v>7470446.0988234198</v>
      </c>
      <c r="K19" s="54">
        <v>77691266.025207594</v>
      </c>
      <c r="L19" s="48">
        <v>481720549.70419198</v>
      </c>
      <c r="M19" s="48">
        <v>11018704.2625375</v>
      </c>
      <c r="N19" s="48">
        <v>300012.65124193602</v>
      </c>
      <c r="O19" s="48">
        <v>588895085.26821899</v>
      </c>
      <c r="P19" s="48">
        <v>74379.717439441403</v>
      </c>
      <c r="Q19" s="54">
        <v>609500398.39443803</v>
      </c>
      <c r="R19" s="48">
        <v>4185673.4605568699</v>
      </c>
      <c r="S19" s="48">
        <v>5490224.5974292196</v>
      </c>
      <c r="T19" s="48">
        <v>664197.30049774202</v>
      </c>
      <c r="U19" s="48">
        <v>2535159396.2912698</v>
      </c>
      <c r="V19" s="48">
        <v>23113139.608545799</v>
      </c>
      <c r="W19" s="48">
        <v>942682173.13357401</v>
      </c>
      <c r="X19" s="48">
        <v>2588953211.4249401</v>
      </c>
      <c r="Y19" s="48">
        <v>1549484944.16957</v>
      </c>
      <c r="Z19" s="48">
        <v>322589672.11776203</v>
      </c>
      <c r="AA19" s="48">
        <v>3337339.4288059501</v>
      </c>
      <c r="AB19" s="48">
        <v>63958535.523683697</v>
      </c>
      <c r="AC19" s="48">
        <v>268579.81731800199</v>
      </c>
      <c r="AD19" s="54">
        <v>1750951.3076001301</v>
      </c>
      <c r="AE19" s="48">
        <v>269366244.51120502</v>
      </c>
      <c r="AF19" s="48">
        <v>223334450.717796</v>
      </c>
      <c r="AG19" s="48">
        <v>24761446.462885398</v>
      </c>
      <c r="AH19" s="48">
        <v>79723864.147498593</v>
      </c>
      <c r="AI19" s="48">
        <v>11950094.1023464</v>
      </c>
      <c r="AJ19" s="53">
        <v>839731536.27858496</v>
      </c>
      <c r="AK19" s="48">
        <v>7406477.8230362497</v>
      </c>
      <c r="AL19" s="48">
        <v>5246436.6965580098</v>
      </c>
      <c r="AM19" s="48">
        <v>334074504.273498</v>
      </c>
      <c r="AN19" s="48">
        <v>4341711.1139287697</v>
      </c>
      <c r="AO19" s="48">
        <v>24562227.244266801</v>
      </c>
      <c r="AP19" s="48">
        <v>53175300.600518502</v>
      </c>
      <c r="AQ19" s="48">
        <v>811007736.347507</v>
      </c>
      <c r="AR19" s="48">
        <v>14814852.4098172</v>
      </c>
      <c r="AS19" s="48">
        <v>445020.46787888801</v>
      </c>
      <c r="AT19" s="48">
        <v>4747707.88347694</v>
      </c>
      <c r="AU19" s="48">
        <v>299407681.87901199</v>
      </c>
      <c r="AV19" s="48">
        <v>39264167.867700703</v>
      </c>
      <c r="AW19" s="48">
        <v>471874.99620343797</v>
      </c>
      <c r="AX19" s="51">
        <v>311830060.41932398</v>
      </c>
      <c r="AY19" s="48">
        <v>7036625.8036353998</v>
      </c>
      <c r="AZ19" s="48">
        <v>13193144.344988501</v>
      </c>
      <c r="BA19" s="48">
        <v>90195735.422244698</v>
      </c>
      <c r="BB19" s="48">
        <v>7947288.2223902503</v>
      </c>
      <c r="BC19" s="48">
        <v>755852845.82546401</v>
      </c>
      <c r="BD19" s="48">
        <v>2085515.6232669801</v>
      </c>
      <c r="BE19" s="48">
        <v>22439687.353505399</v>
      </c>
      <c r="BF19" s="48">
        <v>1598232.38470471</v>
      </c>
      <c r="BG19" s="48">
        <v>25382974.715259898</v>
      </c>
      <c r="BH19" s="54">
        <v>9439511.9613419008</v>
      </c>
      <c r="BI19" s="48">
        <v>945460.32832451595</v>
      </c>
      <c r="BJ19" s="48">
        <v>0</v>
      </c>
      <c r="BK19" s="48">
        <v>0</v>
      </c>
      <c r="BL19" s="48">
        <v>36289055.2536835</v>
      </c>
      <c r="BM19" s="54">
        <v>568549.53808102605</v>
      </c>
      <c r="BN19" s="48">
        <v>284575598.79341102</v>
      </c>
      <c r="BO19" s="48">
        <v>1425280366.2759199</v>
      </c>
      <c r="BP19" s="48">
        <v>286767.09772395203</v>
      </c>
      <c r="BQ19" s="48">
        <v>426478.669039445</v>
      </c>
      <c r="BR19" s="48">
        <v>310336.82241474598</v>
      </c>
    </row>
    <row r="20" spans="2:70" x14ac:dyDescent="0.25">
      <c r="B20" s="47" t="s">
        <v>18</v>
      </c>
      <c r="C20" s="48">
        <v>5803885.6774865398</v>
      </c>
      <c r="D20" s="48">
        <v>1299361.6170085301</v>
      </c>
      <c r="E20" s="48">
        <v>741073.76647833595</v>
      </c>
      <c r="F20" s="48">
        <v>549275524.69850302</v>
      </c>
      <c r="G20" s="48">
        <v>12554691.295329301</v>
      </c>
      <c r="H20" s="48">
        <v>4342040.7250055298</v>
      </c>
      <c r="I20" s="48">
        <v>1844149136.5419099</v>
      </c>
      <c r="J20" s="48">
        <v>27799553.669756401</v>
      </c>
      <c r="K20" s="54">
        <v>260742789.784825</v>
      </c>
      <c r="L20" s="48">
        <v>1282584112.8258901</v>
      </c>
      <c r="M20" s="48">
        <v>38609004.824966997</v>
      </c>
      <c r="N20" s="48">
        <v>1080538.5127024399</v>
      </c>
      <c r="O20" s="48">
        <v>2130461022.5458901</v>
      </c>
      <c r="P20" s="48">
        <v>237507.95994104899</v>
      </c>
      <c r="Q20" s="54">
        <v>2417809251.5611701</v>
      </c>
      <c r="R20" s="48">
        <v>8267615.4276841702</v>
      </c>
      <c r="S20" s="48">
        <v>12033489.5832796</v>
      </c>
      <c r="T20" s="48">
        <v>2092638.08734987</v>
      </c>
      <c r="U20" s="48">
        <v>7913918054.9059896</v>
      </c>
      <c r="V20" s="48">
        <v>60978868.8937729</v>
      </c>
      <c r="W20" s="48">
        <v>1975573043.2864001</v>
      </c>
      <c r="X20" s="48">
        <v>7922215277.8021803</v>
      </c>
      <c r="Y20" s="48">
        <v>4416066084.7383003</v>
      </c>
      <c r="Z20" s="48">
        <v>1005651239.71662</v>
      </c>
      <c r="AA20" s="48">
        <v>12057892.0479974</v>
      </c>
      <c r="AB20" s="48">
        <v>267437580.84836</v>
      </c>
      <c r="AC20" s="48">
        <v>686181.91723856004</v>
      </c>
      <c r="AD20" s="54">
        <v>4683803.0417403001</v>
      </c>
      <c r="AE20" s="48">
        <v>795035722.99024701</v>
      </c>
      <c r="AF20" s="48">
        <v>671095815.472067</v>
      </c>
      <c r="AG20" s="48">
        <v>62023311.003028996</v>
      </c>
      <c r="AH20" s="48">
        <v>232688724.23081201</v>
      </c>
      <c r="AI20" s="48">
        <v>38637843.311669901</v>
      </c>
      <c r="AJ20" s="53">
        <v>2965788546.4303498</v>
      </c>
      <c r="AK20" s="48">
        <v>23374963.615072001</v>
      </c>
      <c r="AL20" s="48">
        <v>11511579.484121099</v>
      </c>
      <c r="AM20" s="48">
        <v>795929044.44911206</v>
      </c>
      <c r="AN20" s="48">
        <v>11508146.5060654</v>
      </c>
      <c r="AO20" s="48">
        <v>59312557.706965297</v>
      </c>
      <c r="AP20" s="48">
        <v>130440351.323791</v>
      </c>
      <c r="AQ20" s="48">
        <v>1912493924.8571999</v>
      </c>
      <c r="AR20" s="48">
        <v>44185383.178266302</v>
      </c>
      <c r="AS20" s="48">
        <v>2138199.3699643901</v>
      </c>
      <c r="AT20" s="48">
        <v>13778472.988658199</v>
      </c>
      <c r="AU20" s="48">
        <v>854089638.08654404</v>
      </c>
      <c r="AV20" s="48">
        <v>65383477.526384696</v>
      </c>
      <c r="AW20" s="48">
        <v>1366480.1178450999</v>
      </c>
      <c r="AX20" s="51">
        <v>853955143.92858005</v>
      </c>
      <c r="AY20" s="48">
        <v>14693108.586423</v>
      </c>
      <c r="AZ20" s="48">
        <v>31384513.983381201</v>
      </c>
      <c r="BA20" s="48">
        <v>236089106.18971899</v>
      </c>
      <c r="BB20" s="48">
        <v>21626577.445216399</v>
      </c>
      <c r="BC20" s="48">
        <v>2309990352.8564901</v>
      </c>
      <c r="BD20" s="48">
        <v>5889690.5774454903</v>
      </c>
      <c r="BE20" s="48">
        <v>70145227.301701903</v>
      </c>
      <c r="BF20" s="48">
        <v>4625356.8304741196</v>
      </c>
      <c r="BG20" s="48">
        <v>83690255.129619002</v>
      </c>
      <c r="BH20" s="54">
        <v>33633234.622518599</v>
      </c>
      <c r="BI20" s="48">
        <v>2098946.7783159702</v>
      </c>
      <c r="BJ20" s="48">
        <v>9286217.7968258504</v>
      </c>
      <c r="BK20" s="48">
        <v>52679.728413317702</v>
      </c>
      <c r="BL20" s="48">
        <v>95943080.418325096</v>
      </c>
      <c r="BM20" s="54">
        <v>2182921.88757776</v>
      </c>
      <c r="BN20" s="48">
        <v>411331340.53184801</v>
      </c>
      <c r="BO20" s="48">
        <v>2085908589.0122001</v>
      </c>
      <c r="BP20" s="48">
        <v>425663.54291419202</v>
      </c>
      <c r="BQ20" s="48">
        <v>1290049.0069587899</v>
      </c>
      <c r="BR20" s="48">
        <v>337147.38195578603</v>
      </c>
    </row>
    <row r="21" spans="2:70" x14ac:dyDescent="0.25">
      <c r="B21" s="47" t="s">
        <v>215</v>
      </c>
      <c r="C21" s="48">
        <v>4384307.4762643697</v>
      </c>
      <c r="D21" s="48">
        <v>1428996.47082546</v>
      </c>
      <c r="E21" s="48">
        <v>889152.79512215301</v>
      </c>
      <c r="F21" s="48">
        <v>664790907.64436996</v>
      </c>
      <c r="G21" s="48">
        <v>20018300.491751</v>
      </c>
      <c r="H21" s="48">
        <v>4597688.03528326</v>
      </c>
      <c r="I21" s="48">
        <v>1816820898.4275401</v>
      </c>
      <c r="J21" s="48">
        <v>23637762.359182298</v>
      </c>
      <c r="K21" s="54">
        <v>338367238.50299102</v>
      </c>
      <c r="L21" s="48">
        <v>1314152709.78636</v>
      </c>
      <c r="M21" s="48">
        <v>34301790.664156802</v>
      </c>
      <c r="N21" s="48">
        <v>1228314.9763753701</v>
      </c>
      <c r="O21" s="48">
        <v>2275734921.3389502</v>
      </c>
      <c r="P21" s="48">
        <v>145329.96965506001</v>
      </c>
      <c r="Q21" s="54">
        <v>1080418108.1865799</v>
      </c>
      <c r="R21" s="48">
        <v>25229750.866872001</v>
      </c>
      <c r="S21" s="48">
        <v>11956574.578680299</v>
      </c>
      <c r="T21" s="48">
        <v>2036417.6613097701</v>
      </c>
      <c r="U21" s="48">
        <v>8921033649.7302799</v>
      </c>
      <c r="V21" s="48">
        <v>49811177.919910297</v>
      </c>
      <c r="W21" s="48">
        <v>2457957917.3962202</v>
      </c>
      <c r="X21" s="48">
        <v>8771300769.0601997</v>
      </c>
      <c r="Y21" s="48">
        <v>4948459551.2841101</v>
      </c>
      <c r="Z21" s="48">
        <v>1220725360.0156901</v>
      </c>
      <c r="AA21" s="48">
        <v>7659863.7389646601</v>
      </c>
      <c r="AB21" s="48">
        <v>311127651.23504198</v>
      </c>
      <c r="AC21" s="48">
        <v>896102.60187677003</v>
      </c>
      <c r="AD21" s="54">
        <v>3536363.8382962001</v>
      </c>
      <c r="AE21" s="48">
        <v>1050495561.96541</v>
      </c>
      <c r="AF21" s="48">
        <v>815475450.56839299</v>
      </c>
      <c r="AG21" s="48">
        <v>68162550.723966196</v>
      </c>
      <c r="AH21" s="48">
        <v>231849664.402446</v>
      </c>
      <c r="AI21" s="48">
        <v>43061092.477330104</v>
      </c>
      <c r="AJ21" s="53">
        <v>2975226130.4043298</v>
      </c>
      <c r="AK21" s="48">
        <v>23380225.249846701</v>
      </c>
      <c r="AL21" s="48">
        <v>16469417.0459744</v>
      </c>
      <c r="AM21" s="48">
        <v>980912237.39171696</v>
      </c>
      <c r="AN21" s="48">
        <v>12548475.8648091</v>
      </c>
      <c r="AO21" s="48">
        <v>68011624.288564697</v>
      </c>
      <c r="AP21" s="48">
        <v>141983725.513035</v>
      </c>
      <c r="AQ21" s="48">
        <v>2046731390.1027901</v>
      </c>
      <c r="AR21" s="48">
        <v>56222113.989477903</v>
      </c>
      <c r="AS21" s="48">
        <v>2800490.2285224898</v>
      </c>
      <c r="AT21" s="48">
        <v>15802656.8268796</v>
      </c>
      <c r="AU21" s="48">
        <v>896780028.38397598</v>
      </c>
      <c r="AV21" s="48">
        <v>72901604.3203201</v>
      </c>
      <c r="AW21" s="48">
        <v>2529075.8623741302</v>
      </c>
      <c r="AX21" s="51">
        <v>941986365.74702203</v>
      </c>
      <c r="AY21" s="48">
        <v>19489630.8246147</v>
      </c>
      <c r="AZ21" s="48">
        <v>45136714.313796103</v>
      </c>
      <c r="BA21" s="48">
        <v>262988568.161284</v>
      </c>
      <c r="BB21" s="48">
        <v>32768534.1220873</v>
      </c>
      <c r="BC21" s="48">
        <v>2453316032.60501</v>
      </c>
      <c r="BD21" s="48">
        <v>5808144.9857079796</v>
      </c>
      <c r="BE21" s="48">
        <v>58484365.020939901</v>
      </c>
      <c r="BF21" s="48">
        <v>9937457.7218245603</v>
      </c>
      <c r="BG21" s="48">
        <v>78806340.9909008</v>
      </c>
      <c r="BH21" s="54">
        <v>26061359.995459002</v>
      </c>
      <c r="BI21" s="48">
        <v>2812091.85551898</v>
      </c>
      <c r="BJ21" s="48">
        <v>5749631.5476811603</v>
      </c>
      <c r="BK21" s="48">
        <v>0</v>
      </c>
      <c r="BL21" s="48">
        <v>105024214.978791</v>
      </c>
      <c r="BM21" s="54">
        <v>2946769.4911960401</v>
      </c>
      <c r="BN21" s="48">
        <v>381373342.27103698</v>
      </c>
      <c r="BO21" s="48">
        <v>1867692487.4189899</v>
      </c>
      <c r="BP21" s="48">
        <v>396532.940961577</v>
      </c>
      <c r="BQ21" s="48">
        <v>1169495.6518299801</v>
      </c>
      <c r="BR21" s="48">
        <v>270508.212304877</v>
      </c>
    </row>
    <row r="22" spans="2:70" x14ac:dyDescent="0.25">
      <c r="B22" s="47" t="s">
        <v>19</v>
      </c>
      <c r="C22" s="48">
        <v>2866054.1070415298</v>
      </c>
      <c r="D22" s="48">
        <v>790408.98178520298</v>
      </c>
      <c r="E22" s="48">
        <v>539678.38345639105</v>
      </c>
      <c r="F22" s="48">
        <v>539301467.26777005</v>
      </c>
      <c r="G22" s="48">
        <v>12303493.275371401</v>
      </c>
      <c r="H22" s="48">
        <v>3903391.99228964</v>
      </c>
      <c r="I22" s="48">
        <v>1570492248.86132</v>
      </c>
      <c r="J22" s="48">
        <v>17603133.345828101</v>
      </c>
      <c r="K22" s="54">
        <v>346630391.49764901</v>
      </c>
      <c r="L22" s="48">
        <v>1072907967.30758</v>
      </c>
      <c r="M22" s="48">
        <v>27032770.953490201</v>
      </c>
      <c r="N22" s="48">
        <v>922269.42856737901</v>
      </c>
      <c r="O22" s="48">
        <v>1795139525.5543301</v>
      </c>
      <c r="P22" s="48">
        <v>0</v>
      </c>
      <c r="Q22" s="54">
        <v>249684591.96722099</v>
      </c>
      <c r="R22" s="48">
        <v>58750228.072428003</v>
      </c>
      <c r="S22" s="48">
        <v>9048305.2557993103</v>
      </c>
      <c r="T22" s="48">
        <v>1465246.4915932601</v>
      </c>
      <c r="U22" s="48">
        <v>7137718179.4412203</v>
      </c>
      <c r="V22" s="48">
        <v>37900411.296720996</v>
      </c>
      <c r="W22" s="48">
        <v>1955745507.77073</v>
      </c>
      <c r="X22" s="48">
        <v>7041510628.1628103</v>
      </c>
      <c r="Y22" s="48">
        <v>3914616501.22192</v>
      </c>
      <c r="Z22" s="48">
        <v>954913441.55077004</v>
      </c>
      <c r="AA22" s="48">
        <v>0</v>
      </c>
      <c r="AB22" s="48">
        <v>224469265.94177401</v>
      </c>
      <c r="AC22" s="48">
        <v>693683.19721802894</v>
      </c>
      <c r="AD22" s="54">
        <v>2773324.8618294098</v>
      </c>
      <c r="AE22" s="48">
        <v>458059011.82906002</v>
      </c>
      <c r="AF22" s="48">
        <v>599893660.63674498</v>
      </c>
      <c r="AG22" s="48">
        <v>61531620.1609696</v>
      </c>
      <c r="AH22" s="48">
        <v>192894924.757144</v>
      </c>
      <c r="AI22" s="48">
        <v>34439598.845048897</v>
      </c>
      <c r="AJ22" s="53">
        <v>2337361640.9528098</v>
      </c>
      <c r="AK22" s="48">
        <v>18347499.729205299</v>
      </c>
      <c r="AL22" s="48">
        <v>13186184.2598106</v>
      </c>
      <c r="AM22" s="48">
        <v>710483114.23515201</v>
      </c>
      <c r="AN22" s="48">
        <v>11128536.506341901</v>
      </c>
      <c r="AO22" s="48">
        <v>56291994.116675504</v>
      </c>
      <c r="AP22" s="48">
        <v>65094669.748507999</v>
      </c>
      <c r="AQ22" s="48">
        <v>1604909115.97768</v>
      </c>
      <c r="AR22" s="48">
        <v>38862935.0631992</v>
      </c>
      <c r="AS22" s="48">
        <v>3553071.4671761398</v>
      </c>
      <c r="AT22" s="48">
        <v>11942135.8023201</v>
      </c>
      <c r="AU22" s="48">
        <v>753975350.34597504</v>
      </c>
      <c r="AV22" s="48">
        <v>70400507.645350903</v>
      </c>
      <c r="AW22" s="48">
        <v>204945.05054453699</v>
      </c>
      <c r="AX22" s="51">
        <v>787483567.81822205</v>
      </c>
      <c r="AY22" s="48">
        <v>15429571.9789424</v>
      </c>
      <c r="AZ22" s="48">
        <v>36431498.6231663</v>
      </c>
      <c r="BA22" s="48">
        <v>59565027.090095699</v>
      </c>
      <c r="BB22" s="48">
        <v>20415462.412499301</v>
      </c>
      <c r="BC22" s="48">
        <v>2009077642.22245</v>
      </c>
      <c r="BD22" s="48">
        <v>2003874.51310349</v>
      </c>
      <c r="BE22" s="48">
        <v>30238585.159875199</v>
      </c>
      <c r="BF22" s="48">
        <v>10091765.279005099</v>
      </c>
      <c r="BG22" s="48">
        <v>59948272.367663801</v>
      </c>
      <c r="BH22" s="54">
        <v>8340160.1049741898</v>
      </c>
      <c r="BI22" s="48">
        <v>1194175.71748092</v>
      </c>
      <c r="BJ22" s="48">
        <v>0</v>
      </c>
      <c r="BK22" s="48">
        <v>0</v>
      </c>
      <c r="BL22" s="48">
        <v>80186971.988874793</v>
      </c>
      <c r="BM22" s="54">
        <v>913838.06562984001</v>
      </c>
      <c r="BN22" s="48">
        <v>353533242.69187599</v>
      </c>
      <c r="BO22" s="48">
        <v>1914910918.9630101</v>
      </c>
      <c r="BP22" s="48">
        <v>436561.82214364002</v>
      </c>
      <c r="BQ22" s="48">
        <v>1191899.20189919</v>
      </c>
      <c r="BR22" s="48">
        <v>296040.40567048598</v>
      </c>
    </row>
    <row r="23" spans="2:70" x14ac:dyDescent="0.25">
      <c r="B23" s="47" t="s">
        <v>20</v>
      </c>
      <c r="C23" s="48">
        <v>0</v>
      </c>
      <c r="D23" s="48">
        <v>0</v>
      </c>
      <c r="E23" s="48">
        <v>192993.67284246901</v>
      </c>
      <c r="F23" s="48">
        <v>116775330.603783</v>
      </c>
      <c r="G23" s="48">
        <v>3729216.91427866</v>
      </c>
      <c r="H23" s="48">
        <v>922686.24863030796</v>
      </c>
      <c r="I23" s="48">
        <v>369245691.675309</v>
      </c>
      <c r="J23" s="48">
        <v>3933655.54972973</v>
      </c>
      <c r="K23" s="54">
        <v>80662915.041264996</v>
      </c>
      <c r="L23" s="48">
        <v>242237510.34231299</v>
      </c>
      <c r="M23" s="48">
        <v>5957501.3969538296</v>
      </c>
      <c r="N23" s="48">
        <v>144177.953575508</v>
      </c>
      <c r="O23" s="48">
        <v>259521780.47637299</v>
      </c>
      <c r="P23" s="48">
        <v>0</v>
      </c>
      <c r="Q23" s="54">
        <v>57101167.307087503</v>
      </c>
      <c r="R23" s="48">
        <v>19447730.561945301</v>
      </c>
      <c r="S23" s="48">
        <v>2763319.0633007302</v>
      </c>
      <c r="T23" s="48">
        <v>266827.63424068899</v>
      </c>
      <c r="U23" s="48">
        <v>1192990654.8898499</v>
      </c>
      <c r="V23" s="48">
        <v>10880690.0145113</v>
      </c>
      <c r="W23" s="48">
        <v>474645186.25757599</v>
      </c>
      <c r="X23" s="48">
        <v>1211810116.83641</v>
      </c>
      <c r="Y23" s="48">
        <v>806417352.28596902</v>
      </c>
      <c r="Z23" s="48">
        <v>156284201.51095799</v>
      </c>
      <c r="AA23" s="48">
        <v>0</v>
      </c>
      <c r="AB23" s="48">
        <v>30361643.764602002</v>
      </c>
      <c r="AC23" s="48">
        <v>63286.7719805038</v>
      </c>
      <c r="AD23" s="54">
        <v>436813.58211161598</v>
      </c>
      <c r="AE23" s="48">
        <v>81141559.960565001</v>
      </c>
      <c r="AF23" s="48">
        <v>103899952.554535</v>
      </c>
      <c r="AG23" s="48">
        <v>18895914.3724797</v>
      </c>
      <c r="AH23" s="48">
        <v>51797661.118115798</v>
      </c>
      <c r="AI23" s="48">
        <v>6227023.0115223704</v>
      </c>
      <c r="AJ23" s="53">
        <v>444186591.90629703</v>
      </c>
      <c r="AK23" s="48">
        <v>4434452.3242956595</v>
      </c>
      <c r="AL23" s="48">
        <v>3041430.8441216</v>
      </c>
      <c r="AM23" s="48">
        <v>137046210.697312</v>
      </c>
      <c r="AN23" s="48">
        <v>3483699.06393401</v>
      </c>
      <c r="AO23" s="48">
        <v>19212326.1641813</v>
      </c>
      <c r="AP23" s="48">
        <v>5183428.1880283598</v>
      </c>
      <c r="AQ23" s="48">
        <v>438787027.15119201</v>
      </c>
      <c r="AR23" s="48">
        <v>5709205.8681432297</v>
      </c>
      <c r="AS23" s="48">
        <v>682655.28015306697</v>
      </c>
      <c r="AT23" s="48">
        <v>3134080.2756097699</v>
      </c>
      <c r="AU23" s="48">
        <v>198185893.58480799</v>
      </c>
      <c r="AV23" s="48">
        <v>24692075.101761799</v>
      </c>
      <c r="AW23" s="48">
        <v>60956.937486979899</v>
      </c>
      <c r="AX23" s="51">
        <v>231236358.871932</v>
      </c>
      <c r="AY23" s="48">
        <v>3040840.67112845</v>
      </c>
      <c r="AZ23" s="48">
        <v>7501135.8884096099</v>
      </c>
      <c r="BA23" s="48">
        <v>12443612.725408901</v>
      </c>
      <c r="BB23" s="48">
        <v>3616818.7552653602</v>
      </c>
      <c r="BC23" s="48">
        <v>530575862.41410899</v>
      </c>
      <c r="BD23" s="48">
        <v>588319.01918708906</v>
      </c>
      <c r="BE23" s="48">
        <v>6537573.6471126303</v>
      </c>
      <c r="BF23" s="48">
        <v>1383702.31591783</v>
      </c>
      <c r="BG23" s="48">
        <v>14082158.956700999</v>
      </c>
      <c r="BH23" s="54">
        <v>1418591.3079487199</v>
      </c>
      <c r="BI23" s="48">
        <v>294411.43733201298</v>
      </c>
      <c r="BJ23" s="48">
        <v>0</v>
      </c>
      <c r="BK23" s="48">
        <v>0</v>
      </c>
      <c r="BL23" s="48">
        <v>17840191.0975261</v>
      </c>
      <c r="BM23" s="54">
        <v>0</v>
      </c>
      <c r="BN23" s="48">
        <v>295841441.40116698</v>
      </c>
      <c r="BO23" s="48">
        <v>1391646625.5169301</v>
      </c>
      <c r="BP23" s="48">
        <v>240498.39096599899</v>
      </c>
      <c r="BQ23" s="48">
        <v>318422.99738654197</v>
      </c>
      <c r="BR23" s="48">
        <v>296384.53040937003</v>
      </c>
    </row>
    <row r="24" spans="2:70" x14ac:dyDescent="0.25">
      <c r="B24" s="47" t="s">
        <v>21</v>
      </c>
      <c r="C24" s="48">
        <v>4302761.5618903097</v>
      </c>
      <c r="D24" s="48">
        <v>1097657.2184520799</v>
      </c>
      <c r="E24" s="48">
        <v>875052.29512008897</v>
      </c>
      <c r="F24" s="48">
        <v>745870047.220909</v>
      </c>
      <c r="G24" s="48">
        <v>18265273.466518302</v>
      </c>
      <c r="H24" s="48">
        <v>5757720.8631092198</v>
      </c>
      <c r="I24" s="48">
        <v>2147001928.3949001</v>
      </c>
      <c r="J24" s="48">
        <v>29799259.007305101</v>
      </c>
      <c r="K24" s="54">
        <v>495829049.98273599</v>
      </c>
      <c r="L24" s="48">
        <v>1452778344.93277</v>
      </c>
      <c r="M24" s="48">
        <v>42788739.032801799</v>
      </c>
      <c r="N24" s="48">
        <v>1363418.33419747</v>
      </c>
      <c r="O24" s="48">
        <v>2567744238.0592599</v>
      </c>
      <c r="P24" s="48">
        <v>0</v>
      </c>
      <c r="Q24" s="54">
        <v>308965970.91125399</v>
      </c>
      <c r="R24" s="48">
        <v>69019775.446695805</v>
      </c>
      <c r="S24" s="48">
        <v>12215279.122378901</v>
      </c>
      <c r="T24" s="48">
        <v>2097920.6694049402</v>
      </c>
      <c r="U24" s="48">
        <v>9995894039.7444096</v>
      </c>
      <c r="V24" s="48">
        <v>51043790.875951797</v>
      </c>
      <c r="W24" s="48">
        <v>2618789881.6089401</v>
      </c>
      <c r="X24" s="48">
        <v>9986910660.2507191</v>
      </c>
      <c r="Y24" s="48">
        <v>5349310217.7966003</v>
      </c>
      <c r="Z24" s="48">
        <v>1369313343.8565099</v>
      </c>
      <c r="AA24" s="48">
        <v>0</v>
      </c>
      <c r="AB24" s="48">
        <v>351795679.39022601</v>
      </c>
      <c r="AC24" s="48">
        <v>999703.31833763001</v>
      </c>
      <c r="AD24" s="54">
        <v>4193790.4673738498</v>
      </c>
      <c r="AE24" s="48">
        <v>646531863.60243595</v>
      </c>
      <c r="AF24" s="48">
        <v>861457105.013834</v>
      </c>
      <c r="AG24" s="48">
        <v>82383229.248393595</v>
      </c>
      <c r="AH24" s="48">
        <v>276868525.51813298</v>
      </c>
      <c r="AI24" s="48">
        <v>51732022.229647897</v>
      </c>
      <c r="AJ24" s="53">
        <v>3572350064.3021998</v>
      </c>
      <c r="AK24" s="48">
        <v>27394355.310054999</v>
      </c>
      <c r="AL24" s="48">
        <v>18623776.540920399</v>
      </c>
      <c r="AM24" s="48">
        <v>941702871.43198097</v>
      </c>
      <c r="AN24" s="48">
        <v>16041360.1982929</v>
      </c>
      <c r="AO24" s="48">
        <v>77068153.155848399</v>
      </c>
      <c r="AP24" s="48">
        <v>73518243.191895694</v>
      </c>
      <c r="AQ24" s="48">
        <v>2203431303.5243001</v>
      </c>
      <c r="AR24" s="48">
        <v>57433453.659131303</v>
      </c>
      <c r="AS24" s="48">
        <v>6025946.5077785002</v>
      </c>
      <c r="AT24" s="48">
        <v>18886671.7653035</v>
      </c>
      <c r="AU24" s="48">
        <v>1077565680.93713</v>
      </c>
      <c r="AV24" s="48">
        <v>76692611.694599107</v>
      </c>
      <c r="AW24" s="48">
        <v>413424.218702977</v>
      </c>
      <c r="AX24" s="51">
        <v>1162638284.69765</v>
      </c>
      <c r="AY24" s="48">
        <v>19855422.772064</v>
      </c>
      <c r="AZ24" s="48">
        <v>49277700.778218701</v>
      </c>
      <c r="BA24" s="48">
        <v>88710404.764219895</v>
      </c>
      <c r="BB24" s="48">
        <v>29234158.673167799</v>
      </c>
      <c r="BC24" s="48">
        <v>2818627930.8147502</v>
      </c>
      <c r="BD24" s="48">
        <v>3587494.1672125398</v>
      </c>
      <c r="BE24" s="48">
        <v>49239778.0518829</v>
      </c>
      <c r="BF24" s="48">
        <v>15955650.6640657</v>
      </c>
      <c r="BG24" s="48">
        <v>93155243.942857102</v>
      </c>
      <c r="BH24" s="54">
        <v>13741740.129090101</v>
      </c>
      <c r="BI24" s="48">
        <v>1898616.8162998301</v>
      </c>
      <c r="BJ24" s="48">
        <v>0</v>
      </c>
      <c r="BK24" s="48">
        <v>0</v>
      </c>
      <c r="BL24" s="48">
        <v>113480622.66874699</v>
      </c>
      <c r="BM24" s="54">
        <v>1792145.90751893</v>
      </c>
      <c r="BN24" s="48">
        <v>457891991.12582701</v>
      </c>
      <c r="BO24" s="48">
        <v>2378810375.25846</v>
      </c>
      <c r="BP24" s="48">
        <v>544605.40831633203</v>
      </c>
      <c r="BQ24" s="48">
        <v>1823952.64976128</v>
      </c>
      <c r="BR24" s="48">
        <v>340137.05109492101</v>
      </c>
    </row>
    <row r="25" spans="2:70" x14ac:dyDescent="0.25">
      <c r="B25" s="47" t="s">
        <v>22</v>
      </c>
      <c r="C25" s="48">
        <v>5361076.55040647</v>
      </c>
      <c r="D25" s="48">
        <v>539840.91361437202</v>
      </c>
      <c r="E25" s="48">
        <v>415260.13607555901</v>
      </c>
      <c r="F25" s="48">
        <v>787939694.35008895</v>
      </c>
      <c r="G25" s="48">
        <v>51882677.5934361</v>
      </c>
      <c r="H25" s="48">
        <v>4990927.4287155997</v>
      </c>
      <c r="I25" s="48">
        <v>2183240180.5749898</v>
      </c>
      <c r="J25" s="48">
        <v>26756281.6739964</v>
      </c>
      <c r="K25" s="54">
        <v>458769198.570104</v>
      </c>
      <c r="L25" s="48">
        <v>1406357893.16242</v>
      </c>
      <c r="M25" s="48">
        <v>38857680.540126704</v>
      </c>
      <c r="N25" s="48">
        <v>1061298.7649529299</v>
      </c>
      <c r="O25" s="48">
        <v>2300195112.88692</v>
      </c>
      <c r="P25" s="48">
        <v>0</v>
      </c>
      <c r="Q25" s="54">
        <v>378454217.77487999</v>
      </c>
      <c r="R25" s="48">
        <v>66896145.7664138</v>
      </c>
      <c r="S25" s="48">
        <v>12383415.0328204</v>
      </c>
      <c r="T25" s="48">
        <v>2372189.7595785302</v>
      </c>
      <c r="U25" s="48">
        <v>8963767885.3835697</v>
      </c>
      <c r="V25" s="48">
        <v>44854743.938444801</v>
      </c>
      <c r="W25" s="48">
        <v>1927605355.5215399</v>
      </c>
      <c r="X25" s="48">
        <v>8869365038.5054703</v>
      </c>
      <c r="Y25" s="48">
        <v>4704031970.8659401</v>
      </c>
      <c r="Z25" s="48">
        <v>1191817349.3813701</v>
      </c>
      <c r="AA25" s="48">
        <v>0</v>
      </c>
      <c r="AB25" s="48">
        <v>297676343.16705602</v>
      </c>
      <c r="AC25" s="48">
        <v>895718.39673091099</v>
      </c>
      <c r="AD25" s="54">
        <v>3155583.5413785302</v>
      </c>
      <c r="AE25" s="48">
        <v>547724883.84906995</v>
      </c>
      <c r="AF25" s="48">
        <v>701244138.14795899</v>
      </c>
      <c r="AG25" s="48">
        <v>74398452.374097794</v>
      </c>
      <c r="AH25" s="48">
        <v>260217952.458664</v>
      </c>
      <c r="AI25" s="48">
        <v>43458252.760030001</v>
      </c>
      <c r="AJ25" s="53">
        <v>3189585774.3262901</v>
      </c>
      <c r="AK25" s="48">
        <v>23254287.334706198</v>
      </c>
      <c r="AL25" s="48">
        <v>12576598.1269772</v>
      </c>
      <c r="AM25" s="48">
        <v>727742016.51345098</v>
      </c>
      <c r="AN25" s="48">
        <v>13975658.090533899</v>
      </c>
      <c r="AO25" s="48">
        <v>69515963.564599901</v>
      </c>
      <c r="AP25" s="48">
        <v>53598084.486966603</v>
      </c>
      <c r="AQ25" s="48">
        <v>1863221960.9672301</v>
      </c>
      <c r="AR25" s="48">
        <v>41121234.932617404</v>
      </c>
      <c r="AS25" s="48">
        <v>4412983.4697859902</v>
      </c>
      <c r="AT25" s="48">
        <v>14157697.3722641</v>
      </c>
      <c r="AU25" s="48">
        <v>909737196.49830401</v>
      </c>
      <c r="AV25" s="48">
        <v>74792206.100930303</v>
      </c>
      <c r="AW25" s="48">
        <v>242227.720779439</v>
      </c>
      <c r="AX25" s="51">
        <v>1006563159.84453</v>
      </c>
      <c r="AY25" s="48">
        <v>12828091.1889125</v>
      </c>
      <c r="AZ25" s="48">
        <v>30102527.0859509</v>
      </c>
      <c r="BA25" s="48">
        <v>62826451.020508602</v>
      </c>
      <c r="BB25" s="48">
        <v>18478109.928058799</v>
      </c>
      <c r="BC25" s="48">
        <v>2548897557.4349298</v>
      </c>
      <c r="BD25" s="48">
        <v>2745472.4441526202</v>
      </c>
      <c r="BE25" s="48">
        <v>37660158.810804904</v>
      </c>
      <c r="BF25" s="48">
        <v>20484899.5231665</v>
      </c>
      <c r="BG25" s="48">
        <v>83420360.573703602</v>
      </c>
      <c r="BH25" s="54">
        <v>10472368.091741901</v>
      </c>
      <c r="BI25" s="48">
        <v>1055881.13608446</v>
      </c>
      <c r="BJ25" s="48">
        <v>0</v>
      </c>
      <c r="BK25" s="48">
        <v>0</v>
      </c>
      <c r="BL25" s="48">
        <v>89858079.178377301</v>
      </c>
      <c r="BM25" s="54">
        <v>980176.34002772998</v>
      </c>
      <c r="BN25" s="48">
        <v>398587613.77219802</v>
      </c>
      <c r="BO25" s="48">
        <v>1973330932.82581</v>
      </c>
      <c r="BP25" s="48">
        <v>400779.739262674</v>
      </c>
      <c r="BQ25" s="48">
        <v>1279071.73054561</v>
      </c>
      <c r="BR25" s="48">
        <v>363652.48321823799</v>
      </c>
    </row>
    <row r="26" spans="2:70" x14ac:dyDescent="0.25">
      <c r="B26" s="47" t="s">
        <v>23</v>
      </c>
      <c r="C26" s="48">
        <v>4748962.82030454</v>
      </c>
      <c r="D26" s="48">
        <v>1382763.9975838901</v>
      </c>
      <c r="E26" s="48">
        <v>973963.25107495196</v>
      </c>
      <c r="F26" s="48">
        <v>726851766.25265205</v>
      </c>
      <c r="G26" s="48">
        <v>22510494.726897601</v>
      </c>
      <c r="H26" s="48">
        <v>5921952.4052833198</v>
      </c>
      <c r="I26" s="48">
        <v>2314745763.7028799</v>
      </c>
      <c r="J26" s="48">
        <v>29607138.513287298</v>
      </c>
      <c r="K26" s="54">
        <v>474735368.27441001</v>
      </c>
      <c r="L26" s="48">
        <v>1440553565.16838</v>
      </c>
      <c r="M26" s="48">
        <v>43491251.699474998</v>
      </c>
      <c r="N26" s="48">
        <v>1263763.0668217901</v>
      </c>
      <c r="O26" s="48">
        <v>2558236077.46281</v>
      </c>
      <c r="P26" s="48">
        <v>0</v>
      </c>
      <c r="Q26" s="54">
        <v>345908943.12272799</v>
      </c>
      <c r="R26" s="48">
        <v>69965150.5797012</v>
      </c>
      <c r="S26" s="48">
        <v>12180044.2132273</v>
      </c>
      <c r="T26" s="48">
        <v>1974640.4091046201</v>
      </c>
      <c r="U26" s="48">
        <v>9675371594.2270508</v>
      </c>
      <c r="V26" s="48">
        <v>49166812.576350398</v>
      </c>
      <c r="W26" s="48">
        <v>2542278703.3874798</v>
      </c>
      <c r="X26" s="48">
        <v>9844977368.43363</v>
      </c>
      <c r="Y26" s="48">
        <v>5258839973.0881796</v>
      </c>
      <c r="Z26" s="48">
        <v>1272308151.2014999</v>
      </c>
      <c r="AA26" s="48">
        <v>0</v>
      </c>
      <c r="AB26" s="48">
        <v>336427633.18645602</v>
      </c>
      <c r="AC26" s="48">
        <v>1047859.71638109</v>
      </c>
      <c r="AD26" s="54">
        <v>3978071.53890034</v>
      </c>
      <c r="AE26" s="48">
        <v>628821023.93973303</v>
      </c>
      <c r="AF26" s="48">
        <v>821941469.86412299</v>
      </c>
      <c r="AG26" s="48">
        <v>77914080.449588895</v>
      </c>
      <c r="AH26" s="48">
        <v>284939330.130072</v>
      </c>
      <c r="AI26" s="48">
        <v>48895516.100647897</v>
      </c>
      <c r="AJ26" s="53">
        <v>3387895506.8350902</v>
      </c>
      <c r="AK26" s="48">
        <v>26606103.713902</v>
      </c>
      <c r="AL26" s="48">
        <v>17698612.588016201</v>
      </c>
      <c r="AM26" s="48">
        <v>924619774.63771796</v>
      </c>
      <c r="AN26" s="48">
        <v>15737897.940378601</v>
      </c>
      <c r="AO26" s="48">
        <v>74302938.535342097</v>
      </c>
      <c r="AP26" s="48">
        <v>71966642.090699196</v>
      </c>
      <c r="AQ26" s="48">
        <v>2094313041.41731</v>
      </c>
      <c r="AR26" s="48">
        <v>53910798.965528302</v>
      </c>
      <c r="AS26" s="48">
        <v>5718917.7440448003</v>
      </c>
      <c r="AT26" s="48">
        <v>18496672.214296401</v>
      </c>
      <c r="AU26" s="48">
        <v>1076195767.9194601</v>
      </c>
      <c r="AV26" s="48">
        <v>78316541.032544002</v>
      </c>
      <c r="AW26" s="48">
        <v>501811.26622842398</v>
      </c>
      <c r="AX26" s="51">
        <v>1119631791.05406</v>
      </c>
      <c r="AY26" s="48">
        <v>18611025.7904264</v>
      </c>
      <c r="AZ26" s="48">
        <v>47535406.990361303</v>
      </c>
      <c r="BA26" s="48">
        <v>85595004.422747403</v>
      </c>
      <c r="BB26" s="48">
        <v>27833632.369142499</v>
      </c>
      <c r="BC26" s="48">
        <v>2795873355.1120501</v>
      </c>
      <c r="BD26" s="48">
        <v>2992933.6127530001</v>
      </c>
      <c r="BE26" s="48">
        <v>44731439.379685499</v>
      </c>
      <c r="BF26" s="48">
        <v>22761849.070874199</v>
      </c>
      <c r="BG26" s="48">
        <v>92672482.157726094</v>
      </c>
      <c r="BH26" s="54">
        <v>12215698.964116201</v>
      </c>
      <c r="BI26" s="48">
        <v>1930947.2693811201</v>
      </c>
      <c r="BJ26" s="48">
        <v>0</v>
      </c>
      <c r="BK26" s="48">
        <v>0</v>
      </c>
      <c r="BL26" s="48">
        <v>111858227.10574199</v>
      </c>
      <c r="BM26" s="54">
        <v>1259332.04383866</v>
      </c>
      <c r="BN26" s="48">
        <v>449349568.45713699</v>
      </c>
      <c r="BO26" s="48">
        <v>2424683252.2574701</v>
      </c>
      <c r="BP26" s="48">
        <v>563111.27336918702</v>
      </c>
      <c r="BQ26" s="48">
        <v>1609644.4524711601</v>
      </c>
      <c r="BR26" s="48">
        <v>375649.888669451</v>
      </c>
    </row>
    <row r="27" spans="2:70" x14ac:dyDescent="0.25">
      <c r="K27" s="55"/>
    </row>
    <row r="29" spans="2:70" ht="15" x14ac:dyDescent="0.25">
      <c r="BM29"/>
    </row>
    <row r="32" spans="2:70" x14ac:dyDescent="0.25">
      <c r="K32" s="46" t="s">
        <v>162</v>
      </c>
      <c r="Q32" s="46" t="s">
        <v>162</v>
      </c>
      <c r="Y32" s="46" t="s">
        <v>162</v>
      </c>
      <c r="AD32" s="46" t="s">
        <v>162</v>
      </c>
      <c r="AF32" s="46" t="s">
        <v>162</v>
      </c>
      <c r="AJ32" s="46" t="s">
        <v>162</v>
      </c>
      <c r="BH32" s="46" t="s">
        <v>162</v>
      </c>
      <c r="BM32" s="46" t="s">
        <v>162</v>
      </c>
    </row>
    <row r="33" spans="2:65" x14ac:dyDescent="0.25">
      <c r="B33" s="46" t="s">
        <v>114</v>
      </c>
      <c r="K33" s="46" t="s">
        <v>224</v>
      </c>
      <c r="Q33" s="46" t="s">
        <v>28</v>
      </c>
      <c r="Y33" s="46" t="s">
        <v>50</v>
      </c>
      <c r="AD33" s="46" t="s">
        <v>36</v>
      </c>
      <c r="AF33" s="46" t="s">
        <v>52</v>
      </c>
      <c r="AJ33" s="46" t="s">
        <v>216</v>
      </c>
      <c r="BH33" s="46" t="s">
        <v>180</v>
      </c>
      <c r="BM33" s="46" t="s">
        <v>33</v>
      </c>
    </row>
    <row r="34" spans="2:65" x14ac:dyDescent="0.25">
      <c r="B34" s="47" t="s">
        <v>0</v>
      </c>
      <c r="K34" s="46">
        <f>LOG10(K2)</f>
        <v>7.895459194220229</v>
      </c>
      <c r="Q34" s="46">
        <f>LOG10(Q2)</f>
        <v>8.5587549658638764</v>
      </c>
      <c r="Y34" s="46">
        <f>LOG10(Y2)</f>
        <v>9.1241369516202884</v>
      </c>
      <c r="AD34" s="46">
        <f>LOG10(AD2)</f>
        <v>5.8349180694168838</v>
      </c>
      <c r="AF34" s="46">
        <f>LOG10(AF2)</f>
        <v>8.2940140129872937</v>
      </c>
      <c r="AJ34" s="46">
        <f>LOG10(AJ2)</f>
        <v>8.8491433087960321</v>
      </c>
      <c r="BH34" s="46">
        <v>6.865611595036361</v>
      </c>
      <c r="BM34" s="46">
        <f>LOG10(BM2)</f>
        <v>5.769225129815827</v>
      </c>
    </row>
    <row r="35" spans="2:65" x14ac:dyDescent="0.25">
      <c r="B35" s="47" t="s">
        <v>1</v>
      </c>
      <c r="K35" s="46">
        <f t="shared" ref="K35:K58" si="0">LOG10(K3)</f>
        <v>8.5834710688519849</v>
      </c>
      <c r="Q35" s="46">
        <f t="shared" ref="Q35:Q58" si="1">LOG10(Q3)</f>
        <v>9.1857742509730063</v>
      </c>
      <c r="Y35" s="46">
        <f t="shared" ref="Y35:Y58" si="2">LOG10(Y3)</f>
        <v>9.7404552364097441</v>
      </c>
      <c r="AD35" s="46">
        <f t="shared" ref="AD35:AF58" si="3">LOG10(AD3)</f>
        <v>6.7209815869954346</v>
      </c>
      <c r="AF35" s="46">
        <f t="shared" ref="AF35" si="4">LOG10(AF3)</f>
        <v>8.9781044109062638</v>
      </c>
      <c r="AJ35" s="46">
        <f t="shared" ref="AJ35:AJ58" si="5">LOG10(AJ3)</f>
        <v>9.5293787317390262</v>
      </c>
      <c r="BH35" s="46">
        <v>7.5425942147089691</v>
      </c>
      <c r="BM35" s="46">
        <f t="shared" ref="BM35:BM58" si="6">LOG10(BM3)</f>
        <v>6.575430648113044</v>
      </c>
    </row>
    <row r="36" spans="2:65" x14ac:dyDescent="0.25">
      <c r="B36" s="47" t="s">
        <v>2</v>
      </c>
      <c r="K36" s="46">
        <f t="shared" si="0"/>
        <v>8.5409174406836286</v>
      </c>
      <c r="Q36" s="46">
        <f t="shared" si="1"/>
        <v>9.1676059983158407</v>
      </c>
      <c r="Y36" s="46">
        <f t="shared" si="2"/>
        <v>9.7165141900996446</v>
      </c>
      <c r="AD36" s="46">
        <f t="shared" si="3"/>
        <v>6.7389940957388657</v>
      </c>
      <c r="AF36" s="46">
        <f t="shared" ref="AF36" si="7">LOG10(AF4)</f>
        <v>8.9492379724828979</v>
      </c>
      <c r="AJ36" s="46">
        <f t="shared" si="5"/>
        <v>9.5067592405263195</v>
      </c>
      <c r="BH36" s="46">
        <v>7.5445482082736683</v>
      </c>
      <c r="BM36" s="46">
        <f t="shared" si="6"/>
        <v>6.5438909022484868</v>
      </c>
    </row>
    <row r="37" spans="2:65" x14ac:dyDescent="0.25">
      <c r="B37" s="47" t="s">
        <v>3</v>
      </c>
      <c r="K37" s="46">
        <f t="shared" si="0"/>
        <v>8.5498449729207966</v>
      </c>
      <c r="Q37" s="46">
        <f t="shared" si="1"/>
        <v>9.150976054200548</v>
      </c>
      <c r="Y37" s="46">
        <f t="shared" si="2"/>
        <v>9.7201851039177924</v>
      </c>
      <c r="AD37" s="46">
        <f t="shared" si="3"/>
        <v>6.6896021737466009</v>
      </c>
      <c r="AF37" s="46">
        <f t="shared" ref="AF37" si="8">LOG10(AF5)</f>
        <v>8.9347255619847878</v>
      </c>
      <c r="AJ37" s="46">
        <f t="shared" si="5"/>
        <v>9.4978082157171073</v>
      </c>
      <c r="BH37" s="46">
        <v>7.5122905215132061</v>
      </c>
      <c r="BM37" s="46">
        <f t="shared" si="6"/>
        <v>6.5308655248833425</v>
      </c>
    </row>
    <row r="38" spans="2:65" x14ac:dyDescent="0.25">
      <c r="B38" s="47" t="s">
        <v>4</v>
      </c>
      <c r="K38" s="46">
        <f t="shared" si="0"/>
        <v>8.5497891404643269</v>
      </c>
      <c r="Q38" s="46">
        <f t="shared" si="1"/>
        <v>9.1840443904076565</v>
      </c>
      <c r="Y38" s="46">
        <f t="shared" si="2"/>
        <v>9.7197341715630614</v>
      </c>
      <c r="AD38" s="46">
        <f t="shared" si="3"/>
        <v>6.6613226667892231</v>
      </c>
      <c r="AF38" s="46">
        <f t="shared" ref="AF38" si="9">LOG10(AF6)</f>
        <v>8.9641017609882958</v>
      </c>
      <c r="AJ38" s="46">
        <f t="shared" si="5"/>
        <v>9.4906609934348225</v>
      </c>
      <c r="BH38" s="46">
        <v>7.5254576942679261</v>
      </c>
      <c r="BM38" s="46">
        <f t="shared" si="6"/>
        <v>6.4679361546614071</v>
      </c>
    </row>
    <row r="39" spans="2:65" x14ac:dyDescent="0.25">
      <c r="B39" s="47" t="s">
        <v>5</v>
      </c>
      <c r="K39" s="46">
        <f t="shared" si="0"/>
        <v>8.479445921334678</v>
      </c>
      <c r="Q39" s="46">
        <f t="shared" si="1"/>
        <v>9.3512634378186235</v>
      </c>
      <c r="Y39" s="46">
        <f t="shared" si="2"/>
        <v>9.722404172996832</v>
      </c>
      <c r="AD39" s="46">
        <f t="shared" si="3"/>
        <v>6.6628547464740429</v>
      </c>
      <c r="AF39" s="46">
        <f t="shared" ref="AF39" si="10">LOG10(AF7)</f>
        <v>8.9397803292839271</v>
      </c>
      <c r="AJ39" s="46">
        <f t="shared" si="5"/>
        <v>9.5042248872036996</v>
      </c>
      <c r="BH39" s="46">
        <v>7.6858301058452874</v>
      </c>
      <c r="BM39" s="46">
        <f t="shared" si="6"/>
        <v>6.2541123624049595</v>
      </c>
    </row>
    <row r="40" spans="2:65" x14ac:dyDescent="0.25">
      <c r="B40" s="47" t="s">
        <v>6</v>
      </c>
      <c r="K40" s="46">
        <f t="shared" si="0"/>
        <v>8.481684354292339</v>
      </c>
      <c r="Q40" s="46">
        <f t="shared" si="1"/>
        <v>9.349360971617541</v>
      </c>
      <c r="Y40" s="46">
        <f t="shared" si="2"/>
        <v>9.717345311216782</v>
      </c>
      <c r="AD40" s="46">
        <f t="shared" si="3"/>
        <v>6.7209646629662414</v>
      </c>
      <c r="AF40" s="46">
        <f t="shared" ref="AF40" si="11">LOG10(AF8)</f>
        <v>8.9063470854789539</v>
      </c>
      <c r="AJ40" s="46">
        <f t="shared" si="5"/>
        <v>9.5301236755767604</v>
      </c>
      <c r="BH40" s="46">
        <v>7.6609482087086</v>
      </c>
      <c r="BM40" s="46">
        <f t="shared" si="6"/>
        <v>6.1975582652419137</v>
      </c>
    </row>
    <row r="41" spans="2:65" x14ac:dyDescent="0.25">
      <c r="B41" s="47" t="s">
        <v>7</v>
      </c>
      <c r="K41" s="46">
        <f t="shared" si="0"/>
        <v>8.4964577976657853</v>
      </c>
      <c r="Q41" s="46">
        <f t="shared" si="1"/>
        <v>9.3847649007997944</v>
      </c>
      <c r="Y41" s="46">
        <f t="shared" si="2"/>
        <v>9.7232753228636764</v>
      </c>
      <c r="AD41" s="46">
        <f t="shared" si="3"/>
        <v>6.741414499835499</v>
      </c>
      <c r="AF41" s="46">
        <f t="shared" ref="AF41" si="12">LOG10(AF9)</f>
        <v>8.8859312563258044</v>
      </c>
      <c r="AJ41" s="46">
        <f t="shared" si="5"/>
        <v>9.5216432206466166</v>
      </c>
      <c r="BH41" s="46">
        <v>7.6443805614445521</v>
      </c>
      <c r="BM41" s="46">
        <f t="shared" si="6"/>
        <v>6.1084589706944739</v>
      </c>
    </row>
    <row r="42" spans="2:65" x14ac:dyDescent="0.25">
      <c r="B42" s="47" t="s">
        <v>8</v>
      </c>
      <c r="K42" s="46">
        <f t="shared" si="0"/>
        <v>8.4765801995566683</v>
      </c>
      <c r="Q42" s="46">
        <f t="shared" si="1"/>
        <v>9.3490392362231951</v>
      </c>
      <c r="Y42" s="46">
        <f t="shared" si="2"/>
        <v>9.7111082240071873</v>
      </c>
      <c r="AD42" s="46">
        <f t="shared" si="3"/>
        <v>6.7470105035213201</v>
      </c>
      <c r="AF42" s="46">
        <f t="shared" ref="AF42" si="13">LOG10(AF10)</f>
        <v>8.9103687886720362</v>
      </c>
      <c r="AJ42" s="46">
        <f t="shared" si="5"/>
        <v>9.5102052136298969</v>
      </c>
      <c r="BH42" s="46">
        <v>7.6538690531072788</v>
      </c>
      <c r="BM42" s="46">
        <f t="shared" si="6"/>
        <v>6.2362738832705142</v>
      </c>
    </row>
    <row r="43" spans="2:65" x14ac:dyDescent="0.25">
      <c r="B43" s="47" t="s">
        <v>9</v>
      </c>
      <c r="K43" s="46">
        <f t="shared" si="0"/>
        <v>8.4428265034302221</v>
      </c>
      <c r="Q43" s="46">
        <f t="shared" si="1"/>
        <v>9.276480805162878</v>
      </c>
      <c r="Y43" s="46">
        <f t="shared" si="2"/>
        <v>9.6620504565951695</v>
      </c>
      <c r="AD43" s="46">
        <f t="shared" si="3"/>
        <v>6.6594407141000298</v>
      </c>
      <c r="AF43" s="46">
        <f t="shared" ref="AF43" si="14">LOG10(AF11)</f>
        <v>8.8941333630668122</v>
      </c>
      <c r="AJ43" s="46">
        <f t="shared" si="5"/>
        <v>9.4430174001197908</v>
      </c>
      <c r="BH43" s="46">
        <v>7.552823017718989</v>
      </c>
      <c r="BM43" s="46">
        <f t="shared" si="6"/>
        <v>6.3333795665410086</v>
      </c>
    </row>
    <row r="44" spans="2:65" x14ac:dyDescent="0.25">
      <c r="B44" s="47" t="s">
        <v>10</v>
      </c>
      <c r="K44" s="46">
        <f t="shared" si="0"/>
        <v>8.5928695160545612</v>
      </c>
      <c r="Q44" s="46">
        <f t="shared" si="1"/>
        <v>9.1557519465255801</v>
      </c>
      <c r="Y44" s="46">
        <f t="shared" si="2"/>
        <v>9.7523693512031517</v>
      </c>
      <c r="AD44" s="46">
        <f t="shared" si="3"/>
        <v>6.6181974186162877</v>
      </c>
      <c r="AF44" s="46">
        <f t="shared" ref="AF44" si="15">LOG10(AF12)</f>
        <v>8.9850871670502244</v>
      </c>
      <c r="AJ44" s="46">
        <f t="shared" si="5"/>
        <v>9.5363224500176305</v>
      </c>
      <c r="BH44" s="46">
        <v>7.4990662229990459</v>
      </c>
      <c r="BM44" s="46">
        <f t="shared" si="6"/>
        <v>6.5469933275716743</v>
      </c>
    </row>
    <row r="45" spans="2:65" x14ac:dyDescent="0.25">
      <c r="B45" s="47" t="s">
        <v>11</v>
      </c>
      <c r="K45" s="46">
        <f t="shared" si="0"/>
        <v>8.5088436629939146</v>
      </c>
      <c r="Q45" s="46">
        <f t="shared" si="1"/>
        <v>9.1003268290235315</v>
      </c>
      <c r="Y45" s="46">
        <f t="shared" si="2"/>
        <v>9.6658545690557052</v>
      </c>
      <c r="AD45" s="46">
        <f t="shared" si="3"/>
        <v>6.5813257345648815</v>
      </c>
      <c r="AF45" s="46">
        <f t="shared" ref="AF45:AF53" si="16">LOG10(AF13)</f>
        <v>8.9016528218216138</v>
      </c>
      <c r="AJ45" s="46">
        <f t="shared" si="5"/>
        <v>9.4797735996994614</v>
      </c>
      <c r="BH45" s="46">
        <v>7.4183557693671363</v>
      </c>
      <c r="BM45" s="46">
        <f t="shared" si="6"/>
        <v>6.4535782159706994</v>
      </c>
    </row>
    <row r="46" spans="2:65" x14ac:dyDescent="0.25">
      <c r="B46" s="47" t="s">
        <v>12</v>
      </c>
      <c r="K46" s="46">
        <f t="shared" si="0"/>
        <v>8.1604183100667758</v>
      </c>
      <c r="Q46" s="46">
        <f t="shared" si="1"/>
        <v>8.7627150239690597</v>
      </c>
      <c r="Y46" s="46">
        <f t="shared" si="2"/>
        <v>9.385438381707333</v>
      </c>
      <c r="AD46" s="46">
        <f t="shared" si="3"/>
        <v>6.300647110032263</v>
      </c>
      <c r="AF46" s="46">
        <f t="shared" si="16"/>
        <v>8.5656045373460632</v>
      </c>
      <c r="AJ46" s="46">
        <f t="shared" si="5"/>
        <v>9.1389166709510743</v>
      </c>
      <c r="BH46" s="46">
        <v>7.075523493280234</v>
      </c>
      <c r="BM46" s="46">
        <f t="shared" si="6"/>
        <v>6.018317707607471</v>
      </c>
    </row>
    <row r="47" spans="2:65" x14ac:dyDescent="0.25">
      <c r="B47" s="47" t="s">
        <v>13</v>
      </c>
      <c r="K47" s="46">
        <f t="shared" si="0"/>
        <v>7.7078055917120949</v>
      </c>
      <c r="Q47" s="46">
        <f t="shared" si="1"/>
        <v>8.2605159615364023</v>
      </c>
      <c r="Y47" s="46">
        <f t="shared" si="2"/>
        <v>8.9545466921771304</v>
      </c>
      <c r="AD47" s="46" t="s">
        <v>116</v>
      </c>
      <c r="AF47" s="46">
        <f t="shared" si="16"/>
        <v>8.0742234816669676</v>
      </c>
      <c r="AJ47" s="46">
        <f t="shared" si="5"/>
        <v>8.6241857438797496</v>
      </c>
      <c r="BH47" s="46">
        <v>6.6673967706909361</v>
      </c>
      <c r="BM47" s="46">
        <f t="shared" si="6"/>
        <v>5.5206010750995276</v>
      </c>
    </row>
    <row r="48" spans="2:65" x14ac:dyDescent="0.25">
      <c r="B48" s="47" t="s">
        <v>14</v>
      </c>
      <c r="K48" s="46">
        <f t="shared" si="0"/>
        <v>8.4729284922423194</v>
      </c>
      <c r="Q48" s="46">
        <f t="shared" si="1"/>
        <v>9.3918698983189568</v>
      </c>
      <c r="Y48" s="46">
        <f t="shared" si="2"/>
        <v>9.7031877906475543</v>
      </c>
      <c r="AD48" s="46">
        <f t="shared" si="3"/>
        <v>6.6896211874050477</v>
      </c>
      <c r="AF48" s="46">
        <f t="shared" si="16"/>
        <v>8.8635262517680058</v>
      </c>
      <c r="AJ48" s="46">
        <f t="shared" si="5"/>
        <v>9.5260605251166162</v>
      </c>
      <c r="BH48" s="46">
        <v>7.5613329068737665</v>
      </c>
      <c r="BM48" s="46">
        <f t="shared" si="6"/>
        <v>6.2342876295923855</v>
      </c>
    </row>
    <row r="49" spans="2:65" x14ac:dyDescent="0.25">
      <c r="B49" s="47" t="s">
        <v>15</v>
      </c>
      <c r="K49" s="46">
        <f t="shared" si="0"/>
        <v>8.3497901161495385</v>
      </c>
      <c r="Q49" s="46">
        <f t="shared" si="1"/>
        <v>9.2120768887669549</v>
      </c>
      <c r="Y49" s="46">
        <f t="shared" si="2"/>
        <v>9.5596781755508324</v>
      </c>
      <c r="AD49" s="46">
        <f t="shared" si="3"/>
        <v>6.4933475319890741</v>
      </c>
      <c r="AF49" s="46">
        <f t="shared" si="16"/>
        <v>8.7435003361886743</v>
      </c>
      <c r="AJ49" s="46">
        <f t="shared" si="5"/>
        <v>9.3735336556328601</v>
      </c>
      <c r="BH49" s="46">
        <v>7.3716085203305095</v>
      </c>
      <c r="BM49" s="46">
        <f t="shared" si="6"/>
        <v>6.0771789800820599</v>
      </c>
    </row>
    <row r="50" spans="2:65" x14ac:dyDescent="0.25">
      <c r="B50" s="47" t="s">
        <v>16</v>
      </c>
      <c r="K50" s="46">
        <f t="shared" si="0"/>
        <v>7.6467122740007367</v>
      </c>
      <c r="Q50" s="46">
        <f t="shared" si="1"/>
        <v>8.5818413508906826</v>
      </c>
      <c r="Y50" s="46">
        <f t="shared" si="2"/>
        <v>8.9797597659548227</v>
      </c>
      <c r="AD50" s="46" t="s">
        <v>116</v>
      </c>
      <c r="AF50" s="46">
        <f t="shared" si="16"/>
        <v>8.0906379265498565</v>
      </c>
      <c r="AJ50" s="46">
        <f t="shared" si="5"/>
        <v>8.685801710577957</v>
      </c>
      <c r="BH50" s="46">
        <v>6.7699271222727901</v>
      </c>
      <c r="BM50" s="46" t="s">
        <v>116</v>
      </c>
    </row>
    <row r="51" spans="2:65" x14ac:dyDescent="0.25">
      <c r="B51" s="47" t="s">
        <v>17</v>
      </c>
      <c r="K51" s="46">
        <f t="shared" si="0"/>
        <v>7.8903721985916651</v>
      </c>
      <c r="Q51" s="46">
        <f t="shared" si="1"/>
        <v>8.7849739938271654</v>
      </c>
      <c r="Y51" s="46">
        <f t="shared" si="2"/>
        <v>9.1901873607006053</v>
      </c>
      <c r="AD51" s="46">
        <f t="shared" si="3"/>
        <v>6.2432740689077697</v>
      </c>
      <c r="AF51" s="46">
        <f t="shared" si="16"/>
        <v>8.348955720843966</v>
      </c>
      <c r="AJ51" s="46">
        <f t="shared" si="5"/>
        <v>8.9241404635044947</v>
      </c>
      <c r="BH51" s="46">
        <v>6.9749495411227276</v>
      </c>
      <c r="BM51" s="46">
        <f t="shared" si="6"/>
        <v>5.7547683110254022</v>
      </c>
    </row>
    <row r="52" spans="2:65" x14ac:dyDescent="0.25">
      <c r="B52" s="47" t="s">
        <v>18</v>
      </c>
      <c r="K52" s="46">
        <f t="shared" si="0"/>
        <v>8.4162123078945097</v>
      </c>
      <c r="Q52" s="46">
        <f t="shared" si="1"/>
        <v>9.3834220350433135</v>
      </c>
      <c r="Y52" s="46">
        <f t="shared" si="2"/>
        <v>9.6450355638204268</v>
      </c>
      <c r="AD52" s="46">
        <f t="shared" si="3"/>
        <v>6.6705986242987452</v>
      </c>
      <c r="AF52" s="46">
        <f t="shared" si="16"/>
        <v>8.8267845308397508</v>
      </c>
      <c r="AJ52" s="46">
        <f t="shared" si="5"/>
        <v>9.4721401836471379</v>
      </c>
      <c r="BH52" s="46">
        <v>7.5267686369000515</v>
      </c>
      <c r="BM52" s="46">
        <f t="shared" si="6"/>
        <v>6.3390381954430399</v>
      </c>
    </row>
    <row r="53" spans="2:65" x14ac:dyDescent="0.25">
      <c r="B53" s="47" t="s">
        <v>215</v>
      </c>
      <c r="K53" s="46">
        <f t="shared" si="0"/>
        <v>8.5293883070083911</v>
      </c>
      <c r="Q53" s="46">
        <f t="shared" si="1"/>
        <v>9.0335918545043103</v>
      </c>
      <c r="Y53" s="46">
        <f t="shared" si="2"/>
        <v>9.6944700246917783</v>
      </c>
      <c r="AD53" s="46">
        <f t="shared" si="3"/>
        <v>6.5485569409664581</v>
      </c>
      <c r="AF53" s="46">
        <f t="shared" si="16"/>
        <v>8.9114108913810011</v>
      </c>
      <c r="AJ53" s="46">
        <f t="shared" si="5"/>
        <v>9.4735199796291418</v>
      </c>
      <c r="BH53" s="46">
        <v>7.4159970753486277</v>
      </c>
      <c r="BM53" s="46">
        <f t="shared" si="6"/>
        <v>6.4693461648227952</v>
      </c>
    </row>
    <row r="54" spans="2:65" x14ac:dyDescent="0.25">
      <c r="B54" s="47" t="s">
        <v>19</v>
      </c>
      <c r="K54" s="46">
        <f t="shared" si="0"/>
        <v>8.5398666376655239</v>
      </c>
      <c r="Q54" s="46">
        <f t="shared" si="1"/>
        <v>8.3973917428716582</v>
      </c>
      <c r="Y54" s="46">
        <f t="shared" si="2"/>
        <v>9.5926892224447808</v>
      </c>
      <c r="AD54" s="46">
        <f t="shared" si="3"/>
        <v>6.443000744960595</v>
      </c>
      <c r="AF54" s="46">
        <f t="shared" ref="AF54" si="17">LOG10(AF22)</f>
        <v>8.7780742725641812</v>
      </c>
      <c r="AJ54" s="46">
        <f t="shared" si="5"/>
        <v>9.3687259124433204</v>
      </c>
      <c r="BH54" s="46">
        <v>6.9211743878127274</v>
      </c>
      <c r="BM54" s="46">
        <f t="shared" si="6"/>
        <v>5.9608692444930211</v>
      </c>
    </row>
    <row r="55" spans="2:65" x14ac:dyDescent="0.25">
      <c r="B55" s="47" t="s">
        <v>20</v>
      </c>
      <c r="K55" s="46">
        <f t="shared" si="0"/>
        <v>7.9066739127306152</v>
      </c>
      <c r="Q55" s="46">
        <f t="shared" si="1"/>
        <v>7.7566449865268456</v>
      </c>
      <c r="Y55" s="46">
        <f t="shared" si="2"/>
        <v>8.9065598642415367</v>
      </c>
      <c r="AD55" s="46">
        <f t="shared" si="3"/>
        <v>5.6402961336903195</v>
      </c>
      <c r="AF55" s="46">
        <f t="shared" ref="AF55" si="18">LOG10(AF23)</f>
        <v>8.0166153492385224</v>
      </c>
      <c r="AJ55" s="46">
        <f t="shared" si="5"/>
        <v>8.647565444917106</v>
      </c>
      <c r="BH55" s="46">
        <v>6.1518572944935697</v>
      </c>
      <c r="BM55" s="46" t="s">
        <v>116</v>
      </c>
    </row>
    <row r="56" spans="2:65" x14ac:dyDescent="0.25">
      <c r="B56" s="47" t="s">
        <v>21</v>
      </c>
      <c r="K56" s="46">
        <f t="shared" si="0"/>
        <v>8.6953319679291994</v>
      </c>
      <c r="Q56" s="46">
        <f t="shared" si="1"/>
        <v>8.4899106494595067</v>
      </c>
      <c r="Y56" s="46">
        <f t="shared" si="2"/>
        <v>9.7282977842795102</v>
      </c>
      <c r="AD56" s="46">
        <f t="shared" si="3"/>
        <v>6.6226067281950032</v>
      </c>
      <c r="AF56" s="46">
        <f t="shared" ref="AF56" si="19">LOG10(AF24)</f>
        <v>8.9352336572691442</v>
      </c>
      <c r="AJ56" s="46">
        <f t="shared" si="5"/>
        <v>9.5529540099996968</v>
      </c>
      <c r="BH56" s="46">
        <v>7.138041731312347</v>
      </c>
      <c r="BM56" s="46">
        <f t="shared" si="6"/>
        <v>6.2533733648410426</v>
      </c>
    </row>
    <row r="57" spans="2:65" x14ac:dyDescent="0.25">
      <c r="B57" s="47" t="s">
        <v>22</v>
      </c>
      <c r="K57" s="46">
        <f t="shared" si="0"/>
        <v>8.6615942519927742</v>
      </c>
      <c r="Q57" s="46">
        <f t="shared" si="1"/>
        <v>8.5780133497004822</v>
      </c>
      <c r="Y57" s="46">
        <f t="shared" si="2"/>
        <v>9.6724702647524943</v>
      </c>
      <c r="AD57" s="46">
        <f t="shared" si="3"/>
        <v>6.4990796822383938</v>
      </c>
      <c r="AF57" s="46">
        <f t="shared" ref="AF57" si="20">LOG10(AF25)</f>
        <v>8.8458692439175</v>
      </c>
      <c r="AJ57" s="46">
        <f t="shared" si="5"/>
        <v>9.5037342856887719</v>
      </c>
      <c r="BH57" s="46">
        <v>7.0200448987645157</v>
      </c>
      <c r="BM57" s="46">
        <f t="shared" si="6"/>
        <v>5.9913042150921241</v>
      </c>
    </row>
    <row r="58" spans="2:65" x14ac:dyDescent="0.25">
      <c r="B58" s="47" t="s">
        <v>23</v>
      </c>
      <c r="K58" s="46">
        <f t="shared" si="0"/>
        <v>8.6764515883103535</v>
      </c>
      <c r="Q58" s="46">
        <f t="shared" si="1"/>
        <v>8.5389617904001476</v>
      </c>
      <c r="Y58" s="46">
        <f t="shared" si="2"/>
        <v>9.7208899553994677</v>
      </c>
      <c r="AD58" s="46">
        <f>LOG10(AD26)</f>
        <v>6.5996725889116687</v>
      </c>
      <c r="AF58" s="46">
        <f>LOG10(AF26)</f>
        <v>8.9148408926981233</v>
      </c>
      <c r="AJ58" s="46">
        <f t="shared" si="5"/>
        <v>9.5299300068815871</v>
      </c>
      <c r="BH58" s="46">
        <v>7.0869183217043821</v>
      </c>
      <c r="BM58" s="46">
        <f t="shared" si="6"/>
        <v>6.1001402541699843</v>
      </c>
    </row>
    <row r="62" spans="2:65" x14ac:dyDescent="0.2">
      <c r="K62" s="58" t="s">
        <v>222</v>
      </c>
      <c r="L62" s="58"/>
      <c r="M62" s="58"/>
      <c r="N62" s="58"/>
      <c r="O62" s="58"/>
      <c r="P62" s="58"/>
      <c r="Q62" s="58" t="s">
        <v>223</v>
      </c>
      <c r="R62" s="58"/>
      <c r="S62" s="58"/>
      <c r="T62" s="58"/>
      <c r="U62" s="58"/>
      <c r="V62" s="58"/>
      <c r="W62" s="58"/>
      <c r="X62" s="58"/>
      <c r="Y62" s="58" t="s">
        <v>240</v>
      </c>
      <c r="Z62" s="58"/>
      <c r="AA62" s="58"/>
      <c r="AB62" s="58"/>
      <c r="AC62" s="58"/>
      <c r="AD62" s="58" t="s">
        <v>221</v>
      </c>
      <c r="AE62" s="58"/>
      <c r="AF62" s="58" t="s">
        <v>241</v>
      </c>
      <c r="AG62" s="58"/>
      <c r="AH62" s="58"/>
      <c r="AI62" s="58"/>
      <c r="AJ62" s="58" t="s">
        <v>217</v>
      </c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 t="s">
        <v>220</v>
      </c>
      <c r="BI62" s="58"/>
      <c r="BJ62" s="58"/>
      <c r="BK62" s="58"/>
      <c r="BL62" s="58"/>
      <c r="BM62" s="63" t="s">
        <v>219</v>
      </c>
    </row>
    <row r="63" spans="2:65" x14ac:dyDescent="0.25">
      <c r="B63" s="46" t="s">
        <v>114</v>
      </c>
      <c r="K63" s="46">
        <f>(K34-10.322)/0.9603</f>
        <v>-2.5268570298654276</v>
      </c>
      <c r="Q63" s="46">
        <f>(Q34-10.529)/0.9881</f>
        <v>-1.9939733166037077</v>
      </c>
      <c r="AJ63" s="46" t="s">
        <v>216</v>
      </c>
      <c r="BH63" s="46" t="s">
        <v>180</v>
      </c>
      <c r="BM63" s="46" t="s">
        <v>33</v>
      </c>
    </row>
    <row r="64" spans="2:65" x14ac:dyDescent="0.25">
      <c r="B64" s="47" t="s">
        <v>0</v>
      </c>
      <c r="K64" s="46">
        <f t="shared" ref="K64:K87" si="21">(K35-10.322)/0.9603</f>
        <v>-1.8104018860231326</v>
      </c>
      <c r="Q64" s="46">
        <f t="shared" ref="Q64:Q87" si="22">(Q35-10.529)/0.9881</f>
        <v>-1.3594026404483288</v>
      </c>
      <c r="Y64" s="46">
        <f>(Y34-11.405)/0.806</f>
        <v>-2.8298548987341325</v>
      </c>
      <c r="AD64" s="46">
        <f>(AD34-10.371)/0.916</f>
        <v>-4.9520545093702149</v>
      </c>
      <c r="AF64" s="46">
        <f>(AF34-11.475)/1.0535</f>
        <v>-3.0194456450049412</v>
      </c>
      <c r="AJ64" s="59">
        <f>(AJ34-9.9079)/1.2001</f>
        <v>-0.88222372402630422</v>
      </c>
      <c r="BH64" s="46">
        <f>(BH34-11.683)/1.0384</f>
        <v>-4.6392415302038126</v>
      </c>
      <c r="BM64" s="46">
        <f>(BM34-11.884)/0.9323</f>
        <v>-6.5588060390262504</v>
      </c>
    </row>
    <row r="65" spans="2:65" x14ac:dyDescent="0.25">
      <c r="B65" s="47" t="s">
        <v>1</v>
      </c>
      <c r="K65" s="46">
        <f t="shared" si="21"/>
        <v>-1.8547147342667609</v>
      </c>
      <c r="Q65" s="46">
        <f t="shared" si="22"/>
        <v>-1.3777896991034908</v>
      </c>
      <c r="Y65" s="46">
        <f>(Y35-11.405)/0.806</f>
        <v>-2.0651920143799694</v>
      </c>
      <c r="AD65" s="46">
        <f t="shared" ref="AD65:AD88" si="23">(AD35-10.371)/0.916</f>
        <v>-3.984736258738609</v>
      </c>
      <c r="AF65" s="46">
        <f t="shared" ref="AF65:AF87" si="24">(AF35-11.475)/1.0535</f>
        <v>-2.3700954808673331</v>
      </c>
      <c r="AJ65" s="59">
        <f t="shared" ref="AJ65:AJ87" si="25">(AJ35-9.9079)/1.2001</f>
        <v>-0.31540810620862725</v>
      </c>
      <c r="BH65" s="46">
        <f t="shared" ref="BH65:BH88" si="26">(BH35-11.683)/1.0384</f>
        <v>-3.9872937069443672</v>
      </c>
      <c r="BM65" s="46">
        <f t="shared" ref="BM65:BM88" si="27">(BM35-11.884)/0.9323</f>
        <v>-5.6940570115702629</v>
      </c>
    </row>
    <row r="66" spans="2:65" x14ac:dyDescent="0.25">
      <c r="B66" s="47" t="s">
        <v>2</v>
      </c>
      <c r="K66" s="46">
        <f t="shared" si="21"/>
        <v>-1.8454181267095726</v>
      </c>
      <c r="Q66" s="46">
        <f t="shared" si="22"/>
        <v>-1.3946199228817446</v>
      </c>
      <c r="Y66" s="46">
        <f>(Y36-11.405)/0.806</f>
        <v>-2.0948955457820779</v>
      </c>
      <c r="AD66" s="46">
        <f t="shared" si="23"/>
        <v>-3.9650719478833349</v>
      </c>
      <c r="AF66" s="46">
        <f t="shared" si="24"/>
        <v>-2.3974959919478893</v>
      </c>
      <c r="AJ66" s="59">
        <f t="shared" si="25"/>
        <v>-0.33425611155210416</v>
      </c>
      <c r="BH66" s="46">
        <f t="shared" si="26"/>
        <v>-3.9854119720014749</v>
      </c>
      <c r="BM66" s="46">
        <f t="shared" si="27"/>
        <v>-5.7278870511117814</v>
      </c>
    </row>
    <row r="67" spans="2:65" x14ac:dyDescent="0.25">
      <c r="B67" s="47" t="s">
        <v>3</v>
      </c>
      <c r="K67" s="46">
        <f t="shared" si="21"/>
        <v>-1.8454762673494451</v>
      </c>
      <c r="Q67" s="46">
        <f t="shared" si="22"/>
        <v>-1.3611533342701583</v>
      </c>
      <c r="Y67" s="46">
        <f>(Y37-11.405)/0.806</f>
        <v>-2.0903410621367331</v>
      </c>
      <c r="AD67" s="46">
        <f t="shared" si="23"/>
        <v>-4.018993260101964</v>
      </c>
      <c r="AF67" s="46">
        <f t="shared" si="24"/>
        <v>-2.4112714171952647</v>
      </c>
      <c r="AJ67" s="59">
        <f t="shared" si="25"/>
        <v>-0.34171467734596483</v>
      </c>
      <c r="BH67" s="46">
        <f t="shared" si="26"/>
        <v>-4.0164767704996089</v>
      </c>
      <c r="BM67" s="46">
        <f t="shared" si="27"/>
        <v>-5.7418582807215035</v>
      </c>
    </row>
    <row r="68" spans="2:65" x14ac:dyDescent="0.25">
      <c r="B68" s="47" t="s">
        <v>4</v>
      </c>
      <c r="K68" s="46">
        <f t="shared" si="21"/>
        <v>-1.9187275629129659</v>
      </c>
      <c r="Q68" s="46">
        <f t="shared" si="22"/>
        <v>-1.1919204151213203</v>
      </c>
      <c r="Y68" s="46">
        <f>(Y38-11.405)/0.806</f>
        <v>-2.0909005315594764</v>
      </c>
      <c r="AD68" s="46">
        <f t="shared" si="23"/>
        <v>-4.0498660842912413</v>
      </c>
      <c r="AF68" s="46">
        <f t="shared" si="24"/>
        <v>-2.3833870327590922</v>
      </c>
      <c r="AJ68" s="59">
        <f t="shared" si="25"/>
        <v>-0.34767019962101259</v>
      </c>
      <c r="BH68" s="46">
        <f t="shared" si="26"/>
        <v>-4.0037965193875902</v>
      </c>
      <c r="BM68" s="46">
        <f t="shared" si="27"/>
        <v>-5.8093573370573779</v>
      </c>
    </row>
    <row r="69" spans="2:65" x14ac:dyDescent="0.25">
      <c r="B69" s="47" t="s">
        <v>5</v>
      </c>
      <c r="K69" s="46">
        <f t="shared" si="21"/>
        <v>-1.9163965903443301</v>
      </c>
      <c r="Q69" s="46">
        <f t="shared" si="22"/>
        <v>-1.1938457933230027</v>
      </c>
      <c r="Y69" s="46">
        <f>(Y39-11.405)/0.806</f>
        <v>-2.0875878746937557</v>
      </c>
      <c r="AD69" s="46">
        <f t="shared" si="23"/>
        <v>-4.0481935082161105</v>
      </c>
      <c r="AF69" s="46">
        <f t="shared" si="24"/>
        <v>-2.4064733466692667</v>
      </c>
      <c r="AJ69" s="59">
        <f t="shared" si="25"/>
        <v>-0.33636789667219408</v>
      </c>
      <c r="BH69" s="46">
        <f t="shared" si="26"/>
        <v>-3.8493546746482208</v>
      </c>
      <c r="BM69" s="46">
        <f t="shared" si="27"/>
        <v>-6.0387081814813266</v>
      </c>
    </row>
    <row r="70" spans="2:65" x14ac:dyDescent="0.25">
      <c r="B70" s="47" t="s">
        <v>6</v>
      </c>
      <c r="K70" s="46">
        <f t="shared" si="21"/>
        <v>-1.9010123943915587</v>
      </c>
      <c r="Q70" s="46">
        <f t="shared" si="22"/>
        <v>-1.1580154834532999</v>
      </c>
      <c r="Y70" s="46">
        <f>(Y40-11.405)/0.806</f>
        <v>-2.0938643781429493</v>
      </c>
      <c r="AD70" s="46">
        <f t="shared" si="23"/>
        <v>-3.9847547347530119</v>
      </c>
      <c r="AF70" s="46">
        <f t="shared" si="24"/>
        <v>-2.4382087465790656</v>
      </c>
      <c r="AJ70" s="59">
        <f t="shared" si="25"/>
        <v>-0.31478737140508234</v>
      </c>
      <c r="BH70" s="46">
        <f t="shared" si="26"/>
        <v>-3.8733164399955697</v>
      </c>
      <c r="BM70" s="46">
        <f t="shared" si="27"/>
        <v>-6.0993690172241628</v>
      </c>
    </row>
    <row r="71" spans="2:65" x14ac:dyDescent="0.25">
      <c r="B71" s="47" t="s">
        <v>7</v>
      </c>
      <c r="K71" s="46">
        <f t="shared" si="21"/>
        <v>-1.9217117572043432</v>
      </c>
      <c r="Q71" s="46">
        <f t="shared" si="22"/>
        <v>-1.1941714034781954</v>
      </c>
      <c r="Y71" s="46">
        <f>(Y41-11.405)/0.806</f>
        <v>-2.0865070435934525</v>
      </c>
      <c r="AD71" s="46">
        <f t="shared" si="23"/>
        <v>-3.962429585332425</v>
      </c>
      <c r="AF71" s="46">
        <f t="shared" si="24"/>
        <v>-2.4575877965583248</v>
      </c>
      <c r="AJ71" s="59">
        <f t="shared" si="25"/>
        <v>-0.32185382830879355</v>
      </c>
      <c r="BH71" s="46">
        <f t="shared" si="26"/>
        <v>-3.8892714161743527</v>
      </c>
      <c r="BM71" s="46">
        <f t="shared" si="27"/>
        <v>-6.1949383560072144</v>
      </c>
    </row>
    <row r="72" spans="2:65" x14ac:dyDescent="0.25">
      <c r="B72" s="47" t="s">
        <v>8</v>
      </c>
      <c r="K72" s="46">
        <f t="shared" si="21"/>
        <v>-1.9568608732372976</v>
      </c>
      <c r="Q72" s="46">
        <f t="shared" si="22"/>
        <v>-1.2676036786126121</v>
      </c>
      <c r="Y72" s="46">
        <f>(Y42-11.405)/0.806</f>
        <v>-2.1016026997429429</v>
      </c>
      <c r="AD72" s="46">
        <f t="shared" si="23"/>
        <v>-3.9563204110029258</v>
      </c>
      <c r="AF72" s="46">
        <f t="shared" si="24"/>
        <v>-2.4343912779572503</v>
      </c>
      <c r="AJ72" s="59">
        <f t="shared" si="25"/>
        <v>-0.33138470658287045</v>
      </c>
      <c r="BH72" s="46">
        <f t="shared" si="26"/>
        <v>-3.8801338086409101</v>
      </c>
      <c r="BM72" s="46">
        <f t="shared" si="27"/>
        <v>-6.0578420215912105</v>
      </c>
    </row>
    <row r="73" spans="2:65" x14ac:dyDescent="0.25">
      <c r="B73" s="47" t="s">
        <v>9</v>
      </c>
      <c r="K73" s="46">
        <f t="shared" si="21"/>
        <v>-1.8006148952883869</v>
      </c>
      <c r="Q73" s="46">
        <f t="shared" si="22"/>
        <v>-1.3897865129788685</v>
      </c>
      <c r="Y73" s="46">
        <f>(Y43-11.405)/0.806</f>
        <v>-2.1624684161350247</v>
      </c>
      <c r="AD73" s="46">
        <f t="shared" si="23"/>
        <v>-4.0519206177947273</v>
      </c>
      <c r="AF73" s="46">
        <f t="shared" si="24"/>
        <v>-2.4498022182564663</v>
      </c>
      <c r="AJ73" s="59">
        <f t="shared" si="25"/>
        <v>-0.38736988574302883</v>
      </c>
      <c r="BH73" s="46">
        <f t="shared" si="26"/>
        <v>-3.9774431647544404</v>
      </c>
      <c r="BM73" s="46">
        <f t="shared" si="27"/>
        <v>-5.9536849012753317</v>
      </c>
    </row>
    <row r="74" spans="2:65" x14ac:dyDescent="0.25">
      <c r="B74" s="47" t="s">
        <v>10</v>
      </c>
      <c r="K74" s="46">
        <f t="shared" si="21"/>
        <v>-1.8881144819390654</v>
      </c>
      <c r="Q74" s="46">
        <f t="shared" si="22"/>
        <v>-1.4458791326550637</v>
      </c>
      <c r="Y74" s="46">
        <f>(Y44-11.405)/0.806</f>
        <v>-2.0504102342392647</v>
      </c>
      <c r="AD74" s="46">
        <f t="shared" si="23"/>
        <v>-4.0969460495455374</v>
      </c>
      <c r="AF74" s="46">
        <f t="shared" si="24"/>
        <v>-2.3634673307544141</v>
      </c>
      <c r="AJ74" s="59">
        <f t="shared" si="25"/>
        <v>-0.30962215647226837</v>
      </c>
      <c r="BH74" s="46">
        <f t="shared" si="26"/>
        <v>-4.029212034862244</v>
      </c>
      <c r="BM74" s="46">
        <f t="shared" si="27"/>
        <v>-5.7245593397279055</v>
      </c>
    </row>
    <row r="75" spans="2:65" x14ac:dyDescent="0.25">
      <c r="B75" s="47" t="s">
        <v>11</v>
      </c>
      <c r="K75" s="46">
        <f t="shared" si="21"/>
        <v>-2.2509441736261828</v>
      </c>
      <c r="Q75" s="46">
        <f t="shared" si="22"/>
        <v>-1.7875569031787677</v>
      </c>
      <c r="Y75" s="46">
        <f>(Y45-11.405)/0.806</f>
        <v>-2.1577486736281566</v>
      </c>
      <c r="AD75" s="46">
        <f t="shared" si="23"/>
        <v>-4.1371989797326627</v>
      </c>
      <c r="AF75" s="46">
        <f t="shared" si="24"/>
        <v>-2.4426646209571765</v>
      </c>
      <c r="AJ75" s="59">
        <f t="shared" si="25"/>
        <v>-0.35674227172780459</v>
      </c>
      <c r="BH75" s="46">
        <f t="shared" si="26"/>
        <v>-4.1069378184060703</v>
      </c>
      <c r="BM75" s="46">
        <f t="shared" si="27"/>
        <v>-5.8247578934133868</v>
      </c>
    </row>
    <row r="76" spans="2:65" x14ac:dyDescent="0.25">
      <c r="B76" s="47" t="s">
        <v>12</v>
      </c>
      <c r="K76" s="46">
        <f t="shared" si="21"/>
        <v>-2.7222684664041488</v>
      </c>
      <c r="Q76" s="46">
        <f t="shared" si="22"/>
        <v>-2.2958041073409552</v>
      </c>
      <c r="Y76" s="46">
        <f>(Y46-11.405)/0.806</f>
        <v>-2.5056595760454914</v>
      </c>
      <c r="AD76" s="46">
        <f t="shared" si="23"/>
        <v>-4.4436166921045164</v>
      </c>
      <c r="AF76" s="46">
        <f t="shared" si="24"/>
        <v>-2.7616473304735987</v>
      </c>
      <c r="AJ76" s="59">
        <f t="shared" si="25"/>
        <v>-0.64076604370379586</v>
      </c>
      <c r="BH76" s="46">
        <f t="shared" si="26"/>
        <v>-4.4370921674882187</v>
      </c>
      <c r="BM76" s="46">
        <f t="shared" si="27"/>
        <v>-6.291625327032639</v>
      </c>
    </row>
    <row r="77" spans="2:65" x14ac:dyDescent="0.25">
      <c r="B77" s="47" t="s">
        <v>13</v>
      </c>
      <c r="K77" s="46">
        <f t="shared" si="21"/>
        <v>-1.9255144306546701</v>
      </c>
      <c r="Q77" s="46">
        <f t="shared" si="22"/>
        <v>-1.150824918207715</v>
      </c>
      <c r="Y77" s="46">
        <f>(Y47-11.405)/0.806</f>
        <v>-3.0402646499043038</v>
      </c>
      <c r="AD77" s="46" t="s">
        <v>116</v>
      </c>
      <c r="AF77" s="46">
        <f t="shared" si="24"/>
        <v>-3.2280745309283643</v>
      </c>
      <c r="AJ77" s="59">
        <f t="shared" si="25"/>
        <v>-1.0696727407051498</v>
      </c>
      <c r="BH77" s="46">
        <f t="shared" si="26"/>
        <v>-4.8301263764532587</v>
      </c>
      <c r="BM77" s="46">
        <f t="shared" si="27"/>
        <v>-6.8254842056210157</v>
      </c>
    </row>
    <row r="78" spans="2:65" x14ac:dyDescent="0.25">
      <c r="B78" s="47" t="s">
        <v>14</v>
      </c>
      <c r="K78" s="46">
        <f t="shared" si="21"/>
        <v>-2.0537435008335527</v>
      </c>
      <c r="Q78" s="46">
        <f t="shared" si="22"/>
        <v>-1.332783231690158</v>
      </c>
      <c r="Y78" s="46">
        <f>(Y48-11.405)/0.806</f>
        <v>-2.1114295401395098</v>
      </c>
      <c r="AD78" s="46">
        <f t="shared" si="23"/>
        <v>-4.0189725028329173</v>
      </c>
      <c r="AF78" s="46">
        <f t="shared" si="24"/>
        <v>-2.4788550054409053</v>
      </c>
      <c r="AJ78" s="59">
        <f t="shared" si="25"/>
        <v>-0.31817304798215446</v>
      </c>
      <c r="BH78" s="46">
        <f t="shared" si="26"/>
        <v>-3.9692479710383606</v>
      </c>
      <c r="BM78" s="46">
        <f t="shared" si="27"/>
        <v>-6.0599725092862968</v>
      </c>
    </row>
    <row r="79" spans="2:65" x14ac:dyDescent="0.25">
      <c r="B79" s="47" t="s">
        <v>15</v>
      </c>
      <c r="K79" s="46">
        <f t="shared" si="21"/>
        <v>-2.7858874580852468</v>
      </c>
      <c r="Q79" s="46">
        <f t="shared" si="22"/>
        <v>-1.9706088949593334</v>
      </c>
      <c r="Y79" s="46">
        <f>(Y49-11.405)/0.806</f>
        <v>-2.28948117177316</v>
      </c>
      <c r="AD79" s="46">
        <f t="shared" si="23"/>
        <v>-4.2332450524136744</v>
      </c>
      <c r="AF79" s="46">
        <f t="shared" si="24"/>
        <v>-2.592785632473968</v>
      </c>
      <c r="AJ79" s="59">
        <f t="shared" si="25"/>
        <v>-0.44526818129084211</v>
      </c>
      <c r="BH79" s="46">
        <f t="shared" si="26"/>
        <v>-4.1519563556139163</v>
      </c>
      <c r="BM79" s="46">
        <f t="shared" si="27"/>
        <v>-6.2284897778804469</v>
      </c>
    </row>
    <row r="80" spans="2:65" x14ac:dyDescent="0.25">
      <c r="B80" s="47" t="s">
        <v>16</v>
      </c>
      <c r="K80" s="46">
        <f t="shared" si="21"/>
        <v>-2.5321543282394399</v>
      </c>
      <c r="Q80" s="46">
        <f t="shared" si="22"/>
        <v>-1.7650298615249818</v>
      </c>
      <c r="Y80" s="46">
        <f>(Y50-11.405)/0.806</f>
        <v>-3.0089829206515839</v>
      </c>
      <c r="AD80" s="46" t="s">
        <v>116</v>
      </c>
      <c r="AF80" s="46">
        <f t="shared" si="24"/>
        <v>-3.212493662506068</v>
      </c>
      <c r="AJ80" s="59">
        <f t="shared" si="25"/>
        <v>-1.018330380320009</v>
      </c>
      <c r="BH80" s="46">
        <f t="shared" si="26"/>
        <v>-4.7313875941132606</v>
      </c>
      <c r="BM80" s="46" t="s">
        <v>116</v>
      </c>
    </row>
    <row r="81" spans="2:70" x14ac:dyDescent="0.25">
      <c r="B81" s="47" t="s">
        <v>17</v>
      </c>
      <c r="K81" s="46">
        <f t="shared" si="21"/>
        <v>-1.9845753328183791</v>
      </c>
      <c r="Q81" s="46">
        <f t="shared" si="22"/>
        <v>-1.1593745217656983</v>
      </c>
      <c r="Y81" s="46">
        <f>(Y51-11.405)/0.806</f>
        <v>-2.7479065003714567</v>
      </c>
      <c r="AD81" s="46">
        <f t="shared" si="23"/>
        <v>-4.5062510164762344</v>
      </c>
      <c r="AF81" s="46">
        <f t="shared" si="24"/>
        <v>-2.9672940476089544</v>
      </c>
      <c r="AJ81" s="59">
        <f t="shared" si="25"/>
        <v>-0.8197313028043538</v>
      </c>
      <c r="BH81" s="46">
        <f t="shared" si="26"/>
        <v>-4.5339468979942916</v>
      </c>
      <c r="BM81" s="46">
        <f t="shared" si="27"/>
        <v>-6.5743126557702434</v>
      </c>
    </row>
    <row r="82" spans="2:70" x14ac:dyDescent="0.25">
      <c r="B82" s="47" t="s">
        <v>18</v>
      </c>
      <c r="K82" s="46">
        <f t="shared" si="21"/>
        <v>-1.866720496711036</v>
      </c>
      <c r="Q82" s="46">
        <f t="shared" si="22"/>
        <v>-1.5134178175242279</v>
      </c>
      <c r="Y82" s="46">
        <f>(Y52-11.405)/0.806</f>
        <v>-2.1835787049374349</v>
      </c>
      <c r="AD82" s="46">
        <f t="shared" si="23"/>
        <v>-4.0397394931236406</v>
      </c>
      <c r="AF82" s="46">
        <f t="shared" si="24"/>
        <v>-2.5137308677363537</v>
      </c>
      <c r="AJ82" s="59">
        <f t="shared" si="25"/>
        <v>-0.36310292171724173</v>
      </c>
      <c r="BH82" s="46">
        <f t="shared" si="26"/>
        <v>-4.0025340553736024</v>
      </c>
      <c r="BM82" s="46">
        <f t="shared" si="27"/>
        <v>-5.9476153647505745</v>
      </c>
    </row>
    <row r="83" spans="2:70" x14ac:dyDescent="0.25">
      <c r="B83" s="47" t="s">
        <v>215</v>
      </c>
      <c r="K83" s="46">
        <f t="shared" si="21"/>
        <v>-1.8558089787925389</v>
      </c>
      <c r="Q83" s="46">
        <f t="shared" si="22"/>
        <v>-2.1572798877930794</v>
      </c>
      <c r="Y83" s="46">
        <f>(Y53-11.405)/0.806</f>
        <v>-2.1222456269332768</v>
      </c>
      <c r="AD83" s="46">
        <f t="shared" si="23"/>
        <v>-4.1729727718706791</v>
      </c>
      <c r="AF83" s="46">
        <f t="shared" si="24"/>
        <v>-2.4334020964584702</v>
      </c>
      <c r="AJ83" s="59">
        <f t="shared" si="25"/>
        <v>-0.36195318754341965</v>
      </c>
      <c r="BH83" s="46">
        <f t="shared" si="26"/>
        <v>-4.1092092879924618</v>
      </c>
      <c r="BM83" s="46">
        <f t="shared" si="27"/>
        <v>-5.8078449374420309</v>
      </c>
    </row>
    <row r="84" spans="2:70" x14ac:dyDescent="0.25">
      <c r="B84" s="47" t="s">
        <v>19</v>
      </c>
      <c r="K84" s="46">
        <f t="shared" si="21"/>
        <v>-2.51517868090116</v>
      </c>
      <c r="Q84" s="46">
        <f t="shared" si="22"/>
        <v>-2.8057433594506165</v>
      </c>
      <c r="Y84" s="46">
        <f>(Y54-11.405)/0.806</f>
        <v>-2.2485245379097001</v>
      </c>
      <c r="AD84" s="46">
        <f t="shared" si="23"/>
        <v>-4.2882087937111413</v>
      </c>
      <c r="AF84" s="46">
        <f t="shared" si="24"/>
        <v>-2.5599674679030073</v>
      </c>
      <c r="AJ84" s="59">
        <f t="shared" si="25"/>
        <v>-0.4492743001055573</v>
      </c>
      <c r="BH84" s="46">
        <f t="shared" si="26"/>
        <v>-4.585733447792057</v>
      </c>
      <c r="BM84" s="46">
        <f t="shared" si="27"/>
        <v>-6.3532454741038071</v>
      </c>
    </row>
    <row r="85" spans="2:70" x14ac:dyDescent="0.25">
      <c r="B85" s="47" t="s">
        <v>20</v>
      </c>
      <c r="K85" s="46">
        <f t="shared" si="21"/>
        <v>-1.6939165178285949</v>
      </c>
      <c r="Q85" s="46">
        <f t="shared" si="22"/>
        <v>-2.0636467468277435</v>
      </c>
      <c r="Y85" s="46">
        <f>(Y55-11.405)/0.806</f>
        <v>-3.0998016572685638</v>
      </c>
      <c r="AD85" s="46">
        <f t="shared" si="23"/>
        <v>-5.1645238715171189</v>
      </c>
      <c r="AF85" s="46">
        <f t="shared" si="24"/>
        <v>-3.2827571435799494</v>
      </c>
      <c r="AJ85" s="59">
        <f t="shared" si="25"/>
        <v>-1.0501912799624147</v>
      </c>
      <c r="BH85" s="46">
        <f t="shared" si="26"/>
        <v>-5.3266012187080412</v>
      </c>
      <c r="BM85" s="46" t="s">
        <v>116</v>
      </c>
    </row>
    <row r="86" spans="2:70" x14ac:dyDescent="0.25">
      <c r="B86" s="47" t="s">
        <v>21</v>
      </c>
      <c r="K86" s="46">
        <f t="shared" si="21"/>
        <v>-1.7290489930305373</v>
      </c>
      <c r="Q86" s="46">
        <f t="shared" si="22"/>
        <v>-1.9744829979754253</v>
      </c>
      <c r="Y86" s="46">
        <f>(Y56-11.405)/0.806</f>
        <v>-2.080275701886463</v>
      </c>
      <c r="AD86" s="46">
        <f t="shared" si="23"/>
        <v>-4.0921323928002149</v>
      </c>
      <c r="AF86" s="46">
        <f t="shared" si="24"/>
        <v>-2.4107891245665449</v>
      </c>
      <c r="AJ86" s="59">
        <f t="shared" si="25"/>
        <v>-0.29576367802708353</v>
      </c>
      <c r="BH86" s="46">
        <f t="shared" si="26"/>
        <v>-4.3768858519719309</v>
      </c>
      <c r="BM86" s="46">
        <f t="shared" si="27"/>
        <v>-6.0395008421741476</v>
      </c>
    </row>
    <row r="87" spans="2:70" x14ac:dyDescent="0.25">
      <c r="B87" s="47" t="s">
        <v>22</v>
      </c>
      <c r="K87" s="46">
        <f t="shared" si="21"/>
        <v>-1.7135774358946638</v>
      </c>
      <c r="Q87" s="46">
        <f t="shared" si="22"/>
        <v>-2.0140048675233806</v>
      </c>
      <c r="Y87" s="46">
        <f>(Y57-11.405)/0.806</f>
        <v>-2.1495406144509985</v>
      </c>
      <c r="AD87" s="46">
        <f t="shared" si="23"/>
        <v>-4.2269872464646356</v>
      </c>
      <c r="AF87" s="46">
        <f>(AF57-11.475)/1.0535</f>
        <v>-2.4956153356264825</v>
      </c>
      <c r="AJ87" s="59">
        <f t="shared" si="25"/>
        <v>-0.33677669720125641</v>
      </c>
      <c r="BH87" s="46">
        <f t="shared" si="26"/>
        <v>-4.4905191652884096</v>
      </c>
      <c r="BM87" s="46">
        <f t="shared" si="27"/>
        <v>-6.3206004343107116</v>
      </c>
    </row>
    <row r="88" spans="2:70" s="65" customFormat="1" x14ac:dyDescent="0.25">
      <c r="B88" s="64"/>
      <c r="Q88" s="46"/>
      <c r="Y88" s="46">
        <f>(Y58-11.405)/0.806</f>
        <v>-2.0894665565763417</v>
      </c>
      <c r="AD88" s="46">
        <f t="shared" si="23"/>
        <v>-4.1171696627601877</v>
      </c>
      <c r="AF88" s="46">
        <f>(AF58-11.475)/1.0535</f>
        <v>-2.4301462812547472</v>
      </c>
      <c r="AJ88" s="66"/>
      <c r="BH88" s="46">
        <f t="shared" si="26"/>
        <v>-4.4261187194680449</v>
      </c>
      <c r="BM88" s="46">
        <f t="shared" si="27"/>
        <v>-6.203861145371679</v>
      </c>
    </row>
    <row r="91" spans="2:70" x14ac:dyDescent="0.25">
      <c r="AJ91" s="46" t="s">
        <v>112</v>
      </c>
    </row>
    <row r="92" spans="2:70" x14ac:dyDescent="0.25">
      <c r="B92" s="46" t="s">
        <v>114</v>
      </c>
      <c r="C92" s="46" t="s">
        <v>187</v>
      </c>
      <c r="D92" s="46" t="s">
        <v>188</v>
      </c>
      <c r="E92" s="46" t="s">
        <v>189</v>
      </c>
      <c r="F92" s="46" t="s">
        <v>40</v>
      </c>
      <c r="G92" s="46" t="s">
        <v>190</v>
      </c>
      <c r="H92" s="46" t="s">
        <v>191</v>
      </c>
      <c r="I92" s="46" t="s">
        <v>192</v>
      </c>
      <c r="J92" s="46" t="s">
        <v>44</v>
      </c>
      <c r="K92" s="46" t="s">
        <v>34</v>
      </c>
      <c r="L92" s="46" t="s">
        <v>60</v>
      </c>
      <c r="M92" s="46" t="s">
        <v>49</v>
      </c>
      <c r="N92" s="46" t="s">
        <v>193</v>
      </c>
      <c r="O92" s="46" t="s">
        <v>43</v>
      </c>
      <c r="P92" s="46" t="s">
        <v>194</v>
      </c>
      <c r="Q92" s="46" t="s">
        <v>28</v>
      </c>
      <c r="R92" s="46" t="s">
        <v>178</v>
      </c>
      <c r="S92" s="46" t="s">
        <v>113</v>
      </c>
      <c r="T92" s="46" t="s">
        <v>195</v>
      </c>
      <c r="U92" s="46" t="s">
        <v>47</v>
      </c>
      <c r="V92" s="46" t="s">
        <v>196</v>
      </c>
      <c r="W92" s="46" t="s">
        <v>197</v>
      </c>
      <c r="X92" s="46" t="s">
        <v>179</v>
      </c>
      <c r="Y92" s="46" t="s">
        <v>50</v>
      </c>
      <c r="Z92" s="46" t="s">
        <v>51</v>
      </c>
      <c r="AA92" s="46" t="s">
        <v>198</v>
      </c>
      <c r="AB92" s="46" t="s">
        <v>48</v>
      </c>
      <c r="AC92" s="46" t="s">
        <v>199</v>
      </c>
      <c r="AD92" s="46" t="s">
        <v>36</v>
      </c>
      <c r="AE92" s="46" t="s">
        <v>54</v>
      </c>
      <c r="AF92" s="46" t="s">
        <v>52</v>
      </c>
      <c r="AG92" s="46" t="s">
        <v>200</v>
      </c>
      <c r="AH92" s="46" t="s">
        <v>57</v>
      </c>
      <c r="AI92" s="46" t="s">
        <v>201</v>
      </c>
      <c r="AJ92" s="46" t="s">
        <v>117</v>
      </c>
      <c r="AK92" s="46" t="s">
        <v>202</v>
      </c>
      <c r="AL92" s="46" t="s">
        <v>203</v>
      </c>
      <c r="AM92" s="46" t="s">
        <v>62</v>
      </c>
      <c r="AN92" s="46" t="s">
        <v>204</v>
      </c>
      <c r="AO92" s="46" t="s">
        <v>205</v>
      </c>
      <c r="AP92" s="46" t="s">
        <v>110</v>
      </c>
      <c r="AQ92" s="46" t="s">
        <v>206</v>
      </c>
      <c r="AR92" s="46" t="s">
        <v>207</v>
      </c>
      <c r="AS92" s="46" t="s">
        <v>55</v>
      </c>
      <c r="AT92" s="46" t="s">
        <v>208</v>
      </c>
      <c r="AU92" s="46" t="s">
        <v>64</v>
      </c>
      <c r="AV92" s="46" t="s">
        <v>209</v>
      </c>
      <c r="AW92" s="46" t="s">
        <v>67</v>
      </c>
      <c r="AX92" s="46" t="s">
        <v>46</v>
      </c>
      <c r="AY92" s="46" t="s">
        <v>70</v>
      </c>
      <c r="AZ92" s="46" t="s">
        <v>68</v>
      </c>
      <c r="BA92" s="46" t="s">
        <v>59</v>
      </c>
      <c r="BB92" s="46" t="s">
        <v>69</v>
      </c>
      <c r="BC92" s="46" t="s">
        <v>71</v>
      </c>
      <c r="BD92" s="46" t="s">
        <v>61</v>
      </c>
      <c r="BE92" s="46" t="s">
        <v>42</v>
      </c>
      <c r="BF92" s="46" t="s">
        <v>210</v>
      </c>
      <c r="BG92" s="46" t="s">
        <v>31</v>
      </c>
      <c r="BH92" s="46" t="s">
        <v>180</v>
      </c>
      <c r="BI92" s="46" t="s">
        <v>211</v>
      </c>
      <c r="BJ92" s="46" t="s">
        <v>30</v>
      </c>
      <c r="BK92" s="46" t="s">
        <v>212</v>
      </c>
      <c r="BL92" s="46" t="s">
        <v>76</v>
      </c>
      <c r="BM92" s="46" t="s">
        <v>33</v>
      </c>
      <c r="BN92" s="46" t="s">
        <v>78</v>
      </c>
      <c r="BO92" s="46" t="s">
        <v>77</v>
      </c>
      <c r="BP92" s="46" t="s">
        <v>213</v>
      </c>
      <c r="BQ92" s="46" t="s">
        <v>66</v>
      </c>
      <c r="BR92" s="46" t="s">
        <v>214</v>
      </c>
    </row>
    <row r="93" spans="2:70" x14ac:dyDescent="0.25">
      <c r="B93" s="47" t="s">
        <v>0</v>
      </c>
      <c r="K93" s="46">
        <f>10^K63</f>
        <v>2.9726444679141835E-3</v>
      </c>
      <c r="Q93" s="67">
        <f>10^Q63</f>
        <v>1.0139736831675314E-2</v>
      </c>
      <c r="Y93" s="67">
        <f>10^Y64</f>
        <v>1.4796026526952279E-3</v>
      </c>
      <c r="AD93" s="46">
        <f>10^AD64</f>
        <v>1.1167230763199942E-5</v>
      </c>
      <c r="AF93" s="46">
        <f>10^AF64</f>
        <v>9.5621236420309857E-4</v>
      </c>
      <c r="AJ93" s="60">
        <f>10^AJ64</f>
        <v>0.13115241017101964</v>
      </c>
      <c r="BH93" s="46">
        <f>10^BH64</f>
        <v>2.2948720141993121E-5</v>
      </c>
      <c r="BM93" s="46">
        <f>10^BM64</f>
        <v>2.7618110377988992E-7</v>
      </c>
    </row>
    <row r="94" spans="2:70" x14ac:dyDescent="0.25">
      <c r="B94" s="47" t="s">
        <v>1</v>
      </c>
      <c r="K94" s="46">
        <f t="shared" ref="K94:K117" si="28">10^K64</f>
        <v>1.5473840429371154E-2</v>
      </c>
      <c r="Q94" s="67">
        <f t="shared" ref="Q94:Q117" si="29">10^Q64</f>
        <v>4.3711666031137512E-2</v>
      </c>
      <c r="Y94" s="67">
        <f>10^Y65</f>
        <v>8.6061316563185164E-3</v>
      </c>
      <c r="AD94" s="46">
        <f>10^AD65</f>
        <v>1.0357709856639305E-4</v>
      </c>
      <c r="AF94" s="46">
        <f t="shared" ref="AF94:AF117" si="30">10^AF65</f>
        <v>4.2648574439932817E-3</v>
      </c>
      <c r="AJ94" s="60">
        <f t="shared" ref="AJ94:AJ117" si="31">10^AJ65</f>
        <v>0.48371760486615356</v>
      </c>
      <c r="BH94" s="46">
        <f t="shared" ref="BH94:BH116" si="32">10^BH65</f>
        <v>1.0296895211017734E-4</v>
      </c>
      <c r="BM94" s="46">
        <f t="shared" ref="BM94:BM116" si="33">10^BM65</f>
        <v>2.0227536263056049E-6</v>
      </c>
    </row>
    <row r="95" spans="2:70" x14ac:dyDescent="0.25">
      <c r="B95" s="47" t="s">
        <v>2</v>
      </c>
      <c r="K95" s="46">
        <f t="shared" si="28"/>
        <v>1.3972858649913588E-2</v>
      </c>
      <c r="Q95" s="67">
        <f t="shared" si="29"/>
        <v>4.1899640902516036E-2</v>
      </c>
      <c r="Y95" s="67">
        <f>10^Y66</f>
        <v>8.0371940529277968E-3</v>
      </c>
      <c r="AD95" s="46">
        <f t="shared" ref="AD95:AD117" si="34">10^AD65</f>
        <v>1.0357709856639305E-4</v>
      </c>
      <c r="AF95" s="46">
        <f t="shared" si="30"/>
        <v>4.0040916364203361E-3</v>
      </c>
      <c r="AJ95" s="60">
        <f t="shared" si="31"/>
        <v>0.46317369701831662</v>
      </c>
      <c r="BH95" s="46">
        <f t="shared" si="32"/>
        <v>1.0341606957955205E-4</v>
      </c>
      <c r="BM95" s="46">
        <f t="shared" si="33"/>
        <v>1.8711687202209547E-6</v>
      </c>
    </row>
    <row r="96" spans="2:70" x14ac:dyDescent="0.25">
      <c r="B96" s="47" t="s">
        <v>3</v>
      </c>
      <c r="K96" s="46">
        <f t="shared" si="28"/>
        <v>1.4275189209778232E-2</v>
      </c>
      <c r="Q96" s="67">
        <f t="shared" si="29"/>
        <v>4.0306963039410559E-2</v>
      </c>
      <c r="Y96" s="67">
        <f>10^Y67</f>
        <v>8.1219243095556563E-3</v>
      </c>
      <c r="AD96" s="46">
        <f t="shared" si="34"/>
        <v>1.0837473589245577E-4</v>
      </c>
      <c r="AF96" s="46">
        <f t="shared" si="30"/>
        <v>3.8790786286228844E-3</v>
      </c>
      <c r="AJ96" s="60">
        <f t="shared" si="31"/>
        <v>0.45528707627770892</v>
      </c>
      <c r="BH96" s="46">
        <f t="shared" si="32"/>
        <v>9.6277150822354375E-5</v>
      </c>
      <c r="BM96" s="46">
        <f t="shared" si="33"/>
        <v>1.8119312668339851E-6</v>
      </c>
    </row>
    <row r="97" spans="2:65" x14ac:dyDescent="0.25">
      <c r="B97" s="47" t="s">
        <v>4</v>
      </c>
      <c r="K97" s="46">
        <f t="shared" si="28"/>
        <v>1.4273278264287325E-2</v>
      </c>
      <c r="Q97" s="67">
        <f t="shared" si="29"/>
        <v>4.3535813673791168E-2</v>
      </c>
      <c r="Y97" s="67">
        <f>10^Y68</f>
        <v>8.111468172253191E-3</v>
      </c>
      <c r="AD97" s="46">
        <f t="shared" si="34"/>
        <v>9.5720892628557073E-5</v>
      </c>
      <c r="AF97" s="46">
        <f t="shared" si="30"/>
        <v>4.1363089265211636E-3</v>
      </c>
      <c r="AJ97" s="60">
        <f t="shared" si="31"/>
        <v>0.44908629366047009</v>
      </c>
      <c r="BH97" s="46">
        <f t="shared" si="32"/>
        <v>9.9129628956723352E-5</v>
      </c>
      <c r="BM97" s="46">
        <f t="shared" si="33"/>
        <v>1.5511102328448892E-6</v>
      </c>
    </row>
    <row r="98" spans="2:65" x14ac:dyDescent="0.25">
      <c r="B98" s="47" t="s">
        <v>5</v>
      </c>
      <c r="K98" s="46">
        <f t="shared" si="28"/>
        <v>1.2057921081067069E-2</v>
      </c>
      <c r="Q98" s="67">
        <f t="shared" si="29"/>
        <v>6.4280550124684088E-2</v>
      </c>
      <c r="Y98" s="67">
        <f>10^Y69</f>
        <v>8.1735763791646199E-3</v>
      </c>
      <c r="AD98" s="46">
        <f t="shared" si="34"/>
        <v>8.915257997984398E-5</v>
      </c>
      <c r="AF98" s="46">
        <f t="shared" si="30"/>
        <v>3.9221721657726272E-3</v>
      </c>
      <c r="AJ98" s="60">
        <f t="shared" si="31"/>
        <v>0.46092695173874215</v>
      </c>
      <c r="BH98" s="46">
        <f t="shared" si="32"/>
        <v>1.4146380176941682E-4</v>
      </c>
      <c r="BM98" s="46">
        <f t="shared" si="33"/>
        <v>9.1472767435980416E-7</v>
      </c>
    </row>
    <row r="99" spans="2:65" x14ac:dyDescent="0.25">
      <c r="B99" s="47" t="s">
        <v>6</v>
      </c>
      <c r="K99" s="46">
        <f t="shared" si="28"/>
        <v>1.212281310146756E-2</v>
      </c>
      <c r="Q99" s="67">
        <f t="shared" si="29"/>
        <v>6.3996202901973914E-2</v>
      </c>
      <c r="Y99" s="67">
        <f>10^Y70</f>
        <v>8.0562998475048175E-3</v>
      </c>
      <c r="AD99" s="46">
        <f t="shared" si="34"/>
        <v>8.9496590751259663E-5</v>
      </c>
      <c r="AF99" s="46">
        <f t="shared" si="30"/>
        <v>3.6457866760282475E-3</v>
      </c>
      <c r="AJ99" s="60">
        <f t="shared" si="31"/>
        <v>0.4844094742024766</v>
      </c>
      <c r="BH99" s="46">
        <f t="shared" si="32"/>
        <v>1.3387009143108622E-4</v>
      </c>
      <c r="BM99" s="46">
        <f t="shared" si="33"/>
        <v>7.9548314626883873E-7</v>
      </c>
    </row>
    <row r="100" spans="2:65" x14ac:dyDescent="0.25">
      <c r="B100" s="47" t="s">
        <v>7</v>
      </c>
      <c r="K100" s="46">
        <f t="shared" si="28"/>
        <v>1.2559941181898418E-2</v>
      </c>
      <c r="Q100" s="67">
        <f t="shared" si="29"/>
        <v>6.9499953904524542E-2</v>
      </c>
      <c r="Y100" s="67">
        <f>10^Y71</f>
        <v>8.1939433374739919E-3</v>
      </c>
      <c r="AD100" s="46">
        <f t="shared" si="34"/>
        <v>1.0357269222153123E-4</v>
      </c>
      <c r="AF100" s="46">
        <f t="shared" si="30"/>
        <v>3.486680906012942E-3</v>
      </c>
      <c r="AJ100" s="60">
        <f t="shared" si="31"/>
        <v>0.47659136748462505</v>
      </c>
      <c r="BH100" s="46">
        <f t="shared" si="32"/>
        <v>1.290412566823429E-4</v>
      </c>
      <c r="BM100" s="46">
        <f t="shared" si="33"/>
        <v>6.3835408808360131E-7</v>
      </c>
    </row>
    <row r="101" spans="2:65" x14ac:dyDescent="0.25">
      <c r="B101" s="47" t="s">
        <v>8</v>
      </c>
      <c r="K101" s="46">
        <f t="shared" si="28"/>
        <v>1.1975350759054584E-2</v>
      </c>
      <c r="Q101" s="67">
        <f t="shared" si="29"/>
        <v>6.3948240045308011E-2</v>
      </c>
      <c r="Y101" s="67">
        <f>10^Y72</f>
        <v>7.9140228572063577E-3</v>
      </c>
      <c r="AD101" s="46">
        <f t="shared" si="34"/>
        <v>1.0903612646107394E-4</v>
      </c>
      <c r="AF101" s="46">
        <f t="shared" si="30"/>
        <v>3.6779745691487768E-3</v>
      </c>
      <c r="AJ101" s="60">
        <f t="shared" si="31"/>
        <v>0.46624618730292688</v>
      </c>
      <c r="BH101" s="46">
        <f t="shared" si="32"/>
        <v>1.3178506385973479E-4</v>
      </c>
      <c r="BM101" s="46">
        <f t="shared" si="33"/>
        <v>8.7530211610961661E-7</v>
      </c>
    </row>
    <row r="102" spans="2:65" x14ac:dyDescent="0.25">
      <c r="B102" s="47" t="s">
        <v>9</v>
      </c>
      <c r="K102" s="46">
        <f t="shared" si="28"/>
        <v>1.1044323694827388E-2</v>
      </c>
      <c r="Q102" s="67">
        <f t="shared" si="29"/>
        <v>5.4000318504821815E-2</v>
      </c>
      <c r="Y102" s="67">
        <f>10^Y73</f>
        <v>6.8790993842126578E-3</v>
      </c>
      <c r="AD102" s="46">
        <f t="shared" si="34"/>
        <v>1.1058076472649356E-4</v>
      </c>
      <c r="AF102" s="46">
        <f t="shared" si="30"/>
        <v>3.5497501134809711E-3</v>
      </c>
      <c r="AJ102" s="60">
        <f t="shared" si="31"/>
        <v>0.40985488359529165</v>
      </c>
      <c r="BH102" s="46">
        <f t="shared" si="32"/>
        <v>1.0533115228713566E-4</v>
      </c>
      <c r="BM102" s="46">
        <f t="shared" si="33"/>
        <v>1.1125386276114385E-6</v>
      </c>
    </row>
    <row r="103" spans="2:65" x14ac:dyDescent="0.25">
      <c r="B103" s="47" t="s">
        <v>10</v>
      </c>
      <c r="K103" s="46">
        <f t="shared" si="28"/>
        <v>1.5826508112665082E-2</v>
      </c>
      <c r="Q103" s="67">
        <f t="shared" si="29"/>
        <v>4.0758058378360967E-2</v>
      </c>
      <c r="Y103" s="67">
        <f>10^Y74</f>
        <v>8.9040946066345928E-3</v>
      </c>
      <c r="AD103" s="46">
        <f t="shared" si="34"/>
        <v>8.8731818503398131E-5</v>
      </c>
      <c r="AF103" s="46">
        <f t="shared" si="30"/>
        <v>4.3304464174078175E-3</v>
      </c>
      <c r="AJ103" s="60">
        <f t="shared" si="31"/>
        <v>0.49020512062379251</v>
      </c>
      <c r="BH103" s="46">
        <f t="shared" si="32"/>
        <v>9.3494909408002038E-5</v>
      </c>
      <c r="BM103" s="46">
        <f t="shared" si="33"/>
        <v>1.885561318646214E-6</v>
      </c>
    </row>
    <row r="104" spans="2:65" x14ac:dyDescent="0.25">
      <c r="B104" s="47" t="s">
        <v>11</v>
      </c>
      <c r="K104" s="46">
        <f t="shared" si="28"/>
        <v>1.2938547306846782E-2</v>
      </c>
      <c r="Q104" s="67">
        <f t="shared" si="29"/>
        <v>3.5819611184136416E-2</v>
      </c>
      <c r="Y104" s="67">
        <f>10^Y75</f>
        <v>6.9542664481193096E-3</v>
      </c>
      <c r="AD104" s="46">
        <f t="shared" si="34"/>
        <v>7.9993362099880304E-5</v>
      </c>
      <c r="AF104" s="46">
        <f t="shared" si="30"/>
        <v>3.6085720337836096E-3</v>
      </c>
      <c r="AJ104" s="60">
        <f t="shared" si="31"/>
        <v>0.43980253498820665</v>
      </c>
      <c r="BH104" s="46">
        <f t="shared" si="32"/>
        <v>7.8173972482766107E-5</v>
      </c>
      <c r="BM104" s="46">
        <f t="shared" si="33"/>
        <v>1.4970699966464117E-6</v>
      </c>
    </row>
    <row r="105" spans="2:65" x14ac:dyDescent="0.25">
      <c r="B105" s="47" t="s">
        <v>12</v>
      </c>
      <c r="K105" s="46">
        <f t="shared" si="28"/>
        <v>5.611201005666905E-3</v>
      </c>
      <c r="Q105" s="67">
        <f t="shared" si="29"/>
        <v>1.6309591997587667E-2</v>
      </c>
      <c r="Y105" s="67">
        <f>10^Y76</f>
        <v>3.121335300090621E-3</v>
      </c>
      <c r="AD105" s="46">
        <f t="shared" si="34"/>
        <v>7.2912337288786076E-5</v>
      </c>
      <c r="AF105" s="46">
        <f t="shared" si="30"/>
        <v>1.7312216298462572E-3</v>
      </c>
      <c r="AJ105" s="60">
        <f t="shared" si="31"/>
        <v>0.22868303969358661</v>
      </c>
      <c r="BH105" s="46">
        <f t="shared" si="32"/>
        <v>3.6551721204495284E-5</v>
      </c>
      <c r="BM105" s="46">
        <f t="shared" si="33"/>
        <v>5.109456110396167E-7</v>
      </c>
    </row>
    <row r="106" spans="2:65" x14ac:dyDescent="0.25">
      <c r="B106" s="47" t="s">
        <v>13</v>
      </c>
      <c r="K106" s="46">
        <f t="shared" si="28"/>
        <v>1.8955338030143499E-3</v>
      </c>
      <c r="Q106" s="67">
        <f t="shared" si="29"/>
        <v>5.0605287049454934E-3</v>
      </c>
      <c r="Y106" s="67">
        <f>10^Y77</f>
        <v>9.114552484713593E-4</v>
      </c>
      <c r="AD106" s="46">
        <f t="shared" si="34"/>
        <v>3.6006698973600415E-5</v>
      </c>
      <c r="AF106" s="46">
        <f t="shared" si="30"/>
        <v>5.9146012274339708E-4</v>
      </c>
      <c r="AJ106" s="60">
        <f t="shared" si="31"/>
        <v>8.5177964849007998E-2</v>
      </c>
      <c r="BH106" s="46">
        <f t="shared" si="32"/>
        <v>1.4786780412821772E-5</v>
      </c>
      <c r="BM106" s="46">
        <f t="shared" si="33"/>
        <v>1.4945683956944451E-7</v>
      </c>
    </row>
    <row r="107" spans="2:65" x14ac:dyDescent="0.25">
      <c r="B107" s="47" t="s">
        <v>14</v>
      </c>
      <c r="K107" s="46">
        <f t="shared" si="28"/>
        <v>1.1870952558122641E-2</v>
      </c>
      <c r="Q107" s="67">
        <f t="shared" si="29"/>
        <v>7.0660235703778773E-2</v>
      </c>
      <c r="Y107" s="67">
        <f>10^Y78</f>
        <v>7.7369619292746066E-3</v>
      </c>
      <c r="AD107" s="46" t="s">
        <v>116</v>
      </c>
      <c r="AF107" s="46">
        <f t="shared" si="30"/>
        <v>3.3200528310220415E-3</v>
      </c>
      <c r="AJ107" s="60">
        <f t="shared" si="31"/>
        <v>0.48064779247292488</v>
      </c>
      <c r="BH107" s="46">
        <f t="shared" si="32"/>
        <v>1.073376366896576E-4</v>
      </c>
      <c r="BM107" s="46">
        <f t="shared" si="33"/>
        <v>8.7101872344157485E-7</v>
      </c>
    </row>
    <row r="108" spans="2:65" x14ac:dyDescent="0.25">
      <c r="B108" s="47" t="s">
        <v>15</v>
      </c>
      <c r="K108" s="46">
        <f t="shared" si="28"/>
        <v>8.8360161130926658E-3</v>
      </c>
      <c r="Q108" s="67">
        <f t="shared" si="29"/>
        <v>4.6474718543253503E-2</v>
      </c>
      <c r="Y108" s="67">
        <f>10^Y79</f>
        <v>5.1347443798297138E-3</v>
      </c>
      <c r="AD108" s="46">
        <f t="shared" si="34"/>
        <v>9.5725467754163523E-5</v>
      </c>
      <c r="AF108" s="46">
        <f t="shared" si="30"/>
        <v>2.5539616256927606E-3</v>
      </c>
      <c r="AJ108" s="60">
        <f t="shared" si="31"/>
        <v>0.35870036509187431</v>
      </c>
      <c r="BH108" s="46">
        <f t="shared" si="32"/>
        <v>7.0476389059420267E-5</v>
      </c>
      <c r="BM108" s="46">
        <f t="shared" si="33"/>
        <v>5.9089487348106841E-7</v>
      </c>
    </row>
    <row r="109" spans="2:65" x14ac:dyDescent="0.25">
      <c r="B109" s="47" t="s">
        <v>16</v>
      </c>
      <c r="K109" s="46">
        <f t="shared" si="28"/>
        <v>1.6372407366620886E-3</v>
      </c>
      <c r="Q109" s="67">
        <f t="shared" si="29"/>
        <v>1.0700180530419011E-2</v>
      </c>
      <c r="Y109" s="67">
        <f>10^Y80</f>
        <v>9.795285062289738E-4</v>
      </c>
      <c r="AD109" s="46">
        <f t="shared" si="34"/>
        <v>5.8446020705602295E-5</v>
      </c>
      <c r="AF109" s="46">
        <f t="shared" si="30"/>
        <v>6.130647383047282E-4</v>
      </c>
      <c r="AJ109" s="60">
        <f t="shared" si="31"/>
        <v>9.5867106536110053E-2</v>
      </c>
      <c r="BH109" s="46">
        <f t="shared" si="32"/>
        <v>1.8561471629218519E-5</v>
      </c>
      <c r="BM109" s="46" t="s">
        <v>116</v>
      </c>
    </row>
    <row r="110" spans="2:65" x14ac:dyDescent="0.25">
      <c r="B110" s="47" t="s">
        <v>17</v>
      </c>
      <c r="K110" s="46">
        <f t="shared" si="28"/>
        <v>2.936605932146345E-3</v>
      </c>
      <c r="Q110" s="67">
        <f t="shared" si="29"/>
        <v>1.7177902700670905E-2</v>
      </c>
      <c r="Y110" s="67">
        <f>10^Y81</f>
        <v>1.7868722306870893E-3</v>
      </c>
      <c r="AD110" s="46" t="s">
        <v>116</v>
      </c>
      <c r="AF110" s="46">
        <f t="shared" si="30"/>
        <v>1.0782164474112926E-3</v>
      </c>
      <c r="AJ110" s="60">
        <f t="shared" si="31"/>
        <v>0.15144979757373084</v>
      </c>
      <c r="BH110" s="46">
        <f t="shared" si="32"/>
        <v>2.9245099413312606E-5</v>
      </c>
      <c r="BM110" s="46">
        <f t="shared" si="33"/>
        <v>2.6649394398472414E-7</v>
      </c>
    </row>
    <row r="111" spans="2:65" x14ac:dyDescent="0.25">
      <c r="B111" s="47" t="s">
        <v>18</v>
      </c>
      <c r="K111" s="46">
        <f t="shared" si="28"/>
        <v>1.0361548571877321E-2</v>
      </c>
      <c r="Q111" s="67">
        <f t="shared" si="29"/>
        <v>6.928280753973326E-2</v>
      </c>
      <c r="Y111" s="67">
        <f>10^Y82</f>
        <v>6.552715236113827E-3</v>
      </c>
      <c r="AD111" s="46">
        <f t="shared" si="34"/>
        <v>3.1170874279566876E-5</v>
      </c>
      <c r="AF111" s="46">
        <f t="shared" si="30"/>
        <v>3.0638615203029949E-3</v>
      </c>
      <c r="AJ111" s="60">
        <f t="shared" si="31"/>
        <v>0.43340815454589676</v>
      </c>
      <c r="BH111" s="46">
        <f t="shared" si="32"/>
        <v>9.9418211171269357E-5</v>
      </c>
      <c r="BM111" s="46">
        <f t="shared" si="33"/>
        <v>1.1281962068891259E-6</v>
      </c>
    </row>
    <row r="112" spans="2:65" x14ac:dyDescent="0.25">
      <c r="B112" s="47" t="s">
        <v>215</v>
      </c>
      <c r="K112" s="46">
        <f t="shared" si="28"/>
        <v>1.359187911463835E-2</v>
      </c>
      <c r="Q112" s="67">
        <f t="shared" si="29"/>
        <v>3.0660708236875358E-2</v>
      </c>
      <c r="Y112" s="67">
        <f>10^Y83</f>
        <v>7.5466528567841593E-3</v>
      </c>
      <c r="AD112" s="46">
        <f t="shared" si="34"/>
        <v>9.1255806336070619E-5</v>
      </c>
      <c r="AF112" s="46">
        <f t="shared" si="30"/>
        <v>3.686361345854663E-3</v>
      </c>
      <c r="AJ112" s="60">
        <f t="shared" si="31"/>
        <v>0.43455706240723213</v>
      </c>
      <c r="BH112" s="46">
        <f t="shared" si="32"/>
        <v>7.7766170289907311E-5</v>
      </c>
      <c r="BM112" s="46">
        <f t="shared" si="33"/>
        <v>1.5565212801306283E-6</v>
      </c>
    </row>
    <row r="113" spans="2:65" x14ac:dyDescent="0.25">
      <c r="B113" s="47" t="s">
        <v>19</v>
      </c>
      <c r="K113" s="46">
        <f t="shared" si="28"/>
        <v>1.393769707415328E-2</v>
      </c>
      <c r="Q113" s="67">
        <f t="shared" si="29"/>
        <v>6.9617770701973303E-3</v>
      </c>
      <c r="Y113" s="67">
        <f>10^Y84</f>
        <v>5.6425505968086334E-3</v>
      </c>
      <c r="AD113" s="46">
        <f t="shared" si="34"/>
        <v>6.7147094953435684E-5</v>
      </c>
      <c r="AF113" s="46">
        <f t="shared" si="30"/>
        <v>2.7544350246133391E-3</v>
      </c>
      <c r="AJ113" s="60">
        <f t="shared" si="31"/>
        <v>0.35540677298389084</v>
      </c>
      <c r="BH113" s="46">
        <f t="shared" si="32"/>
        <v>2.5957720521284711E-5</v>
      </c>
      <c r="BM113" s="46">
        <f t="shared" si="33"/>
        <v>4.4335797607882281E-7</v>
      </c>
    </row>
    <row r="114" spans="2:65" x14ac:dyDescent="0.25">
      <c r="B114" s="47" t="s">
        <v>20</v>
      </c>
      <c r="K114" s="46">
        <f t="shared" si="28"/>
        <v>3.0536644917169807E-3</v>
      </c>
      <c r="Q114" s="67">
        <f t="shared" si="29"/>
        <v>1.5640716369398012E-3</v>
      </c>
      <c r="Y114" s="67">
        <f>10^Y85</f>
        <v>7.946910880881231E-4</v>
      </c>
      <c r="AD114" s="46">
        <f t="shared" si="34"/>
        <v>5.1498100006889692E-5</v>
      </c>
      <c r="AF114" s="46">
        <f t="shared" si="30"/>
        <v>5.2148624342684058E-4</v>
      </c>
      <c r="AJ114" s="60">
        <f t="shared" si="31"/>
        <v>8.9085848343782956E-2</v>
      </c>
      <c r="BH114" s="46">
        <f t="shared" si="32"/>
        <v>4.7140998950990652E-6</v>
      </c>
      <c r="BM114" s="46" t="s">
        <v>116</v>
      </c>
    </row>
    <row r="115" spans="2:65" x14ac:dyDescent="0.25">
      <c r="B115" s="47" t="s">
        <v>21</v>
      </c>
      <c r="K115" s="46">
        <f t="shared" si="28"/>
        <v>2.0234080905202366E-2</v>
      </c>
      <c r="Q115" s="67">
        <f t="shared" si="29"/>
        <v>8.636807761803823E-3</v>
      </c>
      <c r="Y115" s="67">
        <f>10^Y86</f>
        <v>8.3123591252551726E-3</v>
      </c>
      <c r="AD115" s="46">
        <f t="shared" si="34"/>
        <v>6.8466184879708815E-6</v>
      </c>
      <c r="AF115" s="46">
        <f t="shared" si="30"/>
        <v>3.8833888151438459E-3</v>
      </c>
      <c r="AJ115" s="60">
        <f t="shared" si="31"/>
        <v>0.50609998212852203</v>
      </c>
      <c r="BH115" s="46">
        <f t="shared" si="32"/>
        <v>4.1986932607379507E-5</v>
      </c>
      <c r="BM115" s="46">
        <f t="shared" si="33"/>
        <v>9.1305966470657455E-7</v>
      </c>
    </row>
    <row r="116" spans="2:65" x14ac:dyDescent="0.25">
      <c r="B116" s="47" t="s">
        <v>22</v>
      </c>
      <c r="K116" s="46">
        <f t="shared" si="28"/>
        <v>1.8661691552568246E-2</v>
      </c>
      <c r="Q116" s="67">
        <f t="shared" si="29"/>
        <v>1.0605154552638558E-2</v>
      </c>
      <c r="Y116" s="67">
        <f>10^Y87</f>
        <v>7.0869502744791051E-3</v>
      </c>
      <c r="AD116" s="46">
        <f t="shared" si="34"/>
        <v>8.0884928737336297E-5</v>
      </c>
      <c r="AF116" s="46">
        <f t="shared" si="30"/>
        <v>3.1943659240934977E-3</v>
      </c>
      <c r="AJ116" s="60">
        <f t="shared" si="31"/>
        <v>0.46049328625522357</v>
      </c>
      <c r="BH116" s="46">
        <f t="shared" si="32"/>
        <v>3.232070569920391E-5</v>
      </c>
      <c r="BM116" s="46">
        <f t="shared" si="33"/>
        <v>4.7796881899268925E-7</v>
      </c>
    </row>
    <row r="117" spans="2:65" x14ac:dyDescent="0.25">
      <c r="B117" s="47" t="s">
        <v>23</v>
      </c>
      <c r="K117" s="46">
        <f t="shared" si="28"/>
        <v>1.9338490173049359E-2</v>
      </c>
      <c r="Q117" s="67">
        <f t="shared" si="29"/>
        <v>9.6826700397348361E-3</v>
      </c>
      <c r="Y117" s="67">
        <f>10^Y88</f>
        <v>8.1382952839008406E-3</v>
      </c>
      <c r="AD117" s="46">
        <f t="shared" si="34"/>
        <v>5.9294273674028052E-5</v>
      </c>
      <c r="AF117" s="46">
        <f>10^AF88</f>
        <v>3.7141010780322153E-3</v>
      </c>
      <c r="AJ117" s="60">
        <f t="shared" si="31"/>
        <v>1</v>
      </c>
      <c r="BH117" s="46">
        <f>10^BH88</f>
        <v>3.7487051300557473E-5</v>
      </c>
      <c r="BM117" s="46">
        <f>10^BM88</f>
        <v>6.2537260782027986E-7</v>
      </c>
    </row>
    <row r="119" spans="2:65" x14ac:dyDescent="0.25">
      <c r="C119" s="61" t="e">
        <f t="shared" ref="C119:BL119" si="35">16000*AVERAGE(C113:C117)</f>
        <v>#DIV/0!</v>
      </c>
      <c r="D119" s="61" t="e">
        <f t="shared" si="35"/>
        <v>#DIV/0!</v>
      </c>
      <c r="E119" s="61" t="e">
        <f t="shared" si="35"/>
        <v>#DIV/0!</v>
      </c>
      <c r="F119" s="61" t="e">
        <f t="shared" si="35"/>
        <v>#DIV/0!</v>
      </c>
      <c r="G119" s="61" t="e">
        <f t="shared" si="35"/>
        <v>#DIV/0!</v>
      </c>
      <c r="H119" s="61" t="e">
        <f t="shared" si="35"/>
        <v>#DIV/0!</v>
      </c>
      <c r="I119" s="61" t="e">
        <f t="shared" si="35"/>
        <v>#DIV/0!</v>
      </c>
      <c r="J119" s="61" t="e">
        <f t="shared" si="35"/>
        <v>#DIV/0!</v>
      </c>
      <c r="K119" s="61">
        <f>16000*AVERAGE(K113:K117)</f>
        <v>240.72199742940876</v>
      </c>
      <c r="L119" s="61" t="e">
        <f t="shared" si="35"/>
        <v>#DIV/0!</v>
      </c>
      <c r="M119" s="61" t="e">
        <f t="shared" si="35"/>
        <v>#DIV/0!</v>
      </c>
      <c r="N119" s="61" t="e">
        <f t="shared" si="35"/>
        <v>#DIV/0!</v>
      </c>
      <c r="O119" s="61" t="e">
        <f t="shared" si="35"/>
        <v>#DIV/0!</v>
      </c>
      <c r="P119" s="61" t="e">
        <f t="shared" si="35"/>
        <v>#DIV/0!</v>
      </c>
      <c r="Q119" s="61">
        <f t="shared" si="35"/>
        <v>119.84153939620593</v>
      </c>
      <c r="R119" s="61" t="e">
        <f t="shared" si="35"/>
        <v>#DIV/0!</v>
      </c>
      <c r="S119" s="61" t="e">
        <f t="shared" si="35"/>
        <v>#DIV/0!</v>
      </c>
      <c r="T119" s="61" t="e">
        <f t="shared" si="35"/>
        <v>#DIV/0!</v>
      </c>
      <c r="U119" s="61" t="e">
        <f t="shared" si="35"/>
        <v>#DIV/0!</v>
      </c>
      <c r="V119" s="61" t="e">
        <f t="shared" si="35"/>
        <v>#DIV/0!</v>
      </c>
      <c r="W119" s="61" t="e">
        <f t="shared" si="35"/>
        <v>#DIV/0!</v>
      </c>
      <c r="X119" s="61" t="e">
        <f t="shared" si="35"/>
        <v>#DIV/0!</v>
      </c>
      <c r="Y119" s="61">
        <f t="shared" si="35"/>
        <v>95.919508379301988</v>
      </c>
      <c r="Z119" s="61" t="e">
        <f t="shared" si="35"/>
        <v>#DIV/0!</v>
      </c>
      <c r="AA119" s="61" t="e">
        <f t="shared" si="35"/>
        <v>#DIV/0!</v>
      </c>
      <c r="AB119" s="61" t="e">
        <f t="shared" si="35"/>
        <v>#DIV/0!</v>
      </c>
      <c r="AC119" s="61" t="e">
        <f t="shared" si="35"/>
        <v>#DIV/0!</v>
      </c>
      <c r="AD119" s="68">
        <f>16000*AVERAGE(AD113:AD117)</f>
        <v>0.8501472507509138</v>
      </c>
      <c r="AE119" s="61" t="e">
        <f t="shared" si="35"/>
        <v>#DIV/0!</v>
      </c>
      <c r="AF119" s="61">
        <f t="shared" si="35"/>
        <v>45.016886672991163</v>
      </c>
      <c r="AG119" s="61" t="e">
        <f t="shared" si="35"/>
        <v>#DIV/0!</v>
      </c>
      <c r="AH119" s="61" t="e">
        <f t="shared" si="35"/>
        <v>#DIV/0!</v>
      </c>
      <c r="AI119" s="61" t="e">
        <f t="shared" si="35"/>
        <v>#DIV/0!</v>
      </c>
      <c r="AJ119" s="61">
        <f>16000*AVERAGE(AJ113:AJ117)</f>
        <v>7715.4748470765408</v>
      </c>
      <c r="AK119" s="61" t="e">
        <f t="shared" si="35"/>
        <v>#DIV/0!</v>
      </c>
      <c r="AL119" s="61" t="e">
        <f t="shared" si="35"/>
        <v>#DIV/0!</v>
      </c>
      <c r="AM119" s="61" t="e">
        <f t="shared" si="35"/>
        <v>#DIV/0!</v>
      </c>
      <c r="AN119" s="61" t="e">
        <f t="shared" si="35"/>
        <v>#DIV/0!</v>
      </c>
      <c r="AO119" s="61" t="e">
        <f t="shared" si="35"/>
        <v>#DIV/0!</v>
      </c>
      <c r="AP119" s="61" t="e">
        <f t="shared" si="35"/>
        <v>#DIV/0!</v>
      </c>
      <c r="AQ119" s="61" t="e">
        <f t="shared" si="35"/>
        <v>#DIV/0!</v>
      </c>
      <c r="AR119" s="61" t="e">
        <f t="shared" si="35"/>
        <v>#DIV/0!</v>
      </c>
      <c r="AS119" s="61" t="e">
        <f t="shared" si="35"/>
        <v>#DIV/0!</v>
      </c>
      <c r="AT119" s="61" t="e">
        <f t="shared" si="35"/>
        <v>#DIV/0!</v>
      </c>
      <c r="AU119" s="61" t="e">
        <f t="shared" si="35"/>
        <v>#DIV/0!</v>
      </c>
      <c r="AV119" s="61" t="e">
        <f t="shared" si="35"/>
        <v>#DIV/0!</v>
      </c>
      <c r="AW119" s="61" t="e">
        <f t="shared" si="35"/>
        <v>#DIV/0!</v>
      </c>
      <c r="AX119" s="61" t="e">
        <f t="shared" si="35"/>
        <v>#DIV/0!</v>
      </c>
      <c r="AY119" s="61" t="e">
        <f t="shared" si="35"/>
        <v>#DIV/0!</v>
      </c>
      <c r="AZ119" s="61" t="e">
        <f t="shared" si="35"/>
        <v>#DIV/0!</v>
      </c>
      <c r="BA119" s="61" t="e">
        <f t="shared" si="35"/>
        <v>#DIV/0!</v>
      </c>
      <c r="BB119" s="61" t="e">
        <f t="shared" si="35"/>
        <v>#DIV/0!</v>
      </c>
      <c r="BC119" s="61" t="e">
        <f t="shared" si="35"/>
        <v>#DIV/0!</v>
      </c>
      <c r="BD119" s="61" t="e">
        <f t="shared" si="35"/>
        <v>#DIV/0!</v>
      </c>
      <c r="BE119" s="61" t="e">
        <f t="shared" si="35"/>
        <v>#DIV/0!</v>
      </c>
      <c r="BF119" s="61" t="e">
        <f t="shared" si="35"/>
        <v>#DIV/0!</v>
      </c>
      <c r="BG119" s="61" t="e">
        <f t="shared" si="35"/>
        <v>#DIV/0!</v>
      </c>
      <c r="BH119" s="67">
        <f t="shared" si="35"/>
        <v>0.45589283207527892</v>
      </c>
      <c r="BI119" s="61" t="e">
        <f t="shared" si="35"/>
        <v>#DIV/0!</v>
      </c>
      <c r="BJ119" s="61" t="e">
        <f t="shared" si="35"/>
        <v>#DIV/0!</v>
      </c>
      <c r="BK119" s="61" t="e">
        <f t="shared" si="35"/>
        <v>#DIV/0!</v>
      </c>
      <c r="BL119" s="61" t="e">
        <f t="shared" si="35"/>
        <v>#DIV/0!</v>
      </c>
      <c r="BM119" s="67">
        <f>16000*AVERAGE(BM113:BM117)</f>
        <v>9.839036270393467E-3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2" workbookViewId="0">
      <selection activeCell="F67" sqref="F67"/>
    </sheetView>
  </sheetViews>
  <sheetFormatPr defaultRowHeight="12" x14ac:dyDescent="0.25"/>
  <cols>
    <col min="1" max="2" width="9.140625" style="12"/>
    <col min="3" max="4" width="12.140625" style="12" bestFit="1" customWidth="1"/>
    <col min="5" max="5" width="14" style="12" bestFit="1" customWidth="1"/>
    <col min="6" max="6" width="18.28515625" style="12" bestFit="1" customWidth="1"/>
    <col min="7" max="7" width="25.5703125" style="12" bestFit="1" customWidth="1"/>
    <col min="8" max="8" width="23.28515625" style="12" bestFit="1" customWidth="1"/>
    <col min="9" max="9" width="25.140625" style="12" bestFit="1" customWidth="1"/>
    <col min="10" max="10" width="13.140625" style="12" bestFit="1" customWidth="1"/>
    <col min="11" max="11" width="20.7109375" style="12" bestFit="1" customWidth="1"/>
    <col min="12" max="13" width="23.7109375" style="12" bestFit="1" customWidth="1"/>
    <col min="14" max="16384" width="9.140625" style="12"/>
  </cols>
  <sheetData>
    <row r="1" spans="1:13" ht="15" x14ac:dyDescent="0.25">
      <c r="C1" s="81" t="s">
        <v>87</v>
      </c>
      <c r="D1" s="82"/>
      <c r="E1" s="82"/>
      <c r="F1" s="83" t="s">
        <v>99</v>
      </c>
      <c r="G1" s="83"/>
      <c r="H1" s="84" t="s">
        <v>100</v>
      </c>
      <c r="I1" s="84"/>
    </row>
    <row r="2" spans="1:13" ht="12.75" thickBot="1" x14ac:dyDescent="0.3">
      <c r="A2" s="4" t="s">
        <v>86</v>
      </c>
      <c r="B2" s="4" t="s">
        <v>85</v>
      </c>
      <c r="C2" s="4" t="s">
        <v>92</v>
      </c>
      <c r="D2" s="4" t="s">
        <v>90</v>
      </c>
      <c r="E2" s="4" t="s">
        <v>91</v>
      </c>
      <c r="F2" s="4" t="s">
        <v>98</v>
      </c>
      <c r="G2" s="4" t="s">
        <v>148</v>
      </c>
      <c r="H2" s="4" t="s">
        <v>96</v>
      </c>
      <c r="I2" s="4" t="s">
        <v>97</v>
      </c>
    </row>
    <row r="3" spans="1:13" ht="12.75" thickTop="1" x14ac:dyDescent="0.25">
      <c r="A3" s="12">
        <v>262</v>
      </c>
      <c r="B3" s="12">
        <v>1</v>
      </c>
      <c r="C3" s="15">
        <v>151666.66666666666</v>
      </c>
      <c r="D3" s="15">
        <v>291200</v>
      </c>
      <c r="E3" s="15">
        <v>504500</v>
      </c>
      <c r="F3" s="14">
        <f>24*LN(2)/LN(D3/C3)</f>
        <v>25.501901029506637</v>
      </c>
      <c r="G3" s="15"/>
      <c r="H3" s="14">
        <f>24*LN(2)/LN(E3/D3)</f>
        <v>30.270775347346365</v>
      </c>
      <c r="L3" s="12" t="s">
        <v>93</v>
      </c>
    </row>
    <row r="4" spans="1:13" x14ac:dyDescent="0.25">
      <c r="A4" s="12">
        <v>262</v>
      </c>
      <c r="B4" s="12">
        <v>2</v>
      </c>
      <c r="C4" s="15">
        <v>151666.66666666666</v>
      </c>
      <c r="D4" s="15">
        <v>293400</v>
      </c>
      <c r="E4" s="15">
        <v>499100</v>
      </c>
      <c r="F4" s="14">
        <f t="shared" ref="F4:F11" si="0">24*LN(2)/LN(D4/C4)</f>
        <v>25.211015505926898</v>
      </c>
      <c r="G4" s="15"/>
      <c r="H4" s="14">
        <f t="shared" ref="H4:H12" si="1">24*LN(2)/LN(E4/D4)</f>
        <v>31.312787323618476</v>
      </c>
      <c r="K4" s="12" t="s">
        <v>95</v>
      </c>
      <c r="L4" s="13">
        <f>(3.25*700000)/(3.25+26.75)</f>
        <v>75833.333333333328</v>
      </c>
    </row>
    <row r="5" spans="1:13" x14ac:dyDescent="0.25">
      <c r="A5" s="12">
        <v>262</v>
      </c>
      <c r="B5" s="12">
        <v>3</v>
      </c>
      <c r="C5" s="15">
        <v>151666.66666666666</v>
      </c>
      <c r="D5" s="15">
        <v>390700</v>
      </c>
      <c r="E5" s="15">
        <v>475200</v>
      </c>
      <c r="F5" s="14">
        <f t="shared" si="0"/>
        <v>17.580392798588722</v>
      </c>
      <c r="G5" s="15"/>
      <c r="H5" s="14">
        <f>24*LN(2)/LN(E5/D5)</f>
        <v>84.963698012286741</v>
      </c>
      <c r="K5" s="12" t="s">
        <v>94</v>
      </c>
      <c r="L5" s="21">
        <f>L4*2</f>
        <v>151666.66666666666</v>
      </c>
    </row>
    <row r="6" spans="1:13" x14ac:dyDescent="0.25">
      <c r="A6" s="12">
        <v>262</v>
      </c>
      <c r="B6" s="12">
        <v>4</v>
      </c>
      <c r="C6" s="15">
        <v>151666.66666666666</v>
      </c>
      <c r="D6" s="15">
        <v>323800</v>
      </c>
      <c r="E6" s="15">
        <v>514400</v>
      </c>
      <c r="F6" s="14">
        <f t="shared" si="0"/>
        <v>21.933854164547846</v>
      </c>
      <c r="G6" s="15"/>
      <c r="H6" s="14">
        <f>24*LN(2)/LN(E6/D6)</f>
        <v>35.939568135934863</v>
      </c>
    </row>
    <row r="7" spans="1:13" x14ac:dyDescent="0.25">
      <c r="A7" s="16">
        <v>262</v>
      </c>
      <c r="B7" s="16">
        <v>5</v>
      </c>
      <c r="C7" s="17">
        <v>151666.66666666666</v>
      </c>
      <c r="D7" s="17">
        <v>300100</v>
      </c>
      <c r="E7" s="17">
        <v>553100</v>
      </c>
      <c r="F7" s="18">
        <f t="shared" si="0"/>
        <v>24.376884320782334</v>
      </c>
      <c r="G7" s="20">
        <f>(24*LN(2))/(LN(AVERAGE(D3:D7)/AVERAGE(C3:C7)))</f>
        <v>22.295584343643018</v>
      </c>
      <c r="H7" s="18">
        <f>24*LN(2)/LN(E7/D7)</f>
        <v>27.20789138951594</v>
      </c>
      <c r="I7" s="20">
        <f>(24*LN(2))/(LN(AVERAGE(E3:E7)/AVERAGE(D3:D7)))</f>
        <v>35.764738076704511</v>
      </c>
      <c r="K7" s="12" t="s">
        <v>95</v>
      </c>
      <c r="L7" s="13">
        <f>(2.55*870000)/(2.55+27.45)</f>
        <v>73950</v>
      </c>
    </row>
    <row r="8" spans="1:13" x14ac:dyDescent="0.25">
      <c r="A8" s="12" t="s">
        <v>88</v>
      </c>
      <c r="B8" s="12">
        <v>1</v>
      </c>
      <c r="C8" s="12">
        <v>147900</v>
      </c>
      <c r="D8" s="15">
        <v>281800</v>
      </c>
      <c r="E8" s="15">
        <v>468700</v>
      </c>
      <c r="F8" s="14">
        <f t="shared" si="0"/>
        <v>25.805076473958366</v>
      </c>
      <c r="G8" s="15"/>
      <c r="H8" s="14">
        <f t="shared" si="1"/>
        <v>32.697851356558694</v>
      </c>
      <c r="K8" s="12" t="s">
        <v>94</v>
      </c>
      <c r="L8" s="21">
        <f>L7*2</f>
        <v>147900</v>
      </c>
    </row>
    <row r="9" spans="1:13" x14ac:dyDescent="0.25">
      <c r="A9" s="12" t="s">
        <v>88</v>
      </c>
      <c r="B9" s="12">
        <v>2</v>
      </c>
      <c r="C9" s="12">
        <v>147900</v>
      </c>
      <c r="D9" s="15">
        <v>305200</v>
      </c>
      <c r="E9" s="15">
        <v>489400</v>
      </c>
      <c r="F9" s="14">
        <f t="shared" si="0"/>
        <v>22.963586522287127</v>
      </c>
      <c r="G9" s="15"/>
      <c r="H9" s="14">
        <f t="shared" si="1"/>
        <v>35.228885188392134</v>
      </c>
    </row>
    <row r="10" spans="1:13" x14ac:dyDescent="0.25">
      <c r="A10" s="12" t="s">
        <v>88</v>
      </c>
      <c r="B10" s="12">
        <v>3</v>
      </c>
      <c r="C10" s="12">
        <v>147900</v>
      </c>
      <c r="D10" s="15">
        <v>296900</v>
      </c>
      <c r="E10" s="15">
        <v>465000</v>
      </c>
      <c r="F10" s="14">
        <f t="shared" si="0"/>
        <v>23.872163587911547</v>
      </c>
      <c r="G10" s="15"/>
      <c r="H10" s="14">
        <f t="shared" si="1"/>
        <v>37.079746101092994</v>
      </c>
    </row>
    <row r="11" spans="1:13" x14ac:dyDescent="0.25">
      <c r="A11" s="12" t="s">
        <v>88</v>
      </c>
      <c r="B11" s="12">
        <v>4</v>
      </c>
      <c r="C11" s="12">
        <v>147900</v>
      </c>
      <c r="D11" s="15">
        <v>318700</v>
      </c>
      <c r="E11" s="15">
        <v>481300</v>
      </c>
      <c r="F11" s="14">
        <f t="shared" si="0"/>
        <v>21.66892299319581</v>
      </c>
      <c r="G11" s="15"/>
      <c r="H11" s="14">
        <f t="shared" si="1"/>
        <v>40.353944162646002</v>
      </c>
    </row>
    <row r="12" spans="1:13" x14ac:dyDescent="0.25">
      <c r="A12" s="12" t="s">
        <v>88</v>
      </c>
      <c r="B12" s="12">
        <v>5</v>
      </c>
      <c r="C12" s="12">
        <v>147900</v>
      </c>
      <c r="D12" s="15">
        <v>276700</v>
      </c>
      <c r="E12" s="15">
        <v>522100</v>
      </c>
      <c r="F12" s="14">
        <f>24*LN(2)/LN(D12/C12)</f>
        <v>26.557468508319406</v>
      </c>
      <c r="G12" s="19">
        <f>(24*LN(2))/(LN(AVERAGE(D8:D12)/AVERAGE(C8:C12)))</f>
        <v>23.99297950458045</v>
      </c>
      <c r="H12" s="14">
        <f t="shared" si="1"/>
        <v>26.200772828765071</v>
      </c>
      <c r="I12" s="19">
        <f>(24*LN(2))/(LN(AVERAGE(E8:E12)/AVERAGE(D8:D12)))</f>
        <v>33.61522494041597</v>
      </c>
    </row>
    <row r="13" spans="1:13" ht="15.75" thickBot="1" x14ac:dyDescent="0.3">
      <c r="K13" s="96"/>
      <c r="L13" s="102" t="s">
        <v>87</v>
      </c>
      <c r="M13" s="102"/>
    </row>
    <row r="14" spans="1:13" ht="12.75" thickTop="1" x14ac:dyDescent="0.25">
      <c r="K14" s="98"/>
      <c r="L14" s="99" t="s">
        <v>105</v>
      </c>
      <c r="M14" s="99" t="s">
        <v>102</v>
      </c>
    </row>
    <row r="15" spans="1:13" ht="15" x14ac:dyDescent="0.25">
      <c r="C15" s="81" t="s">
        <v>89</v>
      </c>
      <c r="D15" s="88"/>
      <c r="E15" s="81" t="s">
        <v>156</v>
      </c>
      <c r="F15" s="88"/>
      <c r="K15" s="98">
        <v>262</v>
      </c>
      <c r="L15" s="103">
        <f>AVERAGE(D3:D7)</f>
        <v>319840</v>
      </c>
      <c r="M15" s="103">
        <f>AVERAGE(E3:E7)</f>
        <v>509260</v>
      </c>
    </row>
    <row r="16" spans="1:13" x14ac:dyDescent="0.25">
      <c r="A16" s="24" t="s">
        <v>86</v>
      </c>
      <c r="B16" s="24" t="s">
        <v>85</v>
      </c>
      <c r="C16" s="24" t="s">
        <v>90</v>
      </c>
      <c r="D16" s="24" t="s">
        <v>91</v>
      </c>
      <c r="E16" s="24" t="s">
        <v>90</v>
      </c>
      <c r="F16" s="24" t="s">
        <v>91</v>
      </c>
      <c r="K16" s="98" t="s">
        <v>101</v>
      </c>
      <c r="L16" s="103">
        <f>AVERAGE(D8:D12)</f>
        <v>295860</v>
      </c>
      <c r="M16" s="103">
        <f>AVERAGE(E8:E12)</f>
        <v>485300</v>
      </c>
    </row>
    <row r="17" spans="1:13" x14ac:dyDescent="0.25">
      <c r="A17" s="12">
        <v>262</v>
      </c>
      <c r="B17" s="12">
        <v>1</v>
      </c>
      <c r="C17" s="13">
        <v>4684</v>
      </c>
      <c r="D17" s="13">
        <v>4251</v>
      </c>
      <c r="E17" s="13">
        <f>C17*C3</f>
        <v>710406666.66666663</v>
      </c>
      <c r="F17" s="13">
        <f>D17*E3</f>
        <v>2144629500</v>
      </c>
      <c r="K17" s="98"/>
      <c r="L17" s="103"/>
      <c r="M17" s="103"/>
    </row>
    <row r="18" spans="1:13" ht="12.75" thickBot="1" x14ac:dyDescent="0.3">
      <c r="A18" s="12">
        <v>262</v>
      </c>
      <c r="B18" s="12">
        <v>2</v>
      </c>
      <c r="C18" s="13">
        <v>4505</v>
      </c>
      <c r="D18" s="13">
        <v>3737</v>
      </c>
      <c r="E18" s="13">
        <f t="shared" ref="E18:E25" si="2">C18*C4</f>
        <v>683258333.33333325</v>
      </c>
      <c r="F18" s="13">
        <f t="shared" ref="F18:F26" si="3">D18*E4</f>
        <v>1865136700</v>
      </c>
      <c r="K18" s="98"/>
      <c r="L18" s="102" t="s">
        <v>87</v>
      </c>
      <c r="M18" s="102"/>
    </row>
    <row r="19" spans="1:13" ht="12.75" thickTop="1" x14ac:dyDescent="0.25">
      <c r="A19" s="12">
        <v>262</v>
      </c>
      <c r="B19" s="12">
        <v>3</v>
      </c>
      <c r="C19" s="13">
        <v>4609</v>
      </c>
      <c r="D19" s="13">
        <v>4034</v>
      </c>
      <c r="E19" s="13">
        <f t="shared" si="2"/>
        <v>699031666.66666663</v>
      </c>
      <c r="F19" s="13">
        <f t="shared" si="3"/>
        <v>1916956800</v>
      </c>
      <c r="K19" s="98"/>
      <c r="L19" s="99" t="s">
        <v>104</v>
      </c>
      <c r="M19" s="99" t="s">
        <v>103</v>
      </c>
    </row>
    <row r="20" spans="1:13" x14ac:dyDescent="0.25">
      <c r="A20" s="12">
        <v>262</v>
      </c>
      <c r="B20" s="12">
        <v>4</v>
      </c>
      <c r="C20" s="13">
        <v>4315</v>
      </c>
      <c r="D20" s="13">
        <v>4156</v>
      </c>
      <c r="E20" s="13">
        <f t="shared" si="2"/>
        <v>654441666.66666663</v>
      </c>
      <c r="F20" s="13">
        <f t="shared" si="3"/>
        <v>2137846400</v>
      </c>
      <c r="K20" s="98">
        <v>262</v>
      </c>
      <c r="L20" s="100">
        <f>(L15*G7/LN(2))*(1-2^(-24/G7))</f>
        <v>5409417.8593584523</v>
      </c>
      <c r="M20" s="100">
        <f>(M15*I7/LN(2))*(1-2^(-24/I7))</f>
        <v>9773619.3358193804</v>
      </c>
    </row>
    <row r="21" spans="1:13" x14ac:dyDescent="0.25">
      <c r="A21" s="12">
        <v>262</v>
      </c>
      <c r="B21" s="12">
        <v>5</v>
      </c>
      <c r="C21" s="13">
        <v>4581</v>
      </c>
      <c r="D21" s="13">
        <v>4110</v>
      </c>
      <c r="E21" s="13">
        <f t="shared" si="2"/>
        <v>694785000</v>
      </c>
      <c r="F21" s="13">
        <f t="shared" si="3"/>
        <v>2273241000</v>
      </c>
      <c r="K21" s="98" t="s">
        <v>101</v>
      </c>
      <c r="L21" s="100">
        <f>(L16*G12/LN(2))*(1-2^(-24/G12))</f>
        <v>5121569.1949145989</v>
      </c>
      <c r="M21" s="100">
        <f>(M16*I12/LN(2))*(1-2^(-24/I12))</f>
        <v>9187180.4305228274</v>
      </c>
    </row>
    <row r="22" spans="1:13" x14ac:dyDescent="0.25">
      <c r="A22" s="12" t="s">
        <v>88</v>
      </c>
      <c r="B22" s="12">
        <v>1</v>
      </c>
      <c r="C22" s="13">
        <v>5064</v>
      </c>
      <c r="D22" s="13">
        <v>5020</v>
      </c>
      <c r="E22" s="13">
        <f t="shared" si="2"/>
        <v>748965600</v>
      </c>
      <c r="F22" s="13">
        <f t="shared" si="3"/>
        <v>2352874000</v>
      </c>
    </row>
    <row r="23" spans="1:13" x14ac:dyDescent="0.25">
      <c r="A23" s="12" t="s">
        <v>88</v>
      </c>
      <c r="B23" s="12">
        <v>2</v>
      </c>
      <c r="C23" s="13">
        <v>4987</v>
      </c>
      <c r="D23" s="13">
        <v>5347</v>
      </c>
      <c r="E23" s="13">
        <f t="shared" si="2"/>
        <v>737577300</v>
      </c>
      <c r="F23" s="13">
        <f t="shared" si="3"/>
        <v>2616821800</v>
      </c>
    </row>
    <row r="24" spans="1:13" x14ac:dyDescent="0.25">
      <c r="A24" s="12" t="s">
        <v>88</v>
      </c>
      <c r="B24" s="12">
        <v>3</v>
      </c>
      <c r="C24" s="13">
        <v>5147</v>
      </c>
      <c r="D24" s="13">
        <v>5286</v>
      </c>
      <c r="E24" s="13">
        <f t="shared" si="2"/>
        <v>761241300</v>
      </c>
      <c r="F24" s="13">
        <f t="shared" si="3"/>
        <v>2457990000</v>
      </c>
    </row>
    <row r="25" spans="1:13" x14ac:dyDescent="0.25">
      <c r="A25" s="12" t="s">
        <v>88</v>
      </c>
      <c r="B25" s="12">
        <v>4</v>
      </c>
      <c r="C25" s="13">
        <v>4807</v>
      </c>
      <c r="D25" s="13">
        <v>5220</v>
      </c>
      <c r="E25" s="13">
        <f t="shared" si="2"/>
        <v>710955300</v>
      </c>
      <c r="F25" s="13">
        <f t="shared" si="3"/>
        <v>2512386000</v>
      </c>
    </row>
    <row r="26" spans="1:13" ht="15.75" thickBot="1" x14ac:dyDescent="0.3">
      <c r="A26" s="12" t="s">
        <v>88</v>
      </c>
      <c r="B26" s="12">
        <v>5</v>
      </c>
      <c r="C26" s="13">
        <v>5090</v>
      </c>
      <c r="D26" s="13">
        <v>5113</v>
      </c>
      <c r="E26" s="13">
        <f>C26*C12</f>
        <v>752811000</v>
      </c>
      <c r="F26" s="13">
        <f t="shared" si="3"/>
        <v>2669497300</v>
      </c>
      <c r="K26" s="96"/>
      <c r="L26" s="97" t="s">
        <v>227</v>
      </c>
      <c r="M26" s="6"/>
    </row>
    <row r="27" spans="1:13" ht="12.75" thickTop="1" x14ac:dyDescent="0.25">
      <c r="K27" s="98"/>
      <c r="L27" s="99" t="s">
        <v>157</v>
      </c>
    </row>
    <row r="28" spans="1:13" x14ac:dyDescent="0.25">
      <c r="K28" s="98">
        <v>262</v>
      </c>
      <c r="L28" s="100">
        <f>AVERAGE(F17:F21)</f>
        <v>2067562080</v>
      </c>
    </row>
    <row r="29" spans="1:13" x14ac:dyDescent="0.25">
      <c r="K29" s="98" t="s">
        <v>101</v>
      </c>
      <c r="L29" s="100">
        <f>AVERAGE(F22:F26)</f>
        <v>2521913820</v>
      </c>
    </row>
    <row r="30" spans="1:13" x14ac:dyDescent="0.25">
      <c r="F30" s="3"/>
      <c r="G30" s="3"/>
      <c r="K30" s="98"/>
      <c r="L30" s="98"/>
      <c r="M30" s="15"/>
    </row>
    <row r="31" spans="1:13" x14ac:dyDescent="0.25">
      <c r="K31" s="98"/>
      <c r="L31" s="101"/>
      <c r="M31" s="3"/>
    </row>
    <row r="32" spans="1:13" x14ac:dyDescent="0.25">
      <c r="K32" s="98"/>
      <c r="L32" s="99" t="s">
        <v>103</v>
      </c>
    </row>
    <row r="33" spans="1:12" ht="15.75" thickBot="1" x14ac:dyDescent="0.3">
      <c r="B33" s="85" t="s">
        <v>149</v>
      </c>
      <c r="C33" s="86"/>
      <c r="D33" s="12" t="s">
        <v>153</v>
      </c>
      <c r="G33" s="85" t="s">
        <v>152</v>
      </c>
      <c r="H33" s="87"/>
      <c r="K33" s="98">
        <v>262</v>
      </c>
      <c r="L33" s="100">
        <f>((L28*I7)/LN(2))*(1-2^(-24/I7))</f>
        <v>39680251194.0756</v>
      </c>
    </row>
    <row r="34" spans="1:12" ht="12.75" thickTop="1" x14ac:dyDescent="0.25">
      <c r="B34" s="12" t="s">
        <v>150</v>
      </c>
      <c r="C34" s="12" t="s">
        <v>151</v>
      </c>
      <c r="G34" s="12" t="s">
        <v>150</v>
      </c>
      <c r="H34" s="12" t="s">
        <v>151</v>
      </c>
      <c r="K34" s="98" t="s">
        <v>101</v>
      </c>
      <c r="L34" s="100">
        <f>(L29*I12/LN(2))*(1-2^(-24/I12))</f>
        <v>47742174520.026924</v>
      </c>
    </row>
    <row r="35" spans="1:12" x14ac:dyDescent="0.25">
      <c r="A35" s="12">
        <v>262</v>
      </c>
      <c r="B35" s="15">
        <f>AVERAGE(C3:D7)</f>
        <v>235753.33333333334</v>
      </c>
      <c r="C35" s="15">
        <f>AVERAGE(D3:E7)</f>
        <v>414550</v>
      </c>
      <c r="D35" s="15">
        <f>AVERAGE(B35:C35)</f>
        <v>325151.66666666669</v>
      </c>
      <c r="F35" s="12">
        <v>262</v>
      </c>
      <c r="G35" s="14">
        <f>B35/D35</f>
        <v>0.72505651208923017</v>
      </c>
      <c r="H35" s="14">
        <f>C35/D35</f>
        <v>1.2749434879107697</v>
      </c>
    </row>
    <row r="36" spans="1:12" x14ac:dyDescent="0.25">
      <c r="A36" s="12" t="s">
        <v>88</v>
      </c>
      <c r="B36" s="12">
        <f>AVERAGE(C8:D12)</f>
        <v>221880</v>
      </c>
      <c r="C36" s="15">
        <f>AVERAGE(D8:E12)</f>
        <v>390580</v>
      </c>
      <c r="D36" s="15">
        <f>AVERAGE(B36:C36)</f>
        <v>306230</v>
      </c>
      <c r="F36" s="12" t="s">
        <v>88</v>
      </c>
      <c r="G36" s="14">
        <f>B36/D36</f>
        <v>0.72455344022466772</v>
      </c>
      <c r="H36" s="14">
        <f>C36/D36</f>
        <v>1.2754465597753322</v>
      </c>
    </row>
    <row r="37" spans="1:12" x14ac:dyDescent="0.25">
      <c r="E37" s="15"/>
    </row>
    <row r="38" spans="1:12" x14ac:dyDescent="0.25">
      <c r="E38" s="15"/>
    </row>
    <row r="39" spans="1:12" ht="12.75" thickBot="1" x14ac:dyDescent="0.3">
      <c r="E39" s="15"/>
      <c r="F39" s="15"/>
      <c r="K39" s="98"/>
      <c r="L39" s="97" t="s">
        <v>228</v>
      </c>
    </row>
    <row r="40" spans="1:12" ht="12.75" thickTop="1" x14ac:dyDescent="0.25">
      <c r="E40" s="15"/>
      <c r="K40" s="98"/>
      <c r="L40" s="98"/>
    </row>
    <row r="41" spans="1:12" x14ac:dyDescent="0.25">
      <c r="K41" s="98"/>
      <c r="L41" s="99" t="s">
        <v>103</v>
      </c>
    </row>
    <row r="42" spans="1:12" x14ac:dyDescent="0.25">
      <c r="K42" s="98">
        <v>262</v>
      </c>
      <c r="L42" s="100">
        <f>((H51*I7)/LN(2))*(1-2^(-24/I7))</f>
        <v>4974.3676018855731</v>
      </c>
    </row>
    <row r="43" spans="1:12" x14ac:dyDescent="0.25">
      <c r="K43" s="98" t="s">
        <v>101</v>
      </c>
      <c r="L43" s="100">
        <f>((H56*I12)/LN(2))*(1-2^(-24/I12))</f>
        <v>5361.3415108200015</v>
      </c>
    </row>
    <row r="45" spans="1:12" ht="15" x14ac:dyDescent="0.25">
      <c r="D45" s="104" t="s">
        <v>229</v>
      </c>
      <c r="E45" s="105"/>
      <c r="F45" s="104" t="s">
        <v>232</v>
      </c>
      <c r="G45" s="105"/>
      <c r="H45" s="71" t="s">
        <v>232</v>
      </c>
    </row>
    <row r="46" spans="1:12" ht="12.75" thickBot="1" x14ac:dyDescent="0.3">
      <c r="B46" s="4" t="s">
        <v>86</v>
      </c>
      <c r="C46" s="4" t="s">
        <v>85</v>
      </c>
      <c r="D46" s="4" t="s">
        <v>230</v>
      </c>
      <c r="E46" s="4" t="s">
        <v>231</v>
      </c>
      <c r="F46" s="4" t="s">
        <v>230</v>
      </c>
      <c r="G46" s="4" t="s">
        <v>231</v>
      </c>
      <c r="H46" s="4" t="s">
        <v>233</v>
      </c>
      <c r="I46" s="108" t="s">
        <v>234</v>
      </c>
      <c r="J46" s="4" t="s">
        <v>115</v>
      </c>
    </row>
    <row r="47" spans="1:12" ht="12.75" thickTop="1" x14ac:dyDescent="0.25">
      <c r="B47" s="71">
        <v>262</v>
      </c>
      <c r="C47" s="71">
        <v>1</v>
      </c>
      <c r="D47" s="15">
        <v>112.45688</v>
      </c>
      <c r="E47" s="15">
        <v>248.04540000000003</v>
      </c>
      <c r="F47" s="106">
        <f>D47/0.75</f>
        <v>149.94250666666667</v>
      </c>
      <c r="G47" s="106">
        <f>E47/0.75</f>
        <v>330.72720000000004</v>
      </c>
      <c r="I47" s="106">
        <f>G47-F47</f>
        <v>180.78469333333337</v>
      </c>
    </row>
    <row r="48" spans="1:12" x14ac:dyDescent="0.25">
      <c r="B48" s="71">
        <v>262</v>
      </c>
      <c r="C48" s="71">
        <v>2</v>
      </c>
      <c r="D48" s="15">
        <v>102.97070000000002</v>
      </c>
      <c r="E48" s="15">
        <v>213.93960000000001</v>
      </c>
      <c r="F48" s="106">
        <f t="shared" ref="F48:G56" si="4">D48/0.75</f>
        <v>137.29426666666669</v>
      </c>
      <c r="G48" s="106">
        <f t="shared" si="4"/>
        <v>285.25280000000004</v>
      </c>
      <c r="I48" s="106">
        <f t="shared" ref="I48:I56" si="5">G48-F48</f>
        <v>147.95853333333335</v>
      </c>
    </row>
    <row r="49" spans="2:10" x14ac:dyDescent="0.25">
      <c r="B49" s="71">
        <v>262</v>
      </c>
      <c r="C49" s="71">
        <v>3</v>
      </c>
      <c r="D49" s="15">
        <v>107.28258000000001</v>
      </c>
      <c r="E49" s="15">
        <v>181.08571999999998</v>
      </c>
      <c r="F49" s="106">
        <f t="shared" si="4"/>
        <v>143.04344</v>
      </c>
      <c r="G49" s="106">
        <f t="shared" si="4"/>
        <v>241.44762666666665</v>
      </c>
      <c r="I49" s="106">
        <f t="shared" si="5"/>
        <v>98.404186666666646</v>
      </c>
    </row>
    <row r="50" spans="2:10" x14ac:dyDescent="0.25">
      <c r="B50" s="71">
        <v>262</v>
      </c>
      <c r="C50" s="71">
        <v>4</v>
      </c>
      <c r="D50" s="15">
        <v>103.41578</v>
      </c>
      <c r="E50" s="15">
        <v>164.03283999999999</v>
      </c>
      <c r="F50" s="106">
        <f t="shared" si="4"/>
        <v>137.88770666666667</v>
      </c>
      <c r="G50" s="106">
        <f t="shared" si="4"/>
        <v>218.71045333333333</v>
      </c>
      <c r="I50" s="106">
        <f t="shared" si="5"/>
        <v>80.82274666666666</v>
      </c>
    </row>
    <row r="51" spans="2:10" x14ac:dyDescent="0.25">
      <c r="B51" s="16">
        <v>262</v>
      </c>
      <c r="C51" s="16">
        <v>5</v>
      </c>
      <c r="D51" s="17">
        <v>90.869539999999986</v>
      </c>
      <c r="E51" s="17">
        <v>164.8674</v>
      </c>
      <c r="F51" s="107">
        <f t="shared" si="4"/>
        <v>121.15938666666665</v>
      </c>
      <c r="G51" s="107">
        <f t="shared" si="4"/>
        <v>219.82320000000001</v>
      </c>
      <c r="H51" s="107">
        <f>AVERAGE(G47:G51)</f>
        <v>259.19225599999999</v>
      </c>
      <c r="I51" s="107">
        <f>G51-F51</f>
        <v>98.663813333333366</v>
      </c>
      <c r="J51" s="107">
        <f>AVERAGE(I47:I51)</f>
        <v>121.32679466666669</v>
      </c>
    </row>
    <row r="52" spans="2:10" x14ac:dyDescent="0.25">
      <c r="B52" s="71" t="s">
        <v>88</v>
      </c>
      <c r="C52" s="71">
        <v>1</v>
      </c>
      <c r="D52" s="15">
        <v>123.30616000000001</v>
      </c>
      <c r="E52" s="15">
        <v>185.95401999999999</v>
      </c>
      <c r="F52" s="106">
        <f>D52/0.75</f>
        <v>164.40821333333335</v>
      </c>
      <c r="G52" s="106">
        <f>E52/0.75</f>
        <v>247.9386933333333</v>
      </c>
      <c r="I52" s="106">
        <f t="shared" si="5"/>
        <v>83.530479999999955</v>
      </c>
    </row>
    <row r="53" spans="2:10" x14ac:dyDescent="0.25">
      <c r="B53" s="71" t="s">
        <v>88</v>
      </c>
      <c r="C53" s="71">
        <v>2</v>
      </c>
      <c r="D53" s="15">
        <v>140.52598</v>
      </c>
      <c r="E53" s="15">
        <v>216.22080000000003</v>
      </c>
      <c r="F53" s="106">
        <f t="shared" si="4"/>
        <v>187.36797333333334</v>
      </c>
      <c r="G53" s="106">
        <f t="shared" si="4"/>
        <v>288.29440000000005</v>
      </c>
      <c r="I53" s="106">
        <f t="shared" si="5"/>
        <v>100.92642666666671</v>
      </c>
    </row>
    <row r="54" spans="2:10" x14ac:dyDescent="0.25">
      <c r="B54" s="71" t="s">
        <v>88</v>
      </c>
      <c r="C54" s="71">
        <v>3</v>
      </c>
      <c r="D54" s="15">
        <v>125.92113999999998</v>
      </c>
      <c r="E54" s="15">
        <v>211.43600000000001</v>
      </c>
      <c r="F54" s="106">
        <f t="shared" si="4"/>
        <v>167.89485333333332</v>
      </c>
      <c r="G54" s="106">
        <f t="shared" si="4"/>
        <v>281.91466666666668</v>
      </c>
      <c r="I54" s="106">
        <f t="shared" si="5"/>
        <v>114.01981333333336</v>
      </c>
    </row>
    <row r="55" spans="2:10" x14ac:dyDescent="0.25">
      <c r="B55" s="71" t="s">
        <v>88</v>
      </c>
      <c r="C55" s="71">
        <v>4</v>
      </c>
      <c r="D55" s="15">
        <v>128.98122000000001</v>
      </c>
      <c r="E55" s="15">
        <v>207.79160000000002</v>
      </c>
      <c r="F55" s="106">
        <f t="shared" si="4"/>
        <v>171.97496000000001</v>
      </c>
      <c r="G55" s="106">
        <f t="shared" si="4"/>
        <v>277.05546666666669</v>
      </c>
      <c r="I55" s="106">
        <f t="shared" si="5"/>
        <v>105.08050666666668</v>
      </c>
    </row>
    <row r="56" spans="2:10" x14ac:dyDescent="0.25">
      <c r="B56" s="71" t="s">
        <v>88</v>
      </c>
      <c r="C56" s="71">
        <v>5</v>
      </c>
      <c r="D56" s="15">
        <v>132.09688000000003</v>
      </c>
      <c r="E56" s="15">
        <v>240.61779999999996</v>
      </c>
      <c r="F56" s="106">
        <f t="shared" si="4"/>
        <v>176.12917333333337</v>
      </c>
      <c r="G56" s="106">
        <f t="shared" si="4"/>
        <v>320.82373333333328</v>
      </c>
      <c r="H56" s="106">
        <f>AVERAGE(G52:G56)</f>
        <v>283.20539200000002</v>
      </c>
      <c r="I56" s="106">
        <f t="shared" si="5"/>
        <v>144.69455999999991</v>
      </c>
      <c r="J56" s="106">
        <f>AVERAGE(I52:I56)</f>
        <v>109.65035733333332</v>
      </c>
    </row>
  </sheetData>
  <mergeCells count="11">
    <mergeCell ref="D45:E45"/>
    <mergeCell ref="F45:G45"/>
    <mergeCell ref="C1:E1"/>
    <mergeCell ref="F1:G1"/>
    <mergeCell ref="H1:I1"/>
    <mergeCell ref="L13:M13"/>
    <mergeCell ref="B33:C33"/>
    <mergeCell ref="G33:H33"/>
    <mergeCell ref="E15:F15"/>
    <mergeCell ref="L18:M18"/>
    <mergeCell ref="C15:D15"/>
  </mergeCells>
  <pageMargins left="0.7" right="0.7" top="0.75" bottom="0.75" header="0.3" footer="0.3"/>
  <pageSetup paperSize="9" orientation="portrait" r:id="rId1"/>
  <ignoredErrors>
    <ignoredError sqref="I12 L16:M16 L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08"/>
  <sheetViews>
    <sheetView zoomScale="84" zoomScaleNormal="84" workbookViewId="0">
      <selection activeCell="K11" sqref="K11"/>
    </sheetView>
  </sheetViews>
  <sheetFormatPr defaultRowHeight="12" x14ac:dyDescent="0.25"/>
  <cols>
    <col min="1" max="1" width="12.42578125" style="25" bestFit="1" customWidth="1"/>
    <col min="2" max="2" width="13.85546875" style="25" bestFit="1" customWidth="1"/>
    <col min="3" max="3" width="13" style="25" bestFit="1" customWidth="1"/>
    <col min="4" max="5" width="11.28515625" style="25" bestFit="1" customWidth="1"/>
    <col min="6" max="7" width="10.42578125" style="25" bestFit="1" customWidth="1"/>
    <col min="8" max="8" width="11.28515625" style="25" bestFit="1" customWidth="1"/>
    <col min="9" max="9" width="11.42578125" style="25" bestFit="1" customWidth="1"/>
    <col min="10" max="10" width="10.42578125" style="25" bestFit="1" customWidth="1"/>
    <col min="11" max="11" width="10.42578125" style="25" customWidth="1"/>
    <col min="12" max="13" width="12.42578125" style="25" bestFit="1" customWidth="1"/>
    <col min="14" max="15" width="9.140625" style="25"/>
    <col min="16" max="16" width="11.42578125" style="25" bestFit="1" customWidth="1"/>
    <col min="17" max="20" width="9.140625" style="25"/>
    <col min="21" max="21" width="12.42578125" style="25" bestFit="1" customWidth="1"/>
    <col min="22" max="22" width="11.42578125" style="25" bestFit="1" customWidth="1"/>
    <col min="23" max="23" width="11.28515625" style="25" customWidth="1"/>
    <col min="24" max="30" width="9.140625" style="25"/>
    <col min="31" max="31" width="12.5703125" style="25" bestFit="1" customWidth="1"/>
    <col min="32" max="32" width="12" style="25" bestFit="1" customWidth="1"/>
    <col min="33" max="16384" width="9.140625" style="25"/>
  </cols>
  <sheetData>
    <row r="3" spans="1:32" x14ac:dyDescent="0.25">
      <c r="L3" s="25" t="s">
        <v>112</v>
      </c>
      <c r="M3" s="25" t="s">
        <v>50</v>
      </c>
      <c r="U3" s="25" t="s">
        <v>112</v>
      </c>
      <c r="V3" s="25" t="s">
        <v>67</v>
      </c>
      <c r="AE3" s="25" t="s">
        <v>112</v>
      </c>
      <c r="AF3" s="25" t="s">
        <v>78</v>
      </c>
    </row>
    <row r="4" spans="1:32" x14ac:dyDescent="0.2">
      <c r="B4" s="25" t="s">
        <v>111</v>
      </c>
      <c r="C4" s="25" t="s">
        <v>43</v>
      </c>
      <c r="L4" s="25">
        <v>0.2105263157894737</v>
      </c>
      <c r="M4" s="30">
        <v>181805509209.23499</v>
      </c>
      <c r="U4" s="25">
        <v>0.31578947368421056</v>
      </c>
      <c r="V4" s="30">
        <v>13782815358.997101</v>
      </c>
      <c r="AE4" s="25">
        <v>0.52631578947368418</v>
      </c>
      <c r="AF4" s="29">
        <v>100860691751.381</v>
      </c>
    </row>
    <row r="5" spans="1:32" x14ac:dyDescent="0.2">
      <c r="B5" s="25">
        <v>0.31578947368421056</v>
      </c>
      <c r="C5" s="30">
        <v>176319102821.12</v>
      </c>
      <c r="L5" s="25">
        <f>L4/5</f>
        <v>4.2105263157894743E-2</v>
      </c>
      <c r="M5" s="30">
        <v>42993197282.654602</v>
      </c>
      <c r="U5" s="25">
        <f>U4/5</f>
        <v>6.3157894736842107E-2</v>
      </c>
      <c r="V5" s="30">
        <v>6246070540.6584396</v>
      </c>
      <c r="AE5" s="25">
        <f>AE4/5</f>
        <v>0.10526315789473684</v>
      </c>
      <c r="AF5" s="29">
        <v>41386614261.693604</v>
      </c>
    </row>
    <row r="6" spans="1:32" x14ac:dyDescent="0.2">
      <c r="B6" s="25">
        <f>B5/5</f>
        <v>6.3157894736842107E-2</v>
      </c>
      <c r="C6" s="30">
        <v>77007216133.340607</v>
      </c>
      <c r="L6" s="25">
        <f>L4/10</f>
        <v>2.1052631578947371E-2</v>
      </c>
      <c r="M6" s="30">
        <v>27279493579.198502</v>
      </c>
      <c r="U6" s="25">
        <f>U4/10</f>
        <v>3.1578947368421054E-2</v>
      </c>
      <c r="V6" s="30">
        <v>3930745601.2596402</v>
      </c>
      <c r="AE6" s="25">
        <f>AE4/10</f>
        <v>5.2631578947368418E-2</v>
      </c>
      <c r="AF6" s="29">
        <v>23279297510.258499</v>
      </c>
    </row>
    <row r="7" spans="1:32" x14ac:dyDescent="0.2">
      <c r="B7" s="25">
        <f>B5/10</f>
        <v>3.1578947368421054E-2</v>
      </c>
      <c r="C7" s="30">
        <v>47156360927.738098</v>
      </c>
      <c r="L7" s="25">
        <f>L6/5</f>
        <v>4.2105263157894745E-3</v>
      </c>
      <c r="M7" s="30">
        <v>7598582368.9338703</v>
      </c>
      <c r="U7" s="25">
        <f>U6/5</f>
        <v>6.3157894736842104E-3</v>
      </c>
      <c r="V7" s="30">
        <v>1263867870.78789</v>
      </c>
      <c r="AE7" s="25">
        <f>AE6/5</f>
        <v>1.0526315789473684E-2</v>
      </c>
      <c r="AF7" s="29">
        <v>4879621290.5851202</v>
      </c>
    </row>
    <row r="8" spans="1:32" x14ac:dyDescent="0.2">
      <c r="B8" s="25">
        <f>B7/5</f>
        <v>6.3157894736842104E-3</v>
      </c>
      <c r="C8" s="30">
        <v>12739656324.053301</v>
      </c>
      <c r="L8" s="25">
        <f>L6/10</f>
        <v>2.1052631578947372E-3</v>
      </c>
      <c r="M8" s="30">
        <v>4936222777.3190298</v>
      </c>
      <c r="U8" s="25">
        <f>U6/10</f>
        <v>3.1578947368421052E-3</v>
      </c>
      <c r="V8" s="30">
        <v>710987520.35279906</v>
      </c>
      <c r="AE8" s="25">
        <f>AE6/10</f>
        <v>5.263157894736842E-3</v>
      </c>
      <c r="AF8" s="29">
        <v>2606548960.35323</v>
      </c>
    </row>
    <row r="9" spans="1:32" x14ac:dyDescent="0.2">
      <c r="B9" s="25">
        <f>B7/10</f>
        <v>3.1578947368421052E-3</v>
      </c>
      <c r="C9" s="30">
        <v>7437392803.18402</v>
      </c>
      <c r="L9" s="25">
        <f>L8/10</f>
        <v>2.1052631578947372E-4</v>
      </c>
      <c r="M9" s="30">
        <v>486145455.12881798</v>
      </c>
      <c r="U9" s="25">
        <f>U8/10</f>
        <v>3.1578947368421053E-4</v>
      </c>
      <c r="V9" s="30">
        <v>75248029.762452394</v>
      </c>
      <c r="AE9" s="25">
        <f t="shared" ref="AE9:AE11" si="0">AE8/10</f>
        <v>5.263157894736842E-4</v>
      </c>
      <c r="AF9" s="29">
        <v>172786892.14224401</v>
      </c>
    </row>
    <row r="10" spans="1:32" x14ac:dyDescent="0.2">
      <c r="B10" s="25">
        <f t="shared" ref="B10:B12" si="1">B9/10</f>
        <v>3.1578947368421053E-4</v>
      </c>
      <c r="C10" s="30">
        <v>810862149.76405394</v>
      </c>
      <c r="L10" s="25">
        <f>L9/10</f>
        <v>2.1052631578947372E-5</v>
      </c>
      <c r="M10" s="30">
        <v>79491081.821202904</v>
      </c>
      <c r="U10" s="25">
        <f>U9/10</f>
        <v>3.1578947368421052E-5</v>
      </c>
      <c r="V10" s="30">
        <v>6797131.8966855099</v>
      </c>
      <c r="AE10" s="25">
        <f t="shared" si="0"/>
        <v>5.2631578947368417E-5</v>
      </c>
      <c r="AF10" s="29">
        <v>5940200.9768174803</v>
      </c>
    </row>
    <row r="11" spans="1:32" x14ac:dyDescent="0.2">
      <c r="B11" s="25">
        <f t="shared" si="1"/>
        <v>3.1578947368421052E-5</v>
      </c>
      <c r="C11" s="30">
        <v>65870515.115580902</v>
      </c>
      <c r="L11" s="25">
        <f>L10/10</f>
        <v>2.1052631578947371E-6</v>
      </c>
      <c r="M11" s="30">
        <v>659126933.93344998</v>
      </c>
      <c r="U11" s="25">
        <f>U10/10</f>
        <v>3.1578947368421052E-6</v>
      </c>
      <c r="V11" s="30">
        <v>791529.10863782105</v>
      </c>
      <c r="AE11" s="25">
        <f t="shared" si="0"/>
        <v>5.2631578947368414E-6</v>
      </c>
      <c r="AF11" s="29" t="s">
        <v>108</v>
      </c>
    </row>
    <row r="12" spans="1:32" x14ac:dyDescent="0.2">
      <c r="B12" s="25">
        <f t="shared" si="1"/>
        <v>3.1578947368421052E-6</v>
      </c>
      <c r="C12" s="30">
        <v>8833073.6226221509</v>
      </c>
    </row>
    <row r="14" spans="1:32" x14ac:dyDescent="0.25">
      <c r="L14" s="25" t="s">
        <v>112</v>
      </c>
      <c r="M14" s="25" t="s">
        <v>51</v>
      </c>
    </row>
    <row r="15" spans="1:32" x14ac:dyDescent="0.2">
      <c r="A15" s="25" t="s">
        <v>112</v>
      </c>
      <c r="B15" s="25" t="s">
        <v>122</v>
      </c>
      <c r="C15" s="25" t="s">
        <v>47</v>
      </c>
      <c r="L15" s="25">
        <v>0.4210526315789474</v>
      </c>
      <c r="M15" s="30">
        <v>210060533514.582</v>
      </c>
      <c r="U15" s="25" t="s">
        <v>112</v>
      </c>
      <c r="V15" s="25" t="s">
        <v>68</v>
      </c>
    </row>
    <row r="16" spans="1:32" x14ac:dyDescent="0.2">
      <c r="A16" s="25">
        <v>0.63157894736842113</v>
      </c>
      <c r="B16" s="25">
        <f>2*A16</f>
        <v>1.2631578947368423</v>
      </c>
      <c r="C16" s="29">
        <v>257905103042.16199</v>
      </c>
      <c r="L16" s="25">
        <f>L15/5</f>
        <v>8.4210526315789486E-2</v>
      </c>
      <c r="M16" s="30">
        <v>57010364064.326103</v>
      </c>
      <c r="U16" s="25">
        <v>0.36842105263157898</v>
      </c>
      <c r="V16" s="29">
        <v>28105684805.658699</v>
      </c>
      <c r="AE16" s="25" t="s">
        <v>112</v>
      </c>
      <c r="AF16" s="25" t="s">
        <v>106</v>
      </c>
    </row>
    <row r="17" spans="1:32" x14ac:dyDescent="0.2">
      <c r="A17" s="25">
        <f>A16/5</f>
        <v>0.12631578947368421</v>
      </c>
      <c r="B17" s="25">
        <f>B16/5</f>
        <v>0.25263157894736843</v>
      </c>
      <c r="C17" s="29">
        <v>144000276080.763</v>
      </c>
      <c r="L17" s="25">
        <f>L15/10</f>
        <v>4.2105263157894743E-2</v>
      </c>
      <c r="M17" s="30">
        <v>37466671843.474602</v>
      </c>
      <c r="U17" s="25">
        <f>U16/5</f>
        <v>7.3684210526315796E-2</v>
      </c>
      <c r="V17" s="29">
        <v>12036826430.591999</v>
      </c>
      <c r="AE17" s="25">
        <f>(7*0.05)/0.6</f>
        <v>0.58333333333333337</v>
      </c>
      <c r="AF17" s="30">
        <v>75312254205.514297</v>
      </c>
    </row>
    <row r="18" spans="1:32" x14ac:dyDescent="0.2">
      <c r="A18" s="25">
        <f>A16/10</f>
        <v>6.3157894736842107E-2</v>
      </c>
      <c r="B18" s="25">
        <f>B16/10</f>
        <v>0.12631578947368421</v>
      </c>
      <c r="C18" s="29">
        <v>100293479672.548</v>
      </c>
      <c r="L18" s="25">
        <f>L17/5</f>
        <v>8.4210526315789489E-3</v>
      </c>
      <c r="M18" s="30">
        <v>10270192083.392099</v>
      </c>
      <c r="U18" s="25">
        <f>U16/10</f>
        <v>3.6842105263157898E-2</v>
      </c>
      <c r="V18" s="29">
        <v>8667676949.4580402</v>
      </c>
      <c r="AE18" s="25">
        <f>AE17/10</f>
        <v>5.8333333333333334E-2</v>
      </c>
      <c r="AF18" s="30">
        <v>40679874169.041298</v>
      </c>
    </row>
    <row r="19" spans="1:32" x14ac:dyDescent="0.2">
      <c r="A19" s="25">
        <f>A18/5</f>
        <v>1.2631578947368421E-2</v>
      </c>
      <c r="B19" s="25">
        <f>B18/5</f>
        <v>2.5263157894736842E-2</v>
      </c>
      <c r="C19" s="29">
        <v>33538579232.229</v>
      </c>
      <c r="L19" s="25">
        <f>L17/10</f>
        <v>4.2105263157894745E-3</v>
      </c>
      <c r="M19" s="30">
        <v>5873512161.5830002</v>
      </c>
      <c r="U19" s="25">
        <f>U18/5</f>
        <v>7.3684210526315796E-3</v>
      </c>
      <c r="V19" s="29"/>
      <c r="AE19" s="25">
        <f t="shared" ref="AE19:AE20" si="2">AE18/10</f>
        <v>5.8333333333333336E-3</v>
      </c>
      <c r="AF19" s="30">
        <v>6446804413.2007599</v>
      </c>
    </row>
    <row r="20" spans="1:32" x14ac:dyDescent="0.2">
      <c r="A20" s="25">
        <f>A18/10</f>
        <v>6.3157894736842104E-3</v>
      </c>
      <c r="B20" s="25">
        <f>B18/10</f>
        <v>1.2631578947368421E-2</v>
      </c>
      <c r="C20" s="29">
        <v>22572111044.017101</v>
      </c>
      <c r="L20" s="25">
        <f>L19/10</f>
        <v>4.2105263157894745E-4</v>
      </c>
      <c r="M20" s="30">
        <v>674883681.51860905</v>
      </c>
      <c r="U20" s="25">
        <f>U18/10</f>
        <v>3.6842105263157898E-3</v>
      </c>
      <c r="V20" s="29">
        <v>1652258645.51057</v>
      </c>
      <c r="AE20" s="25">
        <f t="shared" si="2"/>
        <v>5.8333333333333338E-4</v>
      </c>
      <c r="AF20" s="30">
        <v>606639159.38644195</v>
      </c>
    </row>
    <row r="21" spans="1:32" x14ac:dyDescent="0.2">
      <c r="A21" s="25">
        <f>A20/10</f>
        <v>6.3157894736842106E-4</v>
      </c>
      <c r="B21" s="25">
        <f t="shared" ref="B21" si="3">B20/10</f>
        <v>1.2631578947368421E-3</v>
      </c>
      <c r="C21" s="29">
        <v>2929827542.3773398</v>
      </c>
      <c r="L21" s="25">
        <f>L20/10</f>
        <v>4.2105263157894745E-5</v>
      </c>
      <c r="M21" s="30">
        <v>54321953.144774601</v>
      </c>
      <c r="U21" s="25">
        <f t="shared" ref="U21:U23" si="4">U20/10</f>
        <v>3.6842105263157896E-4</v>
      </c>
      <c r="V21" s="29">
        <v>165908989.96915701</v>
      </c>
      <c r="AE21" s="25">
        <f>AE20/5</f>
        <v>1.1666666666666668E-4</v>
      </c>
      <c r="AF21" s="30">
        <v>98074385.148792207</v>
      </c>
    </row>
    <row r="22" spans="1:32" x14ac:dyDescent="0.2">
      <c r="A22" s="25">
        <f>A21/10</f>
        <v>6.3157894736842103E-5</v>
      </c>
      <c r="B22" s="25">
        <f t="shared" ref="B22" si="5">B21/10</f>
        <v>1.2631578947368421E-4</v>
      </c>
      <c r="C22" s="29">
        <v>235616605.40222499</v>
      </c>
      <c r="L22" s="25">
        <f>L21/10</f>
        <v>4.2105263157894741E-6</v>
      </c>
      <c r="M22" s="30">
        <v>4791285.8284605304</v>
      </c>
      <c r="U22" s="25">
        <f t="shared" si="4"/>
        <v>3.6842105263157895E-5</v>
      </c>
      <c r="V22" s="29">
        <v>15992458.663499</v>
      </c>
      <c r="AE22" s="25">
        <f>AE20/10</f>
        <v>5.833333333333334E-5</v>
      </c>
      <c r="AF22" s="30">
        <v>55646839.957118496</v>
      </c>
    </row>
    <row r="23" spans="1:32" x14ac:dyDescent="0.2">
      <c r="A23" s="25">
        <f>A22/10</f>
        <v>6.3157894736842103E-6</v>
      </c>
      <c r="B23" s="25">
        <f>B22/10</f>
        <v>1.2631578947368421E-5</v>
      </c>
      <c r="C23" s="29">
        <v>25338577.740407001</v>
      </c>
      <c r="U23" s="25">
        <f t="shared" si="4"/>
        <v>3.6842105263157896E-6</v>
      </c>
      <c r="V23" s="29">
        <v>5529044.02980527</v>
      </c>
      <c r="AE23" s="25">
        <f>AE22/10</f>
        <v>5.833333333333334E-6</v>
      </c>
      <c r="AF23" s="30">
        <v>4457211.4396766601</v>
      </c>
    </row>
    <row r="29" spans="1:32" x14ac:dyDescent="0.25">
      <c r="B29" s="25" t="s">
        <v>112</v>
      </c>
      <c r="C29" s="25" t="s">
        <v>48</v>
      </c>
      <c r="L29" s="25" t="s">
        <v>112</v>
      </c>
      <c r="M29" s="25" t="s">
        <v>52</v>
      </c>
      <c r="U29" s="25" t="s">
        <v>112</v>
      </c>
      <c r="V29" s="25" t="s">
        <v>70</v>
      </c>
      <c r="AE29" s="25" t="s">
        <v>112</v>
      </c>
      <c r="AF29" s="25" t="s">
        <v>107</v>
      </c>
    </row>
    <row r="30" spans="1:32" x14ac:dyDescent="0.2">
      <c r="B30" s="25">
        <v>0.2105263157894737</v>
      </c>
      <c r="C30" s="29">
        <v>37079878274.751099</v>
      </c>
      <c r="L30" s="25">
        <v>7.8</v>
      </c>
      <c r="M30" s="30">
        <v>49109677724.331398</v>
      </c>
      <c r="U30" s="25">
        <v>0.68421052631578949</v>
      </c>
      <c r="V30" s="30">
        <v>114137243835.593</v>
      </c>
      <c r="AE30" s="25">
        <f>(89.4*0.05)/0.6</f>
        <v>7.4500000000000011</v>
      </c>
      <c r="AF30" s="29">
        <v>123133386024.36501</v>
      </c>
    </row>
    <row r="31" spans="1:32" x14ac:dyDescent="0.2">
      <c r="B31" s="25">
        <f>B30/5</f>
        <v>4.2105263157894743E-2</v>
      </c>
      <c r="C31" s="29">
        <v>23137529953.842499</v>
      </c>
      <c r="L31" s="25">
        <f>L30/10</f>
        <v>0.78</v>
      </c>
      <c r="M31" s="30">
        <v>26128576463.958599</v>
      </c>
      <c r="U31" s="25">
        <f>U30/5</f>
        <v>0.1368421052631579</v>
      </c>
      <c r="V31" s="30">
        <v>25096749694.4515</v>
      </c>
      <c r="AE31" s="25">
        <f>AE30/10</f>
        <v>0.74500000000000011</v>
      </c>
      <c r="AF31" s="29">
        <v>62806066857.876701</v>
      </c>
    </row>
    <row r="32" spans="1:32" x14ac:dyDescent="0.2">
      <c r="B32" s="25">
        <f>B30/10</f>
        <v>2.1052631578947371E-2</v>
      </c>
      <c r="C32" s="29">
        <v>13672121482.3915</v>
      </c>
      <c r="L32" s="25">
        <f t="shared" ref="L32:L37" si="6">L31/10</f>
        <v>7.8E-2</v>
      </c>
      <c r="M32" s="30">
        <v>55247586764.898003</v>
      </c>
      <c r="U32" s="25">
        <f>U30/10</f>
        <v>6.8421052631578952E-2</v>
      </c>
      <c r="V32" s="30">
        <v>15331277461.5348</v>
      </c>
      <c r="AE32" s="25">
        <f t="shared" ref="AE32:AE33" si="7">AE31/10</f>
        <v>7.4500000000000011E-2</v>
      </c>
      <c r="AF32" s="29">
        <v>13080127454.830299</v>
      </c>
    </row>
    <row r="33" spans="2:32" x14ac:dyDescent="0.2">
      <c r="B33" s="25">
        <f>B32/5</f>
        <v>4.2105263157894745E-3</v>
      </c>
      <c r="C33" s="29">
        <v>3886652388.6437802</v>
      </c>
      <c r="L33" s="25">
        <f t="shared" si="6"/>
        <v>7.7999999999999996E-3</v>
      </c>
      <c r="M33" s="30">
        <v>5902699383.9312496</v>
      </c>
      <c r="U33" s="25">
        <f>U32/5</f>
        <v>1.368421052631579E-2</v>
      </c>
      <c r="V33" s="30">
        <v>4248128191.7364898</v>
      </c>
      <c r="AE33" s="25">
        <f t="shared" si="7"/>
        <v>7.4500000000000009E-3</v>
      </c>
      <c r="AF33" s="29">
        <v>1444591550.0856299</v>
      </c>
    </row>
    <row r="34" spans="2:32" x14ac:dyDescent="0.2">
      <c r="B34" s="25">
        <f>B32/10</f>
        <v>2.1052631578947372E-3</v>
      </c>
      <c r="C34" s="29">
        <v>2214082515.5169501</v>
      </c>
      <c r="L34" s="25">
        <f t="shared" si="6"/>
        <v>7.7999999999999999E-4</v>
      </c>
      <c r="M34" s="30">
        <v>644675901.60387504</v>
      </c>
      <c r="U34" s="25">
        <f>U32/10</f>
        <v>6.842105263157895E-3</v>
      </c>
      <c r="V34" s="30">
        <v>2574850266.2220802</v>
      </c>
      <c r="AE34" s="25">
        <f>AE33/5</f>
        <v>1.4900000000000002E-3</v>
      </c>
      <c r="AF34" s="29">
        <v>245536811.278038</v>
      </c>
    </row>
    <row r="35" spans="2:32" x14ac:dyDescent="0.2">
      <c r="B35" s="25">
        <f t="shared" ref="B35:B37" si="8">B34/10</f>
        <v>2.1052631578947372E-4</v>
      </c>
      <c r="C35" s="29">
        <v>219919333.69390899</v>
      </c>
      <c r="L35" s="25">
        <f t="shared" si="6"/>
        <v>7.7999999999999999E-5</v>
      </c>
      <c r="M35" s="30">
        <v>59768044.515358798</v>
      </c>
      <c r="U35" s="25">
        <f t="shared" ref="U35:U37" si="9">U34/10</f>
        <v>6.8421052631578954E-4</v>
      </c>
      <c r="V35" s="30">
        <v>243654183.901553</v>
      </c>
      <c r="AE35" s="25">
        <f>AE33/10</f>
        <v>7.4500000000000011E-4</v>
      </c>
      <c r="AF35" s="29">
        <v>152610326.866972</v>
      </c>
    </row>
    <row r="36" spans="2:32" x14ac:dyDescent="0.2">
      <c r="B36" s="25">
        <f t="shared" si="8"/>
        <v>2.1052631578947372E-5</v>
      </c>
      <c r="C36" s="29">
        <v>16357893.707063399</v>
      </c>
      <c r="L36" s="25">
        <f t="shared" si="6"/>
        <v>7.7999999999999999E-6</v>
      </c>
      <c r="M36" s="30">
        <v>5873744.61695062</v>
      </c>
      <c r="U36" s="25">
        <f t="shared" si="9"/>
        <v>6.842105263157896E-5</v>
      </c>
      <c r="V36" s="30">
        <v>22825802.045644902</v>
      </c>
      <c r="AE36" s="25">
        <f>AE35/10</f>
        <v>7.4500000000000008E-5</v>
      </c>
      <c r="AF36" s="29">
        <v>12977124.9380007</v>
      </c>
    </row>
    <row r="37" spans="2:32" x14ac:dyDescent="0.2">
      <c r="B37" s="25">
        <f t="shared" si="8"/>
        <v>2.1052631578947371E-6</v>
      </c>
      <c r="C37" s="29">
        <v>1727400.94495264</v>
      </c>
      <c r="L37" s="25">
        <f t="shared" si="6"/>
        <v>7.7999999999999994E-7</v>
      </c>
      <c r="M37" s="29" t="s">
        <v>116</v>
      </c>
      <c r="U37" s="25">
        <f t="shared" si="9"/>
        <v>6.8421052631578957E-6</v>
      </c>
      <c r="V37" s="30">
        <v>2909250.05640211</v>
      </c>
    </row>
    <row r="42" spans="2:32" x14ac:dyDescent="0.25">
      <c r="B42" s="25" t="s">
        <v>112</v>
      </c>
      <c r="C42" s="25" t="s">
        <v>54</v>
      </c>
      <c r="L42" s="25" t="s">
        <v>112</v>
      </c>
      <c r="M42" s="25" t="s">
        <v>59</v>
      </c>
    </row>
    <row r="43" spans="2:32" x14ac:dyDescent="0.2">
      <c r="B43" s="25">
        <v>0.26315789473684209</v>
      </c>
      <c r="C43" s="30">
        <v>268415673028.77802</v>
      </c>
      <c r="L43" s="25">
        <v>0.57894736842105265</v>
      </c>
      <c r="M43" s="30">
        <v>2661320596.1887898</v>
      </c>
      <c r="U43" s="25" t="s">
        <v>112</v>
      </c>
      <c r="V43" s="25" t="s">
        <v>117</v>
      </c>
      <c r="AE43" s="25" t="s">
        <v>112</v>
      </c>
      <c r="AF43" s="25" t="s">
        <v>113</v>
      </c>
    </row>
    <row r="44" spans="2:32" x14ac:dyDescent="0.2">
      <c r="B44" s="25">
        <f>B43/5</f>
        <v>5.2631578947368418E-2</v>
      </c>
      <c r="C44" s="30">
        <v>60490254658.8936</v>
      </c>
      <c r="L44" s="25">
        <f>L43/5</f>
        <v>0.11578947368421053</v>
      </c>
      <c r="M44" s="30">
        <v>41709796610.588303</v>
      </c>
      <c r="U44" s="25">
        <f>(89.4*0.05)/0.6</f>
        <v>7.4500000000000011</v>
      </c>
      <c r="V44" s="30">
        <v>12580148534.063999</v>
      </c>
      <c r="W44" s="25">
        <f>LOG10(U44)</f>
        <v>0.87215627274829288</v>
      </c>
      <c r="AE44" s="25">
        <f>(5.2*0.05)/0.6</f>
        <v>0.43333333333333335</v>
      </c>
      <c r="AF44" s="30">
        <v>39070394646.884697</v>
      </c>
    </row>
    <row r="45" spans="2:32" x14ac:dyDescent="0.2">
      <c r="B45" s="25">
        <f>B43/10</f>
        <v>2.6315789473684209E-2</v>
      </c>
      <c r="C45" s="30">
        <v>32403448329.335999</v>
      </c>
      <c r="L45" s="25">
        <f>L43/10</f>
        <v>5.7894736842105263E-2</v>
      </c>
      <c r="M45" s="30">
        <v>28713536838.3232</v>
      </c>
      <c r="U45" s="25">
        <f>U44/10</f>
        <v>0.74500000000000011</v>
      </c>
      <c r="V45" s="30">
        <v>5433368411.63517</v>
      </c>
      <c r="AE45" s="25">
        <f>AE44/10</f>
        <v>4.3333333333333335E-2</v>
      </c>
      <c r="AF45" s="30">
        <v>12729590968.9177</v>
      </c>
    </row>
    <row r="46" spans="2:32" x14ac:dyDescent="0.2">
      <c r="B46" s="25">
        <f>B45/5</f>
        <v>5.263157894736842E-3</v>
      </c>
      <c r="C46" s="30">
        <v>8537589677.4947004</v>
      </c>
      <c r="L46" s="25">
        <f>L45/5</f>
        <v>1.1578947368421053E-2</v>
      </c>
      <c r="M46" s="30">
        <v>8600759781.0155907</v>
      </c>
      <c r="U46" s="25">
        <f>U45/10</f>
        <v>7.4500000000000011E-2</v>
      </c>
      <c r="V46" s="30">
        <v>2951494327.8070302</v>
      </c>
      <c r="AE46" s="25">
        <f t="shared" ref="AE46:AE47" si="10">AE45/10</f>
        <v>4.3333333333333331E-3</v>
      </c>
      <c r="AF46" s="30">
        <v>2266817638.28795</v>
      </c>
    </row>
    <row r="47" spans="2:32" x14ac:dyDescent="0.2">
      <c r="B47" s="25">
        <f>B45/10</f>
        <v>2.631578947368421E-3</v>
      </c>
      <c r="C47" s="30">
        <v>5101099483.8812304</v>
      </c>
      <c r="L47" s="25">
        <f>L45/10</f>
        <v>5.7894736842105266E-3</v>
      </c>
      <c r="M47" s="30">
        <v>5094550811.3209896</v>
      </c>
      <c r="U47" s="25">
        <f>U46/10</f>
        <v>7.4500000000000009E-3</v>
      </c>
      <c r="V47" s="30">
        <v>557695731.69863403</v>
      </c>
      <c r="AE47" s="25">
        <f t="shared" si="10"/>
        <v>4.3333333333333331E-4</v>
      </c>
      <c r="AF47" s="30">
        <v>292703673.70460498</v>
      </c>
    </row>
    <row r="48" spans="2:32" x14ac:dyDescent="0.2">
      <c r="B48" s="25">
        <f>B47/10</f>
        <v>2.631578947368421E-4</v>
      </c>
      <c r="C48" s="30">
        <v>530841319.01833802</v>
      </c>
      <c r="L48" s="25">
        <f t="shared" ref="L48:L50" si="11">L47/10</f>
        <v>5.7894736842105268E-4</v>
      </c>
      <c r="M48" s="30">
        <v>490929435.03545803</v>
      </c>
      <c r="U48" s="25">
        <f>U47/5</f>
        <v>1.4900000000000002E-3</v>
      </c>
      <c r="V48" s="30">
        <v>149606288.83650699</v>
      </c>
      <c r="AE48" s="25">
        <f>AE47/5</f>
        <v>8.6666666666666668E-5</v>
      </c>
      <c r="AF48" s="30">
        <v>58888651.4885225</v>
      </c>
    </row>
    <row r="49" spans="2:32" x14ac:dyDescent="0.2">
      <c r="B49" s="25">
        <f>B48/10</f>
        <v>2.6315789473684209E-5</v>
      </c>
      <c r="C49" s="30">
        <v>48682257.052128002</v>
      </c>
      <c r="L49" s="25">
        <f t="shared" si="11"/>
        <v>5.7894736842105267E-5</v>
      </c>
      <c r="M49" s="30">
        <v>43759306.023094699</v>
      </c>
      <c r="U49" s="25">
        <f>U47/10</f>
        <v>7.4500000000000011E-4</v>
      </c>
      <c r="V49" s="30">
        <v>68665346.506154701</v>
      </c>
      <c r="AE49" s="25">
        <f>AE47/10</f>
        <v>4.3333333333333334E-5</v>
      </c>
      <c r="AF49" s="30">
        <v>39695249.470701702</v>
      </c>
    </row>
    <row r="50" spans="2:32" x14ac:dyDescent="0.2">
      <c r="B50" s="25">
        <f>B49/10</f>
        <v>2.6315789473684207E-6</v>
      </c>
      <c r="C50" s="30">
        <v>4729751.5316704102</v>
      </c>
      <c r="L50" s="25">
        <f t="shared" si="11"/>
        <v>5.7894736842105267E-6</v>
      </c>
      <c r="M50" s="30">
        <v>3555294.6462649298</v>
      </c>
      <c r="U50" s="25">
        <f>U49/10</f>
        <v>7.4500000000000008E-5</v>
      </c>
      <c r="V50" s="30">
        <v>6965641.6231436301</v>
      </c>
      <c r="AE50" s="25">
        <f>AE49/10</f>
        <v>4.3333333333333331E-6</v>
      </c>
      <c r="AF50" s="25" t="s">
        <v>116</v>
      </c>
    </row>
    <row r="51" spans="2:32" x14ac:dyDescent="0.25">
      <c r="C51" s="27"/>
    </row>
    <row r="55" spans="2:32" x14ac:dyDescent="0.25">
      <c r="B55" s="25" t="s">
        <v>112</v>
      </c>
      <c r="C55" s="25" t="s">
        <v>110</v>
      </c>
    </row>
    <row r="56" spans="2:32" x14ac:dyDescent="0.2">
      <c r="B56" s="25">
        <v>0.36842105263157898</v>
      </c>
      <c r="C56" s="30">
        <v>4476809959.8091497</v>
      </c>
      <c r="L56" s="25" t="s">
        <v>112</v>
      </c>
      <c r="M56" s="25" t="s">
        <v>61</v>
      </c>
      <c r="U56" s="25" t="s">
        <v>112</v>
      </c>
      <c r="V56" s="25" t="s">
        <v>76</v>
      </c>
    </row>
    <row r="57" spans="2:32" x14ac:dyDescent="0.2">
      <c r="B57" s="25">
        <f>B56/5</f>
        <v>7.3684210526315796E-2</v>
      </c>
      <c r="C57" s="30">
        <v>23732740970.8386</v>
      </c>
      <c r="L57" s="25">
        <v>0.31578947368421056</v>
      </c>
      <c r="M57" s="30">
        <v>33615956721.913898</v>
      </c>
      <c r="U57" s="25">
        <v>0.52631578947368418</v>
      </c>
      <c r="V57" s="30">
        <v>24082528842.559502</v>
      </c>
    </row>
    <row r="58" spans="2:32" x14ac:dyDescent="0.2">
      <c r="B58" s="25">
        <f>B56/10</f>
        <v>3.6842105263157898E-2</v>
      </c>
      <c r="C58" s="30">
        <v>13409620628.2677</v>
      </c>
      <c r="L58" s="25">
        <f>L57/5</f>
        <v>6.3157894736842107E-2</v>
      </c>
      <c r="M58" s="30">
        <v>14701284345.9326</v>
      </c>
      <c r="U58" s="25">
        <f>U57/5</f>
        <v>0.10526315789473684</v>
      </c>
      <c r="V58" s="30">
        <v>9997826080.8885994</v>
      </c>
      <c r="AE58" s="25" t="s">
        <v>112</v>
      </c>
      <c r="AF58" s="25" t="s">
        <v>42</v>
      </c>
    </row>
    <row r="59" spans="2:32" x14ac:dyDescent="0.2">
      <c r="B59" s="25">
        <f>B58/5</f>
        <v>7.3684210526315796E-3</v>
      </c>
      <c r="C59" s="30">
        <v>3507154157.6564898</v>
      </c>
      <c r="L59" s="25">
        <f>L57/10</f>
        <v>3.1578947368421054E-2</v>
      </c>
      <c r="M59" s="30">
        <v>8512213551.9575701</v>
      </c>
      <c r="U59" s="25">
        <f>U57/10</f>
        <v>5.2631578947368418E-2</v>
      </c>
      <c r="V59" s="30">
        <v>6073830495.2449503</v>
      </c>
      <c r="AE59" s="25">
        <f>(23.1*0.05)/0.6</f>
        <v>1.925</v>
      </c>
      <c r="AF59" s="29">
        <v>318245834733.02002</v>
      </c>
    </row>
    <row r="60" spans="2:32" x14ac:dyDescent="0.2">
      <c r="B60" s="25">
        <f>B58/10</f>
        <v>3.6842105263157898E-3</v>
      </c>
      <c r="C60" s="30">
        <v>2064299690.86169</v>
      </c>
      <c r="L60" s="25">
        <f>L59/5</f>
        <v>6.3157894736842104E-3</v>
      </c>
      <c r="M60" s="30">
        <v>2305813274.7382698</v>
      </c>
      <c r="U60" s="25">
        <f>U59/5</f>
        <v>1.0526315789473684E-2</v>
      </c>
      <c r="V60" s="30"/>
      <c r="AE60" s="25">
        <f>AE59/10</f>
        <v>0.1925</v>
      </c>
      <c r="AF60" s="29">
        <v>83454038789.922195</v>
      </c>
    </row>
    <row r="61" spans="2:32" x14ac:dyDescent="0.2">
      <c r="B61" s="25">
        <f>B60/10</f>
        <v>3.6842105263157896E-4</v>
      </c>
      <c r="C61" s="30">
        <v>219163466.34192899</v>
      </c>
      <c r="L61" s="25">
        <f>L59/10</f>
        <v>3.1578947368421052E-3</v>
      </c>
      <c r="M61" s="30">
        <v>1185674134.91536</v>
      </c>
      <c r="U61" s="25">
        <f>U59/10</f>
        <v>5.263157894736842E-3</v>
      </c>
      <c r="V61" s="30">
        <v>952175875.384601</v>
      </c>
      <c r="AE61" s="25">
        <f t="shared" ref="AE61:AE62" si="12">AE60/10</f>
        <v>1.925E-2</v>
      </c>
      <c r="AF61" s="29">
        <v>5490914546.0522299</v>
      </c>
    </row>
    <row r="62" spans="2:32" x14ac:dyDescent="0.2">
      <c r="B62" s="25">
        <f>B61/10</f>
        <v>3.6842105263157895E-5</v>
      </c>
      <c r="C62" s="30">
        <v>21341678.550297499</v>
      </c>
      <c r="L62" s="25">
        <f>L61/10</f>
        <v>3.1578947368421053E-4</v>
      </c>
      <c r="M62" s="30">
        <v>106146852.29158799</v>
      </c>
      <c r="U62" s="25">
        <f t="shared" ref="U62:U64" si="13">U61/10</f>
        <v>5.263157894736842E-4</v>
      </c>
      <c r="V62" s="30">
        <v>103140610.17026</v>
      </c>
      <c r="AE62" s="25">
        <f t="shared" si="12"/>
        <v>1.9250000000000001E-3</v>
      </c>
      <c r="AF62" s="29">
        <v>392786320.71716499</v>
      </c>
    </row>
    <row r="63" spans="2:32" x14ac:dyDescent="0.2">
      <c r="B63" s="25">
        <f>B62/10</f>
        <v>3.6842105263157896E-6</v>
      </c>
      <c r="C63" s="25" t="s">
        <v>116</v>
      </c>
      <c r="L63" s="25">
        <f>L62/10</f>
        <v>3.1578947368421052E-5</v>
      </c>
      <c r="M63" s="30">
        <v>8966331.2018182892</v>
      </c>
      <c r="U63" s="25">
        <f t="shared" si="13"/>
        <v>5.2631578947368417E-5</v>
      </c>
      <c r="V63" s="30">
        <v>9250195.1062020902</v>
      </c>
      <c r="AE63" s="25">
        <f>AE62/5</f>
        <v>3.8500000000000003E-4</v>
      </c>
      <c r="AF63" s="29">
        <v>61429228.832568496</v>
      </c>
    </row>
    <row r="64" spans="2:32" x14ac:dyDescent="0.2">
      <c r="L64" s="25">
        <f>L63/10</f>
        <v>3.1578947368421052E-6</v>
      </c>
      <c r="M64" s="30">
        <v>899483.86900954903</v>
      </c>
      <c r="U64" s="25">
        <f t="shared" si="13"/>
        <v>5.2631578947368414E-6</v>
      </c>
      <c r="V64" s="30">
        <v>1480869.8546412799</v>
      </c>
      <c r="AE64" s="25">
        <f>AE62/10</f>
        <v>1.9250000000000002E-4</v>
      </c>
      <c r="AF64" s="29">
        <v>37363210.450897999</v>
      </c>
    </row>
    <row r="65" spans="2:32" x14ac:dyDescent="0.2">
      <c r="AE65" s="25">
        <f>AE64/10</f>
        <v>1.925E-5</v>
      </c>
      <c r="AF65" s="29" t="s">
        <v>116</v>
      </c>
    </row>
    <row r="71" spans="2:32" x14ac:dyDescent="0.25">
      <c r="B71" s="25" t="s">
        <v>112</v>
      </c>
      <c r="C71" s="25" t="s">
        <v>62</v>
      </c>
      <c r="L71" s="25" t="s">
        <v>112</v>
      </c>
      <c r="M71" s="25" t="s">
        <v>64</v>
      </c>
      <c r="U71" s="25" t="s">
        <v>112</v>
      </c>
      <c r="V71" s="25" t="s">
        <v>77</v>
      </c>
    </row>
    <row r="72" spans="2:32" x14ac:dyDescent="0.2">
      <c r="B72" s="25">
        <v>0.31578947368421056</v>
      </c>
      <c r="C72" s="29">
        <v>3758170973.9313898</v>
      </c>
      <c r="L72" s="25">
        <v>0.26315789473684209</v>
      </c>
      <c r="M72" s="29">
        <v>7526638961.33706</v>
      </c>
      <c r="U72" s="25">
        <v>0.26315789473684209</v>
      </c>
      <c r="V72" s="30">
        <v>45775799278.639603</v>
      </c>
    </row>
    <row r="73" spans="2:32" x14ac:dyDescent="0.2">
      <c r="B73" s="25">
        <f>B72/5</f>
        <v>6.3157894736842107E-2</v>
      </c>
      <c r="C73" s="29">
        <v>18096299143.787701</v>
      </c>
      <c r="L73" s="25">
        <f>L72/5</f>
        <v>5.2631578947368418E-2</v>
      </c>
      <c r="M73" s="29">
        <v>3304882173.4295602</v>
      </c>
      <c r="U73" s="25">
        <f>U72/5</f>
        <v>5.2631578947368418E-2</v>
      </c>
      <c r="V73" s="30">
        <v>29963445639.968899</v>
      </c>
    </row>
    <row r="74" spans="2:32" x14ac:dyDescent="0.2">
      <c r="B74" s="25">
        <f>B72/10</f>
        <v>3.1578947368421054E-2</v>
      </c>
      <c r="C74" s="29">
        <v>15517949035.6817</v>
      </c>
      <c r="L74" s="25">
        <f>L72/10</f>
        <v>2.6315789473684209E-2</v>
      </c>
      <c r="M74" s="29">
        <v>2681306911.2778602</v>
      </c>
      <c r="U74" s="25">
        <f>U72/10</f>
        <v>2.6315789473684209E-2</v>
      </c>
      <c r="V74" s="30">
        <v>16428199825.3188</v>
      </c>
    </row>
    <row r="75" spans="2:32" x14ac:dyDescent="0.2">
      <c r="C75" s="29"/>
      <c r="L75" s="25">
        <f>L74/5</f>
        <v>5.263157894736842E-3</v>
      </c>
      <c r="M75" s="29">
        <v>1230924938.3143599</v>
      </c>
      <c r="U75" s="25">
        <f>U74/5</f>
        <v>5.263157894736842E-3</v>
      </c>
      <c r="V75" s="30">
        <v>3438453178.0314598</v>
      </c>
    </row>
    <row r="76" spans="2:32" x14ac:dyDescent="0.2">
      <c r="B76" s="25">
        <f>B74/10</f>
        <v>3.1578947368421052E-3</v>
      </c>
      <c r="C76" s="29">
        <v>2757791533.1575799</v>
      </c>
      <c r="L76" s="25">
        <f>L74/10</f>
        <v>2.631578947368421E-3</v>
      </c>
      <c r="M76" s="29">
        <v>730370535.01137197</v>
      </c>
      <c r="U76" s="25">
        <f>U74/10</f>
        <v>2.631578947368421E-3</v>
      </c>
      <c r="V76" s="30">
        <v>1787564419.5165501</v>
      </c>
    </row>
    <row r="77" spans="2:32" x14ac:dyDescent="0.2">
      <c r="B77" s="25">
        <f>B76/10</f>
        <v>3.1578947368421053E-4</v>
      </c>
      <c r="C77" s="29">
        <v>286142704.99513203</v>
      </c>
      <c r="L77" s="25">
        <f>L76/10</f>
        <v>2.631578947368421E-4</v>
      </c>
      <c r="M77" s="29">
        <v>97103153.4438463</v>
      </c>
      <c r="U77" s="25">
        <f t="shared" ref="U77:U79" si="14">U76/10</f>
        <v>2.631578947368421E-4</v>
      </c>
      <c r="V77" s="30">
        <v>135736052.624111</v>
      </c>
    </row>
    <row r="78" spans="2:32" x14ac:dyDescent="0.2">
      <c r="B78" s="25">
        <f>B77/10</f>
        <v>3.1578947368421052E-5</v>
      </c>
      <c r="C78" s="29">
        <v>25726761.313771699</v>
      </c>
      <c r="L78" s="25">
        <f>L77/10</f>
        <v>2.6315789473684209E-5</v>
      </c>
      <c r="M78" s="29">
        <v>7242812.2312993603</v>
      </c>
      <c r="U78" s="25">
        <f t="shared" si="14"/>
        <v>2.6315789473684209E-5</v>
      </c>
      <c r="V78" s="30">
        <v>8231484.2534472505</v>
      </c>
    </row>
    <row r="79" spans="2:32" x14ac:dyDescent="0.2">
      <c r="B79" s="25">
        <f>B78/10</f>
        <v>3.1578947368421052E-6</v>
      </c>
      <c r="C79" s="29">
        <v>3109828.94496375</v>
      </c>
      <c r="L79" s="25">
        <f>L78/10</f>
        <v>2.6315789473684207E-6</v>
      </c>
      <c r="M79" s="29">
        <v>828049.81206376303</v>
      </c>
      <c r="U79" s="25">
        <f t="shared" si="14"/>
        <v>2.6315789473684207E-6</v>
      </c>
      <c r="V79" s="30">
        <v>1615507.69946497</v>
      </c>
    </row>
    <row r="86" spans="2:22" x14ac:dyDescent="0.25">
      <c r="U86" s="25" t="s">
        <v>112</v>
      </c>
      <c r="V86" s="25" t="s">
        <v>31</v>
      </c>
    </row>
    <row r="87" spans="2:22" x14ac:dyDescent="0.2">
      <c r="B87" s="25" t="s">
        <v>112</v>
      </c>
      <c r="C87" s="25" t="s">
        <v>28</v>
      </c>
      <c r="L87" s="25" t="s">
        <v>112</v>
      </c>
      <c r="M87" s="25" t="s">
        <v>30</v>
      </c>
      <c r="U87" s="25">
        <f>(31.2*0.05)/0.6</f>
        <v>2.6</v>
      </c>
      <c r="V87" s="29">
        <v>19792318236.114101</v>
      </c>
    </row>
    <row r="88" spans="2:22" x14ac:dyDescent="0.2">
      <c r="B88" s="25">
        <f>(50*0.05)/0.6</f>
        <v>4.166666666666667</v>
      </c>
      <c r="C88" s="30">
        <v>34396963533.954399</v>
      </c>
      <c r="L88" s="25">
        <f>(23.6*0.05)/0.6</f>
        <v>1.966666666666667</v>
      </c>
      <c r="M88" s="29">
        <v>43778421230.630302</v>
      </c>
      <c r="U88" s="25">
        <f>U87/10</f>
        <v>0.26</v>
      </c>
      <c r="V88" s="29">
        <v>51097829834.689598</v>
      </c>
    </row>
    <row r="89" spans="2:22" x14ac:dyDescent="0.2">
      <c r="B89" s="25">
        <f>B88/10</f>
        <v>0.41666666666666669</v>
      </c>
      <c r="C89" s="30">
        <v>6059745208.9088297</v>
      </c>
      <c r="L89" s="25">
        <f>L88/10</f>
        <v>0.19666666666666671</v>
      </c>
      <c r="M89" s="29">
        <v>16383213255.820299</v>
      </c>
      <c r="U89" s="25">
        <f t="shared" ref="U89:U90" si="15">U88/10</f>
        <v>2.6000000000000002E-2</v>
      </c>
      <c r="V89" s="29">
        <v>12731341884.807199</v>
      </c>
    </row>
    <row r="90" spans="2:22" x14ac:dyDescent="0.2">
      <c r="B90" s="25">
        <f>B89/10</f>
        <v>4.1666666666666671E-2</v>
      </c>
      <c r="C90" s="30">
        <v>631165822.02210605</v>
      </c>
      <c r="L90" s="25">
        <f t="shared" ref="L90:L91" si="16">L89/10</f>
        <v>1.9666666666666673E-2</v>
      </c>
      <c r="M90" s="29">
        <v>4020001035.51548</v>
      </c>
      <c r="U90" s="25">
        <f t="shared" si="15"/>
        <v>2.6000000000000003E-3</v>
      </c>
      <c r="V90" s="29">
        <v>1736448564.55969</v>
      </c>
    </row>
    <row r="91" spans="2:22" x14ac:dyDescent="0.2">
      <c r="B91" s="25">
        <f>B90/10</f>
        <v>4.1666666666666675E-3</v>
      </c>
      <c r="C91" s="30">
        <v>45787506.520530798</v>
      </c>
      <c r="L91" s="25">
        <f t="shared" si="16"/>
        <v>1.9666666666666673E-3</v>
      </c>
      <c r="M91" s="29">
        <v>614262173.28065205</v>
      </c>
      <c r="U91" s="25">
        <f>U90/5</f>
        <v>5.2000000000000006E-4</v>
      </c>
      <c r="V91" s="29">
        <v>317763647.99895298</v>
      </c>
    </row>
    <row r="92" spans="2:22" x14ac:dyDescent="0.2">
      <c r="B92" s="25">
        <f>B91/5</f>
        <v>8.333333333333335E-4</v>
      </c>
      <c r="C92" s="30">
        <v>25613936.467266399</v>
      </c>
      <c r="L92" s="25">
        <f>L91/5</f>
        <v>3.9333333333333348E-4</v>
      </c>
      <c r="M92" s="29">
        <v>112295107.920902</v>
      </c>
      <c r="U92" s="25">
        <f>U90/10</f>
        <v>2.6000000000000003E-4</v>
      </c>
      <c r="V92" s="29">
        <v>182926968.557331</v>
      </c>
    </row>
    <row r="93" spans="2:22" x14ac:dyDescent="0.2">
      <c r="B93" s="25">
        <f>B91/10</f>
        <v>4.1666666666666675E-4</v>
      </c>
      <c r="C93" s="27"/>
      <c r="L93" s="25">
        <f>L91/10</f>
        <v>1.9666666666666674E-4</v>
      </c>
      <c r="M93" s="29">
        <v>68791715.810816407</v>
      </c>
      <c r="U93" s="25">
        <f>U92/10</f>
        <v>2.6000000000000002E-5</v>
      </c>
      <c r="V93" s="29">
        <v>19931655.392547101</v>
      </c>
    </row>
    <row r="94" spans="2:22" x14ac:dyDescent="0.2">
      <c r="B94" s="25">
        <f>B93/10</f>
        <v>4.1666666666666672E-5</v>
      </c>
      <c r="C94" s="27"/>
      <c r="L94" s="25">
        <f>L93/10</f>
        <v>1.9666666666666673E-5</v>
      </c>
      <c r="M94" s="29">
        <v>6830602.5411228603</v>
      </c>
    </row>
    <row r="101" spans="3:22" x14ac:dyDescent="0.25">
      <c r="L101" s="25" t="s">
        <v>112</v>
      </c>
      <c r="M101" s="25" t="s">
        <v>34</v>
      </c>
      <c r="U101" s="25" t="s">
        <v>112</v>
      </c>
      <c r="V101" s="25" t="s">
        <v>109</v>
      </c>
    </row>
    <row r="102" spans="3:22" x14ac:dyDescent="0.2">
      <c r="C102" s="30"/>
      <c r="L102" s="25">
        <f>(8*0.05)/0.6</f>
        <v>0.66666666666666674</v>
      </c>
      <c r="M102" s="26"/>
      <c r="U102" s="25">
        <f>(11*0.05)/0.6</f>
        <v>0.91666666666666674</v>
      </c>
      <c r="V102" s="26" t="s">
        <v>116</v>
      </c>
    </row>
    <row r="103" spans="3:22" x14ac:dyDescent="0.2">
      <c r="C103" s="30"/>
      <c r="L103" s="25">
        <f>L102/10</f>
        <v>6.666666666666668E-2</v>
      </c>
      <c r="M103" s="29">
        <v>4623249342.4506102</v>
      </c>
      <c r="U103" s="25">
        <f>U102/10</f>
        <v>9.1666666666666674E-2</v>
      </c>
      <c r="V103" s="30">
        <v>5267350700.74858</v>
      </c>
    </row>
    <row r="104" spans="3:22" x14ac:dyDescent="0.2">
      <c r="C104" s="30"/>
      <c r="L104" s="25">
        <f t="shared" ref="L104:L107" si="17">L103/10</f>
        <v>6.666666666666668E-3</v>
      </c>
      <c r="M104" s="29">
        <v>789077189.62020898</v>
      </c>
      <c r="U104" s="25">
        <f t="shared" ref="U104:U105" si="18">U103/10</f>
        <v>9.1666666666666667E-3</v>
      </c>
      <c r="V104" s="30">
        <v>553283483.88264704</v>
      </c>
    </row>
    <row r="105" spans="3:22" x14ac:dyDescent="0.2">
      <c r="C105" s="30"/>
      <c r="L105" s="25">
        <f t="shared" si="17"/>
        <v>6.6666666666666675E-4</v>
      </c>
      <c r="M105" s="29">
        <v>64879809.630662397</v>
      </c>
      <c r="U105" s="25">
        <f t="shared" si="18"/>
        <v>9.1666666666666665E-4</v>
      </c>
      <c r="V105" s="30">
        <v>48673489.734755203</v>
      </c>
    </row>
    <row r="106" spans="3:22" x14ac:dyDescent="0.2">
      <c r="C106" s="30"/>
      <c r="L106" s="25">
        <f t="shared" si="17"/>
        <v>6.666666666666667E-5</v>
      </c>
      <c r="M106" s="26"/>
      <c r="U106" s="25">
        <f>U105/5</f>
        <v>1.8333333333333334E-4</v>
      </c>
      <c r="V106" s="30">
        <v>9747338.6043949798</v>
      </c>
    </row>
    <row r="107" spans="3:22" x14ac:dyDescent="0.2">
      <c r="C107" s="30"/>
      <c r="L107" s="25">
        <f t="shared" si="17"/>
        <v>6.6666666666666666E-6</v>
      </c>
      <c r="M107" s="26"/>
      <c r="U107" s="25">
        <f>U105/10</f>
        <v>9.1666666666666668E-5</v>
      </c>
      <c r="V107" s="30">
        <v>4135872.0995736802</v>
      </c>
    </row>
    <row r="108" spans="3:22" x14ac:dyDescent="0.2">
      <c r="C108" s="30"/>
      <c r="M108" s="26"/>
      <c r="U108" s="25">
        <f>U107/10</f>
        <v>9.1666666666666664E-6</v>
      </c>
      <c r="V108" s="26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6"/>
  <sheetViews>
    <sheetView zoomScaleNormal="100" workbookViewId="0">
      <selection activeCell="G22" sqref="G22"/>
    </sheetView>
  </sheetViews>
  <sheetFormatPr defaultRowHeight="11.25" x14ac:dyDescent="0.25"/>
  <cols>
    <col min="1" max="1" width="7.42578125" style="40" bestFit="1" customWidth="1"/>
    <col min="2" max="2" width="12" style="40" bestFit="1" customWidth="1"/>
    <col min="3" max="3" width="14" style="40" bestFit="1" customWidth="1"/>
    <col min="4" max="4" width="11.28515625" style="40" bestFit="1" customWidth="1"/>
    <col min="5" max="5" width="13.7109375" style="40" bestFit="1" customWidth="1"/>
    <col min="6" max="6" width="11" style="40" bestFit="1" customWidth="1"/>
    <col min="7" max="7" width="12" style="40" bestFit="1" customWidth="1"/>
    <col min="8" max="9" width="12" style="40" customWidth="1"/>
    <col min="10" max="10" width="18" style="40" bestFit="1" customWidth="1"/>
    <col min="11" max="11" width="12" style="40" bestFit="1" customWidth="1"/>
    <col min="12" max="12" width="13.28515625" style="40" bestFit="1" customWidth="1"/>
    <col min="13" max="13" width="12" style="40" bestFit="1" customWidth="1"/>
    <col min="14" max="14" width="11" style="40" bestFit="1" customWidth="1"/>
    <col min="15" max="16" width="13.140625" style="40" bestFit="1" customWidth="1"/>
    <col min="17" max="18" width="12" style="40" bestFit="1" customWidth="1"/>
    <col min="19" max="19" width="12" style="40" customWidth="1"/>
    <col min="20" max="20" width="7.42578125" style="40" bestFit="1" customWidth="1"/>
    <col min="21" max="21" width="13.28515625" style="40" bestFit="1" customWidth="1"/>
    <col min="22" max="22" width="12" style="40" bestFit="1" customWidth="1"/>
    <col min="23" max="24" width="11" style="40" bestFit="1" customWidth="1"/>
    <col min="25" max="26" width="12" style="40" bestFit="1" customWidth="1"/>
    <col min="27" max="28" width="13.140625" style="40" bestFit="1" customWidth="1"/>
    <col min="29" max="34" width="12" style="40" bestFit="1" customWidth="1"/>
    <col min="35" max="16384" width="9.140625" style="40"/>
  </cols>
  <sheetData>
    <row r="2" spans="2:24" x14ac:dyDescent="0.25">
      <c r="K2" s="40" t="s">
        <v>34</v>
      </c>
      <c r="L2" s="40" t="s">
        <v>111</v>
      </c>
      <c r="M2" s="40" t="s">
        <v>84</v>
      </c>
      <c r="N2" s="40" t="s">
        <v>162</v>
      </c>
      <c r="O2" s="40" t="s">
        <v>162</v>
      </c>
      <c r="T2" s="40" t="s">
        <v>113</v>
      </c>
      <c r="U2" s="40" t="s">
        <v>112</v>
      </c>
      <c r="V2" s="40" t="s">
        <v>84</v>
      </c>
      <c r="W2" s="40" t="s">
        <v>162</v>
      </c>
      <c r="X2" s="40" t="s">
        <v>162</v>
      </c>
    </row>
    <row r="3" spans="2:24" x14ac:dyDescent="0.25">
      <c r="B3" s="40" t="s">
        <v>43</v>
      </c>
      <c r="C3" s="40" t="s">
        <v>112</v>
      </c>
      <c r="D3" s="40" t="s">
        <v>84</v>
      </c>
      <c r="E3" s="40" t="s">
        <v>162</v>
      </c>
      <c r="F3" s="40" t="s">
        <v>162</v>
      </c>
      <c r="K3" s="41" t="s">
        <v>163</v>
      </c>
      <c r="L3" s="40">
        <v>0.66666666666666674</v>
      </c>
      <c r="M3" s="42">
        <v>13365642037.2526</v>
      </c>
      <c r="N3" s="40">
        <f>LOG10(L3)</f>
        <v>-0.17609125905568118</v>
      </c>
      <c r="O3" s="40">
        <f>LOG10(M3)</f>
        <v>10.125989825534667</v>
      </c>
      <c r="T3" s="41" t="s">
        <v>163</v>
      </c>
      <c r="U3" s="40">
        <v>0.43333333333333335</v>
      </c>
      <c r="V3" s="40">
        <v>2370449133.7689199</v>
      </c>
      <c r="W3" s="43">
        <f>LOG10(U3)</f>
        <v>-0.36317790241282566</v>
      </c>
      <c r="X3" s="43">
        <f>LOG10(V3)</f>
        <v>9.3748306404562864</v>
      </c>
    </row>
    <row r="4" spans="2:24" x14ac:dyDescent="0.25">
      <c r="B4" s="41" t="s">
        <v>164</v>
      </c>
      <c r="C4" s="40">
        <v>0.31578947368421056</v>
      </c>
      <c r="D4" s="42">
        <v>74689287987.352203</v>
      </c>
      <c r="E4" s="40">
        <f>LOG10(C4)</f>
        <v>-0.50060235056918523</v>
      </c>
      <c r="F4" s="40">
        <f>LOG10(D4)</f>
        <v>10.873258319331111</v>
      </c>
      <c r="K4" s="41" t="s">
        <v>165</v>
      </c>
      <c r="L4" s="40">
        <v>6.666666666666668E-2</v>
      </c>
      <c r="M4" s="42">
        <v>1740720254.5355</v>
      </c>
      <c r="N4" s="40">
        <f t="shared" ref="N4:O9" si="0">LOG10(L4)</f>
        <v>-1.1760912590556811</v>
      </c>
      <c r="O4" s="40">
        <f t="shared" si="0"/>
        <v>9.240728982677739</v>
      </c>
      <c r="T4" s="41" t="s">
        <v>165</v>
      </c>
      <c r="U4" s="40">
        <v>4.3333333333333335E-2</v>
      </c>
      <c r="V4" s="40">
        <v>515627778.69043499</v>
      </c>
      <c r="W4" s="43">
        <f t="shared" ref="W4:W9" si="1">LOG10(U4)</f>
        <v>-1.3631779024128257</v>
      </c>
      <c r="X4" s="43">
        <f t="shared" ref="X4:X9" si="2">LOG10(V4)</f>
        <v>8.7123363062899681</v>
      </c>
    </row>
    <row r="5" spans="2:24" x14ac:dyDescent="0.25">
      <c r="B5" s="41" t="s">
        <v>166</v>
      </c>
      <c r="C5" s="40">
        <v>6.3157894736842107E-2</v>
      </c>
      <c r="D5" s="42">
        <v>23835468766.5574</v>
      </c>
      <c r="E5" s="40">
        <f t="shared" ref="E5:F11" si="3">LOG10(C5)</f>
        <v>-1.1995723549052042</v>
      </c>
      <c r="F5" s="40">
        <f t="shared" si="3"/>
        <v>10.377223697514466</v>
      </c>
      <c r="K5" s="41" t="s">
        <v>167</v>
      </c>
      <c r="L5" s="40">
        <v>6.666666666666668E-3</v>
      </c>
      <c r="M5" s="42">
        <v>183775122.554786</v>
      </c>
      <c r="N5" s="40">
        <f t="shared" si="0"/>
        <v>-2.1760912590556813</v>
      </c>
      <c r="O5" s="40">
        <f t="shared" si="0"/>
        <v>8.2642867210412803</v>
      </c>
      <c r="T5" s="41" t="s">
        <v>167</v>
      </c>
      <c r="U5" s="40">
        <v>4.3333333333333331E-3</v>
      </c>
      <c r="V5" s="40">
        <v>97161820.794066995</v>
      </c>
      <c r="W5" s="43">
        <f t="shared" si="1"/>
        <v>-2.3631779024128257</v>
      </c>
      <c r="X5" s="43">
        <f t="shared" si="2"/>
        <v>7.9874956448054535</v>
      </c>
    </row>
    <row r="6" spans="2:24" x14ac:dyDescent="0.25">
      <c r="B6" s="41" t="s">
        <v>168</v>
      </c>
      <c r="C6" s="40">
        <v>3.1578947368421054E-2</v>
      </c>
      <c r="D6" s="42">
        <v>17744956136.399799</v>
      </c>
      <c r="E6" s="43">
        <f t="shared" si="3"/>
        <v>-1.5006023505691852</v>
      </c>
      <c r="F6" s="43">
        <f t="shared" si="3"/>
        <v>10.249074930156247</v>
      </c>
      <c r="K6" s="41" t="s">
        <v>169</v>
      </c>
      <c r="L6" s="40">
        <v>6.6666666666666675E-4</v>
      </c>
      <c r="M6" s="42">
        <v>14863249.0832687</v>
      </c>
      <c r="N6" s="40">
        <f t="shared" si="0"/>
        <v>-3.1760912590556813</v>
      </c>
      <c r="O6" s="40">
        <f t="shared" si="0"/>
        <v>7.1721137559047685</v>
      </c>
      <c r="T6" s="41" t="s">
        <v>169</v>
      </c>
      <c r="U6" s="40">
        <v>4.3333333333333331E-4</v>
      </c>
      <c r="V6" s="40">
        <v>11158107.143828999</v>
      </c>
      <c r="W6" s="43">
        <f t="shared" si="1"/>
        <v>-3.3631779024128257</v>
      </c>
      <c r="X6" s="43">
        <f t="shared" si="2"/>
        <v>7.0475905273333836</v>
      </c>
    </row>
    <row r="7" spans="2:24" x14ac:dyDescent="0.25">
      <c r="B7" s="41" t="s">
        <v>170</v>
      </c>
      <c r="C7" s="40">
        <v>6.3157894736842104E-3</v>
      </c>
      <c r="D7" s="42">
        <v>6965192279.5906401</v>
      </c>
      <c r="E7" s="43">
        <f t="shared" si="3"/>
        <v>-2.1995723549052042</v>
      </c>
      <c r="F7" s="43">
        <f t="shared" si="3"/>
        <v>9.8429331099649442</v>
      </c>
      <c r="K7" s="41" t="s">
        <v>171</v>
      </c>
      <c r="L7" s="40">
        <v>6.666666666666667E-5</v>
      </c>
      <c r="M7" s="42">
        <v>2283905.0341215399</v>
      </c>
      <c r="N7" s="40">
        <f t="shared" si="0"/>
        <v>-4.1760912590556813</v>
      </c>
      <c r="O7" s="40">
        <f t="shared" si="0"/>
        <v>6.3586780417741489</v>
      </c>
      <c r="T7" s="41" t="s">
        <v>171</v>
      </c>
      <c r="U7" s="40">
        <v>8.6666666666666668E-5</v>
      </c>
      <c r="V7" s="40">
        <v>1945250.2665635999</v>
      </c>
      <c r="W7" s="43">
        <f t="shared" si="1"/>
        <v>-4.0621479067488444</v>
      </c>
      <c r="X7" s="43">
        <f t="shared" si="2"/>
        <v>6.2889754835000549</v>
      </c>
    </row>
    <row r="8" spans="2:24" x14ac:dyDescent="0.25">
      <c r="B8" s="41" t="s">
        <v>172</v>
      </c>
      <c r="C8" s="40">
        <v>3.1578947368421052E-3</v>
      </c>
      <c r="D8" s="42">
        <v>3771372341.9942899</v>
      </c>
      <c r="E8" s="43">
        <f t="shared" si="3"/>
        <v>-2.5006023505691855</v>
      </c>
      <c r="F8" s="43">
        <f t="shared" si="3"/>
        <v>9.5764994117720317</v>
      </c>
      <c r="K8" s="41" t="s">
        <v>173</v>
      </c>
      <c r="L8" s="40">
        <v>6.6666666666666666E-6</v>
      </c>
      <c r="M8" s="42">
        <v>0</v>
      </c>
      <c r="N8" s="40">
        <f t="shared" si="0"/>
        <v>-5.1760912590556813</v>
      </c>
      <c r="O8" s="40" t="e">
        <f t="shared" si="0"/>
        <v>#NUM!</v>
      </c>
      <c r="T8" s="41" t="s">
        <v>173</v>
      </c>
      <c r="U8" s="40">
        <v>4.3333333333333334E-5</v>
      </c>
      <c r="V8" s="40">
        <v>1445925.2165725899</v>
      </c>
      <c r="W8" s="43">
        <f t="shared" si="1"/>
        <v>-4.3631779024128257</v>
      </c>
      <c r="X8" s="43">
        <f t="shared" si="2"/>
        <v>6.1601458317761253</v>
      </c>
    </row>
    <row r="9" spans="2:24" x14ac:dyDescent="0.25">
      <c r="B9" s="41" t="s">
        <v>174</v>
      </c>
      <c r="C9" s="40">
        <v>3.1578947368421053E-4</v>
      </c>
      <c r="D9" s="42">
        <v>248883928.35008299</v>
      </c>
      <c r="E9" s="43">
        <f t="shared" si="3"/>
        <v>-3.5006023505691855</v>
      </c>
      <c r="F9" s="43">
        <f t="shared" si="3"/>
        <v>8.3959968529997937</v>
      </c>
      <c r="K9" s="41" t="s">
        <v>175</v>
      </c>
      <c r="L9" s="40" t="s">
        <v>116</v>
      </c>
      <c r="M9" s="42">
        <v>0</v>
      </c>
      <c r="N9" s="40" t="e">
        <f t="shared" si="0"/>
        <v>#VALUE!</v>
      </c>
      <c r="O9" s="40" t="e">
        <f t="shared" si="0"/>
        <v>#NUM!</v>
      </c>
      <c r="T9" s="41" t="s">
        <v>175</v>
      </c>
      <c r="U9" s="40">
        <v>4.3333333333333331E-6</v>
      </c>
      <c r="V9" s="40">
        <v>348739.99013373</v>
      </c>
      <c r="W9" s="43">
        <f t="shared" si="1"/>
        <v>-5.3631779024128257</v>
      </c>
      <c r="X9" s="43">
        <f t="shared" si="2"/>
        <v>5.5425017509280359</v>
      </c>
    </row>
    <row r="10" spans="2:24" x14ac:dyDescent="0.25">
      <c r="B10" s="41" t="s">
        <v>176</v>
      </c>
      <c r="C10" s="40">
        <v>3.1578947368421052E-5</v>
      </c>
      <c r="D10" s="42">
        <v>16968130.421988901</v>
      </c>
      <c r="E10" s="43">
        <f t="shared" si="3"/>
        <v>-4.500602350569185</v>
      </c>
      <c r="F10" s="43">
        <f t="shared" si="3"/>
        <v>7.2296339936351215</v>
      </c>
    </row>
    <row r="11" spans="2:24" x14ac:dyDescent="0.25">
      <c r="B11" s="41" t="s">
        <v>177</v>
      </c>
      <c r="C11" s="40">
        <v>3.1578947368421052E-6</v>
      </c>
      <c r="D11" s="42">
        <v>1553958.26288474</v>
      </c>
      <c r="E11" s="43">
        <f t="shared" si="3"/>
        <v>-5.500602350569185</v>
      </c>
      <c r="F11" s="43">
        <f t="shared" si="3"/>
        <v>6.1914393500876317</v>
      </c>
    </row>
    <row r="13" spans="2:24" x14ac:dyDescent="0.25">
      <c r="K13" s="40" t="s">
        <v>28</v>
      </c>
      <c r="L13" s="40" t="s">
        <v>112</v>
      </c>
      <c r="M13" s="40" t="s">
        <v>84</v>
      </c>
      <c r="N13" s="40" t="s">
        <v>162</v>
      </c>
      <c r="O13" s="40" t="s">
        <v>162</v>
      </c>
      <c r="T13" s="40" t="s">
        <v>36</v>
      </c>
      <c r="U13" s="40" t="s">
        <v>112</v>
      </c>
      <c r="V13" s="40" t="s">
        <v>84</v>
      </c>
      <c r="W13" s="40" t="s">
        <v>162</v>
      </c>
      <c r="X13" s="40" t="s">
        <v>162</v>
      </c>
    </row>
    <row r="14" spans="2:24" x14ac:dyDescent="0.25">
      <c r="K14" s="41" t="s">
        <v>163</v>
      </c>
      <c r="L14" s="40">
        <v>4.166666666666667</v>
      </c>
      <c r="M14" s="44">
        <v>104090562533.198</v>
      </c>
      <c r="N14" s="43">
        <f>LOG10(L14)</f>
        <v>0.61978875828839397</v>
      </c>
      <c r="O14" s="43">
        <f>LOG10(M14)</f>
        <v>11.017411355585914</v>
      </c>
      <c r="T14" s="41" t="s">
        <v>163</v>
      </c>
      <c r="U14" s="40">
        <v>0.91666666666666674</v>
      </c>
      <c r="V14" s="42">
        <v>5288149319.0896196</v>
      </c>
      <c r="W14" s="40">
        <f>LOG10(U14)</f>
        <v>-3.7788560889399754E-2</v>
      </c>
      <c r="X14" s="40">
        <f>LOG10(V14)</f>
        <v>9.7233037096283219</v>
      </c>
    </row>
    <row r="15" spans="2:24" x14ac:dyDescent="0.25">
      <c r="K15" s="41" t="s">
        <v>165</v>
      </c>
      <c r="L15" s="40">
        <v>0.41666666666666669</v>
      </c>
      <c r="M15" s="44">
        <v>17409953489.2528</v>
      </c>
      <c r="N15" s="43">
        <f t="shared" ref="N15:O20" si="4">LOG10(L15)</f>
        <v>-0.38021124171160603</v>
      </c>
      <c r="O15" s="43">
        <f t="shared" si="4"/>
        <v>10.240797610899765</v>
      </c>
      <c r="T15" s="41" t="s">
        <v>165</v>
      </c>
      <c r="U15" s="40">
        <v>9.1666666666666674E-2</v>
      </c>
      <c r="V15" s="42">
        <v>1992840089.73738</v>
      </c>
      <c r="W15" s="43">
        <f t="shared" ref="W15:W20" si="5">LOG10(U15)</f>
        <v>-1.0377885608893997</v>
      </c>
      <c r="X15" s="43">
        <f t="shared" ref="X15:X20" si="6">LOG10(V15)</f>
        <v>9.2994724512690148</v>
      </c>
    </row>
    <row r="16" spans="2:24" x14ac:dyDescent="0.25">
      <c r="B16" s="41"/>
      <c r="K16" s="41" t="s">
        <v>167</v>
      </c>
      <c r="L16" s="40">
        <v>4.1666666666666671E-2</v>
      </c>
      <c r="M16" s="44">
        <v>1781533582.70839</v>
      </c>
      <c r="N16" s="43">
        <f t="shared" si="4"/>
        <v>-1.3802112417116059</v>
      </c>
      <c r="O16" s="43">
        <f t="shared" si="4"/>
        <v>9.2507940134102871</v>
      </c>
      <c r="T16" s="41" t="s">
        <v>167</v>
      </c>
      <c r="U16" s="40">
        <v>9.1666666666666667E-3</v>
      </c>
      <c r="V16" s="42">
        <v>463921741.63662302</v>
      </c>
      <c r="W16" s="43">
        <f t="shared" si="5"/>
        <v>-2.0377885608893997</v>
      </c>
      <c r="X16" s="43">
        <f t="shared" si="6"/>
        <v>8.6664447261543582</v>
      </c>
    </row>
    <row r="17" spans="2:24" x14ac:dyDescent="0.25">
      <c r="B17" s="41"/>
      <c r="K17" s="41" t="s">
        <v>169</v>
      </c>
      <c r="L17" s="40">
        <v>4.1666666666666675E-3</v>
      </c>
      <c r="M17" s="44">
        <v>175192475.46970901</v>
      </c>
      <c r="N17" s="43">
        <f t="shared" si="4"/>
        <v>-2.3802112417116059</v>
      </c>
      <c r="O17" s="43">
        <f t="shared" si="4"/>
        <v>8.2435154492512357</v>
      </c>
      <c r="T17" s="41" t="s">
        <v>169</v>
      </c>
      <c r="U17" s="40">
        <v>9.1666666666666665E-4</v>
      </c>
      <c r="V17" s="42">
        <v>44715926.687860399</v>
      </c>
      <c r="W17" s="43">
        <f t="shared" si="5"/>
        <v>-3.0377885608893997</v>
      </c>
      <c r="X17" s="43">
        <f t="shared" si="6"/>
        <v>7.6504622354518137</v>
      </c>
    </row>
    <row r="18" spans="2:24" x14ac:dyDescent="0.25">
      <c r="B18" s="41"/>
      <c r="K18" s="41" t="s">
        <v>171</v>
      </c>
      <c r="L18" s="40">
        <v>8.333333333333335E-4</v>
      </c>
      <c r="M18" s="44">
        <v>28980903.295295302</v>
      </c>
      <c r="N18" s="43">
        <f t="shared" si="4"/>
        <v>-3.0791812460476247</v>
      </c>
      <c r="O18" s="43">
        <f t="shared" si="4"/>
        <v>7.4621119177137807</v>
      </c>
      <c r="T18" s="41" t="s">
        <v>171</v>
      </c>
      <c r="U18" s="40">
        <v>1.8333333333333334E-4</v>
      </c>
      <c r="V18" s="42">
        <v>7360187.5991873601</v>
      </c>
      <c r="W18" s="43">
        <f t="shared" si="5"/>
        <v>-3.7367585652254185</v>
      </c>
      <c r="X18" s="43">
        <f t="shared" si="6"/>
        <v>6.8668888839371673</v>
      </c>
    </row>
    <row r="19" spans="2:24" x14ac:dyDescent="0.25">
      <c r="B19" s="41"/>
      <c r="K19" s="41" t="s">
        <v>173</v>
      </c>
      <c r="L19" s="40">
        <v>4.1666666666666675E-4</v>
      </c>
      <c r="M19" s="44">
        <v>12473465.0681617</v>
      </c>
      <c r="N19" s="43">
        <f t="shared" si="4"/>
        <v>-3.3802112417116059</v>
      </c>
      <c r="O19" s="43">
        <f t="shared" si="4"/>
        <v>7.0959871151418374</v>
      </c>
      <c r="T19" s="41" t="s">
        <v>173</v>
      </c>
      <c r="U19" s="40">
        <v>9.1666666666666668E-5</v>
      </c>
      <c r="V19" s="42">
        <v>4461684.3134431001</v>
      </c>
      <c r="W19" s="43">
        <f t="shared" si="5"/>
        <v>-4.0377885608893997</v>
      </c>
      <c r="X19" s="43">
        <f t="shared" si="6"/>
        <v>6.6494988385206906</v>
      </c>
    </row>
    <row r="20" spans="2:24" x14ac:dyDescent="0.25">
      <c r="B20" s="41"/>
      <c r="K20" s="41" t="s">
        <v>175</v>
      </c>
      <c r="L20" s="40">
        <v>4.1666666666666672E-5</v>
      </c>
      <c r="M20" s="44">
        <v>6399071.7866041604</v>
      </c>
      <c r="N20" s="40">
        <f t="shared" si="4"/>
        <v>-4.3802112417116064</v>
      </c>
      <c r="O20" s="40">
        <f t="shared" si="4"/>
        <v>6.8061169822352241</v>
      </c>
      <c r="T20" s="41" t="s">
        <v>175</v>
      </c>
      <c r="U20" s="40">
        <v>9.1666666666666664E-6</v>
      </c>
      <c r="V20" s="42">
        <v>0</v>
      </c>
      <c r="W20" s="40">
        <f t="shared" si="5"/>
        <v>-5.0377885608893997</v>
      </c>
      <c r="X20" s="40" t="e">
        <f t="shared" si="6"/>
        <v>#NUM!</v>
      </c>
    </row>
    <row r="21" spans="2:24" x14ac:dyDescent="0.25">
      <c r="B21" s="41"/>
      <c r="C21" s="42"/>
    </row>
    <row r="22" spans="2:24" x14ac:dyDescent="0.25">
      <c r="B22" s="41"/>
      <c r="C22" s="42"/>
    </row>
    <row r="23" spans="2:24" x14ac:dyDescent="0.25">
      <c r="B23" s="41"/>
      <c r="C23" s="42"/>
    </row>
    <row r="25" spans="2:24" x14ac:dyDescent="0.25">
      <c r="K25" s="40" t="s">
        <v>178</v>
      </c>
      <c r="L25" s="40" t="s">
        <v>112</v>
      </c>
      <c r="M25" s="40" t="s">
        <v>84</v>
      </c>
      <c r="N25" s="40" t="s">
        <v>162</v>
      </c>
      <c r="O25" s="40" t="s">
        <v>162</v>
      </c>
    </row>
    <row r="26" spans="2:24" x14ac:dyDescent="0.25">
      <c r="K26" s="41" t="s">
        <v>163</v>
      </c>
      <c r="L26" s="40">
        <v>7.4500000000000011</v>
      </c>
      <c r="M26" s="42">
        <v>66329466057.126099</v>
      </c>
      <c r="N26" s="40">
        <f>LOG10(L26)</f>
        <v>0.87215627274829288</v>
      </c>
      <c r="O26" s="40">
        <f>LOG10(M26)</f>
        <v>10.821706501302943</v>
      </c>
    </row>
    <row r="27" spans="2:24" x14ac:dyDescent="0.25">
      <c r="B27" s="40" t="s">
        <v>179</v>
      </c>
      <c r="C27" s="40" t="s">
        <v>112</v>
      </c>
      <c r="D27" s="40" t="s">
        <v>112</v>
      </c>
      <c r="E27" s="40" t="s">
        <v>84</v>
      </c>
      <c r="F27" s="40" t="s">
        <v>162</v>
      </c>
      <c r="G27" s="40" t="s">
        <v>162</v>
      </c>
      <c r="K27" s="41" t="s">
        <v>165</v>
      </c>
      <c r="L27" s="40">
        <v>0.74500000000000011</v>
      </c>
      <c r="M27" s="42">
        <v>28081514307.317101</v>
      </c>
      <c r="N27" s="40">
        <f t="shared" ref="N27:O32" si="7">LOG10(L27)</f>
        <v>-0.12784372725170709</v>
      </c>
      <c r="O27" s="40">
        <f t="shared" si="7"/>
        <v>10.448420523599479</v>
      </c>
    </row>
    <row r="28" spans="2:24" x14ac:dyDescent="0.25">
      <c r="B28" s="41" t="s">
        <v>164</v>
      </c>
      <c r="C28" s="40">
        <v>0.63157894736842113</v>
      </c>
      <c r="D28" s="40">
        <v>1.2631578947368423</v>
      </c>
      <c r="E28" s="42" t="s">
        <v>116</v>
      </c>
      <c r="F28" s="40">
        <f>LOG10(D28)</f>
        <v>0.10145764075877711</v>
      </c>
      <c r="G28" s="40" t="e">
        <f>LOG10(E28)</f>
        <v>#VALUE!</v>
      </c>
      <c r="K28" s="41" t="s">
        <v>167</v>
      </c>
      <c r="L28" s="40">
        <v>7.4500000000000011E-2</v>
      </c>
      <c r="M28" s="42">
        <v>8942489541.0621796</v>
      </c>
      <c r="N28" s="43">
        <f t="shared" si="7"/>
        <v>-1.127843727251707</v>
      </c>
      <c r="O28" s="43">
        <f t="shared" si="7"/>
        <v>9.9514584408800921</v>
      </c>
    </row>
    <row r="29" spans="2:24" x14ac:dyDescent="0.25">
      <c r="B29" s="41" t="s">
        <v>166</v>
      </c>
      <c r="C29" s="40">
        <v>0.12631578947368421</v>
      </c>
      <c r="D29" s="40">
        <v>0.25263157894736843</v>
      </c>
      <c r="E29" s="42">
        <v>42285664142.409103</v>
      </c>
      <c r="F29" s="40">
        <f>LOG10(D29)</f>
        <v>-0.59751236357724169</v>
      </c>
      <c r="G29" s="40">
        <f>LOG10(E29)</f>
        <v>10.626193156048684</v>
      </c>
      <c r="K29" s="41" t="s">
        <v>169</v>
      </c>
      <c r="L29" s="40">
        <v>7.4500000000000009E-3</v>
      </c>
      <c r="M29" s="42">
        <v>1432770104.2058201</v>
      </c>
      <c r="N29" s="43">
        <f t="shared" si="7"/>
        <v>-2.1278437272517072</v>
      </c>
      <c r="O29" s="43">
        <f t="shared" si="7"/>
        <v>9.1561765110641051</v>
      </c>
    </row>
    <row r="30" spans="2:24" x14ac:dyDescent="0.25">
      <c r="B30" s="41" t="s">
        <v>168</v>
      </c>
      <c r="C30" s="40">
        <v>6.3157894736842107E-2</v>
      </c>
      <c r="D30" s="40">
        <v>0.12631578947368421</v>
      </c>
      <c r="E30" s="42">
        <v>37960425530.369202</v>
      </c>
      <c r="F30" s="40">
        <f t="shared" ref="F30:F35" si="8">LOG10(D30)</f>
        <v>-0.89854235924122294</v>
      </c>
      <c r="G30" s="40">
        <f t="shared" ref="G30:G35" si="9">LOG10(E30)</f>
        <v>10.579331072155028</v>
      </c>
      <c r="K30" s="41" t="s">
        <v>171</v>
      </c>
      <c r="L30" s="40">
        <v>1.4900000000000002E-3</v>
      </c>
      <c r="M30" s="42">
        <v>294768901.23066002</v>
      </c>
      <c r="N30" s="43">
        <f t="shared" si="7"/>
        <v>-2.826813731587726</v>
      </c>
      <c r="O30" s="43">
        <f t="shared" si="7"/>
        <v>8.4694816625779534</v>
      </c>
    </row>
    <row r="31" spans="2:24" x14ac:dyDescent="0.25">
      <c r="B31" s="41" t="s">
        <v>170</v>
      </c>
      <c r="C31" s="40">
        <v>1.2631578947368421E-2</v>
      </c>
      <c r="D31" s="40">
        <v>2.5263157894736842E-2</v>
      </c>
      <c r="E31" s="42">
        <v>16094744566.233101</v>
      </c>
      <c r="F31" s="43">
        <f t="shared" si="8"/>
        <v>-1.5975123635772417</v>
      </c>
      <c r="G31" s="43">
        <f t="shared" si="9"/>
        <v>10.206684088548458</v>
      </c>
      <c r="K31" s="41" t="s">
        <v>173</v>
      </c>
      <c r="L31" s="40">
        <v>7.4500000000000011E-4</v>
      </c>
      <c r="M31" s="42">
        <v>163655453.85745701</v>
      </c>
      <c r="N31" s="43">
        <f t="shared" si="7"/>
        <v>-3.1278437272517072</v>
      </c>
      <c r="O31" s="43">
        <f t="shared" si="7"/>
        <v>8.2139304828535042</v>
      </c>
    </row>
    <row r="32" spans="2:24" x14ac:dyDescent="0.25">
      <c r="B32" s="41" t="s">
        <v>172</v>
      </c>
      <c r="C32" s="40">
        <v>6.3157894736842104E-3</v>
      </c>
      <c r="D32" s="40">
        <v>1.2631578947368421E-2</v>
      </c>
      <c r="E32" s="42">
        <v>9375159567.4292393</v>
      </c>
      <c r="F32" s="43">
        <f t="shared" si="8"/>
        <v>-1.8985423592412229</v>
      </c>
      <c r="G32" s="43">
        <f t="shared" si="9"/>
        <v>9.9719786682572771</v>
      </c>
      <c r="K32" s="41" t="s">
        <v>175</v>
      </c>
      <c r="L32" s="40">
        <v>7.4500000000000008E-5</v>
      </c>
      <c r="M32" s="42">
        <v>15567823.0063699</v>
      </c>
      <c r="N32" s="43">
        <f t="shared" si="7"/>
        <v>-4.1278437272517072</v>
      </c>
      <c r="O32" s="43">
        <f t="shared" si="7"/>
        <v>7.1922278853732848</v>
      </c>
    </row>
    <row r="33" spans="2:15" x14ac:dyDescent="0.25">
      <c r="B33" s="41" t="s">
        <v>174</v>
      </c>
      <c r="C33" s="40">
        <v>6.3157894736842106E-4</v>
      </c>
      <c r="D33" s="40">
        <v>1.2631578947368421E-3</v>
      </c>
      <c r="E33" s="42">
        <v>799062600.30323505</v>
      </c>
      <c r="F33" s="43">
        <f t="shared" si="8"/>
        <v>-2.8985423592412229</v>
      </c>
      <c r="G33" s="43">
        <f t="shared" si="9"/>
        <v>8.9025808042217385</v>
      </c>
    </row>
    <row r="34" spans="2:15" x14ac:dyDescent="0.25">
      <c r="B34" s="41" t="s">
        <v>176</v>
      </c>
      <c r="C34" s="40">
        <v>6.3157894736842103E-5</v>
      </c>
      <c r="D34" s="40">
        <v>1.2631578947368421E-4</v>
      </c>
      <c r="E34" s="42">
        <v>59435832.784829497</v>
      </c>
      <c r="F34" s="43">
        <f t="shared" si="8"/>
        <v>-3.8985423592412229</v>
      </c>
      <c r="G34" s="43">
        <f t="shared" si="9"/>
        <v>7.7740483521994062</v>
      </c>
    </row>
    <row r="35" spans="2:15" x14ac:dyDescent="0.25">
      <c r="B35" s="41" t="s">
        <v>177</v>
      </c>
      <c r="C35" s="40">
        <v>6.3157894736842103E-6</v>
      </c>
      <c r="D35" s="40">
        <v>1.2631578947368421E-5</v>
      </c>
      <c r="E35" s="42">
        <v>5291642.1516975798</v>
      </c>
      <c r="F35" s="43">
        <f t="shared" si="8"/>
        <v>-4.8985423592412234</v>
      </c>
      <c r="G35" s="43">
        <f t="shared" si="9"/>
        <v>6.7235904672619018</v>
      </c>
    </row>
    <row r="37" spans="2:15" x14ac:dyDescent="0.25">
      <c r="K37" s="40" t="s">
        <v>117</v>
      </c>
      <c r="L37" s="40" t="s">
        <v>112</v>
      </c>
      <c r="M37" s="40" t="s">
        <v>84</v>
      </c>
      <c r="N37" s="40" t="s">
        <v>162</v>
      </c>
      <c r="O37" s="40" t="s">
        <v>162</v>
      </c>
    </row>
    <row r="38" spans="2:15" x14ac:dyDescent="0.25">
      <c r="K38" s="41" t="s">
        <v>163</v>
      </c>
      <c r="L38" s="57">
        <v>7.4500000000000011</v>
      </c>
      <c r="M38" s="40">
        <v>24348198322.398899</v>
      </c>
      <c r="N38" s="40">
        <f>LOG10(L38)</f>
        <v>0.87215627274829288</v>
      </c>
      <c r="O38" s="40">
        <f>LOG10(M38)</f>
        <v>10.386466830536724</v>
      </c>
    </row>
    <row r="39" spans="2:15" x14ac:dyDescent="0.25">
      <c r="K39" s="41" t="s">
        <v>165</v>
      </c>
      <c r="L39" s="57">
        <v>0.74500000000000011</v>
      </c>
      <c r="M39" s="40">
        <v>4195688797.5425901</v>
      </c>
      <c r="N39" s="43">
        <f>LOG10(L39)</f>
        <v>-0.12784372725170709</v>
      </c>
      <c r="O39" s="43">
        <f t="shared" ref="N39:O44" si="10">LOG10(M39)</f>
        <v>9.622803268243592</v>
      </c>
    </row>
    <row r="40" spans="2:15" x14ac:dyDescent="0.25">
      <c r="B40" s="40" t="s">
        <v>50</v>
      </c>
      <c r="C40" s="40" t="s">
        <v>112</v>
      </c>
      <c r="D40" s="40" t="s">
        <v>84</v>
      </c>
      <c r="E40" s="40" t="s">
        <v>162</v>
      </c>
      <c r="F40" s="40" t="s">
        <v>162</v>
      </c>
      <c r="K40" s="41" t="s">
        <v>167</v>
      </c>
      <c r="L40" s="57">
        <v>7.4500000000000011E-2</v>
      </c>
      <c r="M40" s="40">
        <v>496982900.97660899</v>
      </c>
      <c r="N40" s="43">
        <f t="shared" si="10"/>
        <v>-1.127843727251707</v>
      </c>
      <c r="O40" s="43">
        <f t="shared" si="10"/>
        <v>8.6963414468032489</v>
      </c>
    </row>
    <row r="41" spans="2:15" x14ac:dyDescent="0.25">
      <c r="B41" s="41" t="s">
        <v>164</v>
      </c>
      <c r="C41" s="40">
        <v>0.2105263157894737</v>
      </c>
      <c r="D41" s="42">
        <v>36496303084.4925</v>
      </c>
      <c r="E41" s="40">
        <f>LOG10(C41)</f>
        <v>-0.67669360962486658</v>
      </c>
      <c r="F41" s="40">
        <f>LOG10(D41)</f>
        <v>10.562248874557302</v>
      </c>
      <c r="K41" s="41" t="s">
        <v>169</v>
      </c>
      <c r="L41" s="57">
        <v>7.4500000000000009E-3</v>
      </c>
      <c r="M41" s="40">
        <v>31094359.092067301</v>
      </c>
      <c r="N41" s="43">
        <f t="shared" si="10"/>
        <v>-2.1278437272517072</v>
      </c>
      <c r="O41" s="43">
        <f t="shared" si="10"/>
        <v>7.4926816096895932</v>
      </c>
    </row>
    <row r="42" spans="2:15" x14ac:dyDescent="0.25">
      <c r="B42" s="41" t="s">
        <v>166</v>
      </c>
      <c r="C42" s="40">
        <v>4.2105263157894743E-2</v>
      </c>
      <c r="D42" s="42">
        <v>16605828057.453899</v>
      </c>
      <c r="E42" s="43">
        <f t="shared" ref="E42:E48" si="11">LOG10(C42)</f>
        <v>-1.3756636139608853</v>
      </c>
      <c r="F42" s="43">
        <f t="shared" ref="F42:F48" si="12">LOG10(D42)</f>
        <v>10.220260536773697</v>
      </c>
      <c r="K42" s="41" t="s">
        <v>171</v>
      </c>
      <c r="L42" s="57">
        <v>1.4900000000000002E-3</v>
      </c>
      <c r="M42" s="40">
        <v>2656417.3154096999</v>
      </c>
      <c r="N42" s="43">
        <f t="shared" si="10"/>
        <v>-2.826813731587726</v>
      </c>
      <c r="O42" s="43">
        <f t="shared" si="10"/>
        <v>6.4242963024516042</v>
      </c>
    </row>
    <row r="43" spans="2:15" x14ac:dyDescent="0.25">
      <c r="B43" s="41" t="s">
        <v>168</v>
      </c>
      <c r="C43" s="40">
        <v>2.1052631578947371E-2</v>
      </c>
      <c r="D43" s="42">
        <v>10662571075.225901</v>
      </c>
      <c r="E43" s="43">
        <f t="shared" si="11"/>
        <v>-1.6766936096248666</v>
      </c>
      <c r="F43" s="43">
        <f t="shared" si="12"/>
        <v>10.027861939132253</v>
      </c>
      <c r="K43" s="41" t="s">
        <v>173</v>
      </c>
      <c r="L43" s="57">
        <v>7.4500000000000011E-4</v>
      </c>
      <c r="M43" s="40">
        <v>1248450.33653615</v>
      </c>
      <c r="N43" s="43">
        <f t="shared" si="10"/>
        <v>-3.1278437272517072</v>
      </c>
      <c r="O43" s="43">
        <f t="shared" si="10"/>
        <v>6.0963712707584143</v>
      </c>
    </row>
    <row r="44" spans="2:15" x14ac:dyDescent="0.25">
      <c r="B44" s="41" t="s">
        <v>170</v>
      </c>
      <c r="C44" s="40">
        <v>4.2105263157894745E-3</v>
      </c>
      <c r="D44" s="42">
        <v>3861668981.8804798</v>
      </c>
      <c r="E44" s="43">
        <f t="shared" si="11"/>
        <v>-2.3756636139608851</v>
      </c>
      <c r="F44" s="43">
        <f t="shared" si="12"/>
        <v>9.5867750437820636</v>
      </c>
      <c r="K44" s="41" t="s">
        <v>175</v>
      </c>
      <c r="L44" s="57">
        <v>7.4500000000000008E-5</v>
      </c>
      <c r="M44" s="40">
        <v>0</v>
      </c>
      <c r="N44" s="40">
        <f t="shared" si="10"/>
        <v>-4.1278437272517072</v>
      </c>
      <c r="O44" s="40" t="e">
        <f t="shared" si="10"/>
        <v>#NUM!</v>
      </c>
    </row>
    <row r="45" spans="2:15" x14ac:dyDescent="0.25">
      <c r="B45" s="41" t="s">
        <v>172</v>
      </c>
      <c r="C45" s="40">
        <v>2.1052631578947372E-3</v>
      </c>
      <c r="D45" s="42">
        <v>2159825383.7122202</v>
      </c>
      <c r="E45" s="43">
        <f t="shared" si="11"/>
        <v>-2.6766936096248664</v>
      </c>
      <c r="F45" s="43">
        <f t="shared" si="12"/>
        <v>9.3344186409862644</v>
      </c>
    </row>
    <row r="46" spans="2:15" x14ac:dyDescent="0.25">
      <c r="B46" s="41" t="s">
        <v>174</v>
      </c>
      <c r="C46" s="40">
        <v>2.1052631578947372E-4</v>
      </c>
      <c r="D46" s="42">
        <v>235407513.07610199</v>
      </c>
      <c r="E46" s="43">
        <f t="shared" si="11"/>
        <v>-3.6766936096248664</v>
      </c>
      <c r="F46" s="43">
        <f t="shared" si="12"/>
        <v>8.3718203193206051</v>
      </c>
    </row>
    <row r="47" spans="2:15" x14ac:dyDescent="0.25">
      <c r="B47" s="41" t="s">
        <v>176</v>
      </c>
      <c r="C47" s="40">
        <v>2.1052631578947372E-5</v>
      </c>
      <c r="D47" s="42">
        <v>41957497.6750907</v>
      </c>
      <c r="E47" s="43">
        <f t="shared" si="11"/>
        <v>-4.6766936096248664</v>
      </c>
      <c r="F47" s="43">
        <f t="shared" si="12"/>
        <v>7.6228095791805792</v>
      </c>
    </row>
    <row r="48" spans="2:15" x14ac:dyDescent="0.25">
      <c r="B48" s="41" t="s">
        <v>177</v>
      </c>
      <c r="C48" s="40">
        <v>2.1052631578947371E-6</v>
      </c>
      <c r="D48" s="40" t="s">
        <v>116</v>
      </c>
      <c r="E48" s="40">
        <f t="shared" si="11"/>
        <v>-5.6766936096248664</v>
      </c>
      <c r="F48" s="40" t="e">
        <f t="shared" si="12"/>
        <v>#VALUE!</v>
      </c>
    </row>
    <row r="49" spans="2:15" x14ac:dyDescent="0.25">
      <c r="K49" s="40" t="s">
        <v>46</v>
      </c>
      <c r="L49" s="40" t="s">
        <v>112</v>
      </c>
      <c r="M49" s="40" t="s">
        <v>84</v>
      </c>
      <c r="N49" s="40" t="s">
        <v>162</v>
      </c>
      <c r="O49" s="40" t="s">
        <v>162</v>
      </c>
    </row>
    <row r="50" spans="2:15" x14ac:dyDescent="0.25">
      <c r="K50" s="40" t="s">
        <v>163</v>
      </c>
      <c r="L50" s="56">
        <v>7.4500000000000011</v>
      </c>
      <c r="M50" s="40">
        <v>22341353612.387199</v>
      </c>
      <c r="N50" s="40">
        <f>LOG10(L50)</f>
        <v>0.87215627274829288</v>
      </c>
      <c r="O50" s="40">
        <f>LOG10(M50)</f>
        <v>10.349109482503014</v>
      </c>
    </row>
    <row r="51" spans="2:15" x14ac:dyDescent="0.25">
      <c r="K51" s="40" t="s">
        <v>165</v>
      </c>
      <c r="L51" s="56">
        <v>0.74500000000000011</v>
      </c>
      <c r="M51" s="40">
        <v>4839030524.3949604</v>
      </c>
      <c r="N51" s="40">
        <f t="shared" ref="N51:O56" si="13">LOG10(L51)</f>
        <v>-0.12784372725170709</v>
      </c>
      <c r="O51" s="40">
        <f t="shared" si="13"/>
        <v>9.6847583616280453</v>
      </c>
    </row>
    <row r="52" spans="2:15" x14ac:dyDescent="0.25">
      <c r="K52" s="40" t="s">
        <v>167</v>
      </c>
      <c r="L52" s="56">
        <v>7.4500000000000011E-2</v>
      </c>
      <c r="M52" s="40">
        <v>571757535.22044301</v>
      </c>
      <c r="N52" s="40">
        <f t="shared" si="13"/>
        <v>-1.127843727251707</v>
      </c>
      <c r="O52" s="40">
        <f t="shared" si="13"/>
        <v>8.7572118969046606</v>
      </c>
    </row>
    <row r="53" spans="2:15" x14ac:dyDescent="0.25">
      <c r="B53" s="40" t="s">
        <v>51</v>
      </c>
      <c r="C53" s="40" t="s">
        <v>112</v>
      </c>
      <c r="D53" s="40" t="s">
        <v>84</v>
      </c>
      <c r="E53" s="40" t="s">
        <v>162</v>
      </c>
      <c r="F53" s="40" t="s">
        <v>162</v>
      </c>
      <c r="K53" s="40" t="s">
        <v>169</v>
      </c>
      <c r="L53" s="56">
        <v>7.4500000000000009E-3</v>
      </c>
      <c r="M53" s="40">
        <v>68334023.109454095</v>
      </c>
      <c r="N53" s="40">
        <f t="shared" si="13"/>
        <v>-2.1278437272517072</v>
      </c>
      <c r="O53" s="40">
        <f t="shared" si="13"/>
        <v>7.834636990206107</v>
      </c>
    </row>
    <row r="54" spans="2:15" x14ac:dyDescent="0.25">
      <c r="B54" s="41" t="s">
        <v>164</v>
      </c>
      <c r="C54" s="40">
        <v>0.4210526315789474</v>
      </c>
      <c r="D54" s="40">
        <v>0</v>
      </c>
      <c r="E54" s="40">
        <f>LOG10(C54)</f>
        <v>-0.37566361396088532</v>
      </c>
      <c r="F54" s="40" t="e">
        <f>LOG10(D54)</f>
        <v>#NUM!</v>
      </c>
      <c r="K54" s="40" t="s">
        <v>171</v>
      </c>
      <c r="L54" s="56">
        <v>1.4900000000000002E-3</v>
      </c>
      <c r="M54" s="40">
        <v>12990179.693380401</v>
      </c>
      <c r="N54" s="40">
        <f t="shared" si="13"/>
        <v>-2.826813731587726</v>
      </c>
      <c r="O54" s="40">
        <f t="shared" si="13"/>
        <v>7.1136151587176606</v>
      </c>
    </row>
    <row r="55" spans="2:15" x14ac:dyDescent="0.25">
      <c r="B55" s="41" t="s">
        <v>166</v>
      </c>
      <c r="C55" s="40">
        <v>8.4210526315789486E-2</v>
      </c>
      <c r="D55" s="40">
        <v>25874817552.799099</v>
      </c>
      <c r="E55" s="40">
        <f t="shared" ref="E55:E61" si="14">LOG10(C55)</f>
        <v>-1.0746336182969041</v>
      </c>
      <c r="F55" s="40">
        <f t="shared" ref="F55:F61" si="15">LOG10(D55)</f>
        <v>10.412877296200552</v>
      </c>
      <c r="K55" s="40" t="s">
        <v>173</v>
      </c>
      <c r="L55" s="56">
        <v>7.4500000000000011E-4</v>
      </c>
      <c r="M55" s="40">
        <v>8414703.5020458102</v>
      </c>
      <c r="N55" s="40">
        <f t="shared" si="13"/>
        <v>-3.1278437272517072</v>
      </c>
      <c r="O55" s="40">
        <f t="shared" si="13"/>
        <v>6.9250388179120828</v>
      </c>
    </row>
    <row r="56" spans="2:15" x14ac:dyDescent="0.25">
      <c r="B56" s="41" t="s">
        <v>168</v>
      </c>
      <c r="C56" s="40">
        <v>4.2105263157894743E-2</v>
      </c>
      <c r="D56" s="40">
        <v>19653979331.546101</v>
      </c>
      <c r="E56" s="43">
        <f t="shared" si="14"/>
        <v>-1.3756636139608853</v>
      </c>
      <c r="F56" s="43">
        <f t="shared" si="15"/>
        <v>10.293450495004894</v>
      </c>
      <c r="K56" s="40" t="s">
        <v>175</v>
      </c>
      <c r="L56" s="56">
        <v>7.4500000000000008E-5</v>
      </c>
      <c r="M56" s="40">
        <v>881313.94373050705</v>
      </c>
      <c r="N56" s="40">
        <f t="shared" si="13"/>
        <v>-4.1278437272517072</v>
      </c>
      <c r="O56" s="40">
        <f t="shared" si="13"/>
        <v>5.9451306413774363</v>
      </c>
    </row>
    <row r="57" spans="2:15" x14ac:dyDescent="0.25">
      <c r="B57" s="41" t="s">
        <v>170</v>
      </c>
      <c r="C57" s="40">
        <v>8.4210526315789489E-3</v>
      </c>
      <c r="D57" s="40">
        <v>8499131838.6210299</v>
      </c>
      <c r="E57" s="43">
        <f t="shared" si="14"/>
        <v>-2.0746336182969043</v>
      </c>
      <c r="F57" s="43">
        <f t="shared" si="15"/>
        <v>9.9293745660728483</v>
      </c>
    </row>
    <row r="58" spans="2:15" x14ac:dyDescent="0.25">
      <c r="B58" s="41" t="s">
        <v>172</v>
      </c>
      <c r="C58" s="40">
        <v>4.2105263157894745E-3</v>
      </c>
      <c r="D58" s="40">
        <v>5109557033.6921101</v>
      </c>
      <c r="E58" s="43">
        <f t="shared" si="14"/>
        <v>-2.3756636139608851</v>
      </c>
      <c r="F58" s="43">
        <f t="shared" si="15"/>
        <v>9.7083832511793471</v>
      </c>
    </row>
    <row r="59" spans="2:15" x14ac:dyDescent="0.25">
      <c r="B59" s="41" t="s">
        <v>174</v>
      </c>
      <c r="C59" s="40">
        <v>4.2105263157894745E-4</v>
      </c>
      <c r="D59" s="40">
        <v>449607896.59462798</v>
      </c>
      <c r="E59" s="43">
        <f t="shared" si="14"/>
        <v>-3.3756636139608851</v>
      </c>
      <c r="F59" s="43">
        <f t="shared" si="15"/>
        <v>8.6528339302686472</v>
      </c>
    </row>
    <row r="60" spans="2:15" x14ac:dyDescent="0.25">
      <c r="B60" s="41" t="s">
        <v>176</v>
      </c>
      <c r="C60" s="40">
        <v>4.2105263157894745E-5</v>
      </c>
      <c r="D60" s="40">
        <v>35712897.663558803</v>
      </c>
      <c r="E60" s="43">
        <f t="shared" si="14"/>
        <v>-4.3756636139608851</v>
      </c>
      <c r="F60" s="43">
        <f t="shared" si="15"/>
        <v>7.5528250892921704</v>
      </c>
      <c r="K60" s="40" t="s">
        <v>42</v>
      </c>
      <c r="L60" s="40" t="s">
        <v>112</v>
      </c>
      <c r="M60" s="40" t="s">
        <v>84</v>
      </c>
      <c r="N60" s="40" t="s">
        <v>162</v>
      </c>
      <c r="O60" s="40" t="s">
        <v>162</v>
      </c>
    </row>
    <row r="61" spans="2:15" x14ac:dyDescent="0.25">
      <c r="B61" s="41" t="s">
        <v>177</v>
      </c>
      <c r="C61" s="40">
        <v>4.2105263157894741E-6</v>
      </c>
      <c r="D61" s="40">
        <v>2873709.5964053702</v>
      </c>
      <c r="E61" s="43">
        <f t="shared" si="14"/>
        <v>-5.3756636139608851</v>
      </c>
      <c r="F61" s="43">
        <f t="shared" si="15"/>
        <v>6.458442878255048</v>
      </c>
      <c r="K61" s="40" t="s">
        <v>163</v>
      </c>
      <c r="L61" s="40">
        <v>1.925</v>
      </c>
      <c r="M61" s="40">
        <v>258354292701.34698</v>
      </c>
      <c r="N61" s="40">
        <f>LOG10(L61)</f>
        <v>0.2844307338445195</v>
      </c>
      <c r="O61" s="40">
        <f>LOG10(M61)</f>
        <v>11.412215681987812</v>
      </c>
    </row>
    <row r="62" spans="2:15" x14ac:dyDescent="0.25">
      <c r="K62" s="40" t="s">
        <v>165</v>
      </c>
      <c r="L62" s="40">
        <v>0.1925</v>
      </c>
      <c r="M62" s="40">
        <v>75214698960.478104</v>
      </c>
      <c r="N62" s="40">
        <f t="shared" ref="N62:O67" si="16">LOG10(L62)</f>
        <v>-0.71556926615548055</v>
      </c>
      <c r="O62" s="40">
        <f t="shared" si="16"/>
        <v>10.876302721623746</v>
      </c>
    </row>
    <row r="63" spans="2:15" x14ac:dyDescent="0.25">
      <c r="K63" s="40" t="s">
        <v>167</v>
      </c>
      <c r="L63" s="40">
        <v>1.925E-2</v>
      </c>
      <c r="M63" s="40">
        <v>16970770709.745701</v>
      </c>
      <c r="N63" s="40">
        <f t="shared" si="16"/>
        <v>-1.7155692661554804</v>
      </c>
      <c r="O63" s="40">
        <f t="shared" si="16"/>
        <v>10.229701565793764</v>
      </c>
    </row>
    <row r="64" spans="2:15" x14ac:dyDescent="0.25">
      <c r="K64" s="40" t="s">
        <v>169</v>
      </c>
      <c r="L64" s="40">
        <v>1.9250000000000001E-3</v>
      </c>
      <c r="M64" s="40">
        <v>1837947613.7405</v>
      </c>
      <c r="N64" s="40">
        <f t="shared" si="16"/>
        <v>-2.7155692661554807</v>
      </c>
      <c r="O64" s="40">
        <f t="shared" si="16"/>
        <v>9.2643331287107795</v>
      </c>
    </row>
    <row r="65" spans="2:15" x14ac:dyDescent="0.25">
      <c r="K65" s="40" t="s">
        <v>171</v>
      </c>
      <c r="L65" s="40">
        <v>3.8500000000000003E-4</v>
      </c>
      <c r="M65" s="40">
        <v>300365687.00554699</v>
      </c>
      <c r="N65" s="40">
        <f t="shared" si="16"/>
        <v>-3.4145392704914994</v>
      </c>
      <c r="O65" s="40">
        <f t="shared" si="16"/>
        <v>8.4776503184942626</v>
      </c>
    </row>
    <row r="66" spans="2:15" x14ac:dyDescent="0.25">
      <c r="B66" s="40" t="s">
        <v>48</v>
      </c>
      <c r="C66" s="40" t="s">
        <v>112</v>
      </c>
      <c r="D66" s="40" t="s">
        <v>84</v>
      </c>
      <c r="E66" s="40" t="s">
        <v>162</v>
      </c>
      <c r="F66" s="40" t="s">
        <v>162</v>
      </c>
      <c r="K66" s="40" t="s">
        <v>173</v>
      </c>
      <c r="L66" s="40">
        <v>1.9250000000000002E-4</v>
      </c>
      <c r="M66" s="40">
        <v>167396637.116741</v>
      </c>
      <c r="N66" s="40">
        <f t="shared" si="16"/>
        <v>-3.7155692661554807</v>
      </c>
      <c r="O66" s="40">
        <f t="shared" si="16"/>
        <v>8.2237467290675603</v>
      </c>
    </row>
    <row r="67" spans="2:15" x14ac:dyDescent="0.25">
      <c r="B67" s="41" t="s">
        <v>164</v>
      </c>
      <c r="C67" s="40">
        <v>0.2105263157894737</v>
      </c>
      <c r="D67" s="40">
        <v>7298154378.5800505</v>
      </c>
      <c r="E67" s="40">
        <f>LOG10(C67)</f>
        <v>-0.67669360962486658</v>
      </c>
      <c r="F67" s="40">
        <f>LOG10(D67)</f>
        <v>9.8632130457998439</v>
      </c>
      <c r="K67" s="40" t="s">
        <v>175</v>
      </c>
      <c r="L67" s="40">
        <v>1.925E-5</v>
      </c>
      <c r="M67" s="40">
        <v>13788470.5153508</v>
      </c>
      <c r="N67" s="40">
        <f t="shared" si="16"/>
        <v>-4.7155692661554802</v>
      </c>
      <c r="O67" s="40">
        <f t="shared" si="16"/>
        <v>7.13951609477754</v>
      </c>
    </row>
    <row r="68" spans="2:15" x14ac:dyDescent="0.25">
      <c r="B68" s="41" t="s">
        <v>166</v>
      </c>
      <c r="C68" s="40">
        <v>4.2105263157894743E-2</v>
      </c>
      <c r="D68" s="40">
        <v>10063094195.177799</v>
      </c>
      <c r="E68" s="43">
        <f t="shared" ref="E68:E74" si="17">LOG10(C68)</f>
        <v>-1.3756636139608853</v>
      </c>
      <c r="F68" s="43">
        <f t="shared" ref="F68:F74" si="18">LOG10(D68)</f>
        <v>10.002731537904426</v>
      </c>
    </row>
    <row r="69" spans="2:15" x14ac:dyDescent="0.25">
      <c r="B69" s="41" t="s">
        <v>168</v>
      </c>
      <c r="C69" s="40">
        <v>2.1052631578947371E-2</v>
      </c>
      <c r="D69" s="40">
        <v>6879468314.0909996</v>
      </c>
      <c r="E69" s="43">
        <f t="shared" si="17"/>
        <v>-1.6766936096248666</v>
      </c>
      <c r="F69" s="43">
        <f t="shared" si="18"/>
        <v>9.8375548746920334</v>
      </c>
    </row>
    <row r="70" spans="2:15" x14ac:dyDescent="0.25">
      <c r="B70" s="41" t="s">
        <v>170</v>
      </c>
      <c r="C70" s="40">
        <v>4.2105263157894745E-3</v>
      </c>
      <c r="D70" s="40">
        <v>2281204988.2877002</v>
      </c>
      <c r="E70" s="43">
        <f t="shared" si="17"/>
        <v>-2.3756636139608851</v>
      </c>
      <c r="F70" s="43">
        <f t="shared" si="18"/>
        <v>9.3581643125814242</v>
      </c>
    </row>
    <row r="71" spans="2:15" x14ac:dyDescent="0.25">
      <c r="B71" s="41" t="s">
        <v>172</v>
      </c>
      <c r="C71" s="40">
        <v>2.1052631578947372E-3</v>
      </c>
      <c r="D71" s="40">
        <v>1249010144.7920101</v>
      </c>
      <c r="E71" s="43">
        <f t="shared" si="17"/>
        <v>-2.6766936096248664</v>
      </c>
      <c r="F71" s="43">
        <f t="shared" si="18"/>
        <v>9.0965659658435492</v>
      </c>
    </row>
    <row r="72" spans="2:15" x14ac:dyDescent="0.25">
      <c r="B72" s="41" t="s">
        <v>174</v>
      </c>
      <c r="C72" s="40">
        <v>2.1052631578947372E-4</v>
      </c>
      <c r="D72" s="40">
        <v>75498473.938069895</v>
      </c>
      <c r="E72" s="43">
        <f t="shared" si="17"/>
        <v>-3.6766936096248664</v>
      </c>
      <c r="F72" s="43">
        <f t="shared" si="18"/>
        <v>7.8779381732586788</v>
      </c>
      <c r="K72" s="40" t="s">
        <v>31</v>
      </c>
      <c r="L72" s="40" t="s">
        <v>112</v>
      </c>
      <c r="M72" s="40" t="s">
        <v>84</v>
      </c>
      <c r="N72" s="40" t="s">
        <v>162</v>
      </c>
      <c r="O72" s="40" t="s">
        <v>162</v>
      </c>
    </row>
    <row r="73" spans="2:15" x14ac:dyDescent="0.25">
      <c r="B73" s="41" t="s">
        <v>176</v>
      </c>
      <c r="C73" s="40">
        <v>2.1052631578947372E-5</v>
      </c>
      <c r="D73" s="40">
        <v>5593984.8585212696</v>
      </c>
      <c r="E73" s="43">
        <f t="shared" si="17"/>
        <v>-4.6766936096248664</v>
      </c>
      <c r="F73" s="43">
        <f t="shared" si="18"/>
        <v>6.7477212865135989</v>
      </c>
      <c r="K73" s="41" t="s">
        <v>163</v>
      </c>
      <c r="L73" s="40">
        <v>2.6</v>
      </c>
      <c r="M73" s="42">
        <v>266074617905.22</v>
      </c>
      <c r="N73" s="40">
        <f>LOG10(L73)</f>
        <v>0.41497334797081797</v>
      </c>
      <c r="O73" s="40">
        <f>LOG10(M73)</f>
        <v>11.425003447157675</v>
      </c>
    </row>
    <row r="74" spans="2:15" x14ac:dyDescent="0.25">
      <c r="B74" s="41" t="s">
        <v>177</v>
      </c>
      <c r="C74" s="40">
        <v>2.1052631578947371E-6</v>
      </c>
      <c r="D74" s="40">
        <v>447581.36228213698</v>
      </c>
      <c r="E74" s="43">
        <f t="shared" si="17"/>
        <v>-5.6766936096248664</v>
      </c>
      <c r="F74" s="43">
        <f t="shared" si="18"/>
        <v>5.6508719937934275</v>
      </c>
      <c r="K74" s="41" t="s">
        <v>165</v>
      </c>
      <c r="L74" s="40">
        <v>0.26</v>
      </c>
      <c r="M74" s="42">
        <v>43892104336.164101</v>
      </c>
      <c r="N74" s="40">
        <f t="shared" ref="N74:O78" si="19">LOG10(L74)</f>
        <v>-0.58502665202918203</v>
      </c>
      <c r="O74" s="40">
        <f t="shared" si="19"/>
        <v>10.642386402892729</v>
      </c>
    </row>
    <row r="75" spans="2:15" x14ac:dyDescent="0.25">
      <c r="K75" s="41" t="s">
        <v>167</v>
      </c>
      <c r="L75" s="40">
        <v>2.6000000000000002E-2</v>
      </c>
      <c r="M75" s="42">
        <v>6546412203.7413998</v>
      </c>
      <c r="N75" s="40">
        <f t="shared" si="19"/>
        <v>-1.585026652029182</v>
      </c>
      <c r="O75" s="40">
        <f t="shared" si="19"/>
        <v>9.8160033477752453</v>
      </c>
    </row>
    <row r="76" spans="2:15" x14ac:dyDescent="0.25">
      <c r="K76" s="41" t="s">
        <v>169</v>
      </c>
      <c r="L76" s="40">
        <v>2.6000000000000003E-3</v>
      </c>
      <c r="M76" s="42">
        <v>712651592.95389795</v>
      </c>
      <c r="N76" s="40">
        <f t="shared" si="19"/>
        <v>-2.5850266520291818</v>
      </c>
      <c r="O76" s="40">
        <f t="shared" si="19"/>
        <v>8.8528772602323613</v>
      </c>
    </row>
    <row r="77" spans="2:15" x14ac:dyDescent="0.25">
      <c r="K77" s="41" t="s">
        <v>171</v>
      </c>
      <c r="L77" s="40">
        <v>5.2000000000000006E-4</v>
      </c>
      <c r="M77" s="42">
        <v>117851181.003659</v>
      </c>
      <c r="N77" s="40">
        <f t="shared" si="19"/>
        <v>-3.283996656365201</v>
      </c>
      <c r="O77" s="40">
        <f t="shared" si="19"/>
        <v>8.0713339390097047</v>
      </c>
    </row>
    <row r="78" spans="2:15" x14ac:dyDescent="0.25">
      <c r="K78" s="41" t="s">
        <v>173</v>
      </c>
      <c r="L78" s="40">
        <v>2.6000000000000003E-4</v>
      </c>
      <c r="M78" s="42">
        <v>66803243.324488498</v>
      </c>
      <c r="N78" s="40">
        <f t="shared" si="19"/>
        <v>-3.5850266520291818</v>
      </c>
      <c r="O78" s="40">
        <f t="shared" si="19"/>
        <v>7.8247975481601983</v>
      </c>
    </row>
    <row r="79" spans="2:15" x14ac:dyDescent="0.25">
      <c r="B79" s="40" t="s">
        <v>54</v>
      </c>
      <c r="C79" s="40" t="s">
        <v>112</v>
      </c>
      <c r="D79" s="40" t="s">
        <v>84</v>
      </c>
      <c r="E79" s="40" t="s">
        <v>162</v>
      </c>
      <c r="F79" s="40" t="s">
        <v>162</v>
      </c>
      <c r="K79" s="41" t="s">
        <v>175</v>
      </c>
      <c r="L79" s="40">
        <v>2.6000000000000002E-5</v>
      </c>
      <c r="M79" s="42">
        <v>5468201.3938247897</v>
      </c>
      <c r="N79" s="40">
        <f>LOG10(L79)</f>
        <v>-4.5850266520291818</v>
      </c>
      <c r="O79" s="40">
        <f>LOG10(M79)</f>
        <v>6.7378445012535249</v>
      </c>
    </row>
    <row r="80" spans="2:15" x14ac:dyDescent="0.25">
      <c r="B80" s="40" t="s">
        <v>164</v>
      </c>
      <c r="C80" s="40">
        <v>0.26315789473684209</v>
      </c>
      <c r="D80" s="40">
        <v>120688481310.133</v>
      </c>
      <c r="E80" s="40">
        <f>LOG10(C80)</f>
        <v>-0.57978359661681023</v>
      </c>
      <c r="F80" s="40">
        <f>LOG10(D80)</f>
        <v>11.081665822357801</v>
      </c>
    </row>
    <row r="81" spans="2:15" x14ac:dyDescent="0.25">
      <c r="B81" s="40" t="s">
        <v>166</v>
      </c>
      <c r="C81" s="40">
        <v>5.2631578947368418E-2</v>
      </c>
      <c r="D81" s="40">
        <v>60515846767.260498</v>
      </c>
      <c r="E81" s="40">
        <f t="shared" ref="E81:E87" si="20">LOG10(C81)</f>
        <v>-1.2787536009528291</v>
      </c>
      <c r="F81" s="40">
        <f t="shared" ref="F81:F87" si="21">LOG10(D81)</f>
        <v>10.781869114527046</v>
      </c>
    </row>
    <row r="82" spans="2:15" x14ac:dyDescent="0.25">
      <c r="B82" s="40" t="s">
        <v>168</v>
      </c>
      <c r="C82" s="40">
        <v>2.6315789473684209E-2</v>
      </c>
      <c r="D82" s="40">
        <v>46807269137.234001</v>
      </c>
      <c r="E82" s="40">
        <f t="shared" si="20"/>
        <v>-1.5797835966168101</v>
      </c>
      <c r="F82" s="40">
        <f t="shared" si="21"/>
        <v>10.670313303951056</v>
      </c>
    </row>
    <row r="83" spans="2:15" x14ac:dyDescent="0.25">
      <c r="B83" s="40" t="s">
        <v>170</v>
      </c>
      <c r="C83" s="40">
        <v>5.263157894736842E-3</v>
      </c>
      <c r="D83" s="40">
        <v>20266660221.192001</v>
      </c>
      <c r="E83" s="43">
        <f t="shared" si="20"/>
        <v>-2.2787536009528289</v>
      </c>
      <c r="F83" s="43">
        <f t="shared" si="21"/>
        <v>10.306782186432947</v>
      </c>
      <c r="K83" s="40" t="s">
        <v>180</v>
      </c>
      <c r="L83" s="40" t="s">
        <v>112</v>
      </c>
      <c r="M83" s="40" t="s">
        <v>84</v>
      </c>
      <c r="N83" s="40" t="s">
        <v>162</v>
      </c>
      <c r="O83" s="40" t="s">
        <v>162</v>
      </c>
    </row>
    <row r="84" spans="2:15" x14ac:dyDescent="0.25">
      <c r="B84" s="40" t="s">
        <v>172</v>
      </c>
      <c r="C84" s="40">
        <v>2.631578947368421E-3</v>
      </c>
      <c r="D84" s="40">
        <v>11986300025.870199</v>
      </c>
      <c r="E84" s="43">
        <f t="shared" si="20"/>
        <v>-2.5797835966168101</v>
      </c>
      <c r="F84" s="43">
        <f t="shared" si="21"/>
        <v>10.078685144205544</v>
      </c>
      <c r="K84" s="41" t="s">
        <v>163</v>
      </c>
      <c r="L84" s="40">
        <f>(19.1*0.05)/0.6</f>
        <v>1.5916666666666668</v>
      </c>
      <c r="M84" s="42">
        <v>60438952462.922401</v>
      </c>
      <c r="N84" s="40">
        <f>LOG10(L84)</f>
        <v>0.20185212120010274</v>
      </c>
      <c r="O84" s="40">
        <f>LOG10(M84)</f>
        <v>10.781316928474485</v>
      </c>
    </row>
    <row r="85" spans="2:15" x14ac:dyDescent="0.25">
      <c r="B85" s="40" t="s">
        <v>174</v>
      </c>
      <c r="C85" s="40">
        <v>2.631578947368421E-4</v>
      </c>
      <c r="D85" s="40">
        <v>1492015066.0557699</v>
      </c>
      <c r="E85" s="43">
        <f t="shared" si="20"/>
        <v>-3.5797835966168101</v>
      </c>
      <c r="F85" s="43">
        <f t="shared" si="21"/>
        <v>9.1737732085735466</v>
      </c>
      <c r="K85" s="41" t="s">
        <v>165</v>
      </c>
      <c r="L85" s="40">
        <f>L84/10</f>
        <v>0.15916666666666668</v>
      </c>
      <c r="M85" s="42">
        <v>24579175226.429401</v>
      </c>
      <c r="N85" s="40">
        <f t="shared" ref="N85:O90" si="22">LOG10(L85)</f>
        <v>-0.79814787879989724</v>
      </c>
      <c r="O85" s="40">
        <f t="shared" si="22"/>
        <v>10.390567305701769</v>
      </c>
    </row>
    <row r="86" spans="2:15" x14ac:dyDescent="0.25">
      <c r="B86" s="40" t="s">
        <v>176</v>
      </c>
      <c r="C86" s="40">
        <v>2.6315789473684209E-5</v>
      </c>
      <c r="D86" s="40">
        <v>128638944.905826</v>
      </c>
      <c r="E86" s="43">
        <f t="shared" si="20"/>
        <v>-4.5797835966168101</v>
      </c>
      <c r="F86" s="43">
        <f t="shared" si="21"/>
        <v>8.1093724693439224</v>
      </c>
      <c r="K86" s="41" t="s">
        <v>167</v>
      </c>
      <c r="L86" s="40">
        <f t="shared" ref="L86:L87" si="23">L85/10</f>
        <v>1.5916666666666669E-2</v>
      </c>
      <c r="M86" s="42">
        <v>5964386332.8483295</v>
      </c>
      <c r="N86" s="43">
        <f t="shared" si="22"/>
        <v>-1.7981478787998972</v>
      </c>
      <c r="O86" s="43">
        <f t="shared" si="22"/>
        <v>9.7755657663688496</v>
      </c>
    </row>
    <row r="87" spans="2:15" x14ac:dyDescent="0.25">
      <c r="B87" s="40" t="s">
        <v>177</v>
      </c>
      <c r="C87" s="40">
        <v>2.6315789473684207E-6</v>
      </c>
      <c r="D87" s="40">
        <v>10945943.117483201</v>
      </c>
      <c r="E87" s="43">
        <f t="shared" si="20"/>
        <v>-5.5797835966168101</v>
      </c>
      <c r="F87" s="43">
        <f t="shared" si="21"/>
        <v>7.0392531869247623</v>
      </c>
      <c r="K87" s="41" t="s">
        <v>169</v>
      </c>
      <c r="L87" s="40">
        <f t="shared" si="23"/>
        <v>1.591666666666667E-3</v>
      </c>
      <c r="M87" s="42">
        <v>685274050.51626897</v>
      </c>
      <c r="N87" s="43">
        <f t="shared" si="22"/>
        <v>-2.798147878799897</v>
      </c>
      <c r="O87" s="43">
        <f t="shared" si="22"/>
        <v>8.8358642865657284</v>
      </c>
    </row>
    <row r="88" spans="2:15" x14ac:dyDescent="0.25">
      <c r="K88" s="41" t="s">
        <v>171</v>
      </c>
      <c r="L88" s="40">
        <f>L87/5</f>
        <v>3.1833333333333339E-4</v>
      </c>
      <c r="M88" s="42">
        <v>105401889.724187</v>
      </c>
      <c r="N88" s="43">
        <f t="shared" si="22"/>
        <v>-3.4971178831359162</v>
      </c>
      <c r="O88" s="43">
        <f t="shared" si="22"/>
        <v>8.0228483973037541</v>
      </c>
    </row>
    <row r="89" spans="2:15" x14ac:dyDescent="0.25">
      <c r="K89" s="41" t="s">
        <v>173</v>
      </c>
      <c r="L89" s="40">
        <f>L87/10</f>
        <v>1.591666666666667E-4</v>
      </c>
      <c r="M89" s="42">
        <v>60557503.100281499</v>
      </c>
      <c r="N89" s="43">
        <f t="shared" si="22"/>
        <v>-3.798147878799897</v>
      </c>
      <c r="O89" s="43">
        <f t="shared" si="22"/>
        <v>7.7821679600830826</v>
      </c>
    </row>
    <row r="90" spans="2:15" x14ac:dyDescent="0.25">
      <c r="B90" s="40" t="s">
        <v>52</v>
      </c>
      <c r="C90" s="40" t="s">
        <v>112</v>
      </c>
      <c r="D90" s="40" t="s">
        <v>84</v>
      </c>
      <c r="E90" s="40" t="s">
        <v>162</v>
      </c>
      <c r="F90" s="40" t="s">
        <v>162</v>
      </c>
      <c r="K90" s="41" t="s">
        <v>175</v>
      </c>
      <c r="L90" s="40">
        <f>L89/10</f>
        <v>1.591666666666667E-5</v>
      </c>
      <c r="M90" s="42">
        <v>4671597.66516471</v>
      </c>
      <c r="N90" s="43">
        <f t="shared" si="22"/>
        <v>-4.798147878799897</v>
      </c>
      <c r="O90" s="43">
        <f t="shared" si="22"/>
        <v>6.6694654327081757</v>
      </c>
    </row>
    <row r="91" spans="2:15" x14ac:dyDescent="0.25">
      <c r="B91" s="40" t="s">
        <v>181</v>
      </c>
      <c r="C91" s="40">
        <v>7.8</v>
      </c>
      <c r="D91" s="40">
        <v>181227443191.452</v>
      </c>
      <c r="E91" s="40">
        <f>LOG10(C91)</f>
        <v>0.89209460269048035</v>
      </c>
      <c r="F91" s="40">
        <f>LOG10(D91)</f>
        <v>11.258223963341715</v>
      </c>
    </row>
    <row r="92" spans="2:15" x14ac:dyDescent="0.25">
      <c r="B92" s="40" t="s">
        <v>182</v>
      </c>
      <c r="C92" s="40">
        <v>0.78</v>
      </c>
      <c r="D92" s="40">
        <v>75048766587.651794</v>
      </c>
      <c r="E92" s="40">
        <f t="shared" ref="E92:F96" si="24">LOG10(C92)</f>
        <v>-0.10790539730951958</v>
      </c>
      <c r="F92" s="40">
        <f t="shared" si="24"/>
        <v>10.875343559089902</v>
      </c>
    </row>
    <row r="93" spans="2:15" x14ac:dyDescent="0.25">
      <c r="B93" s="40" t="s">
        <v>183</v>
      </c>
      <c r="C93" s="40">
        <v>7.8E-2</v>
      </c>
      <c r="D93" s="40">
        <v>19088451953.7001</v>
      </c>
      <c r="E93" s="43">
        <f t="shared" si="24"/>
        <v>-1.1079053973095196</v>
      </c>
      <c r="F93" s="43">
        <f t="shared" si="24"/>
        <v>10.280770709157069</v>
      </c>
    </row>
    <row r="94" spans="2:15" x14ac:dyDescent="0.25">
      <c r="B94" s="40" t="s">
        <v>184</v>
      </c>
      <c r="C94" s="40">
        <v>7.7999999999999996E-3</v>
      </c>
      <c r="D94" s="40">
        <v>1947567317.0396399</v>
      </c>
      <c r="E94" s="43">
        <f t="shared" si="24"/>
        <v>-2.1079053973095196</v>
      </c>
      <c r="F94" s="43">
        <f t="shared" si="24"/>
        <v>9.2894924778535071</v>
      </c>
      <c r="K94" s="40" t="s">
        <v>30</v>
      </c>
      <c r="L94" s="40" t="s">
        <v>112</v>
      </c>
      <c r="M94" s="40" t="s">
        <v>84</v>
      </c>
      <c r="N94" s="40" t="s">
        <v>162</v>
      </c>
      <c r="O94" s="40" t="s">
        <v>162</v>
      </c>
    </row>
    <row r="95" spans="2:15" x14ac:dyDescent="0.25">
      <c r="B95" s="40" t="s">
        <v>185</v>
      </c>
      <c r="C95" s="40">
        <v>7.7999999999999999E-4</v>
      </c>
      <c r="D95" s="40">
        <v>163849148.146121</v>
      </c>
      <c r="E95" s="43">
        <f t="shared" si="24"/>
        <v>-3.1079053973095196</v>
      </c>
      <c r="F95" s="43">
        <f t="shared" si="24"/>
        <v>8.2144441878215329</v>
      </c>
      <c r="K95" s="41" t="s">
        <v>163</v>
      </c>
      <c r="L95" s="40">
        <v>1.966666666666667</v>
      </c>
      <c r="M95" s="42">
        <v>81998790844.094803</v>
      </c>
      <c r="N95" s="40">
        <f>LOG10(L95)</f>
        <v>0.29373075692248185</v>
      </c>
      <c r="O95" s="40">
        <f>LOG10(M95)</f>
        <v>10.913807448315312</v>
      </c>
    </row>
    <row r="96" spans="2:15" x14ac:dyDescent="0.25">
      <c r="B96" s="40" t="s">
        <v>186</v>
      </c>
      <c r="C96" s="40">
        <v>7.7999999999999999E-5</v>
      </c>
      <c r="D96" s="40">
        <v>13413542.072009301</v>
      </c>
      <c r="E96" s="43">
        <f t="shared" si="24"/>
        <v>-4.1079053973095192</v>
      </c>
      <c r="F96" s="43">
        <f t="shared" si="24"/>
        <v>7.1275434757787375</v>
      </c>
      <c r="K96" s="41" t="s">
        <v>165</v>
      </c>
      <c r="L96" s="40">
        <v>0.19666666666666671</v>
      </c>
      <c r="M96" s="42">
        <v>16014318140.7736</v>
      </c>
      <c r="N96" s="40">
        <f t="shared" ref="N96:O101" si="25">LOG10(L96)</f>
        <v>-0.70626924307751815</v>
      </c>
      <c r="O96" s="40">
        <f t="shared" si="25"/>
        <v>10.204508451959962</v>
      </c>
    </row>
    <row r="97" spans="2:15" x14ac:dyDescent="0.25">
      <c r="K97" s="41" t="s">
        <v>167</v>
      </c>
      <c r="L97" s="40">
        <v>1.9666666666666673E-2</v>
      </c>
      <c r="M97" s="42">
        <v>2841694043.4197502</v>
      </c>
      <c r="N97" s="40">
        <f t="shared" si="25"/>
        <v>-1.7062692430775181</v>
      </c>
      <c r="O97" s="40">
        <f t="shared" si="25"/>
        <v>9.4535773169386061</v>
      </c>
    </row>
    <row r="98" spans="2:15" x14ac:dyDescent="0.25">
      <c r="K98" s="41" t="s">
        <v>169</v>
      </c>
      <c r="L98" s="40">
        <v>1.9666666666666673E-3</v>
      </c>
      <c r="M98" s="42">
        <v>338329875.92804801</v>
      </c>
      <c r="N98" s="40">
        <f t="shared" si="25"/>
        <v>-2.7062692430775179</v>
      </c>
      <c r="O98" s="40">
        <f t="shared" si="25"/>
        <v>8.529340349481167</v>
      </c>
    </row>
    <row r="99" spans="2:15" x14ac:dyDescent="0.25">
      <c r="K99" s="41" t="s">
        <v>171</v>
      </c>
      <c r="L99" s="40">
        <v>3.9333333333333348E-4</v>
      </c>
      <c r="M99" s="42">
        <v>52138939.593979798</v>
      </c>
      <c r="N99" s="40">
        <f t="shared" si="25"/>
        <v>-3.4052392474135367</v>
      </c>
      <c r="O99" s="40">
        <f t="shared" si="25"/>
        <v>7.7171621942054163</v>
      </c>
    </row>
    <row r="100" spans="2:15" x14ac:dyDescent="0.25">
      <c r="K100" s="41" t="s">
        <v>173</v>
      </c>
      <c r="L100" s="40">
        <v>1.9666666666666674E-4</v>
      </c>
      <c r="M100" s="42">
        <v>29624758.2431724</v>
      </c>
      <c r="N100" s="40">
        <f t="shared" si="25"/>
        <v>-3.7062692430775179</v>
      </c>
      <c r="O100" s="40">
        <f t="shared" si="25"/>
        <v>7.4716548149140385</v>
      </c>
    </row>
    <row r="101" spans="2:15" x14ac:dyDescent="0.25">
      <c r="B101" s="40" t="s">
        <v>110</v>
      </c>
      <c r="C101" s="40" t="s">
        <v>112</v>
      </c>
      <c r="D101" s="40" t="s">
        <v>84</v>
      </c>
      <c r="E101" s="40" t="s">
        <v>162</v>
      </c>
      <c r="F101" s="40" t="s">
        <v>162</v>
      </c>
      <c r="K101" s="41" t="s">
        <v>175</v>
      </c>
      <c r="L101" s="40">
        <v>1.9666666666666673E-5</v>
      </c>
      <c r="M101" s="42">
        <v>0</v>
      </c>
      <c r="N101" s="40">
        <f t="shared" si="25"/>
        <v>-4.7062692430775179</v>
      </c>
      <c r="O101" s="40" t="e">
        <f t="shared" si="25"/>
        <v>#NUM!</v>
      </c>
    </row>
    <row r="102" spans="2:15" x14ac:dyDescent="0.25">
      <c r="B102" s="40" t="s">
        <v>164</v>
      </c>
      <c r="C102" s="40">
        <v>0.36842105263157898</v>
      </c>
      <c r="D102" s="40">
        <v>11258646201.6329</v>
      </c>
      <c r="E102" s="43">
        <f>LOG10(C102)</f>
        <v>-0.4336555609385721</v>
      </c>
      <c r="F102" s="43">
        <f>LOG10(D102)</f>
        <v>10.051486171820128</v>
      </c>
    </row>
    <row r="103" spans="2:15" x14ac:dyDescent="0.25">
      <c r="B103" s="40" t="s">
        <v>166</v>
      </c>
      <c r="C103" s="40">
        <v>7.3684210526315796E-2</v>
      </c>
      <c r="D103" s="40">
        <v>5726547600.0523195</v>
      </c>
      <c r="E103" s="43">
        <f t="shared" ref="E103:E109" si="26">LOG10(C103)</f>
        <v>-1.1326255652745909</v>
      </c>
      <c r="F103" s="43">
        <f t="shared" ref="F103:F109" si="27">LOG10(D103)</f>
        <v>9.7578928750006195</v>
      </c>
    </row>
    <row r="104" spans="2:15" x14ac:dyDescent="0.25">
      <c r="B104" s="40" t="s">
        <v>168</v>
      </c>
      <c r="C104" s="40">
        <v>3.6842105263157898E-2</v>
      </c>
      <c r="D104" s="40">
        <v>3888889298.15412</v>
      </c>
      <c r="E104" s="43">
        <f t="shared" si="26"/>
        <v>-1.4336555609385722</v>
      </c>
      <c r="F104" s="43">
        <f t="shared" si="27"/>
        <v>9.5898255806159387</v>
      </c>
    </row>
    <row r="105" spans="2:15" x14ac:dyDescent="0.25">
      <c r="B105" s="40" t="s">
        <v>170</v>
      </c>
      <c r="C105" s="40">
        <v>7.3684210526315796E-3</v>
      </c>
      <c r="D105" s="40">
        <v>1390092070.0371499</v>
      </c>
      <c r="E105" s="43">
        <f t="shared" si="26"/>
        <v>-2.1326255652745907</v>
      </c>
      <c r="F105" s="43">
        <f t="shared" si="27"/>
        <v>9.1430435658547236</v>
      </c>
      <c r="K105" s="40" t="s">
        <v>33</v>
      </c>
      <c r="L105" s="40" t="s">
        <v>112</v>
      </c>
      <c r="M105" s="40" t="s">
        <v>84</v>
      </c>
      <c r="N105" s="40" t="s">
        <v>162</v>
      </c>
      <c r="O105" s="40" t="s">
        <v>162</v>
      </c>
    </row>
    <row r="106" spans="2:15" x14ac:dyDescent="0.25">
      <c r="B106" s="40" t="s">
        <v>172</v>
      </c>
      <c r="C106" s="40">
        <v>3.6842105263157898E-3</v>
      </c>
      <c r="D106" s="40">
        <v>754668718.75936496</v>
      </c>
      <c r="E106" s="43">
        <f t="shared" si="26"/>
        <v>-2.4336555609385719</v>
      </c>
      <c r="F106" s="43">
        <f t="shared" si="27"/>
        <v>8.8777563487303048</v>
      </c>
      <c r="K106" s="41" t="s">
        <v>163</v>
      </c>
      <c r="L106" s="40">
        <f>(13.7*0.05)/0.6</f>
        <v>1.1416666666666668</v>
      </c>
      <c r="M106" s="42">
        <v>93987202325.910706</v>
      </c>
      <c r="N106" s="40">
        <f>LOG10(L106)</f>
        <v>5.7539321108782002E-2</v>
      </c>
      <c r="O106" s="40">
        <f>LOG10(M106)</f>
        <v>10.973068722348444</v>
      </c>
    </row>
    <row r="107" spans="2:15" x14ac:dyDescent="0.25">
      <c r="B107" s="40" t="s">
        <v>174</v>
      </c>
      <c r="C107" s="40">
        <v>3.6842105263157896E-4</v>
      </c>
      <c r="D107" s="40">
        <v>60547073.332104199</v>
      </c>
      <c r="E107" s="43">
        <f t="shared" si="26"/>
        <v>-3.4336555609385719</v>
      </c>
      <c r="F107" s="43">
        <f t="shared" si="27"/>
        <v>7.7820931554652626</v>
      </c>
      <c r="K107" s="41" t="s">
        <v>165</v>
      </c>
      <c r="L107" s="40">
        <f>L106/10</f>
        <v>0.11416666666666668</v>
      </c>
      <c r="M107" s="42">
        <v>32117414582.155102</v>
      </c>
      <c r="N107" s="40">
        <f t="shared" ref="N107:O112" si="28">LOG10(L107)</f>
        <v>-0.94246067889121798</v>
      </c>
      <c r="O107" s="40">
        <f t="shared" si="28"/>
        <v>10.506740577768049</v>
      </c>
    </row>
    <row r="108" spans="2:15" x14ac:dyDescent="0.25">
      <c r="B108" s="40" t="s">
        <v>176</v>
      </c>
      <c r="C108" s="40">
        <v>3.6842105263157895E-5</v>
      </c>
      <c r="D108" s="40" t="s">
        <v>116</v>
      </c>
      <c r="E108" s="40">
        <f t="shared" si="26"/>
        <v>-4.4336555609385719</v>
      </c>
      <c r="F108" s="40" t="e">
        <f t="shared" si="27"/>
        <v>#VALUE!</v>
      </c>
      <c r="K108" s="41" t="s">
        <v>167</v>
      </c>
      <c r="L108" s="40">
        <f t="shared" ref="L108:L109" si="29">L107/10</f>
        <v>1.1416666666666669E-2</v>
      </c>
      <c r="M108" s="42">
        <v>9820619623.4124603</v>
      </c>
      <c r="N108" s="43">
        <f t="shared" si="28"/>
        <v>-1.942460678891218</v>
      </c>
      <c r="O108" s="43">
        <f t="shared" si="28"/>
        <v>9.9921388900822077</v>
      </c>
    </row>
    <row r="109" spans="2:15" x14ac:dyDescent="0.25">
      <c r="B109" s="40" t="s">
        <v>177</v>
      </c>
      <c r="C109" s="40">
        <v>3.6842105263157896E-6</v>
      </c>
      <c r="D109" s="40" t="s">
        <v>116</v>
      </c>
      <c r="E109" s="40">
        <f t="shared" si="26"/>
        <v>-5.4336555609385719</v>
      </c>
      <c r="F109" s="40" t="e">
        <f t="shared" si="27"/>
        <v>#VALUE!</v>
      </c>
      <c r="K109" s="41" t="s">
        <v>169</v>
      </c>
      <c r="L109" s="40">
        <f t="shared" si="29"/>
        <v>1.1416666666666669E-3</v>
      </c>
      <c r="M109" s="42">
        <v>1668331164.4545901</v>
      </c>
      <c r="N109" s="43">
        <f t="shared" si="28"/>
        <v>-2.942460678891218</v>
      </c>
      <c r="O109" s="43">
        <f t="shared" si="28"/>
        <v>9.2222822625006611</v>
      </c>
    </row>
    <row r="110" spans="2:15" x14ac:dyDescent="0.25">
      <c r="K110" s="41" t="s">
        <v>171</v>
      </c>
      <c r="L110" s="40">
        <f>L109/5</f>
        <v>2.2833333333333337E-4</v>
      </c>
      <c r="M110" s="42">
        <v>317507306.408638</v>
      </c>
      <c r="N110" s="43">
        <f t="shared" si="28"/>
        <v>-3.6414306832272367</v>
      </c>
      <c r="O110" s="43">
        <f t="shared" si="28"/>
        <v>8.5017537236325431</v>
      </c>
    </row>
    <row r="111" spans="2:15" x14ac:dyDescent="0.25">
      <c r="K111" s="41" t="s">
        <v>173</v>
      </c>
      <c r="L111" s="40">
        <f>L109/10</f>
        <v>1.1416666666666669E-4</v>
      </c>
      <c r="M111" s="42">
        <v>187431104.42303601</v>
      </c>
      <c r="N111" s="43">
        <f t="shared" si="28"/>
        <v>-3.942460678891218</v>
      </c>
      <c r="O111" s="43">
        <f t="shared" si="28"/>
        <v>8.2728416642377294</v>
      </c>
    </row>
    <row r="112" spans="2:15" x14ac:dyDescent="0.25">
      <c r="K112" s="41" t="s">
        <v>175</v>
      </c>
      <c r="L112" s="40">
        <f>L111/10</f>
        <v>1.1416666666666669E-5</v>
      </c>
      <c r="M112" s="42">
        <v>15818061.310163699</v>
      </c>
      <c r="N112" s="43">
        <f t="shared" si="28"/>
        <v>-4.9424606788912184</v>
      </c>
      <c r="O112" s="43">
        <f t="shared" si="28"/>
        <v>7.1991532545161379</v>
      </c>
    </row>
    <row r="115" spans="2:6" x14ac:dyDescent="0.25">
      <c r="B115" s="40" t="s">
        <v>64</v>
      </c>
      <c r="C115" s="40" t="s">
        <v>112</v>
      </c>
      <c r="D115" s="40" t="s">
        <v>84</v>
      </c>
      <c r="E115" s="40" t="s">
        <v>162</v>
      </c>
      <c r="F115" s="40" t="s">
        <v>162</v>
      </c>
    </row>
    <row r="116" spans="2:6" x14ac:dyDescent="0.25">
      <c r="B116" s="40" t="s">
        <v>164</v>
      </c>
      <c r="C116" s="40">
        <v>0.26315789473684209</v>
      </c>
      <c r="D116" s="40">
        <v>7697358170.7092695</v>
      </c>
      <c r="E116" s="40">
        <f>LOG10(C116)</f>
        <v>-0.57978359661681023</v>
      </c>
      <c r="F116" s="40">
        <f>LOG10(D116)</f>
        <v>9.8863416954647061</v>
      </c>
    </row>
    <row r="117" spans="2:6" x14ac:dyDescent="0.25">
      <c r="B117" s="40" t="s">
        <v>166</v>
      </c>
      <c r="C117" s="40">
        <v>5.2631578947368418E-2</v>
      </c>
      <c r="D117" s="40">
        <v>2922686968.1844802</v>
      </c>
      <c r="E117" s="43">
        <f t="shared" ref="E117:F123" si="30">LOG10(C117)</f>
        <v>-1.2787536009528291</v>
      </c>
      <c r="F117" s="43">
        <f t="shared" si="30"/>
        <v>9.4657823031199495</v>
      </c>
    </row>
    <row r="118" spans="2:6" x14ac:dyDescent="0.25">
      <c r="B118" s="40" t="s">
        <v>168</v>
      </c>
      <c r="C118" s="40">
        <v>2.6315789473684209E-2</v>
      </c>
      <c r="D118" s="40">
        <v>1741146228.8774199</v>
      </c>
      <c r="E118" s="43">
        <f t="shared" si="30"/>
        <v>-1.5797835966168101</v>
      </c>
      <c r="F118" s="43">
        <f t="shared" si="30"/>
        <v>9.2408352465496773</v>
      </c>
    </row>
    <row r="119" spans="2:6" x14ac:dyDescent="0.25">
      <c r="B119" s="40" t="s">
        <v>170</v>
      </c>
      <c r="C119" s="40">
        <v>5.263157894736842E-3</v>
      </c>
      <c r="D119" s="40">
        <v>462947021.65544897</v>
      </c>
      <c r="E119" s="43">
        <f t="shared" si="30"/>
        <v>-2.2787536009528289</v>
      </c>
      <c r="F119" s="43">
        <f t="shared" si="30"/>
        <v>8.6655312944323253</v>
      </c>
    </row>
    <row r="120" spans="2:6" x14ac:dyDescent="0.25">
      <c r="B120" s="40" t="s">
        <v>172</v>
      </c>
      <c r="C120" s="40">
        <v>2.631578947368421E-3</v>
      </c>
      <c r="D120" s="40">
        <v>250008998.25749099</v>
      </c>
      <c r="E120" s="43">
        <f t="shared" si="30"/>
        <v>-2.5797835966168101</v>
      </c>
      <c r="F120" s="43">
        <f t="shared" si="30"/>
        <v>8.3979556399650317</v>
      </c>
    </row>
    <row r="121" spans="2:6" x14ac:dyDescent="0.25">
      <c r="B121" s="40" t="s">
        <v>174</v>
      </c>
      <c r="C121" s="40">
        <v>2.631578947368421E-4</v>
      </c>
      <c r="D121" s="40">
        <v>20294325.4842523</v>
      </c>
      <c r="E121" s="43">
        <f t="shared" si="30"/>
        <v>-3.5797835966168101</v>
      </c>
      <c r="F121" s="43">
        <f t="shared" si="30"/>
        <v>7.3073746213918964</v>
      </c>
    </row>
    <row r="122" spans="2:6" x14ac:dyDescent="0.25">
      <c r="B122" s="40" t="s">
        <v>176</v>
      </c>
      <c r="C122" s="40">
        <v>2.6315789473684209E-5</v>
      </c>
      <c r="D122" s="40">
        <v>1438546.2688545301</v>
      </c>
      <c r="E122" s="43">
        <f t="shared" si="30"/>
        <v>-4.5797835966168101</v>
      </c>
      <c r="F122" s="43">
        <f t="shared" si="30"/>
        <v>6.1579238349333663</v>
      </c>
    </row>
    <row r="123" spans="2:6" x14ac:dyDescent="0.25">
      <c r="B123" s="40" t="s">
        <v>177</v>
      </c>
      <c r="C123" s="40">
        <v>2.6315789473684207E-6</v>
      </c>
      <c r="D123" s="40">
        <v>27228.054266892999</v>
      </c>
      <c r="E123" s="40">
        <f t="shared" si="30"/>
        <v>-5.5797835966168101</v>
      </c>
      <c r="F123" s="40">
        <f t="shared" si="30"/>
        <v>4.4350166075043509</v>
      </c>
    </row>
    <row r="129" spans="2:6" x14ac:dyDescent="0.25">
      <c r="B129" s="40" t="s">
        <v>67</v>
      </c>
      <c r="C129" s="40" t="s">
        <v>112</v>
      </c>
      <c r="D129" s="40" t="s">
        <v>84</v>
      </c>
      <c r="E129" s="40" t="s">
        <v>162</v>
      </c>
      <c r="F129" s="40" t="s">
        <v>162</v>
      </c>
    </row>
    <row r="130" spans="2:6" x14ac:dyDescent="0.25">
      <c r="B130" s="40" t="s">
        <v>164</v>
      </c>
      <c r="C130" s="40">
        <v>0.31578947368421056</v>
      </c>
      <c r="D130" s="40">
        <v>6037492654.6137896</v>
      </c>
      <c r="E130" s="40">
        <f>LOG10(C130)</f>
        <v>-0.50060235056918523</v>
      </c>
      <c r="F130" s="40">
        <f>LOG10(D130)</f>
        <v>9.7808566153848044</v>
      </c>
    </row>
    <row r="131" spans="2:6" x14ac:dyDescent="0.25">
      <c r="B131" s="40" t="s">
        <v>166</v>
      </c>
      <c r="C131" s="40">
        <v>6.3157894736842107E-2</v>
      </c>
      <c r="D131" s="40">
        <v>2252497256.6373</v>
      </c>
      <c r="E131" s="43">
        <f t="shared" ref="E131:F137" si="31">LOG10(C131)</f>
        <v>-1.1995723549052042</v>
      </c>
      <c r="F131" s="43">
        <f t="shared" si="31"/>
        <v>9.3526642707152483</v>
      </c>
    </row>
    <row r="132" spans="2:6" x14ac:dyDescent="0.25">
      <c r="B132" s="40" t="s">
        <v>168</v>
      </c>
      <c r="C132" s="40">
        <v>3.1578947368421054E-2</v>
      </c>
      <c r="D132" s="40">
        <v>1333122159.98895</v>
      </c>
      <c r="E132" s="43">
        <f t="shared" si="31"/>
        <v>-1.5006023505691852</v>
      </c>
      <c r="F132" s="43">
        <f t="shared" si="31"/>
        <v>9.1248699475971105</v>
      </c>
    </row>
    <row r="133" spans="2:6" x14ac:dyDescent="0.25">
      <c r="B133" s="40" t="s">
        <v>170</v>
      </c>
      <c r="C133" s="40">
        <v>6.3157894736842104E-3</v>
      </c>
      <c r="D133" s="40">
        <v>363972059.53108603</v>
      </c>
      <c r="E133" s="43">
        <f t="shared" si="31"/>
        <v>-2.1995723549052042</v>
      </c>
      <c r="F133" s="43">
        <f t="shared" si="31"/>
        <v>8.5610680461292485</v>
      </c>
    </row>
    <row r="134" spans="2:6" x14ac:dyDescent="0.25">
      <c r="B134" s="40" t="s">
        <v>172</v>
      </c>
      <c r="C134" s="40">
        <v>3.1578947368421052E-3</v>
      </c>
      <c r="D134" s="40">
        <v>209677219.085177</v>
      </c>
      <c r="E134" s="43">
        <f t="shared" si="31"/>
        <v>-2.5006023505691855</v>
      </c>
      <c r="F134" s="43">
        <f t="shared" si="31"/>
        <v>8.3215512479997269</v>
      </c>
    </row>
    <row r="135" spans="2:6" x14ac:dyDescent="0.25">
      <c r="B135" s="40" t="s">
        <v>174</v>
      </c>
      <c r="C135" s="40">
        <v>3.1578947368421053E-4</v>
      </c>
      <c r="D135" s="40">
        <v>14929971.704651101</v>
      </c>
      <c r="E135" s="43">
        <f t="shared" si="31"/>
        <v>-3.5006023505691855</v>
      </c>
      <c r="F135" s="43">
        <f t="shared" si="31"/>
        <v>7.1740589846489682</v>
      </c>
    </row>
    <row r="136" spans="2:6" x14ac:dyDescent="0.25">
      <c r="B136" s="40" t="s">
        <v>176</v>
      </c>
      <c r="C136" s="40">
        <v>3.1578947368421052E-5</v>
      </c>
      <c r="D136" s="40">
        <v>1019419.18349875</v>
      </c>
      <c r="E136" s="43">
        <f t="shared" si="31"/>
        <v>-4.500602350569185</v>
      </c>
      <c r="F136" s="43">
        <f t="shared" si="31"/>
        <v>6.0083528019123529</v>
      </c>
    </row>
    <row r="137" spans="2:6" x14ac:dyDescent="0.25">
      <c r="B137" s="40" t="s">
        <v>177</v>
      </c>
      <c r="C137" s="40">
        <v>3.1578947368421052E-6</v>
      </c>
      <c r="D137" s="40">
        <v>28722.125773822099</v>
      </c>
      <c r="E137" s="40">
        <f t="shared" si="31"/>
        <v>-5.500602350569185</v>
      </c>
      <c r="F137" s="40">
        <f t="shared" si="31"/>
        <v>4.4582165796397479</v>
      </c>
    </row>
    <row r="141" spans="2:6" x14ac:dyDescent="0.25">
      <c r="B141" s="40" t="s">
        <v>70</v>
      </c>
      <c r="C141" s="40" t="s">
        <v>112</v>
      </c>
      <c r="D141" s="40" t="s">
        <v>84</v>
      </c>
      <c r="E141" s="40" t="s">
        <v>162</v>
      </c>
      <c r="F141" s="40" t="s">
        <v>162</v>
      </c>
    </row>
    <row r="142" spans="2:6" x14ac:dyDescent="0.25">
      <c r="B142" s="40" t="s">
        <v>164</v>
      </c>
      <c r="C142" s="40">
        <v>0.68421052631578949</v>
      </c>
      <c r="D142" s="40">
        <v>3551298753.89397</v>
      </c>
      <c r="E142" s="43">
        <f>LOG10(C142)</f>
        <v>-0.16481024864599217</v>
      </c>
      <c r="F142" s="43">
        <f>LOG10(D142)</f>
        <v>9.5503872089701431</v>
      </c>
    </row>
    <row r="143" spans="2:6" x14ac:dyDescent="0.25">
      <c r="B143" s="40" t="s">
        <v>166</v>
      </c>
      <c r="C143" s="40">
        <v>0.1368421052631579</v>
      </c>
      <c r="D143" s="40">
        <v>1245544602.3963301</v>
      </c>
      <c r="E143" s="43">
        <f t="shared" ref="E143:F148" si="32">LOG10(C143)</f>
        <v>-0.863780252982011</v>
      </c>
      <c r="F143" s="43">
        <f t="shared" si="32"/>
        <v>9.0953592840425586</v>
      </c>
    </row>
    <row r="144" spans="2:6" x14ac:dyDescent="0.25">
      <c r="B144" s="40" t="s">
        <v>168</v>
      </c>
      <c r="C144" s="40">
        <v>6.8421052631578952E-2</v>
      </c>
      <c r="D144" s="40">
        <v>720059818.07183897</v>
      </c>
      <c r="E144" s="43">
        <f t="shared" si="32"/>
        <v>-1.1648102486459921</v>
      </c>
      <c r="F144" s="43">
        <f t="shared" si="32"/>
        <v>8.8573685764026795</v>
      </c>
    </row>
    <row r="145" spans="2:6" x14ac:dyDescent="0.25">
      <c r="B145" s="40" t="s">
        <v>170</v>
      </c>
      <c r="C145" s="40">
        <v>1.368421052631579E-2</v>
      </c>
      <c r="D145" s="40">
        <v>182747179.29334399</v>
      </c>
      <c r="E145" s="43">
        <f t="shared" si="32"/>
        <v>-1.8637802529820109</v>
      </c>
      <c r="F145" s="43">
        <f t="shared" si="32"/>
        <v>8.2618506823369309</v>
      </c>
    </row>
    <row r="146" spans="2:6" x14ac:dyDescent="0.25">
      <c r="B146" s="40" t="s">
        <v>172</v>
      </c>
      <c r="C146" s="40">
        <v>6.842105263157895E-3</v>
      </c>
      <c r="D146" s="40">
        <v>96856062.936841801</v>
      </c>
      <c r="E146" s="43">
        <f t="shared" si="32"/>
        <v>-2.1648102486459924</v>
      </c>
      <c r="F146" s="43">
        <f t="shared" si="32"/>
        <v>7.9861268116075328</v>
      </c>
    </row>
    <row r="147" spans="2:6" x14ac:dyDescent="0.25">
      <c r="B147" s="40" t="s">
        <v>174</v>
      </c>
      <c r="C147" s="40">
        <v>6.8421052631578954E-4</v>
      </c>
      <c r="D147" s="40">
        <v>9190874.4092488308</v>
      </c>
      <c r="E147" s="43">
        <f t="shared" si="32"/>
        <v>-3.1648102486459924</v>
      </c>
      <c r="F147" s="43">
        <f t="shared" si="32"/>
        <v>6.9633568316305698</v>
      </c>
    </row>
    <row r="148" spans="2:6" x14ac:dyDescent="0.25">
      <c r="B148" s="40" t="s">
        <v>176</v>
      </c>
      <c r="C148" s="40">
        <v>6.842105263157896E-5</v>
      </c>
      <c r="D148" s="40">
        <v>826717.18428853597</v>
      </c>
      <c r="E148" s="43">
        <f t="shared" si="32"/>
        <v>-4.1648102486459919</v>
      </c>
      <c r="F148" s="43">
        <f t="shared" si="32"/>
        <v>5.9173569650429432</v>
      </c>
    </row>
    <row r="149" spans="2:6" x14ac:dyDescent="0.25">
      <c r="B149" s="40" t="s">
        <v>177</v>
      </c>
      <c r="C149" s="40">
        <v>6.8421052631578957E-6</v>
      </c>
      <c r="D149" s="40">
        <v>0</v>
      </c>
    </row>
    <row r="154" spans="2:6" x14ac:dyDescent="0.25">
      <c r="B154" s="40" t="s">
        <v>68</v>
      </c>
      <c r="C154" s="40" t="s">
        <v>112</v>
      </c>
      <c r="D154" s="40" t="s">
        <v>84</v>
      </c>
      <c r="E154" s="40" t="s">
        <v>162</v>
      </c>
      <c r="F154" s="40" t="s">
        <v>162</v>
      </c>
    </row>
    <row r="155" spans="2:6" x14ac:dyDescent="0.25">
      <c r="B155" s="40" t="s">
        <v>164</v>
      </c>
      <c r="C155" s="40">
        <v>0.36842105263157898</v>
      </c>
      <c r="D155" s="40">
        <v>5194475773.6989403</v>
      </c>
      <c r="E155" s="43">
        <f>LOG10(C155)</f>
        <v>-0.4336555609385721</v>
      </c>
      <c r="F155" s="43">
        <f>LOG10(D155)</f>
        <v>9.7155417251217653</v>
      </c>
    </row>
    <row r="156" spans="2:6" x14ac:dyDescent="0.25">
      <c r="B156" s="40" t="s">
        <v>166</v>
      </c>
      <c r="C156" s="40">
        <v>7.3684210526315796E-2</v>
      </c>
      <c r="D156" s="40">
        <v>1627617632.80053</v>
      </c>
      <c r="E156" s="43">
        <f t="shared" ref="E156:F161" si="33">LOG10(C156)</f>
        <v>-1.1326255652745909</v>
      </c>
      <c r="F156" s="43">
        <f t="shared" si="33"/>
        <v>9.2115523861373116</v>
      </c>
    </row>
    <row r="157" spans="2:6" x14ac:dyDescent="0.25">
      <c r="B157" s="40" t="s">
        <v>168</v>
      </c>
      <c r="C157" s="40">
        <v>3.6842105263157898E-2</v>
      </c>
      <c r="D157" s="40">
        <v>919923329.47114205</v>
      </c>
      <c r="E157" s="43">
        <f t="shared" si="33"/>
        <v>-1.4336555609385722</v>
      </c>
      <c r="F157" s="43">
        <f t="shared" si="33"/>
        <v>8.9637516328073445</v>
      </c>
    </row>
    <row r="158" spans="2:6" x14ac:dyDescent="0.25">
      <c r="B158" s="40" t="s">
        <v>170</v>
      </c>
      <c r="C158" s="40">
        <v>7.3684210526315796E-3</v>
      </c>
      <c r="D158" s="40">
        <v>208483050.71132001</v>
      </c>
      <c r="E158" s="43">
        <f t="shared" si="33"/>
        <v>-2.1326255652745907</v>
      </c>
      <c r="F158" s="43">
        <f t="shared" si="33"/>
        <v>8.3190707534020785</v>
      </c>
    </row>
    <row r="159" spans="2:6" x14ac:dyDescent="0.25">
      <c r="B159" s="40" t="s">
        <v>172</v>
      </c>
      <c r="C159" s="40">
        <v>3.6842105263157898E-3</v>
      </c>
      <c r="D159" s="40">
        <v>110327725.95220099</v>
      </c>
      <c r="E159" s="43">
        <f t="shared" si="33"/>
        <v>-2.4336555609385719</v>
      </c>
      <c r="F159" s="43">
        <f t="shared" si="33"/>
        <v>8.0426846667004526</v>
      </c>
    </row>
    <row r="160" spans="2:6" x14ac:dyDescent="0.25">
      <c r="B160" s="40" t="s">
        <v>174</v>
      </c>
      <c r="C160" s="40">
        <v>3.6842105263157896E-4</v>
      </c>
      <c r="D160" s="40">
        <v>9194381.7831269894</v>
      </c>
      <c r="E160" s="43">
        <f t="shared" si="33"/>
        <v>-3.4336555609385719</v>
      </c>
      <c r="F160" s="43">
        <f t="shared" si="33"/>
        <v>6.9635225332257829</v>
      </c>
    </row>
    <row r="161" spans="2:12" x14ac:dyDescent="0.25">
      <c r="B161" s="40" t="s">
        <v>176</v>
      </c>
      <c r="C161" s="40">
        <v>3.6842105263157895E-5</v>
      </c>
      <c r="D161" s="40">
        <v>721453.89783316304</v>
      </c>
      <c r="E161" s="43">
        <f t="shared" si="33"/>
        <v>-4.4336555609385719</v>
      </c>
      <c r="F161" s="43">
        <f t="shared" si="33"/>
        <v>5.8582085841386391</v>
      </c>
    </row>
    <row r="162" spans="2:12" x14ac:dyDescent="0.25">
      <c r="B162" s="40" t="s">
        <v>177</v>
      </c>
      <c r="C162" s="40">
        <v>3.6842105263157896E-6</v>
      </c>
      <c r="D162" s="40">
        <v>0</v>
      </c>
    </row>
    <row r="167" spans="2:12" x14ac:dyDescent="0.25">
      <c r="B167" s="40" t="s">
        <v>59</v>
      </c>
      <c r="C167" s="40" t="s">
        <v>112</v>
      </c>
      <c r="D167" s="40" t="s">
        <v>84</v>
      </c>
      <c r="E167" s="40" t="s">
        <v>162</v>
      </c>
      <c r="F167" s="40" t="s">
        <v>162</v>
      </c>
      <c r="L167" s="42"/>
    </row>
    <row r="168" spans="2:12" x14ac:dyDescent="0.25">
      <c r="B168" s="41" t="s">
        <v>164</v>
      </c>
      <c r="C168" s="40">
        <v>0.57894736842105265</v>
      </c>
      <c r="D168" s="42">
        <v>29892490825.604801</v>
      </c>
      <c r="E168" s="43">
        <f>LOG10(C168)</f>
        <v>-0.23736091579460392</v>
      </c>
      <c r="F168" s="43">
        <f>LOG10(D168)</f>
        <v>10.475562104625938</v>
      </c>
      <c r="L168" s="42"/>
    </row>
    <row r="169" spans="2:12" x14ac:dyDescent="0.25">
      <c r="B169" s="41" t="s">
        <v>166</v>
      </c>
      <c r="C169" s="40">
        <v>0.11578947368421053</v>
      </c>
      <c r="D169" s="42">
        <v>12106136673.2139</v>
      </c>
      <c r="E169" s="43">
        <f t="shared" ref="E169:F175" si="34">LOG10(C169)</f>
        <v>-0.93633092013062269</v>
      </c>
      <c r="F169" s="43">
        <f t="shared" si="34"/>
        <v>10.08300557260706</v>
      </c>
      <c r="L169" s="42"/>
    </row>
    <row r="170" spans="2:12" x14ac:dyDescent="0.25">
      <c r="B170" s="41" t="s">
        <v>168</v>
      </c>
      <c r="C170" s="40">
        <v>5.7894736842105263E-2</v>
      </c>
      <c r="D170" s="42">
        <v>7239260405.6107903</v>
      </c>
      <c r="E170" s="43">
        <f t="shared" si="34"/>
        <v>-1.2373609157946039</v>
      </c>
      <c r="F170" s="43">
        <f t="shared" si="34"/>
        <v>9.8596941990467037</v>
      </c>
      <c r="L170" s="42"/>
    </row>
    <row r="171" spans="2:12" x14ac:dyDescent="0.25">
      <c r="B171" s="41" t="s">
        <v>170</v>
      </c>
      <c r="C171" s="40">
        <v>1.1578947368421053E-2</v>
      </c>
      <c r="D171" s="42">
        <v>1715878289.71294</v>
      </c>
      <c r="E171" s="43">
        <f t="shared" si="34"/>
        <v>-1.9363309201306227</v>
      </c>
      <c r="F171" s="43">
        <f t="shared" si="34"/>
        <v>9.2344864793281438</v>
      </c>
      <c r="L171" s="42"/>
    </row>
    <row r="172" spans="2:12" x14ac:dyDescent="0.25">
      <c r="B172" s="41" t="s">
        <v>172</v>
      </c>
      <c r="C172" s="40">
        <v>5.7894736842105266E-3</v>
      </c>
      <c r="D172" s="42">
        <v>854778114.34963799</v>
      </c>
      <c r="E172" s="43">
        <f t="shared" si="34"/>
        <v>-2.2373609157946039</v>
      </c>
      <c r="F172" s="43">
        <f t="shared" si="34"/>
        <v>8.9318533940034222</v>
      </c>
      <c r="L172" s="42"/>
    </row>
    <row r="173" spans="2:12" x14ac:dyDescent="0.25">
      <c r="B173" s="41" t="s">
        <v>174</v>
      </c>
      <c r="C173" s="40">
        <v>5.7894736842105268E-4</v>
      </c>
      <c r="D173" s="42">
        <v>76423872.200962499</v>
      </c>
      <c r="E173" s="43">
        <f t="shared" si="34"/>
        <v>-3.2373609157946039</v>
      </c>
      <c r="F173" s="43">
        <f t="shared" si="34"/>
        <v>7.8832290384938064</v>
      </c>
      <c r="L173" s="42"/>
    </row>
    <row r="174" spans="2:12" x14ac:dyDescent="0.25">
      <c r="B174" s="41" t="s">
        <v>176</v>
      </c>
      <c r="C174" s="40">
        <v>5.7894736842105267E-5</v>
      </c>
      <c r="D174" s="42">
        <v>6699786.7797338404</v>
      </c>
      <c r="E174" s="43">
        <f t="shared" si="34"/>
        <v>-4.2373609157946035</v>
      </c>
      <c r="F174" s="43">
        <f t="shared" si="34"/>
        <v>6.826060981527915</v>
      </c>
      <c r="L174" s="42"/>
    </row>
    <row r="175" spans="2:12" x14ac:dyDescent="0.25">
      <c r="B175" s="41" t="s">
        <v>177</v>
      </c>
      <c r="C175" s="40">
        <v>5.7894736842105267E-6</v>
      </c>
      <c r="D175" s="42">
        <v>622317.62925169896</v>
      </c>
      <c r="E175" s="43">
        <f t="shared" si="34"/>
        <v>-5.2373609157946035</v>
      </c>
      <c r="F175" s="43">
        <f t="shared" si="34"/>
        <v>5.7940121040188375</v>
      </c>
    </row>
    <row r="179" spans="2:6" x14ac:dyDescent="0.25">
      <c r="B179" s="40" t="s">
        <v>61</v>
      </c>
      <c r="C179" s="40" t="s">
        <v>112</v>
      </c>
      <c r="D179" s="40" t="s">
        <v>84</v>
      </c>
      <c r="E179" s="40" t="s">
        <v>162</v>
      </c>
      <c r="F179" s="40" t="s">
        <v>162</v>
      </c>
    </row>
    <row r="180" spans="2:6" x14ac:dyDescent="0.25">
      <c r="B180" s="40" t="s">
        <v>164</v>
      </c>
      <c r="C180" s="40">
        <v>0.31578947368421056</v>
      </c>
      <c r="D180" s="40">
        <v>21693156186.104599</v>
      </c>
      <c r="E180" s="40">
        <f>LOG10(C180)</f>
        <v>-0.50060235056918523</v>
      </c>
      <c r="F180" s="40">
        <f>LOG10(D180)</f>
        <v>10.336322743092575</v>
      </c>
    </row>
    <row r="181" spans="2:6" x14ac:dyDescent="0.25">
      <c r="B181" s="40" t="s">
        <v>166</v>
      </c>
      <c r="C181" s="40">
        <v>6.3157894736842107E-2</v>
      </c>
      <c r="D181" s="40">
        <v>6752494323.1999598</v>
      </c>
      <c r="E181" s="43">
        <f t="shared" ref="E181:F187" si="35">LOG10(C181)</f>
        <v>-1.1995723549052042</v>
      </c>
      <c r="F181" s="43">
        <f t="shared" si="35"/>
        <v>9.829464227749682</v>
      </c>
    </row>
    <row r="182" spans="2:6" x14ac:dyDescent="0.25">
      <c r="B182" s="40" t="s">
        <v>168</v>
      </c>
      <c r="C182" s="40">
        <v>3.1578947368421054E-2</v>
      </c>
      <c r="D182" s="40">
        <v>3907156105.1630998</v>
      </c>
      <c r="E182" s="43">
        <f t="shared" si="35"/>
        <v>-1.5006023505691852</v>
      </c>
      <c r="F182" s="43">
        <f t="shared" si="35"/>
        <v>9.5918607632228827</v>
      </c>
    </row>
    <row r="183" spans="2:6" x14ac:dyDescent="0.25">
      <c r="B183" s="40" t="s">
        <v>170</v>
      </c>
      <c r="C183" s="40">
        <v>6.3157894736842104E-3</v>
      </c>
      <c r="D183" s="40">
        <v>972067735.05677104</v>
      </c>
      <c r="E183" s="43">
        <f t="shared" si="35"/>
        <v>-2.1995723549052042</v>
      </c>
      <c r="F183" s="43">
        <f t="shared" si="35"/>
        <v>8.9876965282353858</v>
      </c>
    </row>
    <row r="184" spans="2:6" x14ac:dyDescent="0.25">
      <c r="B184" s="40" t="s">
        <v>172</v>
      </c>
      <c r="C184" s="40">
        <v>3.1578947368421052E-3</v>
      </c>
      <c r="D184" s="40">
        <v>471635979.34653699</v>
      </c>
      <c r="E184" s="43">
        <f t="shared" si="35"/>
        <v>-2.5006023505691855</v>
      </c>
      <c r="F184" s="43">
        <f t="shared" si="35"/>
        <v>8.6736069283900523</v>
      </c>
    </row>
    <row r="185" spans="2:6" x14ac:dyDescent="0.25">
      <c r="B185" s="40" t="s">
        <v>174</v>
      </c>
      <c r="C185" s="40">
        <v>3.1578947368421053E-4</v>
      </c>
      <c r="D185" s="40">
        <v>27655646.454215199</v>
      </c>
      <c r="E185" s="43">
        <f t="shared" si="35"/>
        <v>-3.5006023505691855</v>
      </c>
      <c r="F185" s="43">
        <f t="shared" si="35"/>
        <v>7.4417838146119877</v>
      </c>
    </row>
    <row r="186" spans="2:6" x14ac:dyDescent="0.25">
      <c r="B186" s="40" t="s">
        <v>176</v>
      </c>
      <c r="C186" s="40">
        <v>3.1578947368421052E-5</v>
      </c>
      <c r="D186" s="40">
        <v>2131893.4812745401</v>
      </c>
      <c r="E186" s="43">
        <f>LOG10(C186)</f>
        <v>-4.500602350569185</v>
      </c>
      <c r="F186" s="43">
        <f t="shared" si="35"/>
        <v>6.3287655016442361</v>
      </c>
    </row>
    <row r="187" spans="2:6" x14ac:dyDescent="0.25">
      <c r="B187" s="40" t="s">
        <v>177</v>
      </c>
      <c r="C187" s="40">
        <v>3.1578947368421052E-6</v>
      </c>
      <c r="D187" s="40">
        <v>0</v>
      </c>
      <c r="E187" s="40" t="s">
        <v>116</v>
      </c>
      <c r="F187" s="40" t="e">
        <f t="shared" si="35"/>
        <v>#NUM!</v>
      </c>
    </row>
    <row r="191" spans="2:6" x14ac:dyDescent="0.25">
      <c r="B191" s="40" t="s">
        <v>76</v>
      </c>
      <c r="C191" s="40" t="s">
        <v>112</v>
      </c>
      <c r="D191" s="40" t="s">
        <v>84</v>
      </c>
      <c r="E191" s="40" t="s">
        <v>162</v>
      </c>
      <c r="F191" s="40" t="s">
        <v>162</v>
      </c>
    </row>
    <row r="192" spans="2:6" x14ac:dyDescent="0.25">
      <c r="B192" s="41" t="s">
        <v>164</v>
      </c>
      <c r="C192" s="40">
        <v>0.52631578947368418</v>
      </c>
      <c r="D192" s="42">
        <v>21854197486.680199</v>
      </c>
      <c r="E192" s="40">
        <f>LOG10(C192)</f>
        <v>-0.27875360095282897</v>
      </c>
      <c r="F192" s="40">
        <f>LOG10(D192)</f>
        <v>10.339534863284809</v>
      </c>
    </row>
    <row r="193" spans="2:12" x14ac:dyDescent="0.25">
      <c r="B193" s="41" t="s">
        <v>166</v>
      </c>
      <c r="C193" s="40">
        <v>0.10526315789473684</v>
      </c>
      <c r="D193" s="42">
        <v>7817370719.2684603</v>
      </c>
      <c r="E193" s="40">
        <f t="shared" ref="E193:F198" si="36">LOG10(C193)</f>
        <v>-0.97772360528884783</v>
      </c>
      <c r="F193" s="40">
        <f t="shared" si="36"/>
        <v>9.8930607077758488</v>
      </c>
      <c r="L193" s="42"/>
    </row>
    <row r="194" spans="2:12" x14ac:dyDescent="0.25">
      <c r="B194" s="41" t="s">
        <v>168</v>
      </c>
      <c r="C194" s="40">
        <v>5.2631578947368418E-2</v>
      </c>
      <c r="D194" s="42">
        <v>4567052244.26756</v>
      </c>
      <c r="E194" s="40">
        <f t="shared" si="36"/>
        <v>-1.2787536009528291</v>
      </c>
      <c r="F194" s="40">
        <f t="shared" si="36"/>
        <v>9.6596359796970681</v>
      </c>
      <c r="L194" s="42"/>
    </row>
    <row r="195" spans="2:12" x14ac:dyDescent="0.25">
      <c r="B195" s="41" t="s">
        <v>170</v>
      </c>
      <c r="C195" s="40">
        <v>1.0526315789473684E-2</v>
      </c>
      <c r="D195" s="42">
        <v>1246481445.5366299</v>
      </c>
      <c r="E195" s="40">
        <f t="shared" si="36"/>
        <v>-1.9777236052888478</v>
      </c>
      <c r="F195" s="40">
        <f t="shared" si="36"/>
        <v>9.0956858182100042</v>
      </c>
      <c r="L195" s="42"/>
    </row>
    <row r="196" spans="2:12" x14ac:dyDescent="0.25">
      <c r="B196" s="41" t="s">
        <v>172</v>
      </c>
      <c r="C196" s="40">
        <v>5.263157894736842E-3</v>
      </c>
      <c r="D196" s="42">
        <v>664987490.59469903</v>
      </c>
      <c r="E196" s="40">
        <f t="shared" si="36"/>
        <v>-2.2787536009528289</v>
      </c>
      <c r="F196" s="40">
        <f t="shared" si="36"/>
        <v>8.8228134756537919</v>
      </c>
      <c r="L196" s="42"/>
    </row>
    <row r="197" spans="2:12" x14ac:dyDescent="0.25">
      <c r="B197" s="41" t="s">
        <v>174</v>
      </c>
      <c r="C197" s="40">
        <v>5.263157894736842E-4</v>
      </c>
      <c r="D197" s="42">
        <v>48080180.1666582</v>
      </c>
      <c r="E197" s="40">
        <f t="shared" si="36"/>
        <v>-3.2787536009528289</v>
      </c>
      <c r="F197" s="40">
        <f t="shared" si="36"/>
        <v>7.6819660863914985</v>
      </c>
      <c r="L197" s="42"/>
    </row>
    <row r="198" spans="2:12" x14ac:dyDescent="0.25">
      <c r="B198" s="41" t="s">
        <v>176</v>
      </c>
      <c r="C198" s="40">
        <v>5.2631578947368417E-5</v>
      </c>
      <c r="D198" s="42">
        <v>3232295.4796100901</v>
      </c>
      <c r="E198" s="40">
        <f t="shared" si="36"/>
        <v>-4.2787536009528289</v>
      </c>
      <c r="F198" s="40">
        <f t="shared" si="36"/>
        <v>6.5095110548558246</v>
      </c>
      <c r="L198" s="42"/>
    </row>
    <row r="199" spans="2:12" x14ac:dyDescent="0.25">
      <c r="B199" s="41" t="s">
        <v>177</v>
      </c>
      <c r="C199" s="40">
        <v>5.2631578947368414E-6</v>
      </c>
      <c r="D199" s="42">
        <v>0</v>
      </c>
      <c r="E199" s="40" t="s">
        <v>116</v>
      </c>
      <c r="F199" s="40" t="e">
        <f>LOG10(D199)</f>
        <v>#NUM!</v>
      </c>
      <c r="L199" s="42"/>
    </row>
    <row r="200" spans="2:12" x14ac:dyDescent="0.25">
      <c r="L200" s="42"/>
    </row>
    <row r="204" spans="2:12" x14ac:dyDescent="0.25">
      <c r="B204" s="40" t="s">
        <v>78</v>
      </c>
      <c r="C204" s="40" t="s">
        <v>112</v>
      </c>
      <c r="D204" s="40" t="s">
        <v>84</v>
      </c>
      <c r="E204" s="40" t="s">
        <v>162</v>
      </c>
      <c r="F204" s="40" t="s">
        <v>162</v>
      </c>
    </row>
    <row r="205" spans="2:12" x14ac:dyDescent="0.25">
      <c r="B205" s="41" t="s">
        <v>164</v>
      </c>
      <c r="C205" s="40">
        <v>0.52631578947368418</v>
      </c>
      <c r="D205" s="40">
        <v>43046736982.145897</v>
      </c>
      <c r="E205" s="40">
        <f>LOG10(C205)</f>
        <v>-0.27875360095282897</v>
      </c>
      <c r="F205" s="40">
        <f>LOG10(D205)</f>
        <v>10.633940236756995</v>
      </c>
    </row>
    <row r="206" spans="2:12" x14ac:dyDescent="0.25">
      <c r="B206" s="41" t="s">
        <v>166</v>
      </c>
      <c r="C206" s="40">
        <v>0.10526315789473684</v>
      </c>
      <c r="D206" s="40">
        <v>14818019142.249001</v>
      </c>
      <c r="E206" s="43">
        <f t="shared" ref="E206:F211" si="37">LOG10(C206)</f>
        <v>-0.97772360528884783</v>
      </c>
      <c r="F206" s="43">
        <f t="shared" si="37"/>
        <v>10.170790151478093</v>
      </c>
    </row>
    <row r="207" spans="2:12" x14ac:dyDescent="0.25">
      <c r="B207" s="41" t="s">
        <v>168</v>
      </c>
      <c r="C207" s="40">
        <v>5.2631578947368418E-2</v>
      </c>
      <c r="D207" s="40">
        <v>8489945357.1194296</v>
      </c>
      <c r="E207" s="43">
        <f t="shared" si="37"/>
        <v>-1.2787536009528291</v>
      </c>
      <c r="F207" s="43">
        <f t="shared" si="37"/>
        <v>9.928904895052213</v>
      </c>
    </row>
    <row r="208" spans="2:12" x14ac:dyDescent="0.25">
      <c r="B208" s="41" t="s">
        <v>170</v>
      </c>
      <c r="C208" s="40">
        <v>1.0526315789473684E-2</v>
      </c>
      <c r="D208" s="40">
        <v>1731592155.3476801</v>
      </c>
      <c r="E208" s="43">
        <f t="shared" si="37"/>
        <v>-1.9777236052888478</v>
      </c>
      <c r="F208" s="43">
        <f t="shared" si="37"/>
        <v>9.2384456096561731</v>
      </c>
    </row>
    <row r="209" spans="2:6" x14ac:dyDescent="0.25">
      <c r="B209" s="41" t="s">
        <v>172</v>
      </c>
      <c r="C209" s="40">
        <v>5.263157894736842E-3</v>
      </c>
      <c r="D209" s="40">
        <v>788334391.05470896</v>
      </c>
      <c r="E209" s="43">
        <f t="shared" si="37"/>
        <v>-2.2787536009528289</v>
      </c>
      <c r="F209" s="43">
        <f t="shared" si="37"/>
        <v>8.8967104730546946</v>
      </c>
    </row>
    <row r="210" spans="2:6" x14ac:dyDescent="0.25">
      <c r="B210" s="41" t="s">
        <v>174</v>
      </c>
      <c r="C210" s="40">
        <v>5.263157894736842E-4</v>
      </c>
      <c r="D210" s="40">
        <v>32675214.006607201</v>
      </c>
      <c r="E210" s="43">
        <f t="shared" si="37"/>
        <v>-3.2787536009528289</v>
      </c>
      <c r="F210" s="43">
        <f t="shared" si="37"/>
        <v>7.5142184406775012</v>
      </c>
    </row>
    <row r="211" spans="2:6" x14ac:dyDescent="0.25">
      <c r="B211" s="41" t="s">
        <v>176</v>
      </c>
      <c r="C211" s="40">
        <v>5.2631578947368417E-5</v>
      </c>
      <c r="D211" s="40">
        <v>903027.166420597</v>
      </c>
      <c r="E211" s="40">
        <f>LOG10(C211)</f>
        <v>-4.2787536009528289</v>
      </c>
      <c r="F211" s="40">
        <f t="shared" si="37"/>
        <v>5.9557008157056313</v>
      </c>
    </row>
    <row r="212" spans="2:6" x14ac:dyDescent="0.25">
      <c r="B212" s="41" t="s">
        <v>177</v>
      </c>
      <c r="C212" s="40">
        <v>5.2631578947368414E-6</v>
      </c>
      <c r="D212" s="40" t="s">
        <v>116</v>
      </c>
    </row>
    <row r="216" spans="2:6" x14ac:dyDescent="0.25">
      <c r="B216" s="40" t="s">
        <v>77</v>
      </c>
      <c r="C216" s="40" t="s">
        <v>112</v>
      </c>
      <c r="D216" s="40" t="s">
        <v>84</v>
      </c>
      <c r="E216" s="40" t="s">
        <v>162</v>
      </c>
      <c r="F216" s="40" t="s">
        <v>162</v>
      </c>
    </row>
    <row r="217" spans="2:6" x14ac:dyDescent="0.25">
      <c r="B217" s="41" t="s">
        <v>164</v>
      </c>
      <c r="C217" s="40">
        <v>0.26315789473684209</v>
      </c>
      <c r="D217" s="42">
        <v>49482633465.067001</v>
      </c>
      <c r="E217" s="40">
        <f>LOG10(C217)</f>
        <v>-0.57978359661681023</v>
      </c>
      <c r="F217" s="40">
        <f>LOG10(D217)</f>
        <v>10.694452804718452</v>
      </c>
    </row>
    <row r="218" spans="2:6" x14ac:dyDescent="0.25">
      <c r="B218" s="41" t="s">
        <v>166</v>
      </c>
      <c r="C218" s="40">
        <v>5.2631578947368418E-2</v>
      </c>
      <c r="D218" s="42">
        <v>20746172057.580799</v>
      </c>
      <c r="E218" s="40">
        <f t="shared" ref="E218:F224" si="38">LOG10(C218)</f>
        <v>-1.2787536009528291</v>
      </c>
      <c r="F218" s="40">
        <f t="shared" si="38"/>
        <v>10.316937975379069</v>
      </c>
    </row>
    <row r="219" spans="2:6" x14ac:dyDescent="0.25">
      <c r="B219" s="41" t="s">
        <v>168</v>
      </c>
      <c r="C219" s="40">
        <v>2.6315789473684209E-2</v>
      </c>
      <c r="D219" s="42">
        <v>14128512112.098</v>
      </c>
      <c r="E219" s="43">
        <f t="shared" si="38"/>
        <v>-1.5797835966168101</v>
      </c>
      <c r="F219" s="43">
        <f t="shared" si="38"/>
        <v>10.150096428265448</v>
      </c>
    </row>
    <row r="220" spans="2:6" x14ac:dyDescent="0.25">
      <c r="B220" s="41" t="s">
        <v>170</v>
      </c>
      <c r="C220" s="40">
        <v>5.263157894736842E-3</v>
      </c>
      <c r="D220" s="42">
        <v>4647072558.9040203</v>
      </c>
      <c r="E220" s="43">
        <f t="shared" si="38"/>
        <v>-2.2787536009528289</v>
      </c>
      <c r="F220" s="43">
        <f t="shared" si="38"/>
        <v>9.6671794535603439</v>
      </c>
    </row>
    <row r="221" spans="2:6" x14ac:dyDescent="0.25">
      <c r="B221" s="41" t="s">
        <v>172</v>
      </c>
      <c r="C221" s="40">
        <v>2.631578947368421E-3</v>
      </c>
      <c r="D221" s="42">
        <v>2558450807.5060101</v>
      </c>
      <c r="E221" s="43">
        <f t="shared" si="38"/>
        <v>-2.5797835966168101</v>
      </c>
      <c r="F221" s="43">
        <f t="shared" si="38"/>
        <v>9.4079770710114481</v>
      </c>
    </row>
    <row r="222" spans="2:6" x14ac:dyDescent="0.25">
      <c r="B222" s="41" t="s">
        <v>174</v>
      </c>
      <c r="C222" s="40">
        <v>2.631578947368421E-4</v>
      </c>
      <c r="D222" s="42">
        <v>233612455.85626999</v>
      </c>
      <c r="E222" s="43">
        <f t="shared" si="38"/>
        <v>-3.5797835966168101</v>
      </c>
      <c r="F222" s="43">
        <f t="shared" si="38"/>
        <v>8.3684959949704538</v>
      </c>
    </row>
    <row r="223" spans="2:6" x14ac:dyDescent="0.25">
      <c r="B223" s="41" t="s">
        <v>176</v>
      </c>
      <c r="C223" s="40">
        <v>2.6315789473684209E-5</v>
      </c>
      <c r="D223" s="42">
        <v>13105126.308344601</v>
      </c>
      <c r="E223" s="43">
        <f t="shared" si="38"/>
        <v>-4.5797835966168101</v>
      </c>
      <c r="F223" s="43">
        <f t="shared" si="38"/>
        <v>7.1174412110706946</v>
      </c>
    </row>
    <row r="224" spans="2:6" x14ac:dyDescent="0.25">
      <c r="B224" s="41" t="s">
        <v>177</v>
      </c>
      <c r="C224" s="40">
        <v>2.6315789473684207E-6</v>
      </c>
      <c r="D224" s="40" t="s">
        <v>116</v>
      </c>
      <c r="E224" s="40" t="s">
        <v>116</v>
      </c>
      <c r="F224" s="40" t="e">
        <f t="shared" si="38"/>
        <v>#VALUE!</v>
      </c>
    </row>
    <row r="228" spans="2:13" x14ac:dyDescent="0.2">
      <c r="B228" s="40" t="s">
        <v>62</v>
      </c>
      <c r="C228" s="40" t="s">
        <v>112</v>
      </c>
      <c r="D228" s="40" t="s">
        <v>84</v>
      </c>
      <c r="E228" s="40" t="s">
        <v>162</v>
      </c>
      <c r="F228" s="40" t="s">
        <v>162</v>
      </c>
      <c r="M228" s="45"/>
    </row>
    <row r="229" spans="2:13" x14ac:dyDescent="0.2">
      <c r="B229" s="41" t="s">
        <v>164</v>
      </c>
      <c r="C229" s="40">
        <v>0.31578947368421056</v>
      </c>
      <c r="D229" s="45">
        <v>16375603096.038799</v>
      </c>
      <c r="E229" s="40">
        <f>LOG10(C229)</f>
        <v>-0.50060235056918523</v>
      </c>
      <c r="F229" s="40">
        <f>LOG10(D229)</f>
        <v>10.214197303562051</v>
      </c>
      <c r="M229" s="45"/>
    </row>
    <row r="230" spans="2:13" x14ac:dyDescent="0.2">
      <c r="B230" s="41" t="s">
        <v>166</v>
      </c>
      <c r="C230" s="40">
        <v>6.3157894736842107E-2</v>
      </c>
      <c r="D230" s="45">
        <v>7765561110.1796904</v>
      </c>
      <c r="E230" s="43">
        <f t="shared" ref="E230:F236" si="39">LOG10(C230)</f>
        <v>-1.1995723549052042</v>
      </c>
      <c r="F230" s="43">
        <f t="shared" si="39"/>
        <v>9.890172841680883</v>
      </c>
      <c r="M230" s="45"/>
    </row>
    <row r="231" spans="2:13" x14ac:dyDescent="0.2">
      <c r="B231" s="41" t="s">
        <v>168</v>
      </c>
      <c r="C231" s="40">
        <v>3.1578947368421054E-2</v>
      </c>
      <c r="D231" s="45">
        <v>5277759580.2765198</v>
      </c>
      <c r="E231" s="43">
        <f t="shared" si="39"/>
        <v>-1.5006023505691852</v>
      </c>
      <c r="F231" s="43">
        <f t="shared" si="39"/>
        <v>9.7224496027583402</v>
      </c>
      <c r="M231" s="45"/>
    </row>
    <row r="232" spans="2:13" x14ac:dyDescent="0.2">
      <c r="B232" s="41" t="s">
        <v>170</v>
      </c>
      <c r="C232" s="40">
        <f>C231/5</f>
        <v>6.3157894736842104E-3</v>
      </c>
      <c r="D232" s="45">
        <v>1626298514.6816001</v>
      </c>
      <c r="E232" s="43">
        <f t="shared" si="39"/>
        <v>-2.1995723549052042</v>
      </c>
      <c r="F232" s="43">
        <f t="shared" si="39"/>
        <v>9.2112002653539555</v>
      </c>
      <c r="M232" s="45"/>
    </row>
    <row r="233" spans="2:13" x14ac:dyDescent="0.2">
      <c r="B233" s="41" t="s">
        <v>172</v>
      </c>
      <c r="C233" s="40">
        <v>3.1578947368421052E-3</v>
      </c>
      <c r="D233" s="45">
        <v>844141671.01213002</v>
      </c>
      <c r="E233" s="43">
        <f t="shared" si="39"/>
        <v>-2.5006023505691855</v>
      </c>
      <c r="F233" s="43">
        <f t="shared" si="39"/>
        <v>8.9264153397246346</v>
      </c>
      <c r="M233" s="45"/>
    </row>
    <row r="234" spans="2:13" x14ac:dyDescent="0.2">
      <c r="B234" s="41" t="s">
        <v>174</v>
      </c>
      <c r="C234" s="40">
        <v>3.1578947368421053E-4</v>
      </c>
      <c r="D234" s="45">
        <v>78539443.167317003</v>
      </c>
      <c r="E234" s="43">
        <f t="shared" si="39"/>
        <v>-3.5006023505691855</v>
      </c>
      <c r="F234" s="43">
        <f t="shared" si="39"/>
        <v>7.8950878178636223</v>
      </c>
      <c r="M234" s="45"/>
    </row>
    <row r="235" spans="2:13" x14ac:dyDescent="0.2">
      <c r="B235" s="41" t="s">
        <v>176</v>
      </c>
      <c r="C235" s="40">
        <v>3.1578947368421052E-5</v>
      </c>
      <c r="D235" s="45">
        <v>7180999.5547557697</v>
      </c>
      <c r="E235" s="43">
        <f t="shared" si="39"/>
        <v>-4.500602350569185</v>
      </c>
      <c r="F235" s="43">
        <f t="shared" si="39"/>
        <v>6.8561848997995662</v>
      </c>
      <c r="M235" s="45"/>
    </row>
    <row r="236" spans="2:13" x14ac:dyDescent="0.2">
      <c r="B236" s="41" t="s">
        <v>177</v>
      </c>
      <c r="C236" s="40">
        <v>3.1578947368421052E-6</v>
      </c>
      <c r="D236" s="45" t="s">
        <v>116</v>
      </c>
      <c r="E236" s="40">
        <f t="shared" si="39"/>
        <v>-5.500602350569185</v>
      </c>
      <c r="F236" s="40" t="s">
        <v>116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76"/>
  <sheetViews>
    <sheetView topLeftCell="A79" workbookViewId="0">
      <selection activeCell="D104" sqref="D104"/>
    </sheetView>
  </sheetViews>
  <sheetFormatPr defaultRowHeight="12" x14ac:dyDescent="0.25"/>
  <cols>
    <col min="1" max="1" width="10.42578125" style="12" bestFit="1" customWidth="1"/>
    <col min="2" max="2" width="20.42578125" style="12" bestFit="1" customWidth="1"/>
    <col min="3" max="3" width="22.140625" style="12" bestFit="1" customWidth="1"/>
    <col min="4" max="4" width="23" style="12" bestFit="1" customWidth="1"/>
    <col min="5" max="7" width="15.42578125" style="12" bestFit="1" customWidth="1"/>
    <col min="8" max="8" width="15" style="12" bestFit="1" customWidth="1"/>
    <col min="9" max="11" width="15.42578125" style="12" bestFit="1" customWidth="1"/>
    <col min="12" max="12" width="15" style="12" bestFit="1" customWidth="1"/>
    <col min="13" max="23" width="15.42578125" style="12" bestFit="1" customWidth="1"/>
    <col min="24" max="24" width="15.7109375" style="12" bestFit="1" customWidth="1"/>
    <col min="25" max="30" width="15.42578125" style="12" bestFit="1" customWidth="1"/>
    <col min="31" max="31" width="15.7109375" style="12" bestFit="1" customWidth="1"/>
    <col min="32" max="16384" width="9.140625" style="12"/>
  </cols>
  <sheetData>
    <row r="3" spans="2:30" x14ac:dyDescent="0.25">
      <c r="B3" s="12" t="s">
        <v>114</v>
      </c>
      <c r="C3" s="12" t="s">
        <v>28</v>
      </c>
      <c r="D3" s="12" t="s">
        <v>30</v>
      </c>
      <c r="E3" s="12" t="s">
        <v>31</v>
      </c>
      <c r="F3" s="12" t="s">
        <v>34</v>
      </c>
      <c r="G3" s="12" t="s">
        <v>36</v>
      </c>
      <c r="H3" s="12" t="s">
        <v>42</v>
      </c>
      <c r="I3" s="12" t="s">
        <v>43</v>
      </c>
      <c r="J3" s="12" t="s">
        <v>46</v>
      </c>
      <c r="K3" s="12" t="s">
        <v>47</v>
      </c>
      <c r="L3" s="12" t="s">
        <v>48</v>
      </c>
      <c r="M3" s="12" t="s">
        <v>50</v>
      </c>
      <c r="N3" s="12" t="s">
        <v>51</v>
      </c>
      <c r="O3" s="12" t="s">
        <v>52</v>
      </c>
      <c r="P3" s="12" t="s">
        <v>54</v>
      </c>
      <c r="Q3" s="12" t="s">
        <v>59</v>
      </c>
      <c r="R3" s="12" t="s">
        <v>110</v>
      </c>
      <c r="S3" s="12" t="s">
        <v>61</v>
      </c>
      <c r="T3" s="12" t="s">
        <v>62</v>
      </c>
      <c r="U3" s="12" t="s">
        <v>64</v>
      </c>
      <c r="V3" s="12" t="s">
        <v>67</v>
      </c>
      <c r="W3" s="12" t="s">
        <v>68</v>
      </c>
      <c r="X3" s="12" t="s">
        <v>70</v>
      </c>
      <c r="Y3" s="12" t="s">
        <v>76</v>
      </c>
      <c r="Z3" s="12" t="s">
        <v>77</v>
      </c>
      <c r="AA3" s="12" t="s">
        <v>78</v>
      </c>
      <c r="AB3" s="12" t="s">
        <v>106</v>
      </c>
      <c r="AC3" s="12" t="s">
        <v>107</v>
      </c>
      <c r="AD3" s="12" t="s">
        <v>113</v>
      </c>
    </row>
    <row r="4" spans="2:30" x14ac:dyDescent="0.25">
      <c r="B4" s="12" t="s">
        <v>0</v>
      </c>
      <c r="C4" s="13">
        <v>6838298637.9226704</v>
      </c>
      <c r="D4" s="13">
        <v>84500365.264617994</v>
      </c>
      <c r="E4" s="13">
        <v>402132759.87903303</v>
      </c>
      <c r="F4" s="13">
        <v>784166777.06652403</v>
      </c>
      <c r="G4" s="13">
        <v>9405492.2540110592</v>
      </c>
      <c r="H4" s="13">
        <v>3683785.6738894102</v>
      </c>
      <c r="I4" s="13">
        <v>6674962447.9050999</v>
      </c>
      <c r="J4" s="13">
        <v>14919385721.814501</v>
      </c>
      <c r="K4" s="13">
        <v>12449713022.314699</v>
      </c>
      <c r="L4" s="13">
        <v>710587056.05462301</v>
      </c>
      <c r="M4" s="13">
        <v>1095203862.7962899</v>
      </c>
      <c r="N4" s="13">
        <v>1027839640.89017</v>
      </c>
      <c r="O4" s="13">
        <v>1017955956.5060101</v>
      </c>
      <c r="P4" s="13">
        <v>494839078.90872997</v>
      </c>
      <c r="Q4" s="13">
        <v>1938693247.37328</v>
      </c>
      <c r="R4" s="13">
        <v>486512487.63866901</v>
      </c>
      <c r="S4" s="13">
        <v>27029200.974277101</v>
      </c>
      <c r="T4" s="12">
        <v>3237900652.6709599</v>
      </c>
      <c r="U4" s="13">
        <v>3960606140.77033</v>
      </c>
      <c r="V4" s="13">
        <v>13913907.273869401</v>
      </c>
      <c r="W4" s="12">
        <v>840671562.95996201</v>
      </c>
      <c r="X4" s="12">
        <v>610788302.59136999</v>
      </c>
      <c r="Y4" s="13">
        <v>269515442.34522599</v>
      </c>
      <c r="Z4" s="12">
        <v>2793087064.5521898</v>
      </c>
      <c r="AA4" s="12">
        <v>3251626141.61553</v>
      </c>
      <c r="AB4" s="13">
        <v>102191162.13566899</v>
      </c>
      <c r="AC4" s="13">
        <v>68456873.360842094</v>
      </c>
      <c r="AD4" s="13">
        <v>918746270.75337398</v>
      </c>
    </row>
    <row r="5" spans="2:30" x14ac:dyDescent="0.25">
      <c r="B5" s="12" t="s">
        <v>1</v>
      </c>
      <c r="C5" s="13">
        <v>6787636289.6455698</v>
      </c>
      <c r="D5" s="13">
        <v>82130689.335664704</v>
      </c>
      <c r="E5" s="13">
        <v>382098031.52089602</v>
      </c>
      <c r="F5" s="13">
        <v>784325777.83303702</v>
      </c>
      <c r="G5" s="13">
        <v>6424946.6739922902</v>
      </c>
      <c r="H5" s="13">
        <v>3843190.5571083501</v>
      </c>
      <c r="I5" s="13">
        <v>6708464511.1705103</v>
      </c>
      <c r="J5" s="13">
        <v>14394856456.267799</v>
      </c>
      <c r="K5" s="13">
        <v>12771056503.1518</v>
      </c>
      <c r="L5" s="13">
        <v>723727469.94053304</v>
      </c>
      <c r="M5" s="13">
        <v>1053979957.44231</v>
      </c>
      <c r="N5" s="13">
        <v>1141357344.04635</v>
      </c>
      <c r="O5" s="13">
        <v>1103991243.86391</v>
      </c>
      <c r="P5" s="13">
        <v>487640343.11839497</v>
      </c>
      <c r="Q5" s="13">
        <v>1855375494.1832399</v>
      </c>
      <c r="R5" s="13">
        <v>471860676.701599</v>
      </c>
      <c r="S5" s="13">
        <v>27814500.5810179</v>
      </c>
      <c r="T5" s="12">
        <v>3024584998.6703801</v>
      </c>
      <c r="U5" s="13">
        <v>3877504786.1149201</v>
      </c>
      <c r="V5" s="13">
        <v>15996733.8065769</v>
      </c>
      <c r="W5" s="12">
        <v>937555263.27356899</v>
      </c>
      <c r="X5" s="12">
        <v>644118427.90640199</v>
      </c>
      <c r="Y5" s="13">
        <v>289286595.103778</v>
      </c>
      <c r="Z5" s="12">
        <v>2656772610.38557</v>
      </c>
      <c r="AA5" s="12">
        <v>3062401221.9607401</v>
      </c>
      <c r="AB5" s="13">
        <v>98005113.829017594</v>
      </c>
      <c r="AC5" s="13">
        <v>63472388.0787552</v>
      </c>
      <c r="AD5" s="13">
        <v>965155489.67172003</v>
      </c>
    </row>
    <row r="6" spans="2:30" x14ac:dyDescent="0.25">
      <c r="B6" s="12" t="s">
        <v>2</v>
      </c>
      <c r="C6" s="13">
        <v>6719637070.3976297</v>
      </c>
      <c r="D6" s="13">
        <v>80885026.776442096</v>
      </c>
      <c r="E6" s="13">
        <v>401894541.757626</v>
      </c>
      <c r="F6" s="13">
        <v>830816016.62397397</v>
      </c>
      <c r="G6" s="13">
        <v>5860795.6210248005</v>
      </c>
      <c r="H6" s="13">
        <v>3873585.4434968098</v>
      </c>
      <c r="I6" s="13">
        <v>6262575477.3786201</v>
      </c>
      <c r="J6" s="13">
        <v>14332475781.1656</v>
      </c>
      <c r="K6" s="13">
        <v>11946077123.931801</v>
      </c>
      <c r="L6" s="13">
        <v>701703036.65058398</v>
      </c>
      <c r="M6" s="13">
        <v>1059558807.86601</v>
      </c>
      <c r="N6" s="13">
        <v>1042909242.23053</v>
      </c>
      <c r="O6" s="13">
        <v>1057142243.95164</v>
      </c>
      <c r="P6" s="13">
        <v>558470214.982728</v>
      </c>
      <c r="Q6" s="13">
        <v>1863829054.4656601</v>
      </c>
      <c r="R6" s="13">
        <v>456488437.66668802</v>
      </c>
      <c r="S6" s="13">
        <v>26605538.9735258</v>
      </c>
      <c r="T6" s="12">
        <v>3022547086.5155702</v>
      </c>
      <c r="U6" s="13">
        <v>3934427400.2045598</v>
      </c>
      <c r="V6" s="13">
        <v>16528322.219402101</v>
      </c>
      <c r="W6" s="12">
        <v>928579077.43882501</v>
      </c>
      <c r="X6" s="12">
        <v>643359674.34882998</v>
      </c>
      <c r="Y6" s="13">
        <v>284713256.60760701</v>
      </c>
      <c r="Z6" s="12">
        <v>2704771117.80723</v>
      </c>
      <c r="AA6" s="12">
        <v>3358229264.9012499</v>
      </c>
      <c r="AB6" s="13">
        <v>98239089.393722504</v>
      </c>
      <c r="AC6" s="13">
        <v>65393258.198807202</v>
      </c>
      <c r="AD6" s="13">
        <v>373303415.930471</v>
      </c>
    </row>
    <row r="7" spans="2:30" x14ac:dyDescent="0.25">
      <c r="B7" s="12" t="s">
        <v>3</v>
      </c>
      <c r="C7" s="13">
        <v>6911819947.9118605</v>
      </c>
      <c r="D7" s="13">
        <v>84539747.570964605</v>
      </c>
      <c r="E7" s="13">
        <v>402506410.32927102</v>
      </c>
      <c r="F7" s="13">
        <v>773834492.66732204</v>
      </c>
      <c r="G7" s="13">
        <v>6691270.70591434</v>
      </c>
      <c r="H7" s="13">
        <v>4221587.7994803302</v>
      </c>
      <c r="I7" s="13">
        <v>6555122229.1284199</v>
      </c>
      <c r="J7" s="13">
        <v>14642166579.869301</v>
      </c>
      <c r="K7" s="13">
        <v>12537418186.223301</v>
      </c>
      <c r="L7" s="13">
        <v>696573972.20009804</v>
      </c>
      <c r="M7" s="13">
        <v>1067375064.49231</v>
      </c>
      <c r="N7" s="13">
        <v>1035007986.80928</v>
      </c>
      <c r="O7" s="13">
        <v>935655509.62965298</v>
      </c>
      <c r="P7" s="13">
        <v>530177374.95528603</v>
      </c>
      <c r="Q7" s="13">
        <v>1850990221.8622401</v>
      </c>
      <c r="R7" s="13">
        <v>461167484.20708501</v>
      </c>
      <c r="S7" s="13">
        <v>29067701.824780598</v>
      </c>
      <c r="T7" s="12">
        <v>3083120916.6462498</v>
      </c>
      <c r="U7" s="13">
        <v>4101128486.4774499</v>
      </c>
      <c r="V7" s="13">
        <v>16206822.8498512</v>
      </c>
      <c r="W7" s="12">
        <v>891674752.13109398</v>
      </c>
      <c r="X7" s="12">
        <v>617897469.90173805</v>
      </c>
      <c r="Y7" s="13">
        <v>277719279.75252301</v>
      </c>
      <c r="Z7" s="12">
        <v>2799373013.75668</v>
      </c>
      <c r="AA7" s="12">
        <v>3195042928.6329598</v>
      </c>
      <c r="AB7" s="13">
        <v>99574991.223458096</v>
      </c>
      <c r="AC7" s="13">
        <v>65896065.102317601</v>
      </c>
      <c r="AD7" s="13">
        <v>234358600.22757199</v>
      </c>
    </row>
    <row r="8" spans="2:30" x14ac:dyDescent="0.25">
      <c r="B8" s="12" t="s">
        <v>4</v>
      </c>
      <c r="C8" s="13">
        <v>7249333704.1431198</v>
      </c>
      <c r="D8" s="13">
        <v>92511170.824016407</v>
      </c>
      <c r="E8" s="13">
        <v>416345360.58011103</v>
      </c>
      <c r="F8" s="13">
        <v>842110545.25593305</v>
      </c>
      <c r="G8" s="13">
        <v>6887120.3106398201</v>
      </c>
      <c r="H8" s="13">
        <v>3478421.7082967702</v>
      </c>
      <c r="I8" s="13">
        <v>7208797560.1494303</v>
      </c>
      <c r="J8" s="13">
        <v>15001187623.4224</v>
      </c>
      <c r="K8" s="13">
        <v>12713836557.2607</v>
      </c>
      <c r="L8" s="13">
        <v>699927015.71612704</v>
      </c>
      <c r="M8" s="13">
        <v>1080712123.8290401</v>
      </c>
      <c r="N8" s="13">
        <v>1050725253.7012</v>
      </c>
      <c r="O8" s="13">
        <v>1072926393.21639</v>
      </c>
      <c r="P8" s="13">
        <v>515592834.51863903</v>
      </c>
      <c r="Q8" s="13">
        <v>1878351441.5933499</v>
      </c>
      <c r="R8" s="13">
        <v>508137780.497293</v>
      </c>
      <c r="S8" s="13">
        <v>28121066.4556778</v>
      </c>
      <c r="T8" s="12">
        <v>3118231481.6638498</v>
      </c>
      <c r="U8" s="13">
        <v>3957200213.7986002</v>
      </c>
      <c r="V8" s="13">
        <v>16189505.8775346</v>
      </c>
      <c r="W8" s="12">
        <v>910815831.02538097</v>
      </c>
      <c r="X8" s="12">
        <v>678065140.88751495</v>
      </c>
      <c r="Y8" s="13">
        <v>264793830.938835</v>
      </c>
      <c r="Z8" s="12">
        <v>2912688091.33954</v>
      </c>
      <c r="AA8" s="12">
        <v>3305448457.3266902</v>
      </c>
      <c r="AB8" s="13">
        <v>103659893.24979</v>
      </c>
      <c r="AC8" s="13">
        <v>64591597.944698699</v>
      </c>
      <c r="AD8" s="13">
        <v>402010478.81022203</v>
      </c>
    </row>
    <row r="9" spans="2:30" x14ac:dyDescent="0.25">
      <c r="B9" s="12" t="s">
        <v>5</v>
      </c>
      <c r="C9" s="13">
        <v>9457794486.7459297</v>
      </c>
      <c r="D9" s="13">
        <v>140902943.009431</v>
      </c>
      <c r="E9" s="13">
        <v>454778056.43112397</v>
      </c>
      <c r="F9" s="13">
        <v>625727462.66745698</v>
      </c>
      <c r="G9" s="13">
        <v>7959635.4063834799</v>
      </c>
      <c r="H9" s="13">
        <v>4640188.9192070197</v>
      </c>
      <c r="I9" s="13">
        <v>6457657740.5250301</v>
      </c>
      <c r="J9" s="13">
        <v>14450678640.1651</v>
      </c>
      <c r="K9" s="13">
        <v>12604227634.523399</v>
      </c>
      <c r="L9" s="13">
        <v>699729950.69058096</v>
      </c>
      <c r="M9" s="13">
        <v>1238165758.69139</v>
      </c>
      <c r="N9" s="13">
        <v>1066079772.19398</v>
      </c>
      <c r="O9" s="13">
        <v>1073722539.70952</v>
      </c>
      <c r="P9" s="13">
        <v>513699211.67731702</v>
      </c>
      <c r="Q9" s="13">
        <v>2558231479.31845</v>
      </c>
      <c r="R9" s="13">
        <v>512572098.85540903</v>
      </c>
      <c r="S9" s="13">
        <v>19626999.4629592</v>
      </c>
      <c r="T9" s="12">
        <v>3104882894.7929201</v>
      </c>
      <c r="U9" s="13">
        <v>3848942645.1294999</v>
      </c>
      <c r="V9" s="13">
        <v>4596607.8324583303</v>
      </c>
      <c r="W9" s="12">
        <v>830384253.30958498</v>
      </c>
      <c r="X9" s="12">
        <v>646938379.54143095</v>
      </c>
      <c r="Y9" s="13">
        <v>265418876.743985</v>
      </c>
      <c r="Z9" s="12">
        <v>2493505301.5622101</v>
      </c>
      <c r="AA9" s="12">
        <v>3129666606.8759999</v>
      </c>
      <c r="AB9" s="13">
        <v>104018744.400986</v>
      </c>
      <c r="AC9" s="13">
        <v>24482628.051116399</v>
      </c>
      <c r="AD9" s="13">
        <v>471434114.94048101</v>
      </c>
    </row>
    <row r="10" spans="2:30" x14ac:dyDescent="0.25">
      <c r="B10" s="12" t="s">
        <v>6</v>
      </c>
      <c r="C10" s="13">
        <v>9576867375.6763706</v>
      </c>
      <c r="D10" s="13">
        <v>142998920.95946899</v>
      </c>
      <c r="E10" s="13">
        <v>437533785.349195</v>
      </c>
      <c r="F10" s="13">
        <v>640798601.77886403</v>
      </c>
      <c r="G10" s="13">
        <v>9072847.9054924306</v>
      </c>
      <c r="H10" s="13">
        <v>2825125.5669438802</v>
      </c>
      <c r="I10" s="13">
        <v>6725145888.4686203</v>
      </c>
      <c r="J10" s="13">
        <v>14801493080.563101</v>
      </c>
      <c r="K10" s="13">
        <v>12086151978.02</v>
      </c>
      <c r="L10" s="13">
        <v>698728722.50501096</v>
      </c>
      <c r="M10" s="13">
        <v>1033152158.82735</v>
      </c>
      <c r="N10" s="13">
        <v>1000292414.26782</v>
      </c>
      <c r="O10" s="13">
        <v>1101882904.3169999</v>
      </c>
      <c r="P10" s="13">
        <v>435179611.48885202</v>
      </c>
      <c r="Q10" s="13">
        <v>2446831941.9080601</v>
      </c>
      <c r="R10" s="13">
        <v>500328700.34883302</v>
      </c>
      <c r="S10" s="13">
        <v>18117761.5707203</v>
      </c>
      <c r="T10" s="12">
        <v>3043285156.2598801</v>
      </c>
      <c r="U10" s="13">
        <v>3739189499.92136</v>
      </c>
      <c r="V10" s="13">
        <v>4024540.4004036798</v>
      </c>
      <c r="W10" s="12">
        <v>776564068.22976196</v>
      </c>
      <c r="X10" s="12">
        <v>618572696.47601199</v>
      </c>
      <c r="Y10" s="13">
        <v>277606302.56595403</v>
      </c>
      <c r="Z10" s="12">
        <v>2691242532.2467899</v>
      </c>
      <c r="AA10" s="12">
        <v>3273458259.8498702</v>
      </c>
      <c r="AB10" s="13">
        <v>108004006.553343</v>
      </c>
      <c r="AC10" s="13">
        <v>30234972.363926601</v>
      </c>
      <c r="AD10" s="13">
        <v>582443506.39603102</v>
      </c>
    </row>
    <row r="11" spans="2:30" x14ac:dyDescent="0.25">
      <c r="B11" s="12" t="s">
        <v>7</v>
      </c>
      <c r="C11" s="13">
        <v>9963755282.9028206</v>
      </c>
      <c r="D11" s="13">
        <v>148990179.35199299</v>
      </c>
      <c r="E11" s="13">
        <v>479033534.35382998</v>
      </c>
      <c r="F11" s="13">
        <v>714215761.21624196</v>
      </c>
      <c r="G11" s="13">
        <v>9587761.8166144099</v>
      </c>
      <c r="H11" s="13">
        <v>3033812.9302294902</v>
      </c>
      <c r="I11" s="13">
        <v>7281016760.61765</v>
      </c>
      <c r="J11" s="13">
        <v>15141444777.7393</v>
      </c>
      <c r="K11" s="13">
        <v>13076150943.2547</v>
      </c>
      <c r="L11" s="13">
        <v>785107320.42256796</v>
      </c>
      <c r="M11" s="13">
        <v>1132240951.66205</v>
      </c>
      <c r="N11" s="13">
        <v>1108905124.3202701</v>
      </c>
      <c r="O11" s="13">
        <v>1052672723.99858</v>
      </c>
      <c r="P11" s="13">
        <v>427255092.12751299</v>
      </c>
      <c r="Q11" s="13">
        <v>2491332726.9723001</v>
      </c>
      <c r="R11" s="13">
        <v>529139108.697133</v>
      </c>
      <c r="S11" s="13">
        <v>20088253.575929299</v>
      </c>
      <c r="T11" s="12">
        <v>3117719996.92556</v>
      </c>
      <c r="U11" s="13">
        <v>4013004282.8041902</v>
      </c>
      <c r="V11" s="13">
        <v>4278001.7144083101</v>
      </c>
      <c r="W11" s="12">
        <v>838286526.68516695</v>
      </c>
      <c r="X11" s="12">
        <v>648050602.38248396</v>
      </c>
      <c r="Y11" s="13">
        <v>298825281.48370701</v>
      </c>
      <c r="Z11" s="12">
        <v>2878819999.1728702</v>
      </c>
      <c r="AA11" s="12">
        <v>3486984217.88831</v>
      </c>
      <c r="AB11" s="13">
        <v>114285978.431391</v>
      </c>
      <c r="AC11" s="13">
        <v>39107279.065023601</v>
      </c>
      <c r="AD11" s="13">
        <v>861928852.49996996</v>
      </c>
    </row>
    <row r="12" spans="2:30" x14ac:dyDescent="0.25">
      <c r="B12" s="12" t="s">
        <v>8</v>
      </c>
      <c r="C12" s="13">
        <v>9761074832.8391304</v>
      </c>
      <c r="D12" s="13">
        <v>146722745.951897</v>
      </c>
      <c r="E12" s="13">
        <v>477542069.79366797</v>
      </c>
      <c r="F12" s="13">
        <v>661873743.77270496</v>
      </c>
      <c r="G12" s="13">
        <v>9685784.1744841691</v>
      </c>
      <c r="H12" s="13">
        <v>4065484.5612527002</v>
      </c>
      <c r="I12" s="13">
        <v>6872917259.0862598</v>
      </c>
      <c r="J12" s="13">
        <v>14958385487.5749</v>
      </c>
      <c r="K12" s="13">
        <v>12518620634.680599</v>
      </c>
      <c r="L12" s="13">
        <v>728997745.39596403</v>
      </c>
      <c r="M12" s="13">
        <v>1094607434.6887801</v>
      </c>
      <c r="N12" s="13">
        <v>1113716501.9231801</v>
      </c>
      <c r="O12" s="13">
        <v>1101232162.18519</v>
      </c>
      <c r="P12" s="13">
        <v>440868711.59498298</v>
      </c>
      <c r="Q12" s="13">
        <v>2372649921.2094598</v>
      </c>
      <c r="R12" s="13">
        <v>505378354.425816</v>
      </c>
      <c r="S12" s="13">
        <v>19456076.634172998</v>
      </c>
      <c r="T12" s="12">
        <v>2972887869.1696301</v>
      </c>
      <c r="U12" s="13">
        <v>3844742076.8294601</v>
      </c>
      <c r="V12" s="13">
        <v>3696614.8302488099</v>
      </c>
      <c r="W12" s="12">
        <v>787101986.01984704</v>
      </c>
      <c r="X12" s="12">
        <v>636215330.33253098</v>
      </c>
      <c r="Y12" s="13">
        <v>277071788.82572597</v>
      </c>
      <c r="Z12" s="12">
        <v>2711681601.1048102</v>
      </c>
      <c r="AA12" s="12">
        <v>3335220817.62992</v>
      </c>
      <c r="AB12" s="13">
        <v>109851107.151407</v>
      </c>
      <c r="AC12" s="13">
        <v>33481545.8502848</v>
      </c>
      <c r="AD12" s="13">
        <v>611604410.58787596</v>
      </c>
    </row>
    <row r="13" spans="2:30" x14ac:dyDescent="0.25">
      <c r="B13" s="12" t="s">
        <v>9</v>
      </c>
      <c r="C13" s="13">
        <v>8368478120.2831697</v>
      </c>
      <c r="D13" s="13">
        <v>119428259.640642</v>
      </c>
      <c r="E13" s="13">
        <v>386008099.178716</v>
      </c>
      <c r="F13" s="13">
        <v>556459864.63530195</v>
      </c>
      <c r="G13" s="13">
        <v>6019543.33701008</v>
      </c>
      <c r="H13" s="13">
        <v>3611556.10164198</v>
      </c>
      <c r="I13" s="13">
        <v>5719574743.98596</v>
      </c>
      <c r="J13" s="13">
        <v>13029518470.7388</v>
      </c>
      <c r="K13" s="13">
        <v>10480108666.522499</v>
      </c>
      <c r="L13" s="13">
        <v>584465645.25783598</v>
      </c>
      <c r="M13" s="13">
        <v>1056874931.70452</v>
      </c>
      <c r="N13" s="13">
        <v>946755069.96328795</v>
      </c>
      <c r="O13" s="13">
        <v>1108076796.3829899</v>
      </c>
      <c r="P13" s="13">
        <v>512226334.66425198</v>
      </c>
      <c r="Q13" s="13">
        <v>2281803101.4330602</v>
      </c>
      <c r="R13" s="13">
        <v>474513878.95635098</v>
      </c>
      <c r="S13" s="13">
        <v>16818362.902642399</v>
      </c>
      <c r="T13" s="12">
        <v>2810569312.7638798</v>
      </c>
      <c r="U13" s="13">
        <v>3565046170.1596198</v>
      </c>
      <c r="V13" s="13">
        <v>3539545.6536772898</v>
      </c>
      <c r="W13" s="12">
        <v>717442705.747352</v>
      </c>
      <c r="X13" s="12">
        <v>575491240.65292799</v>
      </c>
      <c r="Y13" s="13">
        <v>254933461.91707</v>
      </c>
      <c r="Z13" s="12">
        <v>2346294046.3657699</v>
      </c>
      <c r="AA13" s="12">
        <v>2869594508.1379399</v>
      </c>
      <c r="AB13" s="13">
        <v>88468775.950739294</v>
      </c>
      <c r="AC13" s="13">
        <v>28290238.914038599</v>
      </c>
      <c r="AD13" s="13">
        <v>178653806.99514601</v>
      </c>
    </row>
    <row r="14" spans="2:30" x14ac:dyDescent="0.25">
      <c r="B14" s="12" t="s">
        <v>80</v>
      </c>
      <c r="C14" s="13">
        <v>5638440645.00383</v>
      </c>
      <c r="D14" s="13">
        <v>18195914.205626201</v>
      </c>
      <c r="E14" s="13">
        <v>303732281.85209203</v>
      </c>
      <c r="F14" s="13">
        <v>741109228.88704705</v>
      </c>
      <c r="G14" s="13">
        <v>5422999.6942510903</v>
      </c>
      <c r="H14" s="13">
        <v>4043375.53954816</v>
      </c>
      <c r="I14" s="13">
        <v>6541066984.1785402</v>
      </c>
      <c r="J14" s="13">
        <v>14736535492.7544</v>
      </c>
      <c r="K14" s="13">
        <v>11840949716.0394</v>
      </c>
      <c r="L14" s="13">
        <v>673149380.16701198</v>
      </c>
      <c r="M14" s="13">
        <v>1100186928.3957901</v>
      </c>
      <c r="N14" s="13">
        <v>988656780.89835203</v>
      </c>
      <c r="O14" s="13">
        <v>1060340042.63112</v>
      </c>
      <c r="P14" s="13">
        <v>458106865.63393801</v>
      </c>
      <c r="Q14" s="13">
        <v>1393578914.2437601</v>
      </c>
      <c r="R14" s="13">
        <v>467623646.76620197</v>
      </c>
      <c r="S14" s="13">
        <v>35664021.371840999</v>
      </c>
      <c r="T14" s="12">
        <v>2927886730.76755</v>
      </c>
      <c r="U14" s="13">
        <v>3987349549.1543198</v>
      </c>
      <c r="V14" s="13">
        <v>18489690.815482199</v>
      </c>
      <c r="W14" s="12">
        <v>853646668.62514496</v>
      </c>
      <c r="X14" s="12">
        <v>595937987.74765599</v>
      </c>
      <c r="Y14" s="13">
        <v>276271702.55579001</v>
      </c>
      <c r="Z14" s="12">
        <v>2547510739.2913499</v>
      </c>
      <c r="AA14" s="12">
        <v>3063904112.3342099</v>
      </c>
      <c r="AB14" s="13">
        <v>100478159.241892</v>
      </c>
      <c r="AC14" s="13">
        <v>47797937.955133103</v>
      </c>
      <c r="AD14" s="13">
        <v>449635086.130436</v>
      </c>
    </row>
    <row r="15" spans="2:30" x14ac:dyDescent="0.25">
      <c r="B15" s="12" t="s">
        <v>10</v>
      </c>
      <c r="C15" s="13">
        <v>6163163595.0977001</v>
      </c>
      <c r="D15" s="13">
        <v>19889698.601700399</v>
      </c>
      <c r="E15" s="13">
        <v>315745565.87928998</v>
      </c>
      <c r="F15" s="13">
        <v>784830869.87168002</v>
      </c>
      <c r="G15" s="13">
        <v>7124052.5988384001</v>
      </c>
      <c r="H15" s="13">
        <v>4679699.8123099701</v>
      </c>
      <c r="I15" s="13">
        <v>6612425104.0408602</v>
      </c>
      <c r="J15" s="13">
        <v>14194353781.920799</v>
      </c>
      <c r="K15" s="13">
        <v>12745018848.524799</v>
      </c>
      <c r="L15" s="13">
        <v>708095707.541026</v>
      </c>
      <c r="M15" s="13">
        <v>976070693.16280401</v>
      </c>
      <c r="N15" s="13">
        <v>1004621597.38349</v>
      </c>
      <c r="O15" s="13">
        <v>1055614358.79281</v>
      </c>
      <c r="P15" s="13">
        <v>436766228.67640501</v>
      </c>
      <c r="Q15" s="13">
        <v>1513975015.85744</v>
      </c>
      <c r="R15" s="13">
        <v>502427987.00955498</v>
      </c>
      <c r="S15" s="13">
        <v>35973410.766971</v>
      </c>
      <c r="T15" s="12">
        <v>2975749742.6654301</v>
      </c>
      <c r="U15" s="13">
        <v>3687490928.1034002</v>
      </c>
      <c r="V15" s="13">
        <v>20618551.689601999</v>
      </c>
      <c r="W15" s="12">
        <v>891622628.27805901</v>
      </c>
      <c r="X15" s="12">
        <v>603265447.06648195</v>
      </c>
      <c r="Y15" s="13">
        <v>279387393.14976001</v>
      </c>
      <c r="Z15" s="12">
        <v>2727037099.3082199</v>
      </c>
      <c r="AA15" s="12">
        <v>3339806476.5192299</v>
      </c>
      <c r="AB15" s="13">
        <v>92664452.182008594</v>
      </c>
      <c r="AC15" s="13">
        <v>47124929.647000298</v>
      </c>
      <c r="AD15" s="13">
        <v>801933914.94184697</v>
      </c>
    </row>
    <row r="16" spans="2:30" x14ac:dyDescent="0.25">
      <c r="B16" s="12" t="s">
        <v>11</v>
      </c>
      <c r="C16" s="13">
        <v>5567432899.9613705</v>
      </c>
      <c r="D16" s="13">
        <v>18674885.510077901</v>
      </c>
      <c r="E16" s="13">
        <v>295602046.69537097</v>
      </c>
      <c r="F16" s="13">
        <v>710936458.18414104</v>
      </c>
      <c r="G16" s="13">
        <v>7128673.7543593403</v>
      </c>
      <c r="H16" s="13">
        <v>3357515.8938294598</v>
      </c>
      <c r="I16" s="13">
        <v>6337760888.3979597</v>
      </c>
      <c r="J16" s="13">
        <v>13828524633.862301</v>
      </c>
      <c r="K16" s="13">
        <v>11836514997.403799</v>
      </c>
      <c r="L16" s="13">
        <v>629893764.61399496</v>
      </c>
      <c r="M16" s="13">
        <v>1046552970.4418499</v>
      </c>
      <c r="N16" s="13">
        <v>899819492.69000697</v>
      </c>
      <c r="O16" s="13">
        <v>1066346081.35447</v>
      </c>
      <c r="P16" s="13">
        <v>455989242.23144501</v>
      </c>
      <c r="Q16" s="13">
        <v>1440567210.1879399</v>
      </c>
      <c r="R16" s="13">
        <v>443324228.89644998</v>
      </c>
      <c r="S16" s="13">
        <v>30723396.659691598</v>
      </c>
      <c r="T16" s="12">
        <v>2808754112.8727198</v>
      </c>
      <c r="U16" s="13">
        <v>3829729570.1026702</v>
      </c>
      <c r="V16" s="13">
        <v>17333181.263730701</v>
      </c>
      <c r="W16" s="12">
        <v>812544733.29493201</v>
      </c>
      <c r="X16" s="12">
        <v>576385597.61115599</v>
      </c>
      <c r="Y16" s="13">
        <v>258236588.53189501</v>
      </c>
      <c r="Z16" s="12">
        <v>2563563300.8095102</v>
      </c>
      <c r="AA16" s="12">
        <v>3153486433.1855502</v>
      </c>
      <c r="AB16" s="13">
        <v>92622488.6217985</v>
      </c>
      <c r="AC16" s="13">
        <v>47076370.256836303</v>
      </c>
      <c r="AD16" s="13">
        <v>720232498.55211794</v>
      </c>
    </row>
    <row r="17" spans="2:32" x14ac:dyDescent="0.25">
      <c r="B17" s="12" t="s">
        <v>12</v>
      </c>
      <c r="C17" s="13">
        <v>5893379631.9624996</v>
      </c>
      <c r="D17" s="13">
        <v>17997635.4878815</v>
      </c>
      <c r="E17" s="13">
        <v>274463180.674649</v>
      </c>
      <c r="F17" s="13">
        <v>721850386.24189901</v>
      </c>
      <c r="G17" s="13">
        <v>9135601.4157880992</v>
      </c>
      <c r="H17" s="13">
        <v>3589221.4424018301</v>
      </c>
      <c r="I17" s="13">
        <v>6296493250.9436998</v>
      </c>
      <c r="J17" s="13">
        <v>13994190737.1614</v>
      </c>
      <c r="K17" s="13">
        <v>11493094512.6716</v>
      </c>
      <c r="L17" s="13">
        <v>618491985.96629095</v>
      </c>
      <c r="M17" s="13">
        <v>1070664639.00269</v>
      </c>
      <c r="N17" s="13">
        <v>908670690.968593</v>
      </c>
      <c r="O17" s="13">
        <v>949068153.80655897</v>
      </c>
      <c r="P17" s="13">
        <v>441277013.963148</v>
      </c>
      <c r="Q17" s="13">
        <v>1473693986.11919</v>
      </c>
      <c r="R17" s="13">
        <v>458809748.19566703</v>
      </c>
      <c r="S17" s="13">
        <v>34122957.304419599</v>
      </c>
      <c r="T17" s="12">
        <v>2872735446.5625601</v>
      </c>
      <c r="U17" s="13">
        <v>3694149985.6522102</v>
      </c>
      <c r="V17" s="13">
        <v>17620376.5765156</v>
      </c>
      <c r="W17" s="12">
        <v>828145284.19826198</v>
      </c>
      <c r="X17" s="12">
        <v>577091315.66034603</v>
      </c>
      <c r="Y17" s="13">
        <v>248794262.72257799</v>
      </c>
      <c r="Z17" s="12">
        <v>2488621439.5341702</v>
      </c>
      <c r="AA17" s="12">
        <v>2951878862.0085802</v>
      </c>
      <c r="AB17" s="13">
        <v>91177591.767215207</v>
      </c>
      <c r="AC17" s="13">
        <v>43549860.0619279</v>
      </c>
      <c r="AD17" s="13">
        <v>290179484.49146301</v>
      </c>
    </row>
    <row r="18" spans="2:32" x14ac:dyDescent="0.25">
      <c r="B18" s="12" t="s">
        <v>13</v>
      </c>
      <c r="C18" s="13">
        <v>5807124674.1917896</v>
      </c>
      <c r="D18" s="13">
        <v>19216030.187623601</v>
      </c>
      <c r="E18" s="13">
        <v>289383373.63496298</v>
      </c>
      <c r="F18" s="13">
        <v>723793107.23598695</v>
      </c>
      <c r="G18" s="13">
        <v>7641125.05085536</v>
      </c>
      <c r="H18" s="13">
        <v>3575375.2861566502</v>
      </c>
      <c r="I18" s="13">
        <v>6247658253.36203</v>
      </c>
      <c r="J18" s="13">
        <v>14765959113.0532</v>
      </c>
      <c r="K18" s="13">
        <v>11972173965.170401</v>
      </c>
      <c r="L18" s="13">
        <v>681376274.59980094</v>
      </c>
      <c r="M18" s="13">
        <v>1105268550.8636899</v>
      </c>
      <c r="N18" s="13">
        <v>974996149.34197104</v>
      </c>
      <c r="O18" s="13">
        <v>1015873850.72961</v>
      </c>
      <c r="P18" s="13">
        <v>464074095.92136902</v>
      </c>
      <c r="Q18" s="13">
        <v>1343870092.9493101</v>
      </c>
      <c r="R18" s="13">
        <v>447353374.70909703</v>
      </c>
      <c r="S18" s="13">
        <v>30875417.975930799</v>
      </c>
      <c r="T18" s="12">
        <v>2618493889.3176899</v>
      </c>
      <c r="U18" s="13">
        <v>3984627943.92593</v>
      </c>
      <c r="V18" s="13">
        <v>17305225.091371302</v>
      </c>
      <c r="W18" s="12">
        <v>814381498.34729898</v>
      </c>
      <c r="X18" s="12">
        <v>570211584.41320598</v>
      </c>
      <c r="Y18" s="13">
        <v>255153641.67148399</v>
      </c>
      <c r="Z18" s="12">
        <v>2448372198.5507898</v>
      </c>
      <c r="AA18" s="12">
        <v>2799604905.45821</v>
      </c>
      <c r="AB18" s="13">
        <v>105982139.80215999</v>
      </c>
      <c r="AC18" s="13">
        <v>24853754.002377801</v>
      </c>
      <c r="AD18" s="13">
        <v>848597866.817307</v>
      </c>
    </row>
    <row r="19" spans="2:32" x14ac:dyDescent="0.25">
      <c r="B19" s="12" t="s">
        <v>14</v>
      </c>
      <c r="C19" s="13">
        <v>9896084911.9704895</v>
      </c>
      <c r="D19" s="13">
        <v>26436231.985464402</v>
      </c>
      <c r="E19" s="13">
        <v>339352049.26223999</v>
      </c>
      <c r="F19" s="13">
        <v>630817773.85784101</v>
      </c>
      <c r="G19" s="13">
        <v>8958110.5884798095</v>
      </c>
      <c r="H19" s="13">
        <v>4402997.8117461596</v>
      </c>
      <c r="I19" s="13">
        <v>6184877823.4586897</v>
      </c>
      <c r="J19" s="13">
        <v>12633030176.4104</v>
      </c>
      <c r="K19" s="13">
        <v>12813569653.8806</v>
      </c>
      <c r="L19" s="13">
        <v>729256960.04165006</v>
      </c>
      <c r="M19" s="13">
        <v>1181631390.56006</v>
      </c>
      <c r="N19" s="13">
        <v>1031604986.36593</v>
      </c>
      <c r="O19" s="13">
        <v>1100405908.1629901</v>
      </c>
      <c r="P19" s="13">
        <v>398851288.83284199</v>
      </c>
      <c r="Q19" s="13">
        <v>1745565962.6470599</v>
      </c>
      <c r="R19" s="13">
        <v>565654009.41875601</v>
      </c>
      <c r="S19" s="13">
        <v>36123045.083201997</v>
      </c>
      <c r="T19" s="12">
        <v>3114150069.0641599</v>
      </c>
      <c r="U19" s="13">
        <v>3361690621.7607098</v>
      </c>
      <c r="V19" s="13">
        <v>12077672.711298</v>
      </c>
      <c r="W19" s="12">
        <v>795170588.62245405</v>
      </c>
      <c r="X19" s="12">
        <v>628591595.21842098</v>
      </c>
      <c r="Y19" s="13">
        <v>281001500.63777697</v>
      </c>
      <c r="Z19" s="12">
        <v>2777861320.2941298</v>
      </c>
      <c r="AA19" s="12">
        <v>3257630848.6464601</v>
      </c>
      <c r="AB19" s="13">
        <v>71171339.030995399</v>
      </c>
      <c r="AC19" s="13">
        <v>18572394.571329098</v>
      </c>
      <c r="AD19" s="13">
        <v>685841925.28525496</v>
      </c>
    </row>
    <row r="20" spans="2:32" x14ac:dyDescent="0.25">
      <c r="B20" s="12" t="s">
        <v>15</v>
      </c>
      <c r="C20" s="13">
        <v>7392115937.3195</v>
      </c>
      <c r="D20" s="13">
        <v>21476858.337875701</v>
      </c>
      <c r="E20" s="13">
        <v>268224605.344982</v>
      </c>
      <c r="F20" s="13">
        <v>491377661.56490302</v>
      </c>
      <c r="G20" s="13">
        <v>6898189.6860915199</v>
      </c>
      <c r="H20" s="13">
        <v>2749734.7037027702</v>
      </c>
      <c r="I20" s="13">
        <v>4992372710.7333097</v>
      </c>
      <c r="J20" s="13">
        <v>14760725349.610399</v>
      </c>
      <c r="K20" s="13">
        <v>9969658522.4631195</v>
      </c>
      <c r="L20" s="13">
        <v>567804817.69203699</v>
      </c>
      <c r="M20" s="13">
        <v>972303710.62375998</v>
      </c>
      <c r="N20" s="13">
        <v>732233871.58573604</v>
      </c>
      <c r="O20" s="13">
        <v>1317344715.5932</v>
      </c>
      <c r="P20" s="13">
        <v>340877196.764732</v>
      </c>
      <c r="Q20" s="13">
        <v>1261849586.62921</v>
      </c>
      <c r="R20" s="13">
        <v>414751881.69082397</v>
      </c>
      <c r="S20" s="13">
        <v>27060931.218444102</v>
      </c>
      <c r="T20" s="12">
        <v>2374155471.99436</v>
      </c>
      <c r="U20" s="13">
        <v>3974345180.8065</v>
      </c>
      <c r="V20" s="13">
        <v>9081710.3551228996</v>
      </c>
      <c r="W20" s="12">
        <v>618680917.55660903</v>
      </c>
      <c r="X20" s="12">
        <v>481331407.17148</v>
      </c>
      <c r="Y20" s="13">
        <v>213739065.47546801</v>
      </c>
      <c r="Z20" s="12">
        <v>2061172351.87099</v>
      </c>
      <c r="AA20" s="12">
        <v>2466311672.2062702</v>
      </c>
      <c r="AB20" s="13">
        <v>105510233.670297</v>
      </c>
      <c r="AC20" s="13">
        <v>22816600.9778606</v>
      </c>
      <c r="AD20" s="13">
        <v>437865499.46264499</v>
      </c>
    </row>
    <row r="21" spans="2:32" x14ac:dyDescent="0.25">
      <c r="B21" s="12" t="s">
        <v>16</v>
      </c>
      <c r="C21" s="13">
        <v>9857098151.7422791</v>
      </c>
      <c r="D21" s="13">
        <v>27038719.331021301</v>
      </c>
      <c r="E21" s="13">
        <v>336216587.30642301</v>
      </c>
      <c r="F21" s="13">
        <v>555226163.87957895</v>
      </c>
      <c r="G21" s="13">
        <v>9568316.5429392606</v>
      </c>
      <c r="H21" s="13">
        <v>4838481.9079908105</v>
      </c>
      <c r="I21" s="13">
        <v>7008465503.4991703</v>
      </c>
      <c r="J21" s="13">
        <v>11787747742.759501</v>
      </c>
      <c r="K21" s="13">
        <v>13254120182.8666</v>
      </c>
      <c r="L21" s="13">
        <v>724050672.73951399</v>
      </c>
      <c r="M21" s="13">
        <v>1053241762.40219</v>
      </c>
      <c r="N21" s="13">
        <v>1118386124.4393301</v>
      </c>
      <c r="O21" s="13">
        <v>1197833137.35042</v>
      </c>
      <c r="P21" s="13">
        <v>352225621.03591102</v>
      </c>
      <c r="Q21" s="13">
        <v>1783257518.01472</v>
      </c>
      <c r="R21" s="13">
        <v>550175787.73224103</v>
      </c>
      <c r="S21" s="13">
        <v>38790559.655690901</v>
      </c>
      <c r="T21" s="12">
        <v>3076971039.89329</v>
      </c>
      <c r="U21" s="13">
        <v>3129644282.02738</v>
      </c>
      <c r="V21" s="13">
        <v>11537934.5446984</v>
      </c>
      <c r="W21" s="12">
        <v>802214526.31650996</v>
      </c>
      <c r="X21" s="12">
        <v>649312110.06142795</v>
      </c>
      <c r="Y21" s="13">
        <v>265094736.300616</v>
      </c>
      <c r="Z21" s="12">
        <v>2683387169.35144</v>
      </c>
      <c r="AA21" s="12">
        <v>3377354598.7803202</v>
      </c>
      <c r="AB21" s="13">
        <v>73044477.708136007</v>
      </c>
      <c r="AC21" s="13">
        <v>12778864.4178604</v>
      </c>
      <c r="AD21" s="13">
        <v>687921314.25794995</v>
      </c>
    </row>
    <row r="22" spans="2:32" x14ac:dyDescent="0.25">
      <c r="B22" s="12" t="s">
        <v>17</v>
      </c>
      <c r="C22" s="13">
        <v>7639631408.4146299</v>
      </c>
      <c r="D22" s="13">
        <v>19941476.167345699</v>
      </c>
      <c r="E22" s="13">
        <v>238409615.175385</v>
      </c>
      <c r="F22" s="13">
        <v>420463057.838902</v>
      </c>
      <c r="G22" s="13">
        <v>6164998.1987832598</v>
      </c>
      <c r="H22" s="13">
        <v>3063691.0083062798</v>
      </c>
      <c r="I22" s="13">
        <v>5080410920.01618</v>
      </c>
      <c r="J22" s="13">
        <v>13482701208.0002</v>
      </c>
      <c r="K22" s="13">
        <v>9077864932.7535</v>
      </c>
      <c r="L22" s="13">
        <v>432926728.53914499</v>
      </c>
      <c r="M22" s="13">
        <v>1013504086.77485</v>
      </c>
      <c r="N22" s="13">
        <v>719130001.21876299</v>
      </c>
      <c r="O22" s="13">
        <v>1615504409.5569201</v>
      </c>
      <c r="P22" s="13">
        <v>357700361.25197202</v>
      </c>
      <c r="Q22" s="13">
        <v>1308535519.8687699</v>
      </c>
      <c r="R22" s="13">
        <v>382481225.53618598</v>
      </c>
      <c r="S22" s="13">
        <v>26471099.910700101</v>
      </c>
      <c r="T22" s="12">
        <v>2260630216.3127999</v>
      </c>
      <c r="U22" s="13">
        <v>3595830099.1538601</v>
      </c>
      <c r="V22" s="13">
        <v>9616923.9380597398</v>
      </c>
      <c r="W22" s="12">
        <v>587808822.13329101</v>
      </c>
      <c r="X22" s="12">
        <v>460544129.84606701</v>
      </c>
      <c r="Y22" s="13">
        <v>208570925.356637</v>
      </c>
      <c r="Z22" s="12">
        <v>1858403467.8627501</v>
      </c>
      <c r="AA22" s="12">
        <v>2346326108.0479298</v>
      </c>
      <c r="AB22" s="13">
        <v>94346661.272243902</v>
      </c>
      <c r="AC22" s="13">
        <v>17270867.061292499</v>
      </c>
      <c r="AD22" s="13">
        <v>630527218.53769302</v>
      </c>
    </row>
    <row r="23" spans="2:32" x14ac:dyDescent="0.25">
      <c r="B23" s="12" t="s">
        <v>18</v>
      </c>
      <c r="C23" s="13">
        <v>9620684733.1756096</v>
      </c>
      <c r="D23" s="13">
        <v>26766819.390206698</v>
      </c>
      <c r="E23" s="13">
        <v>321638581.57720602</v>
      </c>
      <c r="F23" s="13">
        <v>541874045.75612104</v>
      </c>
      <c r="G23" s="13">
        <v>9538478.8317316305</v>
      </c>
      <c r="H23" s="13">
        <v>4495835.7361146901</v>
      </c>
      <c r="I23" s="13">
        <v>6111802620.0174799</v>
      </c>
      <c r="J23" s="13">
        <v>13949593621.267099</v>
      </c>
      <c r="K23" s="13">
        <v>11094853043.975</v>
      </c>
      <c r="L23" s="13">
        <v>617653934.27585196</v>
      </c>
      <c r="M23" s="13">
        <v>1070532674.91169</v>
      </c>
      <c r="N23" s="13">
        <v>981245790.34890294</v>
      </c>
      <c r="O23" s="13">
        <v>1017450359.17326</v>
      </c>
      <c r="P23" s="13">
        <v>403116414.56650102</v>
      </c>
      <c r="Q23" s="13">
        <v>1693105569.80618</v>
      </c>
      <c r="R23" s="13">
        <v>518806261.52531999</v>
      </c>
      <c r="S23" s="13">
        <v>33527768.774130698</v>
      </c>
      <c r="T23" s="12">
        <v>2881401304.1227298</v>
      </c>
      <c r="U23" s="13">
        <v>4011911617.12007</v>
      </c>
      <c r="V23" s="13">
        <v>10681481.7982645</v>
      </c>
      <c r="W23" s="12">
        <v>708610208.03944004</v>
      </c>
      <c r="X23" s="12">
        <v>547518292.47431898</v>
      </c>
      <c r="Y23" s="13">
        <v>264032118.432347</v>
      </c>
      <c r="Z23" s="12">
        <v>2514604946.0837302</v>
      </c>
      <c r="AA23" s="12">
        <v>2931185829.4801898</v>
      </c>
      <c r="AB23" s="13">
        <v>92946396.1825158</v>
      </c>
      <c r="AC23" s="13">
        <v>54749619.273788698</v>
      </c>
      <c r="AD23" s="13">
        <v>863996220.082389</v>
      </c>
    </row>
    <row r="24" spans="2:32" x14ac:dyDescent="0.25">
      <c r="B24" s="12" t="s">
        <v>19</v>
      </c>
      <c r="C24" s="13">
        <v>1572214512.64375</v>
      </c>
      <c r="D24" s="13">
        <v>7014329.0791357402</v>
      </c>
      <c r="E24" s="13">
        <v>263158369.695847</v>
      </c>
      <c r="F24" s="13">
        <v>956573525.94201303</v>
      </c>
      <c r="G24" s="13">
        <v>6236624.7682684697</v>
      </c>
      <c r="H24" s="13">
        <v>2100711.6605529399</v>
      </c>
      <c r="I24" s="13">
        <v>5452667282.9535503</v>
      </c>
      <c r="J24" s="13">
        <v>14155758160.9604</v>
      </c>
      <c r="K24" s="13">
        <v>10880176095.1017</v>
      </c>
      <c r="L24" s="13">
        <v>570210183.89190602</v>
      </c>
      <c r="M24" s="13">
        <v>1035761718.17011</v>
      </c>
      <c r="N24" s="13">
        <v>889160336.01020396</v>
      </c>
      <c r="O24" s="13">
        <v>1285426682.6808901</v>
      </c>
      <c r="P24" s="13">
        <v>259957258.45214599</v>
      </c>
      <c r="Q24" s="13">
        <v>424395554.60003299</v>
      </c>
      <c r="R24" s="13">
        <v>228904372.86353901</v>
      </c>
      <c r="S24" s="13">
        <v>14980306.9460172</v>
      </c>
      <c r="T24" s="12">
        <v>2506636916.9471798</v>
      </c>
      <c r="U24" s="13">
        <v>3767975663.9177799</v>
      </c>
      <c r="V24" s="13">
        <v>2642602.1972217802</v>
      </c>
      <c r="W24" s="12">
        <v>800424932.11368406</v>
      </c>
      <c r="X24" s="12">
        <v>490171624.60317898</v>
      </c>
      <c r="Y24" s="13">
        <v>231255815.668749</v>
      </c>
      <c r="Z24" s="12">
        <v>2092164391.81003</v>
      </c>
      <c r="AA24" s="12">
        <v>2610778419.8917899</v>
      </c>
      <c r="AB24" s="13">
        <v>76489166.295050994</v>
      </c>
      <c r="AC24" s="13">
        <v>130582899.84916</v>
      </c>
      <c r="AD24" s="13">
        <v>399162228.913656</v>
      </c>
    </row>
    <row r="25" spans="2:32" x14ac:dyDescent="0.25">
      <c r="B25" s="12" t="s">
        <v>20</v>
      </c>
      <c r="C25" s="13">
        <v>1653961173.7176499</v>
      </c>
      <c r="D25" s="13">
        <v>7244047.7191784503</v>
      </c>
      <c r="E25" s="13">
        <v>253331449.20684701</v>
      </c>
      <c r="F25" s="13">
        <v>961387017.54566002</v>
      </c>
      <c r="G25" s="13">
        <v>4837198.3417344699</v>
      </c>
      <c r="H25" s="13">
        <v>1701992.6980773199</v>
      </c>
      <c r="I25" s="13">
        <v>5300972284.0785704</v>
      </c>
      <c r="J25" s="13">
        <v>14390446713.0336</v>
      </c>
      <c r="K25" s="13">
        <v>10378166130.5914</v>
      </c>
      <c r="L25" s="13">
        <v>614599150.52466297</v>
      </c>
      <c r="M25" s="13">
        <v>1021366825.52133</v>
      </c>
      <c r="N25" s="13">
        <v>896453624.576859</v>
      </c>
      <c r="O25" s="13">
        <v>1353726440.93908</v>
      </c>
      <c r="P25" s="13">
        <v>255781043.875211</v>
      </c>
      <c r="Q25" s="13">
        <v>423438978.96343499</v>
      </c>
      <c r="R25" s="13">
        <v>242103600.23786899</v>
      </c>
      <c r="S25" s="13">
        <v>15720975.000698799</v>
      </c>
      <c r="T25" s="12">
        <v>2516740322.92307</v>
      </c>
      <c r="U25" s="13">
        <v>3908976383.9045401</v>
      </c>
      <c r="V25" s="13">
        <v>3196279.8968457398</v>
      </c>
      <c r="W25" s="12">
        <v>794911760.03307402</v>
      </c>
      <c r="X25" s="12">
        <v>479693490.668145</v>
      </c>
      <c r="Y25" s="13">
        <v>237131355.84923801</v>
      </c>
      <c r="Z25" s="12">
        <v>2293725396.6025701</v>
      </c>
      <c r="AA25" s="12">
        <v>2713895774.6034598</v>
      </c>
      <c r="AB25" s="13">
        <v>77023769.759513602</v>
      </c>
      <c r="AC25" s="13">
        <v>127317476.134711</v>
      </c>
      <c r="AD25" s="13">
        <v>629844366.51026905</v>
      </c>
    </row>
    <row r="26" spans="2:32" x14ac:dyDescent="0.25">
      <c r="B26" s="12" t="s">
        <v>21</v>
      </c>
      <c r="C26" s="13">
        <v>1958381186.67624</v>
      </c>
      <c r="D26" s="13">
        <v>8832570.2712951191</v>
      </c>
      <c r="E26" s="13">
        <v>337016034.032107</v>
      </c>
      <c r="F26" s="13">
        <v>1125583263.6942799</v>
      </c>
      <c r="G26" s="13">
        <v>7271633.5097527197</v>
      </c>
      <c r="H26" s="13">
        <v>2503082.6657222202</v>
      </c>
      <c r="I26" s="13">
        <v>6606784338.3631001</v>
      </c>
      <c r="J26" s="13">
        <v>15983470048.9168</v>
      </c>
      <c r="K26" s="13">
        <v>13252081981.7854</v>
      </c>
      <c r="L26" s="13">
        <v>727208876.69456804</v>
      </c>
      <c r="M26" s="13">
        <v>1030789707.74711</v>
      </c>
      <c r="N26" s="13">
        <v>1163680613.34447</v>
      </c>
      <c r="O26" s="13">
        <v>1167379611.8747001</v>
      </c>
      <c r="P26" s="13">
        <v>277401586.95873201</v>
      </c>
      <c r="Q26" s="13">
        <v>520343120.84012902</v>
      </c>
      <c r="R26" s="13">
        <v>288233113.251513</v>
      </c>
      <c r="S26" s="13">
        <v>18077529.171804201</v>
      </c>
      <c r="T26" s="12">
        <v>2982563632.92554</v>
      </c>
      <c r="U26" s="13">
        <v>4303883686.0222397</v>
      </c>
      <c r="V26" s="13">
        <v>3245495.2444115598</v>
      </c>
      <c r="W26" s="12">
        <v>981760017.76085103</v>
      </c>
      <c r="X26" s="12">
        <v>626160119.53813803</v>
      </c>
      <c r="Y26" s="13">
        <v>289086677.84668499</v>
      </c>
      <c r="Z26" s="12">
        <v>2738475464.5552402</v>
      </c>
      <c r="AA26" s="12">
        <v>3288265791.3817</v>
      </c>
      <c r="AB26" s="13">
        <v>91866541.001396</v>
      </c>
      <c r="AC26" s="13">
        <v>161726108.082275</v>
      </c>
      <c r="AD26" s="13">
        <v>282349864.04547501</v>
      </c>
    </row>
    <row r="27" spans="2:32" x14ac:dyDescent="0.25">
      <c r="B27" s="12" t="s">
        <v>22</v>
      </c>
      <c r="C27" s="13">
        <v>1789690103.68485</v>
      </c>
      <c r="D27" s="13">
        <v>8634079.4060296007</v>
      </c>
      <c r="E27" s="13">
        <v>295450651.32150102</v>
      </c>
      <c r="F27" s="13">
        <v>1011171847.80011</v>
      </c>
      <c r="G27" s="13">
        <v>6596900.8298474001</v>
      </c>
      <c r="H27" s="13">
        <v>2345295.8637522398</v>
      </c>
      <c r="I27" s="13">
        <v>5765371486.91154</v>
      </c>
      <c r="J27" s="13">
        <v>15606712567.905199</v>
      </c>
      <c r="K27" s="13">
        <v>11937244734.9004</v>
      </c>
      <c r="L27" s="13">
        <v>669760122.625934</v>
      </c>
      <c r="M27" s="13">
        <v>999106611.55997503</v>
      </c>
      <c r="N27" s="13">
        <v>1057086980.95241</v>
      </c>
      <c r="O27" s="13">
        <v>1255887454.0725801</v>
      </c>
      <c r="P27" s="13">
        <v>255808480.89558399</v>
      </c>
      <c r="Q27" s="13">
        <v>497916310.72459799</v>
      </c>
      <c r="R27" s="13">
        <v>260370590.51721999</v>
      </c>
      <c r="S27" s="13">
        <v>17697146.656116899</v>
      </c>
      <c r="T27" s="12">
        <v>2677605137.0671701</v>
      </c>
      <c r="U27" s="13">
        <v>4244284227.22258</v>
      </c>
      <c r="V27" s="13">
        <v>3221295.4250487802</v>
      </c>
      <c r="W27" s="12">
        <v>873395429.74284101</v>
      </c>
      <c r="X27" s="12">
        <v>556420973.44343603</v>
      </c>
      <c r="Y27" s="13">
        <v>264563441.813344</v>
      </c>
      <c r="Z27" s="12">
        <v>2530127646.63099</v>
      </c>
      <c r="AA27" s="12">
        <v>3010214765.46841</v>
      </c>
      <c r="AB27" s="13">
        <v>85310585.037108302</v>
      </c>
      <c r="AC27" s="13">
        <v>139514500.36495599</v>
      </c>
      <c r="AD27" s="13">
        <v>738963456.47902095</v>
      </c>
    </row>
    <row r="28" spans="2:32" x14ac:dyDescent="0.25">
      <c r="B28" s="12" t="s">
        <v>23</v>
      </c>
      <c r="C28" s="13">
        <v>2074014027.0420001</v>
      </c>
      <c r="D28" s="13">
        <v>9055014.5435197093</v>
      </c>
      <c r="E28" s="13">
        <v>353634078.73184901</v>
      </c>
      <c r="F28" s="13">
        <v>1184593363.1713901</v>
      </c>
      <c r="G28" s="13">
        <v>6395888.3187517002</v>
      </c>
      <c r="H28" s="13">
        <v>2411773.4502030499</v>
      </c>
      <c r="I28" s="13">
        <v>7374027602.7452402</v>
      </c>
      <c r="J28" s="13">
        <v>15942758406.093</v>
      </c>
      <c r="K28" s="13">
        <v>13160417197.0791</v>
      </c>
      <c r="L28" s="13">
        <v>759633803.027578</v>
      </c>
      <c r="M28" s="13">
        <v>1286384136.2848201</v>
      </c>
      <c r="N28" s="13">
        <v>1132146372.76037</v>
      </c>
      <c r="O28" s="13">
        <v>1109514911.3510699</v>
      </c>
      <c r="P28" s="13">
        <v>283081483.16750401</v>
      </c>
      <c r="Q28" s="13">
        <v>568164214.37063098</v>
      </c>
      <c r="R28" s="13">
        <v>307429841.44643301</v>
      </c>
      <c r="S28" s="13">
        <v>17295972.730186701</v>
      </c>
      <c r="T28" s="12">
        <v>3130389963.0359802</v>
      </c>
      <c r="U28" s="13">
        <v>4319125762.8617897</v>
      </c>
      <c r="V28" s="13">
        <v>4179328.6342361602</v>
      </c>
      <c r="W28" s="12">
        <v>985550689.50808203</v>
      </c>
      <c r="X28" s="12">
        <v>651350262.88454401</v>
      </c>
      <c r="Y28" s="13">
        <v>298272452.35667402</v>
      </c>
      <c r="Z28" s="12">
        <v>3142380745.0114799</v>
      </c>
      <c r="AA28" s="12">
        <v>3609884905.1025901</v>
      </c>
      <c r="AB28" s="13">
        <v>97897310.360744894</v>
      </c>
      <c r="AC28" s="13">
        <v>180746160.380263</v>
      </c>
      <c r="AD28" s="13">
        <v>608409660.00595796</v>
      </c>
    </row>
    <row r="29" spans="2:32" x14ac:dyDescent="0.2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Y29" s="13"/>
      <c r="AB29" s="13"/>
      <c r="AC29" s="13"/>
      <c r="AD29" s="13"/>
    </row>
    <row r="30" spans="2:32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Y30" s="13"/>
      <c r="AB30" s="13"/>
      <c r="AC30" s="13"/>
      <c r="AD30" s="13"/>
    </row>
    <row r="32" spans="2:32" ht="15" x14ac:dyDescent="0.25">
      <c r="B32" s="71" t="s">
        <v>239</v>
      </c>
      <c r="C32" s="109" t="s">
        <v>225</v>
      </c>
      <c r="D32" s="90" t="s">
        <v>238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110" t="s">
        <v>225</v>
      </c>
      <c r="AF32" s="111"/>
    </row>
    <row r="33" spans="2:32" x14ac:dyDescent="0.25">
      <c r="D33" s="25" t="s">
        <v>128</v>
      </c>
      <c r="E33" s="25" t="s">
        <v>129</v>
      </c>
      <c r="F33" s="109" t="s">
        <v>225</v>
      </c>
      <c r="G33" s="25" t="s">
        <v>123</v>
      </c>
      <c r="H33" s="25" t="s">
        <v>132</v>
      </c>
      <c r="I33" s="25" t="s">
        <v>127</v>
      </c>
      <c r="J33" s="25" t="s">
        <v>120</v>
      </c>
      <c r="K33" s="25" t="s">
        <v>121</v>
      </c>
      <c r="L33" s="25" t="s">
        <v>236</v>
      </c>
      <c r="M33" s="109" t="s">
        <v>225</v>
      </c>
      <c r="N33" s="25" t="s">
        <v>140</v>
      </c>
      <c r="O33" s="109" t="s">
        <v>225</v>
      </c>
      <c r="P33" s="25" t="s">
        <v>139</v>
      </c>
      <c r="Q33" s="25" t="s">
        <v>125</v>
      </c>
      <c r="R33" s="25" t="s">
        <v>138</v>
      </c>
      <c r="S33" s="25" t="s">
        <v>137</v>
      </c>
      <c r="T33" s="25" t="s">
        <v>124</v>
      </c>
      <c r="U33" s="25" t="s">
        <v>130</v>
      </c>
      <c r="V33" s="25" t="s">
        <v>133</v>
      </c>
      <c r="W33" s="25" t="s">
        <v>119</v>
      </c>
      <c r="X33" s="25" t="s">
        <v>126</v>
      </c>
      <c r="Y33" s="25" t="s">
        <v>134</v>
      </c>
      <c r="Z33" s="25" t="s">
        <v>118</v>
      </c>
      <c r="AA33" s="25" t="s">
        <v>131</v>
      </c>
      <c r="AB33" s="25" t="s">
        <v>135</v>
      </c>
      <c r="AC33" s="25" t="s">
        <v>130</v>
      </c>
      <c r="AD33" s="25" t="s">
        <v>136</v>
      </c>
    </row>
    <row r="34" spans="2:32" x14ac:dyDescent="0.25">
      <c r="B34" s="12" t="s">
        <v>114</v>
      </c>
      <c r="C34" s="25" t="s">
        <v>28</v>
      </c>
      <c r="D34" s="25" t="s">
        <v>30</v>
      </c>
      <c r="E34" s="25" t="s">
        <v>31</v>
      </c>
      <c r="F34" s="25" t="s">
        <v>34</v>
      </c>
      <c r="G34" s="25" t="s">
        <v>36</v>
      </c>
      <c r="H34" s="25" t="s">
        <v>42</v>
      </c>
      <c r="I34" s="25" t="s">
        <v>43</v>
      </c>
      <c r="J34" s="25" t="s">
        <v>46</v>
      </c>
      <c r="K34" s="25" t="s">
        <v>47</v>
      </c>
      <c r="L34" s="25" t="s">
        <v>48</v>
      </c>
      <c r="M34" s="25" t="s">
        <v>50</v>
      </c>
      <c r="N34" s="25" t="s">
        <v>51</v>
      </c>
      <c r="O34" s="25" t="s">
        <v>52</v>
      </c>
      <c r="P34" s="25" t="s">
        <v>54</v>
      </c>
      <c r="Q34" s="25" t="s">
        <v>59</v>
      </c>
      <c r="R34" s="25" t="s">
        <v>110</v>
      </c>
      <c r="S34" s="25" t="s">
        <v>61</v>
      </c>
      <c r="T34" s="25" t="s">
        <v>62</v>
      </c>
      <c r="U34" s="25" t="s">
        <v>64</v>
      </c>
      <c r="V34" s="25" t="s">
        <v>67</v>
      </c>
      <c r="W34" s="25" t="s">
        <v>68</v>
      </c>
      <c r="X34" s="25" t="s">
        <v>70</v>
      </c>
      <c r="Y34" s="25" t="s">
        <v>76</v>
      </c>
      <c r="Z34" s="25" t="s">
        <v>77</v>
      </c>
      <c r="AA34" s="25" t="s">
        <v>78</v>
      </c>
      <c r="AB34" s="25" t="s">
        <v>106</v>
      </c>
      <c r="AC34" s="25" t="s">
        <v>107</v>
      </c>
      <c r="AD34" s="25" t="s">
        <v>113</v>
      </c>
      <c r="AE34" s="12" t="str">
        <f>'raw data pHILIC'!BH92</f>
        <v>aKG</v>
      </c>
      <c r="AF34" s="12" t="str">
        <f>'raw data pHILIC'!BM92</f>
        <v>aconitate</v>
      </c>
    </row>
    <row r="35" spans="2:32" x14ac:dyDescent="0.25">
      <c r="B35" s="12" t="s">
        <v>0</v>
      </c>
      <c r="C35" s="25">
        <v>1.0139736831675314E-2</v>
      </c>
      <c r="D35" s="25">
        <f t="shared" ref="D35:D59" si="0">(D4+1000000)/300000000000</f>
        <v>2.8500121754872665E-4</v>
      </c>
      <c r="E35" s="25">
        <f t="shared" ref="E35:E59" si="1">(E4-100000000)/500000000000</f>
        <v>6.0426551975806611E-4</v>
      </c>
      <c r="F35" s="25">
        <f>'raw data pHILIC'!K93</f>
        <v>2.9726444679141835E-3</v>
      </c>
      <c r="G35" s="25">
        <f t="shared" ref="G35:G59" si="2">(G4+3000000)/60000000000</f>
        <v>2.0675820423351766E-4</v>
      </c>
      <c r="H35" s="25">
        <f t="shared" ref="H35:H59" si="3">(H4+800000000)/400000000000</f>
        <v>2.0092094641847233E-3</v>
      </c>
      <c r="I35" s="25">
        <f t="shared" ref="I35:I59" si="4">(4:4-2000000000)/1000000000000</f>
        <v>4.6749624479050997E-3</v>
      </c>
      <c r="J35" s="25">
        <f t="shared" ref="J35:J59" si="5">(4:4-100000000)/40000000000</f>
        <v>0.37048464304536249</v>
      </c>
      <c r="K35" s="25">
        <f t="shared" ref="K35:K59" si="6">(K4-200000000)/2000000000000</f>
        <v>6.1248565111573497E-3</v>
      </c>
      <c r="L35" s="25">
        <f t="shared" ref="L35:L59" si="7">(L4-400000000)/600000000000</f>
        <v>5.1764509342437171E-4</v>
      </c>
      <c r="M35" s="25">
        <v>1.4796026526952279E-3</v>
      </c>
      <c r="N35" s="25">
        <f t="shared" ref="N35:N59" si="8">(N4-100000000)/1000000000000</f>
        <v>9.2783964089017E-4</v>
      </c>
      <c r="O35" s="25">
        <f>'raw data pHILIC'!AF93</f>
        <v>9.5621236420309857E-4</v>
      </c>
      <c r="P35" s="25">
        <f t="shared" ref="P35:P59" si="9">(P4-6000000)/2000000000000</f>
        <v>2.4441953945436497E-4</v>
      </c>
      <c r="Q35" s="25">
        <f t="shared" ref="Q35:Q59" si="10">(Q4+9000000)/900000000000</f>
        <v>2.1641036081925333E-3</v>
      </c>
      <c r="R35" s="25">
        <f t="shared" ref="R35:R59" si="11">(R4-80000000)/500000000000</f>
        <v>8.1302497527733803E-4</v>
      </c>
      <c r="S35" s="25">
        <f t="shared" ref="S35:S59" si="12">(S4-340439)/400000000000</f>
        <v>6.672190493569276E-5</v>
      </c>
      <c r="T35" s="25">
        <f t="shared" ref="T35:T59" si="13">(T4-300000000)/500000000000</f>
        <v>5.8758013053419201E-3</v>
      </c>
      <c r="U35" s="25">
        <f t="shared" ref="U35:U59" si="14">(U4-30000000)/200000000000</f>
        <v>1.9653030703851649E-2</v>
      </c>
      <c r="V35" s="25">
        <f t="shared" ref="V35:V59" si="15">(V4-1000000)/200000000000</f>
        <v>6.4569536369347007E-5</v>
      </c>
      <c r="W35" s="25">
        <f t="shared" ref="W35:W59" si="16">(W4-200000000)/200000000000</f>
        <v>3.2033578147998101E-3</v>
      </c>
      <c r="X35" s="25">
        <f t="shared" ref="X35:X59" si="17">(X4+5000000)/400000000000</f>
        <v>1.5394707564784251E-3</v>
      </c>
      <c r="Y35" s="25">
        <f t="shared" ref="Y35:Y59" si="18">(Y4-3000000)/200000000000</f>
        <v>1.3325772117261301E-3</v>
      </c>
      <c r="Z35" s="25">
        <f t="shared" ref="Z35:Z59" si="19">(Z4-200000000)/600000000000</f>
        <v>4.32181177425365E-3</v>
      </c>
      <c r="AA35" s="25">
        <f t="shared" ref="AA35:AA59" si="20">(AA4-500000000)/400000000000</f>
        <v>6.8790653540388253E-3</v>
      </c>
      <c r="AB35" s="25">
        <f t="shared" ref="AB35:AB59" si="21">(AB4+10000000)/1000000000000</f>
        <v>1.12191162135669E-4</v>
      </c>
      <c r="AC35" s="25">
        <f t="shared" ref="AC35:AC59" si="22">(AC4-30000000)/200000000000</f>
        <v>1.9228436680421046E-4</v>
      </c>
      <c r="AD35" s="25">
        <f t="shared" ref="AD35:AD59" si="23">(AD4-30000000)/500000000000</f>
        <v>1.777492541506748E-3</v>
      </c>
      <c r="AE35" s="12">
        <f>'raw data pHILIC'!BH93</f>
        <v>2.2948720141993121E-5</v>
      </c>
      <c r="AF35" s="12">
        <f>'raw data pHILIC'!BM93</f>
        <v>2.7618110377988992E-7</v>
      </c>
    </row>
    <row r="36" spans="2:32" x14ac:dyDescent="0.25">
      <c r="B36" s="12" t="s">
        <v>1</v>
      </c>
      <c r="C36" s="25">
        <v>4.3711666031137512E-2</v>
      </c>
      <c r="D36" s="25">
        <f>(D5+1000000)/300000000000</f>
        <v>2.7710229778554903E-4</v>
      </c>
      <c r="E36" s="25">
        <f t="shared" si="1"/>
        <v>5.6419606304179205E-4</v>
      </c>
      <c r="F36" s="25">
        <f>'raw data pHILIC'!K94</f>
        <v>1.5473840429371154E-2</v>
      </c>
      <c r="G36" s="25">
        <f t="shared" si="2"/>
        <v>1.5708244456653819E-4</v>
      </c>
      <c r="H36" s="25">
        <f t="shared" si="3"/>
        <v>2.0096079763927709E-3</v>
      </c>
      <c r="I36" s="25">
        <f t="shared" si="4"/>
        <v>4.7084645111705103E-3</v>
      </c>
      <c r="J36" s="25">
        <f t="shared" si="5"/>
        <v>0.35737141140669498</v>
      </c>
      <c r="K36" s="25">
        <f t="shared" si="6"/>
        <v>6.2855282515759002E-3</v>
      </c>
      <c r="L36" s="25">
        <f t="shared" si="7"/>
        <v>5.3954578323422173E-4</v>
      </c>
      <c r="M36" s="25">
        <v>8.6061316563185164E-3</v>
      </c>
      <c r="N36" s="25">
        <f t="shared" si="8"/>
        <v>1.0413573440463499E-3</v>
      </c>
      <c r="O36" s="25">
        <f>'raw data pHILIC'!AF94</f>
        <v>4.2648574439932817E-3</v>
      </c>
      <c r="P36" s="25">
        <f t="shared" si="9"/>
        <v>2.4082017155919747E-4</v>
      </c>
      <c r="Q36" s="25">
        <f t="shared" si="10"/>
        <v>2.0715283268702665E-3</v>
      </c>
      <c r="R36" s="25">
        <f t="shared" si="11"/>
        <v>7.8372135340319801E-4</v>
      </c>
      <c r="S36" s="25">
        <f t="shared" si="12"/>
        <v>6.8685153952544747E-5</v>
      </c>
      <c r="T36" s="25">
        <f t="shared" si="13"/>
        <v>5.4491699973407606E-3</v>
      </c>
      <c r="U36" s="25">
        <f t="shared" si="14"/>
        <v>1.9237523930574599E-2</v>
      </c>
      <c r="V36" s="25">
        <f t="shared" si="15"/>
        <v>7.4983669032884496E-5</v>
      </c>
      <c r="W36" s="25">
        <f t="shared" si="16"/>
        <v>3.6877763163678449E-3</v>
      </c>
      <c r="X36" s="25">
        <f t="shared" si="17"/>
        <v>1.622796069766005E-3</v>
      </c>
      <c r="Y36" s="25">
        <f t="shared" si="18"/>
        <v>1.4314329755188901E-3</v>
      </c>
      <c r="Z36" s="25">
        <f t="shared" si="19"/>
        <v>4.094621017309283E-3</v>
      </c>
      <c r="AA36" s="25">
        <f t="shared" si="20"/>
        <v>6.40600305490185E-3</v>
      </c>
      <c r="AB36" s="25">
        <f t="shared" si="21"/>
        <v>1.0800511382901759E-4</v>
      </c>
      <c r="AC36" s="25">
        <f t="shared" si="22"/>
        <v>1.6736194039377599E-4</v>
      </c>
      <c r="AD36" s="25">
        <f t="shared" si="23"/>
        <v>1.8703109793434401E-3</v>
      </c>
      <c r="AE36" s="12">
        <f>'raw data pHILIC'!BH94</f>
        <v>1.0296895211017734E-4</v>
      </c>
      <c r="AF36" s="12">
        <f>'raw data pHILIC'!BM94</f>
        <v>2.0227536263056049E-6</v>
      </c>
    </row>
    <row r="37" spans="2:32" x14ac:dyDescent="0.25">
      <c r="B37" s="12" t="s">
        <v>2</v>
      </c>
      <c r="C37" s="25">
        <v>4.1899640902516036E-2</v>
      </c>
      <c r="D37" s="25">
        <f t="shared" si="0"/>
        <v>2.7295008925480699E-4</v>
      </c>
      <c r="E37" s="25">
        <f t="shared" si="1"/>
        <v>6.0378908351525198E-4</v>
      </c>
      <c r="F37" s="25">
        <f>'raw data pHILIC'!K95</f>
        <v>1.3972858649913588E-2</v>
      </c>
      <c r="G37" s="25">
        <f t="shared" si="2"/>
        <v>1.4767992701708E-4</v>
      </c>
      <c r="H37" s="25">
        <f t="shared" si="3"/>
        <v>2.0096839636087422E-3</v>
      </c>
      <c r="I37" s="25">
        <f t="shared" si="4"/>
        <v>4.2625754773786204E-3</v>
      </c>
      <c r="J37" s="25">
        <f t="shared" si="5"/>
        <v>0.35581189452913997</v>
      </c>
      <c r="K37" s="25">
        <f t="shared" si="6"/>
        <v>5.8730385619659006E-3</v>
      </c>
      <c r="L37" s="25">
        <f t="shared" si="7"/>
        <v>5.0283839441763996E-4</v>
      </c>
      <c r="M37" s="25">
        <v>8.0371940529277968E-3</v>
      </c>
      <c r="N37" s="25">
        <f t="shared" si="8"/>
        <v>9.4290924223053004E-4</v>
      </c>
      <c r="O37" s="25">
        <f>'raw data pHILIC'!AF95</f>
        <v>4.0040916364203361E-3</v>
      </c>
      <c r="P37" s="25">
        <f t="shared" si="9"/>
        <v>2.7623510749136401E-4</v>
      </c>
      <c r="Q37" s="25">
        <f t="shared" si="10"/>
        <v>2.0809211716285112E-3</v>
      </c>
      <c r="R37" s="25">
        <f t="shared" si="11"/>
        <v>7.5297687533337602E-4</v>
      </c>
      <c r="S37" s="25">
        <f t="shared" si="12"/>
        <v>6.5662749933814493E-5</v>
      </c>
      <c r="T37" s="25">
        <f t="shared" si="13"/>
        <v>5.4450941730311399E-3</v>
      </c>
      <c r="U37" s="25">
        <f t="shared" si="14"/>
        <v>1.9522137001022798E-2</v>
      </c>
      <c r="V37" s="25">
        <f t="shared" si="15"/>
        <v>7.7641611097010503E-5</v>
      </c>
      <c r="W37" s="25">
        <f t="shared" si="16"/>
        <v>3.642895387194125E-3</v>
      </c>
      <c r="X37" s="25">
        <f t="shared" si="17"/>
        <v>1.620899185872075E-3</v>
      </c>
      <c r="Y37" s="25">
        <f t="shared" si="18"/>
        <v>1.4085662830380351E-3</v>
      </c>
      <c r="Z37" s="25">
        <f t="shared" si="19"/>
        <v>4.1746185296787164E-3</v>
      </c>
      <c r="AA37" s="25">
        <f t="shared" si="20"/>
        <v>7.1455731622531247E-3</v>
      </c>
      <c r="AB37" s="25">
        <f t="shared" si="21"/>
        <v>1.082390893937225E-4</v>
      </c>
      <c r="AC37" s="25">
        <f t="shared" si="22"/>
        <v>1.7696629099403602E-4</v>
      </c>
      <c r="AD37" s="25">
        <f t="shared" si="23"/>
        <v>6.8660683186094198E-4</v>
      </c>
      <c r="AE37" s="12">
        <f>'raw data pHILIC'!BH95</f>
        <v>1.0341606957955205E-4</v>
      </c>
      <c r="AF37" s="12">
        <f>'raw data pHILIC'!BM95</f>
        <v>1.8711687202209547E-6</v>
      </c>
    </row>
    <row r="38" spans="2:32" x14ac:dyDescent="0.25">
      <c r="B38" s="12" t="s">
        <v>3</v>
      </c>
      <c r="C38" s="25">
        <v>4.0306963039410559E-2</v>
      </c>
      <c r="D38" s="25">
        <f t="shared" si="0"/>
        <v>2.8513249190321532E-4</v>
      </c>
      <c r="E38" s="25">
        <f t="shared" si="1"/>
        <v>6.0501282065854203E-4</v>
      </c>
      <c r="F38" s="25">
        <f>'raw data pHILIC'!K96</f>
        <v>1.4275189209778232E-2</v>
      </c>
      <c r="G38" s="25">
        <f t="shared" si="2"/>
        <v>1.6152117843190567E-4</v>
      </c>
      <c r="H38" s="25">
        <f t="shared" si="3"/>
        <v>2.0105539694987009E-3</v>
      </c>
      <c r="I38" s="25">
        <f t="shared" si="4"/>
        <v>4.5551222291284202E-3</v>
      </c>
      <c r="J38" s="25">
        <f t="shared" si="5"/>
        <v>0.3635541644967325</v>
      </c>
      <c r="K38" s="25">
        <f t="shared" si="6"/>
        <v>6.1687090931116509E-3</v>
      </c>
      <c r="L38" s="25">
        <f t="shared" si="7"/>
        <v>4.9428995366683005E-4</v>
      </c>
      <c r="M38" s="25">
        <v>8.1219243095556563E-3</v>
      </c>
      <c r="N38" s="25">
        <f t="shared" si="8"/>
        <v>9.3500798680928008E-4</v>
      </c>
      <c r="O38" s="25">
        <f>'raw data pHILIC'!AF96</f>
        <v>3.8790786286228844E-3</v>
      </c>
      <c r="P38" s="25">
        <f t="shared" si="9"/>
        <v>2.6208868747764301E-4</v>
      </c>
      <c r="Q38" s="25">
        <f t="shared" si="10"/>
        <v>2.0666558020691556E-3</v>
      </c>
      <c r="R38" s="25">
        <f t="shared" si="11"/>
        <v>7.6233496841417007E-4</v>
      </c>
      <c r="S38" s="25">
        <f t="shared" si="12"/>
        <v>7.1818157061951494E-5</v>
      </c>
      <c r="T38" s="25">
        <f t="shared" si="13"/>
        <v>5.5662418332924997E-3</v>
      </c>
      <c r="U38" s="25">
        <f t="shared" si="14"/>
        <v>2.0355642432387251E-2</v>
      </c>
      <c r="V38" s="25">
        <f t="shared" si="15"/>
        <v>7.6034114249255995E-5</v>
      </c>
      <c r="W38" s="25">
        <f t="shared" si="16"/>
        <v>3.4583737606554699E-3</v>
      </c>
      <c r="X38" s="25">
        <f t="shared" si="17"/>
        <v>1.5572436747543451E-3</v>
      </c>
      <c r="Y38" s="25">
        <f t="shared" si="18"/>
        <v>1.3735963987626151E-3</v>
      </c>
      <c r="Z38" s="25">
        <f t="shared" si="19"/>
        <v>4.3322883562611336E-3</v>
      </c>
      <c r="AA38" s="25">
        <f t="shared" si="20"/>
        <v>6.7376073215823992E-3</v>
      </c>
      <c r="AB38" s="25">
        <f t="shared" si="21"/>
        <v>1.095749912234581E-4</v>
      </c>
      <c r="AC38" s="25">
        <f t="shared" si="22"/>
        <v>1.7948032551158802E-4</v>
      </c>
      <c r="AD38" s="25">
        <f t="shared" si="23"/>
        <v>4.0871720045514398E-4</v>
      </c>
      <c r="AE38" s="12">
        <f>'raw data pHILIC'!BH96</f>
        <v>9.6277150822354375E-5</v>
      </c>
      <c r="AF38" s="12">
        <f>'raw data pHILIC'!BM96</f>
        <v>1.8119312668339851E-6</v>
      </c>
    </row>
    <row r="39" spans="2:32" x14ac:dyDescent="0.25">
      <c r="B39" s="12" t="s">
        <v>4</v>
      </c>
      <c r="C39" s="25">
        <v>4.3535813673791168E-2</v>
      </c>
      <c r="D39" s="25">
        <f t="shared" si="0"/>
        <v>3.1170390274672138E-4</v>
      </c>
      <c r="E39" s="25">
        <f t="shared" si="1"/>
        <v>6.3269072116022202E-4</v>
      </c>
      <c r="F39" s="25">
        <f>'raw data pHILIC'!K97</f>
        <v>1.4273278264287325E-2</v>
      </c>
      <c r="G39" s="25">
        <f t="shared" si="2"/>
        <v>1.6478533851066368E-4</v>
      </c>
      <c r="H39" s="25">
        <f t="shared" si="3"/>
        <v>2.0086960542707419E-3</v>
      </c>
      <c r="I39" s="25">
        <f t="shared" si="4"/>
        <v>5.2087975601494306E-3</v>
      </c>
      <c r="J39" s="25">
        <f t="shared" si="5"/>
        <v>0.37252969058556001</v>
      </c>
      <c r="K39" s="25">
        <f t="shared" si="6"/>
        <v>6.2569182786303499E-3</v>
      </c>
      <c r="L39" s="25">
        <f t="shared" si="7"/>
        <v>4.9987835952687836E-4</v>
      </c>
      <c r="M39" s="25">
        <v>8.111468172253191E-3</v>
      </c>
      <c r="N39" s="25">
        <f t="shared" si="8"/>
        <v>9.5072525370120005E-4</v>
      </c>
      <c r="O39" s="25">
        <f>'raw data pHILIC'!AF97</f>
        <v>4.1363089265211636E-3</v>
      </c>
      <c r="P39" s="25">
        <f t="shared" si="9"/>
        <v>2.5479641725931949E-4</v>
      </c>
      <c r="Q39" s="25">
        <f t="shared" si="10"/>
        <v>2.0970571573259442E-3</v>
      </c>
      <c r="R39" s="25">
        <f t="shared" si="11"/>
        <v>8.5627556099458595E-4</v>
      </c>
      <c r="S39" s="25">
        <f t="shared" si="12"/>
        <v>6.9451568639194498E-5</v>
      </c>
      <c r="T39" s="25">
        <f t="shared" si="13"/>
        <v>5.6364629633276998E-3</v>
      </c>
      <c r="U39" s="25">
        <f t="shared" si="14"/>
        <v>1.9636001068993002E-2</v>
      </c>
      <c r="V39" s="25">
        <f t="shared" si="15"/>
        <v>7.5947529387673004E-5</v>
      </c>
      <c r="W39" s="25">
        <f t="shared" si="16"/>
        <v>3.5540791551269047E-3</v>
      </c>
      <c r="X39" s="25">
        <f t="shared" si="17"/>
        <v>1.7076628522187873E-3</v>
      </c>
      <c r="Y39" s="25">
        <f t="shared" si="18"/>
        <v>1.3089691546941749E-3</v>
      </c>
      <c r="Z39" s="25">
        <f t="shared" si="19"/>
        <v>4.5211468188992333E-3</v>
      </c>
      <c r="AA39" s="25">
        <f t="shared" si="20"/>
        <v>7.0136211433167251E-3</v>
      </c>
      <c r="AB39" s="25">
        <f t="shared" si="21"/>
        <v>1.1365989324979E-4</v>
      </c>
      <c r="AC39" s="25">
        <f t="shared" si="22"/>
        <v>1.7295798972349349E-4</v>
      </c>
      <c r="AD39" s="25">
        <f t="shared" si="23"/>
        <v>7.4402095762044406E-4</v>
      </c>
      <c r="AE39" s="12">
        <f>'raw data pHILIC'!BH97</f>
        <v>9.9129628956723352E-5</v>
      </c>
      <c r="AF39" s="12">
        <f>'raw data pHILIC'!BM97</f>
        <v>1.5511102328448892E-6</v>
      </c>
    </row>
    <row r="40" spans="2:32" x14ac:dyDescent="0.25">
      <c r="B40" s="12" t="s">
        <v>5</v>
      </c>
      <c r="C40" s="25">
        <v>6.4280550124684088E-2</v>
      </c>
      <c r="D40" s="25">
        <f t="shared" si="0"/>
        <v>4.7300981003143666E-4</v>
      </c>
      <c r="E40" s="25">
        <f t="shared" si="1"/>
        <v>7.0955611286224794E-4</v>
      </c>
      <c r="F40" s="25">
        <f>'raw data pHILIC'!K98</f>
        <v>1.2057921081067069E-2</v>
      </c>
      <c r="G40" s="25">
        <f t="shared" si="2"/>
        <v>1.8266059010639134E-4</v>
      </c>
      <c r="H40" s="25">
        <f t="shared" si="3"/>
        <v>2.0116004722980176E-3</v>
      </c>
      <c r="I40" s="25">
        <f t="shared" si="4"/>
        <v>4.4576577405250305E-3</v>
      </c>
      <c r="J40" s="25">
        <f t="shared" si="5"/>
        <v>0.3587669660041275</v>
      </c>
      <c r="K40" s="25">
        <f t="shared" si="6"/>
        <v>6.2021138172616997E-3</v>
      </c>
      <c r="L40" s="25">
        <f t="shared" si="7"/>
        <v>4.9954991781763489E-4</v>
      </c>
      <c r="M40" s="25">
        <v>8.1735763791646199E-3</v>
      </c>
      <c r="N40" s="25">
        <f t="shared" si="8"/>
        <v>9.6607977219397999E-4</v>
      </c>
      <c r="O40" s="25">
        <f>'raw data pHILIC'!AF98</f>
        <v>3.9221721657726272E-3</v>
      </c>
      <c r="P40" s="25">
        <f t="shared" si="9"/>
        <v>2.5384960583865848E-4</v>
      </c>
      <c r="Q40" s="25">
        <f t="shared" si="10"/>
        <v>2.8524794214649443E-3</v>
      </c>
      <c r="R40" s="25">
        <f t="shared" si="11"/>
        <v>8.6514419771081808E-4</v>
      </c>
      <c r="S40" s="25">
        <f t="shared" si="12"/>
        <v>4.8216401157397997E-5</v>
      </c>
      <c r="T40" s="25">
        <f t="shared" si="13"/>
        <v>5.6097657895858404E-3</v>
      </c>
      <c r="U40" s="25">
        <f t="shared" si="14"/>
        <v>1.90947132256475E-2</v>
      </c>
      <c r="V40" s="25">
        <f t="shared" si="15"/>
        <v>1.7983039162291652E-5</v>
      </c>
      <c r="W40" s="25">
        <f t="shared" si="16"/>
        <v>3.151921266547925E-3</v>
      </c>
      <c r="X40" s="25">
        <f t="shared" si="17"/>
        <v>1.6298459488535773E-3</v>
      </c>
      <c r="Y40" s="25">
        <f t="shared" si="18"/>
        <v>1.312094383719925E-3</v>
      </c>
      <c r="Z40" s="25">
        <f t="shared" si="19"/>
        <v>3.8225088359370167E-3</v>
      </c>
      <c r="AA40" s="25">
        <f t="shared" si="20"/>
        <v>6.5741665171900002E-3</v>
      </c>
      <c r="AB40" s="25">
        <f t="shared" si="21"/>
        <v>1.1401874440098601E-4</v>
      </c>
      <c r="AC40" s="25">
        <f t="shared" si="22"/>
        <v>-2.7586859744418002E-5</v>
      </c>
      <c r="AD40" s="25">
        <f t="shared" si="23"/>
        <v>8.8286822988096201E-4</v>
      </c>
      <c r="AE40" s="12">
        <f>'raw data pHILIC'!BH98</f>
        <v>1.4146380176941682E-4</v>
      </c>
      <c r="AF40" s="12">
        <f>'raw data pHILIC'!BM98</f>
        <v>9.1472767435980416E-7</v>
      </c>
    </row>
    <row r="41" spans="2:32" x14ac:dyDescent="0.25">
      <c r="B41" s="12" t="s">
        <v>6</v>
      </c>
      <c r="C41" s="25">
        <v>6.3996202901973914E-2</v>
      </c>
      <c r="D41" s="25">
        <f t="shared" si="0"/>
        <v>4.7999640319822996E-4</v>
      </c>
      <c r="E41" s="25">
        <f t="shared" si="1"/>
        <v>6.7506757069839003E-4</v>
      </c>
      <c r="F41" s="25">
        <f>'raw data pHILIC'!K99</f>
        <v>1.212281310146756E-2</v>
      </c>
      <c r="G41" s="25">
        <f t="shared" si="2"/>
        <v>2.0121413175820717E-4</v>
      </c>
      <c r="H41" s="25">
        <f t="shared" si="3"/>
        <v>2.0070628139173597E-3</v>
      </c>
      <c r="I41" s="25">
        <f t="shared" si="4"/>
        <v>4.7251458884686199E-3</v>
      </c>
      <c r="J41" s="25">
        <f t="shared" si="5"/>
        <v>0.36753732701407754</v>
      </c>
      <c r="K41" s="25">
        <f t="shared" si="6"/>
        <v>5.9430759890100006E-3</v>
      </c>
      <c r="L41" s="25">
        <f t="shared" si="7"/>
        <v>4.9788120417501829E-4</v>
      </c>
      <c r="M41" s="25">
        <v>8.0562998475048175E-3</v>
      </c>
      <c r="N41" s="25">
        <f t="shared" si="8"/>
        <v>9.0029241426782005E-4</v>
      </c>
      <c r="O41" s="25">
        <f>'raw data pHILIC'!AF99</f>
        <v>3.6457866760282475E-3</v>
      </c>
      <c r="P41" s="25">
        <f t="shared" si="9"/>
        <v>2.1458980574442602E-4</v>
      </c>
      <c r="Q41" s="25">
        <f t="shared" si="10"/>
        <v>2.7287021576756225E-3</v>
      </c>
      <c r="R41" s="25">
        <f t="shared" si="11"/>
        <v>8.406574006976661E-4</v>
      </c>
      <c r="S41" s="25">
        <f t="shared" si="12"/>
        <v>4.4443306426800751E-5</v>
      </c>
      <c r="T41" s="25">
        <f t="shared" si="13"/>
        <v>5.4865703125197597E-3</v>
      </c>
      <c r="U41" s="25">
        <f t="shared" si="14"/>
        <v>1.8545947499606801E-2</v>
      </c>
      <c r="V41" s="25">
        <f t="shared" si="15"/>
        <v>1.5122702002018399E-5</v>
      </c>
      <c r="W41" s="25">
        <f t="shared" si="16"/>
        <v>2.8828203411488096E-3</v>
      </c>
      <c r="X41" s="25">
        <f t="shared" si="17"/>
        <v>1.5589317411900301E-3</v>
      </c>
      <c r="Y41" s="25">
        <f t="shared" si="18"/>
        <v>1.3730315128297702E-3</v>
      </c>
      <c r="Z41" s="25">
        <f t="shared" si="19"/>
        <v>4.152070887077983E-3</v>
      </c>
      <c r="AA41" s="25">
        <f t="shared" si="20"/>
        <v>6.9336456496246757E-3</v>
      </c>
      <c r="AB41" s="25">
        <f t="shared" si="21"/>
        <v>1.18004006553343E-4</v>
      </c>
      <c r="AC41" s="25">
        <f t="shared" si="22"/>
        <v>1.1748618196330032E-6</v>
      </c>
      <c r="AD41" s="25">
        <f t="shared" si="23"/>
        <v>1.104887012792062E-3</v>
      </c>
      <c r="AE41" s="12">
        <f>'raw data pHILIC'!BH99</f>
        <v>1.3387009143108622E-4</v>
      </c>
      <c r="AF41" s="12">
        <f>'raw data pHILIC'!BM99</f>
        <v>7.9548314626883873E-7</v>
      </c>
    </row>
    <row r="42" spans="2:32" x14ac:dyDescent="0.25">
      <c r="B42" s="12" t="s">
        <v>7</v>
      </c>
      <c r="C42" s="25">
        <v>6.9499953904524542E-2</v>
      </c>
      <c r="D42" s="25">
        <f t="shared" si="0"/>
        <v>4.9996726450664329E-4</v>
      </c>
      <c r="E42" s="25">
        <f t="shared" si="1"/>
        <v>7.5806706870765997E-4</v>
      </c>
      <c r="F42" s="25">
        <f>'raw data pHILIC'!K100</f>
        <v>1.2559941181898418E-2</v>
      </c>
      <c r="G42" s="25">
        <f t="shared" si="2"/>
        <v>2.0979603027690684E-4</v>
      </c>
      <c r="H42" s="25">
        <f t="shared" si="3"/>
        <v>2.007584532325574E-3</v>
      </c>
      <c r="I42" s="25">
        <f t="shared" si="4"/>
        <v>5.2810167606176499E-3</v>
      </c>
      <c r="J42" s="25">
        <f t="shared" si="5"/>
        <v>0.37603611944348247</v>
      </c>
      <c r="K42" s="25">
        <f t="shared" si="6"/>
        <v>6.4380754716273497E-3</v>
      </c>
      <c r="L42" s="25">
        <f t="shared" si="7"/>
        <v>6.4184553403761322E-4</v>
      </c>
      <c r="M42" s="25">
        <v>8.1939433374739919E-3</v>
      </c>
      <c r="N42" s="25">
        <f t="shared" si="8"/>
        <v>1.0089051243202701E-3</v>
      </c>
      <c r="O42" s="25">
        <f>'raw data pHILIC'!AF100</f>
        <v>3.486680906012942E-3</v>
      </c>
      <c r="P42" s="25">
        <f t="shared" si="9"/>
        <v>2.1062754606375648E-4</v>
      </c>
      <c r="Q42" s="25">
        <f t="shared" si="10"/>
        <v>2.7781474744136667E-3</v>
      </c>
      <c r="R42" s="25">
        <f t="shared" si="11"/>
        <v>8.9827821739426597E-4</v>
      </c>
      <c r="S42" s="25">
        <f t="shared" si="12"/>
        <v>4.9369536439823248E-5</v>
      </c>
      <c r="T42" s="25">
        <f t="shared" si="13"/>
        <v>5.6354399938511202E-3</v>
      </c>
      <c r="U42" s="25">
        <f t="shared" si="14"/>
        <v>1.9915021414020951E-2</v>
      </c>
      <c r="V42" s="25">
        <f t="shared" si="15"/>
        <v>1.6390008572041552E-5</v>
      </c>
      <c r="W42" s="25">
        <f t="shared" si="16"/>
        <v>3.1914326334258349E-3</v>
      </c>
      <c r="X42" s="25">
        <f t="shared" si="17"/>
        <v>1.63262650595621E-3</v>
      </c>
      <c r="Y42" s="25">
        <f t="shared" si="18"/>
        <v>1.479126407418535E-3</v>
      </c>
      <c r="Z42" s="25">
        <f t="shared" si="19"/>
        <v>4.4646999986214502E-3</v>
      </c>
      <c r="AA42" s="25">
        <f t="shared" si="20"/>
        <v>7.467460544720775E-3</v>
      </c>
      <c r="AB42" s="25">
        <f t="shared" si="21"/>
        <v>1.24285978431391E-4</v>
      </c>
      <c r="AC42" s="25">
        <f t="shared" si="22"/>
        <v>4.5536395325118004E-5</v>
      </c>
      <c r="AD42" s="25">
        <f t="shared" si="23"/>
        <v>1.6638577049999399E-3</v>
      </c>
      <c r="AE42" s="12">
        <f>'raw data pHILIC'!BH100</f>
        <v>1.290412566823429E-4</v>
      </c>
      <c r="AF42" s="12">
        <f>'raw data pHILIC'!BM100</f>
        <v>6.3835408808360131E-7</v>
      </c>
    </row>
    <row r="43" spans="2:32" x14ac:dyDescent="0.25">
      <c r="B43" s="12" t="s">
        <v>8</v>
      </c>
      <c r="C43" s="25">
        <v>6.3948240045308011E-2</v>
      </c>
      <c r="D43" s="25">
        <f t="shared" si="0"/>
        <v>4.9240915317298999E-4</v>
      </c>
      <c r="E43" s="25">
        <f t="shared" si="1"/>
        <v>7.5508413958733599E-4</v>
      </c>
      <c r="F43" s="25">
        <f>'raw data pHILIC'!K101</f>
        <v>1.1975350759054584E-2</v>
      </c>
      <c r="G43" s="25">
        <f t="shared" si="2"/>
        <v>2.1142973624140282E-4</v>
      </c>
      <c r="H43" s="25">
        <f t="shared" si="3"/>
        <v>2.0101637114031319E-3</v>
      </c>
      <c r="I43" s="25">
        <f t="shared" si="4"/>
        <v>4.8729172590862594E-3</v>
      </c>
      <c r="J43" s="25">
        <f t="shared" si="5"/>
        <v>0.37145963718937247</v>
      </c>
      <c r="K43" s="25">
        <f t="shared" si="6"/>
        <v>6.1593103173402993E-3</v>
      </c>
      <c r="L43" s="25">
        <f t="shared" si="7"/>
        <v>5.4832957565994003E-4</v>
      </c>
      <c r="M43" s="25">
        <v>7.9140228572063577E-3</v>
      </c>
      <c r="N43" s="25">
        <f t="shared" si="8"/>
        <v>1.0137165019231801E-3</v>
      </c>
      <c r="O43" s="25">
        <f>'raw data pHILIC'!AF101</f>
        <v>3.6779745691487768E-3</v>
      </c>
      <c r="P43" s="25">
        <f t="shared" si="9"/>
        <v>2.1743435579749148E-4</v>
      </c>
      <c r="Q43" s="25">
        <f t="shared" si="10"/>
        <v>2.6462776902327332E-3</v>
      </c>
      <c r="R43" s="25">
        <f t="shared" si="11"/>
        <v>8.5075670885163205E-4</v>
      </c>
      <c r="S43" s="25">
        <f t="shared" si="12"/>
        <v>4.7789094085432498E-5</v>
      </c>
      <c r="T43" s="25">
        <f t="shared" si="13"/>
        <v>5.34577573833926E-3</v>
      </c>
      <c r="U43" s="25">
        <f t="shared" si="14"/>
        <v>1.9073710384147301E-2</v>
      </c>
      <c r="V43" s="25">
        <f t="shared" si="15"/>
        <v>1.348307415124405E-5</v>
      </c>
      <c r="W43" s="25">
        <f t="shared" si="16"/>
        <v>2.9355099300992353E-3</v>
      </c>
      <c r="X43" s="25">
        <f t="shared" si="17"/>
        <v>1.6030383258313274E-3</v>
      </c>
      <c r="Y43" s="25">
        <f t="shared" si="18"/>
        <v>1.3703589441286298E-3</v>
      </c>
      <c r="Z43" s="25">
        <f t="shared" si="19"/>
        <v>4.18613600184135E-3</v>
      </c>
      <c r="AA43" s="25">
        <f t="shared" si="20"/>
        <v>7.0880520440748003E-3</v>
      </c>
      <c r="AB43" s="25">
        <f t="shared" si="21"/>
        <v>1.19851107151407E-4</v>
      </c>
      <c r="AC43" s="25">
        <f t="shared" si="22"/>
        <v>1.7407729251423999E-5</v>
      </c>
      <c r="AD43" s="25">
        <f t="shared" si="23"/>
        <v>1.163208821175752E-3</v>
      </c>
      <c r="AE43" s="12">
        <f>'raw data pHILIC'!BH101</f>
        <v>1.3178506385973479E-4</v>
      </c>
      <c r="AF43" s="12">
        <f>'raw data pHILIC'!BM101</f>
        <v>8.7530211610961661E-7</v>
      </c>
    </row>
    <row r="44" spans="2:32" x14ac:dyDescent="0.25">
      <c r="B44" s="12" t="s">
        <v>9</v>
      </c>
      <c r="C44" s="25">
        <v>5.4000318504821815E-2</v>
      </c>
      <c r="D44" s="25">
        <f t="shared" si="0"/>
        <v>4.0142753213547332E-4</v>
      </c>
      <c r="E44" s="25">
        <f t="shared" si="1"/>
        <v>5.7201619835743199E-4</v>
      </c>
      <c r="F44" s="25">
        <f>'raw data pHILIC'!K102</f>
        <v>1.1044323694827388E-2</v>
      </c>
      <c r="G44" s="25">
        <f t="shared" si="2"/>
        <v>1.5032572228350133E-4</v>
      </c>
      <c r="H44" s="25">
        <f t="shared" si="3"/>
        <v>2.0090288902541052E-3</v>
      </c>
      <c r="I44" s="25">
        <f t="shared" si="4"/>
        <v>3.7195747439859599E-3</v>
      </c>
      <c r="J44" s="25">
        <f t="shared" si="5"/>
        <v>0.32323796176847003</v>
      </c>
      <c r="K44" s="25">
        <f t="shared" si="6"/>
        <v>5.1400543332612491E-3</v>
      </c>
      <c r="L44" s="25">
        <f t="shared" si="7"/>
        <v>3.0744274209639329E-4</v>
      </c>
      <c r="M44" s="25">
        <v>6.8790993842126578E-3</v>
      </c>
      <c r="N44" s="25">
        <f t="shared" si="8"/>
        <v>8.4675506996328791E-4</v>
      </c>
      <c r="O44" s="25">
        <f>'raw data pHILIC'!AF102</f>
        <v>3.5497501134809711E-3</v>
      </c>
      <c r="P44" s="25">
        <f t="shared" si="9"/>
        <v>2.5311316733212598E-4</v>
      </c>
      <c r="Q44" s="25">
        <f t="shared" si="10"/>
        <v>2.5453367793700668E-3</v>
      </c>
      <c r="R44" s="25">
        <f t="shared" si="11"/>
        <v>7.8902775791270198E-4</v>
      </c>
      <c r="S44" s="25">
        <f t="shared" si="12"/>
        <v>4.1194809756605999E-5</v>
      </c>
      <c r="T44" s="25">
        <f t="shared" si="13"/>
        <v>5.0211386255277594E-3</v>
      </c>
      <c r="U44" s="25">
        <f t="shared" si="14"/>
        <v>1.7675230850798099E-2</v>
      </c>
      <c r="V44" s="25">
        <f t="shared" si="15"/>
        <v>1.2697728268386449E-5</v>
      </c>
      <c r="W44" s="25">
        <f t="shared" si="16"/>
        <v>2.5872135287367602E-3</v>
      </c>
      <c r="X44" s="25">
        <f t="shared" si="17"/>
        <v>1.4512281016323199E-3</v>
      </c>
      <c r="Y44" s="25">
        <f t="shared" si="18"/>
        <v>1.2596673095853501E-3</v>
      </c>
      <c r="Z44" s="25">
        <f t="shared" si="19"/>
        <v>3.57715674394295E-3</v>
      </c>
      <c r="AA44" s="25">
        <f t="shared" si="20"/>
        <v>5.9239862703448498E-3</v>
      </c>
      <c r="AB44" s="25">
        <f t="shared" si="21"/>
        <v>9.8468775950739297E-5</v>
      </c>
      <c r="AC44" s="25">
        <f t="shared" si="22"/>
        <v>-8.5488054298070067E-6</v>
      </c>
      <c r="AD44" s="25">
        <f t="shared" si="23"/>
        <v>2.97307613990292E-4</v>
      </c>
      <c r="AE44" s="12">
        <f>'raw data pHILIC'!BH102</f>
        <v>1.0533115228713566E-4</v>
      </c>
      <c r="AF44" s="12">
        <f>'raw data pHILIC'!BM102</f>
        <v>1.1125386276114385E-6</v>
      </c>
    </row>
    <row r="45" spans="2:32" x14ac:dyDescent="0.25">
      <c r="B45" s="12" t="s">
        <v>80</v>
      </c>
      <c r="C45" s="25">
        <v>4.0758058378360967E-2</v>
      </c>
      <c r="D45" s="25">
        <f t="shared" si="0"/>
        <v>6.3986380685420667E-5</v>
      </c>
      <c r="E45" s="25">
        <f t="shared" si="1"/>
        <v>4.0746456370418404E-4</v>
      </c>
      <c r="F45" s="25">
        <f>'raw data pHILIC'!K103</f>
        <v>1.5826508112665082E-2</v>
      </c>
      <c r="G45" s="25">
        <f t="shared" si="2"/>
        <v>1.4038332823751817E-4</v>
      </c>
      <c r="H45" s="25">
        <f t="shared" si="3"/>
        <v>2.0101084388488705E-3</v>
      </c>
      <c r="I45" s="25">
        <f t="shared" si="4"/>
        <v>4.5410669841785406E-3</v>
      </c>
      <c r="J45" s="25">
        <f t="shared" si="5"/>
        <v>0.36591338731886003</v>
      </c>
      <c r="K45" s="25">
        <f t="shared" si="6"/>
        <v>5.8204748580197004E-3</v>
      </c>
      <c r="L45" s="25">
        <f t="shared" si="7"/>
        <v>4.5524896694501999E-4</v>
      </c>
      <c r="M45" s="25">
        <v>8.9040946066345928E-3</v>
      </c>
      <c r="N45" s="25">
        <f t="shared" si="8"/>
        <v>8.8865678089835199E-4</v>
      </c>
      <c r="O45" s="25">
        <f>'raw data pHILIC'!AF103</f>
        <v>4.3304464174078175E-3</v>
      </c>
      <c r="P45" s="25">
        <f t="shared" si="9"/>
        <v>2.2605343281696902E-4</v>
      </c>
      <c r="Q45" s="25">
        <f t="shared" si="10"/>
        <v>1.5584210158264E-3</v>
      </c>
      <c r="R45" s="25">
        <f t="shared" si="11"/>
        <v>7.7524729353240396E-4</v>
      </c>
      <c r="S45" s="25">
        <f t="shared" si="12"/>
        <v>8.8308955929602493E-5</v>
      </c>
      <c r="T45" s="25">
        <f t="shared" si="13"/>
        <v>5.2557734615351001E-3</v>
      </c>
      <c r="U45" s="25">
        <f t="shared" si="14"/>
        <v>1.9786747745771598E-2</v>
      </c>
      <c r="V45" s="25">
        <f t="shared" si="15"/>
        <v>8.7448454077411001E-5</v>
      </c>
      <c r="W45" s="25">
        <f t="shared" si="16"/>
        <v>3.2682333431257246E-3</v>
      </c>
      <c r="X45" s="25">
        <f t="shared" si="17"/>
        <v>1.5023449693691399E-3</v>
      </c>
      <c r="Y45" s="25">
        <f t="shared" si="18"/>
        <v>1.36635851277895E-3</v>
      </c>
      <c r="Z45" s="25">
        <f t="shared" si="19"/>
        <v>3.9125178988189168E-3</v>
      </c>
      <c r="AA45" s="25">
        <f t="shared" si="20"/>
        <v>6.4097602808355246E-3</v>
      </c>
      <c r="AB45" s="25">
        <f t="shared" si="21"/>
        <v>1.1047815924189199E-4</v>
      </c>
      <c r="AC45" s="25">
        <f t="shared" si="22"/>
        <v>8.8989689775665511E-5</v>
      </c>
      <c r="AD45" s="25">
        <f t="shared" si="23"/>
        <v>8.3927017226087205E-4</v>
      </c>
      <c r="AE45" s="12">
        <f>'raw data pHILIC'!BH103</f>
        <v>9.3494909408002038E-5</v>
      </c>
      <c r="AF45" s="12">
        <f>'raw data pHILIC'!BM103</f>
        <v>1.885561318646214E-6</v>
      </c>
    </row>
    <row r="46" spans="2:32" x14ac:dyDescent="0.25">
      <c r="B46" s="12" t="s">
        <v>10</v>
      </c>
      <c r="C46" s="25">
        <v>3.5819611184136416E-2</v>
      </c>
      <c r="D46" s="25">
        <f t="shared" si="0"/>
        <v>6.9632328672334669E-5</v>
      </c>
      <c r="E46" s="25">
        <f t="shared" si="1"/>
        <v>4.3149113175857995E-4</v>
      </c>
      <c r="F46" s="25">
        <f>'raw data pHILIC'!K104</f>
        <v>1.2938547306846782E-2</v>
      </c>
      <c r="G46" s="25">
        <f t="shared" si="2"/>
        <v>1.6873420998064E-4</v>
      </c>
      <c r="H46" s="25">
        <f t="shared" si="3"/>
        <v>2.011699249530775E-3</v>
      </c>
      <c r="I46" s="25">
        <f t="shared" si="4"/>
        <v>4.61242510404086E-3</v>
      </c>
      <c r="J46" s="25">
        <f t="shared" si="5"/>
        <v>0.35235884454801997</v>
      </c>
      <c r="K46" s="25">
        <f t="shared" si="6"/>
        <v>6.2725094242623994E-3</v>
      </c>
      <c r="L46" s="25">
        <f t="shared" si="7"/>
        <v>5.1349284590170995E-4</v>
      </c>
      <c r="M46" s="25">
        <v>6.9542664481193096E-3</v>
      </c>
      <c r="N46" s="25">
        <f t="shared" si="8"/>
        <v>9.0462159738348999E-4</v>
      </c>
      <c r="O46" s="25">
        <f>'raw data pHILIC'!AF104</f>
        <v>3.6085720337836096E-3</v>
      </c>
      <c r="P46" s="25">
        <f t="shared" si="9"/>
        <v>2.1538311433820252E-4</v>
      </c>
      <c r="Q46" s="25">
        <f t="shared" si="10"/>
        <v>1.6921944620638223E-3</v>
      </c>
      <c r="R46" s="25">
        <f t="shared" si="11"/>
        <v>8.4485597401910998E-4</v>
      </c>
      <c r="S46" s="25">
        <f t="shared" si="12"/>
        <v>8.9082429417427505E-5</v>
      </c>
      <c r="T46" s="25">
        <f t="shared" si="13"/>
        <v>5.3514994853308597E-3</v>
      </c>
      <c r="U46" s="25">
        <f t="shared" si="14"/>
        <v>1.8287454640517002E-2</v>
      </c>
      <c r="V46" s="25">
        <f t="shared" si="15"/>
        <v>9.8092758448009999E-5</v>
      </c>
      <c r="W46" s="25">
        <f t="shared" si="16"/>
        <v>3.4581131413902949E-3</v>
      </c>
      <c r="X46" s="25">
        <f t="shared" si="17"/>
        <v>1.5206636176662049E-3</v>
      </c>
      <c r="Y46" s="25">
        <f t="shared" si="18"/>
        <v>1.3819369657488E-3</v>
      </c>
      <c r="Z46" s="25">
        <f t="shared" si="19"/>
        <v>4.2117284988470328E-3</v>
      </c>
      <c r="AA46" s="25">
        <f t="shared" si="20"/>
        <v>7.0995161912980748E-3</v>
      </c>
      <c r="AB46" s="25">
        <f t="shared" si="21"/>
        <v>1.026644521820086E-4</v>
      </c>
      <c r="AC46" s="25">
        <f t="shared" si="22"/>
        <v>8.562464823500149E-5</v>
      </c>
      <c r="AD46" s="25">
        <f t="shared" si="23"/>
        <v>1.5438678298836939E-3</v>
      </c>
      <c r="AE46" s="12">
        <f>'raw data pHILIC'!BH104</f>
        <v>7.8173972482766107E-5</v>
      </c>
      <c r="AF46" s="12">
        <f>'raw data pHILIC'!BM104</f>
        <v>1.4970699966464117E-6</v>
      </c>
    </row>
    <row r="47" spans="2:32" x14ac:dyDescent="0.25">
      <c r="B47" s="12" t="s">
        <v>11</v>
      </c>
      <c r="C47" s="25">
        <v>1.6309591997587667E-2</v>
      </c>
      <c r="D47" s="25">
        <f t="shared" si="0"/>
        <v>6.5582951700259666E-5</v>
      </c>
      <c r="E47" s="25">
        <f t="shared" si="1"/>
        <v>3.9120409339074195E-4</v>
      </c>
      <c r="F47" s="25">
        <f>'raw data pHILIC'!K105</f>
        <v>5.611201005666905E-3</v>
      </c>
      <c r="G47" s="25">
        <f t="shared" si="2"/>
        <v>1.6881122923932234E-4</v>
      </c>
      <c r="H47" s="25">
        <f t="shared" si="3"/>
        <v>2.0083937897345736E-3</v>
      </c>
      <c r="I47" s="25">
        <f t="shared" si="4"/>
        <v>4.3377608883979598E-3</v>
      </c>
      <c r="J47" s="25">
        <f t="shared" si="5"/>
        <v>0.3432131158465575</v>
      </c>
      <c r="K47" s="25">
        <f t="shared" si="6"/>
        <v>5.8182574987018995E-3</v>
      </c>
      <c r="L47" s="25">
        <f t="shared" si="7"/>
        <v>3.8315627435665827E-4</v>
      </c>
      <c r="M47" s="25">
        <v>3.121335300090621E-3</v>
      </c>
      <c r="N47" s="25">
        <f t="shared" si="8"/>
        <v>7.9981949269000696E-4</v>
      </c>
      <c r="O47" s="25">
        <f>'raw data pHILIC'!AF105</f>
        <v>1.7312216298462572E-3</v>
      </c>
      <c r="P47" s="25">
        <f t="shared" si="9"/>
        <v>2.249946211157225E-4</v>
      </c>
      <c r="Q47" s="25">
        <f t="shared" si="10"/>
        <v>1.6106302335421555E-3</v>
      </c>
      <c r="R47" s="25">
        <f t="shared" si="11"/>
        <v>7.2664845779289993E-4</v>
      </c>
      <c r="S47" s="25">
        <f t="shared" si="12"/>
        <v>7.5957394149228993E-5</v>
      </c>
      <c r="T47" s="25">
        <f t="shared" si="13"/>
        <v>5.0175082257454392E-3</v>
      </c>
      <c r="U47" s="25">
        <f t="shared" si="14"/>
        <v>1.8998647850513351E-2</v>
      </c>
      <c r="V47" s="25">
        <f t="shared" si="15"/>
        <v>8.1665906318653507E-5</v>
      </c>
      <c r="W47" s="25">
        <f t="shared" si="16"/>
        <v>3.06272366647466E-3</v>
      </c>
      <c r="X47" s="25">
        <f t="shared" si="17"/>
        <v>1.4534639940278901E-3</v>
      </c>
      <c r="Y47" s="25">
        <f t="shared" si="18"/>
        <v>1.2761829426594751E-3</v>
      </c>
      <c r="Z47" s="25">
        <f t="shared" si="19"/>
        <v>3.9392721680158501E-3</v>
      </c>
      <c r="AA47" s="25">
        <f t="shared" si="20"/>
        <v>6.6337160829638758E-3</v>
      </c>
      <c r="AB47" s="25">
        <f t="shared" si="21"/>
        <v>1.0262248862179851E-4</v>
      </c>
      <c r="AC47" s="25">
        <f t="shared" si="22"/>
        <v>8.5381851284181508E-5</v>
      </c>
      <c r="AD47" s="25">
        <f t="shared" si="23"/>
        <v>1.3804649971042359E-3</v>
      </c>
      <c r="AE47" s="12">
        <f>'raw data pHILIC'!BH105</f>
        <v>3.6551721204495284E-5</v>
      </c>
      <c r="AF47" s="12">
        <f>'raw data pHILIC'!BM105</f>
        <v>5.109456110396167E-7</v>
      </c>
    </row>
    <row r="48" spans="2:32" x14ac:dyDescent="0.25">
      <c r="B48" s="12" t="s">
        <v>12</v>
      </c>
      <c r="C48" s="25">
        <v>5.0605287049454934E-3</v>
      </c>
      <c r="D48" s="25">
        <f t="shared" si="0"/>
        <v>6.3325451626271666E-5</v>
      </c>
      <c r="E48" s="25">
        <f t="shared" si="1"/>
        <v>3.4892636134929798E-4</v>
      </c>
      <c r="F48" s="25">
        <f>'raw data pHILIC'!K106</f>
        <v>1.8955338030143499E-3</v>
      </c>
      <c r="G48" s="25">
        <f t="shared" si="2"/>
        <v>2.0226002359646832E-4</v>
      </c>
      <c r="H48" s="25">
        <f t="shared" si="3"/>
        <v>2.0089730536060049E-3</v>
      </c>
      <c r="I48" s="25">
        <f t="shared" si="4"/>
        <v>4.2964932509437E-3</v>
      </c>
      <c r="J48" s="25">
        <f t="shared" si="5"/>
        <v>0.34735476842903501</v>
      </c>
      <c r="K48" s="25">
        <f t="shared" si="6"/>
        <v>5.6465472563357998E-3</v>
      </c>
      <c r="L48" s="25">
        <f t="shared" si="7"/>
        <v>3.6415330994381826E-4</v>
      </c>
      <c r="M48" s="25">
        <v>9.114552484713593E-4</v>
      </c>
      <c r="N48" s="25">
        <f t="shared" si="8"/>
        <v>8.0867069096859305E-4</v>
      </c>
      <c r="O48" s="25">
        <f>'raw data pHILIC'!AF106</f>
        <v>5.9146012274339708E-4</v>
      </c>
      <c r="P48" s="25">
        <f t="shared" si="9"/>
        <v>2.17638506981574E-4</v>
      </c>
      <c r="Q48" s="25">
        <f t="shared" si="10"/>
        <v>1.6474377623546556E-3</v>
      </c>
      <c r="R48" s="25">
        <f t="shared" si="11"/>
        <v>7.5761949639133403E-4</v>
      </c>
      <c r="S48" s="25">
        <f t="shared" si="12"/>
        <v>8.4456295761048999E-5</v>
      </c>
      <c r="T48" s="25">
        <f t="shared" si="13"/>
        <v>5.1454708931251199E-3</v>
      </c>
      <c r="U48" s="25">
        <f t="shared" si="14"/>
        <v>1.8320749928261052E-2</v>
      </c>
      <c r="V48" s="25">
        <f t="shared" si="15"/>
        <v>8.3101882882578003E-5</v>
      </c>
      <c r="W48" s="25">
        <f t="shared" si="16"/>
        <v>3.1407264209913099E-3</v>
      </c>
      <c r="X48" s="25">
        <f t="shared" si="17"/>
        <v>1.4552282891508652E-3</v>
      </c>
      <c r="Y48" s="25">
        <f t="shared" si="18"/>
        <v>1.2289713136128899E-3</v>
      </c>
      <c r="Z48" s="25">
        <f t="shared" si="19"/>
        <v>3.8143690658902834E-3</v>
      </c>
      <c r="AA48" s="25">
        <f t="shared" si="20"/>
        <v>6.1296971550214505E-3</v>
      </c>
      <c r="AB48" s="25">
        <f t="shared" si="21"/>
        <v>1.0117759176721521E-4</v>
      </c>
      <c r="AC48" s="25">
        <f t="shared" si="22"/>
        <v>6.7749300309639493E-5</v>
      </c>
      <c r="AD48" s="25">
        <f t="shared" si="23"/>
        <v>5.2035896898292597E-4</v>
      </c>
      <c r="AE48" s="12">
        <f>'raw data pHILIC'!BH106</f>
        <v>1.4786780412821772E-5</v>
      </c>
      <c r="AF48" s="12">
        <f>'raw data pHILIC'!BM106</f>
        <v>1.4945683956944451E-7</v>
      </c>
    </row>
    <row r="49" spans="2:36" x14ac:dyDescent="0.25">
      <c r="B49" s="12" t="s">
        <v>13</v>
      </c>
      <c r="C49" s="25">
        <v>7.0660235703778773E-2</v>
      </c>
      <c r="D49" s="25">
        <f t="shared" si="0"/>
        <v>6.7386767292078678E-5</v>
      </c>
      <c r="E49" s="25">
        <f t="shared" si="1"/>
        <v>3.7876674726992595E-4</v>
      </c>
      <c r="F49" s="25">
        <f>'raw data pHILIC'!K107</f>
        <v>1.1870952558122641E-2</v>
      </c>
      <c r="G49" s="25">
        <f t="shared" si="2"/>
        <v>1.7735208418092268E-4</v>
      </c>
      <c r="H49" s="25">
        <f t="shared" si="3"/>
        <v>2.0089384382153915E-3</v>
      </c>
      <c r="I49" s="25">
        <f t="shared" si="4"/>
        <v>4.2476582533620298E-3</v>
      </c>
      <c r="J49" s="25">
        <f t="shared" si="5"/>
        <v>0.36664897782632999</v>
      </c>
      <c r="K49" s="25">
        <f t="shared" si="6"/>
        <v>5.8860869825852003E-3</v>
      </c>
      <c r="L49" s="25">
        <f t="shared" si="7"/>
        <v>4.6896045766633493E-4</v>
      </c>
      <c r="M49" s="25">
        <v>7.7369619292746066E-3</v>
      </c>
      <c r="N49" s="25">
        <f t="shared" si="8"/>
        <v>8.7499614934197104E-4</v>
      </c>
      <c r="O49" s="25">
        <f>'raw data pHILIC'!AF107</f>
        <v>3.3200528310220415E-3</v>
      </c>
      <c r="P49" s="25">
        <f t="shared" si="9"/>
        <v>2.2903704796068452E-4</v>
      </c>
      <c r="Q49" s="25">
        <f t="shared" si="10"/>
        <v>1.5031889921659001E-3</v>
      </c>
      <c r="R49" s="25">
        <f t="shared" si="11"/>
        <v>7.3470674941819407E-4</v>
      </c>
      <c r="S49" s="25">
        <f t="shared" si="12"/>
        <v>7.6337447439826995E-5</v>
      </c>
      <c r="T49" s="25">
        <f t="shared" si="13"/>
        <v>4.6369877786353797E-3</v>
      </c>
      <c r="U49" s="25">
        <f t="shared" si="14"/>
        <v>1.977313971962965E-2</v>
      </c>
      <c r="V49" s="25">
        <f t="shared" si="15"/>
        <v>8.1526125456856511E-5</v>
      </c>
      <c r="W49" s="25">
        <f t="shared" si="16"/>
        <v>3.0719074917364949E-3</v>
      </c>
      <c r="X49" s="25">
        <f t="shared" si="17"/>
        <v>1.4380289610330149E-3</v>
      </c>
      <c r="Y49" s="25">
        <f t="shared" si="18"/>
        <v>1.2607682083574199E-3</v>
      </c>
      <c r="Z49" s="25">
        <f t="shared" si="19"/>
        <v>3.7472869975846497E-3</v>
      </c>
      <c r="AA49" s="25">
        <f t="shared" si="20"/>
        <v>5.7490122636455251E-3</v>
      </c>
      <c r="AB49" s="25">
        <f t="shared" si="21"/>
        <v>1.1598213980215999E-4</v>
      </c>
      <c r="AC49" s="25">
        <f t="shared" si="22"/>
        <v>-2.5731229988110995E-5</v>
      </c>
      <c r="AD49" s="25">
        <f t="shared" si="23"/>
        <v>1.6371957336346139E-3</v>
      </c>
      <c r="AE49" s="12">
        <f>'raw data pHILIC'!BH107</f>
        <v>1.073376366896576E-4</v>
      </c>
      <c r="AF49" s="12">
        <f>'raw data pHILIC'!BM107</f>
        <v>8.7101872344157485E-7</v>
      </c>
    </row>
    <row r="50" spans="2:36" x14ac:dyDescent="0.25">
      <c r="B50" s="12" t="s">
        <v>14</v>
      </c>
      <c r="C50" s="25">
        <v>4.6474718543253503E-2</v>
      </c>
      <c r="D50" s="25">
        <f t="shared" si="0"/>
        <v>9.1454106618214673E-5</v>
      </c>
      <c r="E50" s="25">
        <f t="shared" si="1"/>
        <v>4.7870409852447996E-4</v>
      </c>
      <c r="F50" s="25">
        <f>'raw data pHILIC'!K108</f>
        <v>8.8360161130926658E-3</v>
      </c>
      <c r="G50" s="25">
        <f t="shared" si="2"/>
        <v>1.9930184314133015E-4</v>
      </c>
      <c r="H50" s="25">
        <f t="shared" si="3"/>
        <v>2.0110074945293654E-3</v>
      </c>
      <c r="I50" s="25">
        <f t="shared" si="4"/>
        <v>4.1848778234586893E-3</v>
      </c>
      <c r="J50" s="25">
        <f t="shared" si="5"/>
        <v>0.31332575441026</v>
      </c>
      <c r="K50" s="25">
        <f t="shared" si="6"/>
        <v>6.3067848269403003E-3</v>
      </c>
      <c r="L50" s="25">
        <f t="shared" si="7"/>
        <v>5.4876160006941672E-4</v>
      </c>
      <c r="M50" s="25">
        <v>5.1347443798297138E-3</v>
      </c>
      <c r="N50" s="25">
        <f t="shared" si="8"/>
        <v>9.3160498636592995E-4</v>
      </c>
      <c r="O50" s="25">
        <f>'raw data pHILIC'!AF108</f>
        <v>2.5539616256927606E-3</v>
      </c>
      <c r="P50" s="25">
        <f t="shared" si="9"/>
        <v>1.9642564441642099E-4</v>
      </c>
      <c r="Q50" s="25">
        <f t="shared" si="10"/>
        <v>1.949517736274511E-3</v>
      </c>
      <c r="R50" s="25">
        <f t="shared" si="11"/>
        <v>9.71308018837512E-4</v>
      </c>
      <c r="S50" s="25">
        <f t="shared" si="12"/>
        <v>8.9456515208004994E-5</v>
      </c>
      <c r="T50" s="25">
        <f t="shared" si="13"/>
        <v>5.6283001381283197E-3</v>
      </c>
      <c r="U50" s="25">
        <f t="shared" si="14"/>
        <v>1.665845310880355E-2</v>
      </c>
      <c r="V50" s="25">
        <f t="shared" si="15"/>
        <v>5.5388363556489999E-5</v>
      </c>
      <c r="W50" s="25">
        <f t="shared" si="16"/>
        <v>2.9758529431122703E-3</v>
      </c>
      <c r="X50" s="25">
        <f t="shared" si="17"/>
        <v>1.5839789880460525E-3</v>
      </c>
      <c r="Y50" s="25">
        <f t="shared" si="18"/>
        <v>1.3900075031888848E-3</v>
      </c>
      <c r="Z50" s="25">
        <f t="shared" si="19"/>
        <v>4.29643553382355E-3</v>
      </c>
      <c r="AA50" s="25">
        <f t="shared" si="20"/>
        <v>6.8940771216161505E-3</v>
      </c>
      <c r="AB50" s="25">
        <f t="shared" si="21"/>
        <v>8.1171339030995402E-5</v>
      </c>
      <c r="AC50" s="25">
        <f t="shared" si="22"/>
        <v>-5.7138027143354507E-5</v>
      </c>
      <c r="AD50" s="25">
        <f t="shared" si="23"/>
        <v>1.31168385057051E-3</v>
      </c>
      <c r="AE50" s="12">
        <f>'raw data pHILIC'!BH108</f>
        <v>7.0476389059420267E-5</v>
      </c>
      <c r="AF50" s="12">
        <f>'raw data pHILIC'!BM108</f>
        <v>5.9089487348106841E-7</v>
      </c>
    </row>
    <row r="51" spans="2:36" x14ac:dyDescent="0.25">
      <c r="B51" s="12" t="s">
        <v>15</v>
      </c>
      <c r="C51" s="25">
        <v>1.0700180530419011E-2</v>
      </c>
      <c r="D51" s="25">
        <f t="shared" si="0"/>
        <v>7.4922861126252335E-5</v>
      </c>
      <c r="E51" s="25">
        <f t="shared" si="1"/>
        <v>3.3644921068996401E-4</v>
      </c>
      <c r="F51" s="25">
        <f>'raw data pHILIC'!K109</f>
        <v>1.6372407366620886E-3</v>
      </c>
      <c r="G51" s="25">
        <f t="shared" si="2"/>
        <v>1.6496982810152534E-4</v>
      </c>
      <c r="H51" s="25">
        <f t="shared" si="3"/>
        <v>2.0068743367592568E-3</v>
      </c>
      <c r="I51" s="25">
        <f t="shared" si="4"/>
        <v>2.9923727107333095E-3</v>
      </c>
      <c r="J51" s="25">
        <f t="shared" si="5"/>
        <v>0.36651813374025999</v>
      </c>
      <c r="K51" s="25">
        <f t="shared" si="6"/>
        <v>4.8848292612315601E-3</v>
      </c>
      <c r="L51" s="25">
        <f t="shared" si="7"/>
        <v>2.7967469615339496E-4</v>
      </c>
      <c r="M51" s="25">
        <v>9.795285062289738E-4</v>
      </c>
      <c r="N51" s="25">
        <f t="shared" si="8"/>
        <v>6.3223387158573604E-4</v>
      </c>
      <c r="O51" s="25">
        <f>'raw data pHILIC'!AF109</f>
        <v>6.130647383047282E-4</v>
      </c>
      <c r="P51" s="25">
        <f t="shared" si="9"/>
        <v>1.6743859838236601E-4</v>
      </c>
      <c r="Q51" s="25">
        <f t="shared" si="10"/>
        <v>1.4120550962546778E-3</v>
      </c>
      <c r="R51" s="25">
        <f t="shared" si="11"/>
        <v>6.6950376338164794E-4</v>
      </c>
      <c r="S51" s="25">
        <f t="shared" si="12"/>
        <v>6.6801230546110251E-5</v>
      </c>
      <c r="T51" s="25">
        <f t="shared" si="13"/>
        <v>4.1483109439887202E-3</v>
      </c>
      <c r="U51" s="25">
        <f t="shared" si="14"/>
        <v>1.9721725904032501E-2</v>
      </c>
      <c r="V51" s="25">
        <f t="shared" si="15"/>
        <v>4.0408551775614501E-5</v>
      </c>
      <c r="W51" s="25">
        <f t="shared" si="16"/>
        <v>2.093404587783045E-3</v>
      </c>
      <c r="X51" s="25">
        <f t="shared" si="17"/>
        <v>1.2158285179287001E-3</v>
      </c>
      <c r="Y51" s="25">
        <f t="shared" si="18"/>
        <v>1.05369532737734E-3</v>
      </c>
      <c r="Z51" s="25">
        <f t="shared" si="19"/>
        <v>3.1019539197849836E-3</v>
      </c>
      <c r="AA51" s="25">
        <f t="shared" si="20"/>
        <v>4.9157791805156757E-3</v>
      </c>
      <c r="AB51" s="25">
        <f t="shared" si="21"/>
        <v>1.15510233670297E-4</v>
      </c>
      <c r="AC51" s="25">
        <f t="shared" si="22"/>
        <v>-3.5916995110697003E-5</v>
      </c>
      <c r="AD51" s="25">
        <f t="shared" si="23"/>
        <v>8.1573099892529E-4</v>
      </c>
      <c r="AE51" s="12">
        <f>'raw data pHILIC'!BH109</f>
        <v>1.8561471629218519E-5</v>
      </c>
      <c r="AF51" s="12" t="str">
        <f>'raw data pHILIC'!BM109</f>
        <v>-</v>
      </c>
    </row>
    <row r="52" spans="2:36" x14ac:dyDescent="0.25">
      <c r="B52" s="12" t="s">
        <v>16</v>
      </c>
      <c r="C52" s="25">
        <v>1.7177902700670905E-2</v>
      </c>
      <c r="D52" s="25">
        <f t="shared" si="0"/>
        <v>9.3462397770070998E-5</v>
      </c>
      <c r="E52" s="25">
        <f t="shared" si="1"/>
        <v>4.7243317461284601E-4</v>
      </c>
      <c r="F52" s="25">
        <f>'raw data pHILIC'!K110</f>
        <v>2.936605932146345E-3</v>
      </c>
      <c r="G52" s="25">
        <f t="shared" si="2"/>
        <v>2.09471942382321E-4</v>
      </c>
      <c r="H52" s="25">
        <f t="shared" si="3"/>
        <v>2.0120962047699771E-3</v>
      </c>
      <c r="I52" s="25">
        <f t="shared" si="4"/>
        <v>5.0084655034991704E-3</v>
      </c>
      <c r="J52" s="25">
        <f t="shared" si="5"/>
        <v>0.2921936935689875</v>
      </c>
      <c r="K52" s="25">
        <f t="shared" si="6"/>
        <v>6.5270600914332996E-3</v>
      </c>
      <c r="L52" s="25">
        <f t="shared" si="7"/>
        <v>5.4008445456585666E-4</v>
      </c>
      <c r="M52" s="25">
        <v>1.7868722306870893E-3</v>
      </c>
      <c r="N52" s="25">
        <f t="shared" si="8"/>
        <v>1.0183861244393302E-3</v>
      </c>
      <c r="O52" s="25">
        <f>'raw data pHILIC'!AF110</f>
        <v>1.0782164474112926E-3</v>
      </c>
      <c r="P52" s="25">
        <f t="shared" si="9"/>
        <v>1.7311281051795552E-4</v>
      </c>
      <c r="Q52" s="25">
        <f t="shared" si="10"/>
        <v>1.9913972422385779E-3</v>
      </c>
      <c r="R52" s="25">
        <f t="shared" si="11"/>
        <v>9.4035157546448203E-4</v>
      </c>
      <c r="S52" s="25">
        <f t="shared" si="12"/>
        <v>9.6125301639227246E-5</v>
      </c>
      <c r="T52" s="25">
        <f t="shared" si="13"/>
        <v>5.5539420797865802E-3</v>
      </c>
      <c r="U52" s="25">
        <f t="shared" si="14"/>
        <v>1.54982214101369E-2</v>
      </c>
      <c r="V52" s="25">
        <f t="shared" si="15"/>
        <v>5.2689672723492001E-5</v>
      </c>
      <c r="W52" s="25">
        <f t="shared" si="16"/>
        <v>3.0110726315825498E-3</v>
      </c>
      <c r="X52" s="25">
        <f t="shared" si="17"/>
        <v>1.6357802751535699E-3</v>
      </c>
      <c r="Y52" s="25">
        <f t="shared" si="18"/>
        <v>1.31047368150308E-3</v>
      </c>
      <c r="Z52" s="25">
        <f t="shared" si="19"/>
        <v>4.1389786155857332E-3</v>
      </c>
      <c r="AA52" s="25">
        <f t="shared" si="20"/>
        <v>7.1933864969508004E-3</v>
      </c>
      <c r="AB52" s="25">
        <f t="shared" si="21"/>
        <v>8.3044477708136001E-5</v>
      </c>
      <c r="AC52" s="25">
        <f t="shared" si="22"/>
        <v>-8.6105677910697998E-5</v>
      </c>
      <c r="AD52" s="25">
        <f t="shared" si="23"/>
        <v>1.3158426285158999E-3</v>
      </c>
      <c r="AE52" s="12">
        <f>'raw data pHILIC'!BH110</f>
        <v>2.9245099413312606E-5</v>
      </c>
      <c r="AF52" s="12">
        <f>'raw data pHILIC'!BM110</f>
        <v>2.6649394398472414E-7</v>
      </c>
    </row>
    <row r="53" spans="2:36" x14ac:dyDescent="0.25">
      <c r="B53" s="12" t="s">
        <v>17</v>
      </c>
      <c r="C53" s="25">
        <v>6.928280753973326E-2</v>
      </c>
      <c r="D53" s="25">
        <f t="shared" si="0"/>
        <v>6.980492055781899E-5</v>
      </c>
      <c r="E53" s="25">
        <f t="shared" si="1"/>
        <v>2.7681923035077001E-4</v>
      </c>
      <c r="F53" s="25">
        <f>'raw data pHILIC'!K111</f>
        <v>1.0361548571877321E-2</v>
      </c>
      <c r="G53" s="25">
        <f t="shared" si="2"/>
        <v>1.5274996997972099E-4</v>
      </c>
      <c r="H53" s="25">
        <f t="shared" si="3"/>
        <v>2.0076592275207659E-3</v>
      </c>
      <c r="I53" s="25">
        <f t="shared" si="4"/>
        <v>3.08041092001618E-3</v>
      </c>
      <c r="J53" s="25">
        <f t="shared" si="5"/>
        <v>0.33456753020000501</v>
      </c>
      <c r="K53" s="25">
        <f t="shared" si="6"/>
        <v>4.4389324663767502E-3</v>
      </c>
      <c r="L53" s="25">
        <f t="shared" si="7"/>
        <v>5.4877880898574987E-5</v>
      </c>
      <c r="M53" s="25">
        <v>6.552715236113827E-3</v>
      </c>
      <c r="N53" s="25">
        <f t="shared" si="8"/>
        <v>6.1913000121876301E-4</v>
      </c>
      <c r="O53" s="25">
        <f>'raw data pHILIC'!AF111</f>
        <v>3.0638615203029949E-3</v>
      </c>
      <c r="P53" s="25">
        <f t="shared" si="9"/>
        <v>1.75850180625986E-4</v>
      </c>
      <c r="Q53" s="25">
        <f t="shared" si="10"/>
        <v>1.4639283554097444E-3</v>
      </c>
      <c r="R53" s="25">
        <f t="shared" si="11"/>
        <v>6.0496245107237196E-4</v>
      </c>
      <c r="S53" s="25">
        <f t="shared" si="12"/>
        <v>6.5326652276750249E-5</v>
      </c>
      <c r="T53" s="25">
        <f t="shared" si="13"/>
        <v>3.9212604326255996E-3</v>
      </c>
      <c r="U53" s="25">
        <f t="shared" si="14"/>
        <v>1.7829150495769299E-2</v>
      </c>
      <c r="V53" s="25">
        <f t="shared" si="15"/>
        <v>4.3084619690298699E-5</v>
      </c>
      <c r="W53" s="25">
        <f t="shared" si="16"/>
        <v>1.939044110666455E-3</v>
      </c>
      <c r="X53" s="25">
        <f t="shared" si="17"/>
        <v>1.1638603246151675E-3</v>
      </c>
      <c r="Y53" s="25">
        <f t="shared" si="18"/>
        <v>1.027854626783185E-3</v>
      </c>
      <c r="Z53" s="25">
        <f t="shared" si="19"/>
        <v>2.7640057797712501E-3</v>
      </c>
      <c r="AA53" s="25">
        <f t="shared" si="20"/>
        <v>4.6158152701198246E-3</v>
      </c>
      <c r="AB53" s="25">
        <f t="shared" si="21"/>
        <v>1.0434666127224391E-4</v>
      </c>
      <c r="AC53" s="25">
        <f t="shared" si="22"/>
        <v>-6.3645664693537507E-5</v>
      </c>
      <c r="AD53" s="25">
        <f t="shared" si="23"/>
        <v>1.2010544370753861E-3</v>
      </c>
      <c r="AE53" s="12">
        <f>'raw data pHILIC'!BH111</f>
        <v>9.9418211171269357E-5</v>
      </c>
      <c r="AF53" s="12">
        <f>'raw data pHILIC'!BM111</f>
        <v>1.1281962068891259E-6</v>
      </c>
    </row>
    <row r="54" spans="2:36" x14ac:dyDescent="0.25">
      <c r="B54" s="12" t="s">
        <v>18</v>
      </c>
      <c r="C54" s="25">
        <v>3.0660708236875358E-2</v>
      </c>
      <c r="D54" s="25">
        <f t="shared" si="0"/>
        <v>9.2556064634022323E-5</v>
      </c>
      <c r="E54" s="25">
        <f t="shared" si="1"/>
        <v>4.4327716315441202E-4</v>
      </c>
      <c r="F54" s="25">
        <f>'raw data pHILIC'!K112</f>
        <v>1.359187911463835E-2</v>
      </c>
      <c r="G54" s="25">
        <f t="shared" si="2"/>
        <v>2.0897464719552719E-4</v>
      </c>
      <c r="H54" s="25">
        <f t="shared" si="3"/>
        <v>2.0112395893402868E-3</v>
      </c>
      <c r="I54" s="25">
        <f t="shared" si="4"/>
        <v>4.1118026200174795E-3</v>
      </c>
      <c r="J54" s="25">
        <f t="shared" si="5"/>
        <v>0.3462398405316775</v>
      </c>
      <c r="K54" s="25">
        <f t="shared" si="6"/>
        <v>5.4474265219875001E-3</v>
      </c>
      <c r="L54" s="25">
        <f t="shared" si="7"/>
        <v>3.6275655712641992E-4</v>
      </c>
      <c r="M54" s="25">
        <v>7.5466528567841593E-3</v>
      </c>
      <c r="N54" s="25">
        <f t="shared" si="8"/>
        <v>8.8124579034890298E-4</v>
      </c>
      <c r="O54" s="25">
        <f>'raw data pHILIC'!AF112</f>
        <v>3.686361345854663E-3</v>
      </c>
      <c r="P54" s="25">
        <f t="shared" si="9"/>
        <v>1.9855820728325051E-4</v>
      </c>
      <c r="Q54" s="25">
        <f t="shared" si="10"/>
        <v>1.8912284108957556E-3</v>
      </c>
      <c r="R54" s="25">
        <f t="shared" si="11"/>
        <v>8.7761252305063996E-4</v>
      </c>
      <c r="S54" s="25">
        <f t="shared" si="12"/>
        <v>8.2968324435326744E-5</v>
      </c>
      <c r="T54" s="25">
        <f t="shared" si="13"/>
        <v>5.1628026082454594E-3</v>
      </c>
      <c r="U54" s="25">
        <f t="shared" si="14"/>
        <v>1.9909558085600351E-2</v>
      </c>
      <c r="V54" s="25">
        <f t="shared" si="15"/>
        <v>4.8407408991322498E-5</v>
      </c>
      <c r="W54" s="25">
        <f t="shared" si="16"/>
        <v>2.5430510401972003E-3</v>
      </c>
      <c r="X54" s="25">
        <f t="shared" si="17"/>
        <v>1.3812957311857975E-3</v>
      </c>
      <c r="Y54" s="25">
        <f t="shared" si="18"/>
        <v>1.3051605921617351E-3</v>
      </c>
      <c r="Z54" s="25">
        <f t="shared" si="19"/>
        <v>3.8576749101395503E-3</v>
      </c>
      <c r="AA54" s="25">
        <f t="shared" si="20"/>
        <v>6.0779645737004742E-3</v>
      </c>
      <c r="AB54" s="25">
        <f t="shared" si="21"/>
        <v>1.029463961825158E-4</v>
      </c>
      <c r="AC54" s="25">
        <f t="shared" si="22"/>
        <v>1.237480963689435E-4</v>
      </c>
      <c r="AD54" s="25">
        <f t="shared" si="23"/>
        <v>1.667992440164778E-3</v>
      </c>
      <c r="AE54" s="12">
        <f>'raw data pHILIC'!BH112</f>
        <v>7.7766170289907311E-5</v>
      </c>
      <c r="AF54" s="12">
        <f>'raw data pHILIC'!BM112</f>
        <v>1.5565212801306283E-6</v>
      </c>
    </row>
    <row r="55" spans="2:36" x14ac:dyDescent="0.25">
      <c r="B55" s="12" t="s">
        <v>19</v>
      </c>
      <c r="C55" s="25">
        <v>6.9617770701973303E-3</v>
      </c>
      <c r="D55" s="25">
        <f t="shared" si="0"/>
        <v>2.6714430263785801E-5</v>
      </c>
      <c r="E55" s="25">
        <f t="shared" si="1"/>
        <v>3.2631673939169403E-4</v>
      </c>
      <c r="F55" s="25">
        <f>'raw data pHILIC'!K113</f>
        <v>1.393769707415328E-2</v>
      </c>
      <c r="G55" s="25">
        <f t="shared" si="2"/>
        <v>1.5394374613780782E-4</v>
      </c>
      <c r="H55" s="25">
        <f t="shared" si="3"/>
        <v>2.0052517791513823E-3</v>
      </c>
      <c r="I55" s="25">
        <f t="shared" si="4"/>
        <v>3.4526672829535503E-3</v>
      </c>
      <c r="J55" s="25">
        <f t="shared" si="5"/>
        <v>0.35139395402400997</v>
      </c>
      <c r="K55" s="25">
        <f t="shared" si="6"/>
        <v>5.3400880475508502E-3</v>
      </c>
      <c r="L55" s="25">
        <f t="shared" si="7"/>
        <v>2.8368363981984339E-4</v>
      </c>
      <c r="M55" s="25">
        <v>5.6425505968086334E-3</v>
      </c>
      <c r="N55" s="25">
        <f t="shared" si="8"/>
        <v>7.8916033601020394E-4</v>
      </c>
      <c r="O55" s="25">
        <f>'raw data pHILIC'!AF113</f>
        <v>2.7544350246133391E-3</v>
      </c>
      <c r="P55" s="25">
        <f t="shared" si="9"/>
        <v>1.26978629226073E-4</v>
      </c>
      <c r="Q55" s="25">
        <f t="shared" si="10"/>
        <v>4.815506162222589E-4</v>
      </c>
      <c r="R55" s="25">
        <f t="shared" si="11"/>
        <v>2.9780874572707801E-4</v>
      </c>
      <c r="S55" s="25">
        <f t="shared" si="12"/>
        <v>3.6599669865042999E-5</v>
      </c>
      <c r="T55" s="25">
        <f t="shared" si="13"/>
        <v>4.4132738338943595E-3</v>
      </c>
      <c r="U55" s="25">
        <f t="shared" si="14"/>
        <v>1.8689878319588901E-2</v>
      </c>
      <c r="V55" s="25">
        <f t="shared" si="15"/>
        <v>8.2130109861089011E-6</v>
      </c>
      <c r="W55" s="25">
        <f t="shared" si="16"/>
        <v>3.0021246605684204E-3</v>
      </c>
      <c r="X55" s="25">
        <f t="shared" si="17"/>
        <v>1.2379290615079474E-3</v>
      </c>
      <c r="Y55" s="25">
        <f t="shared" si="18"/>
        <v>1.1412790783437449E-3</v>
      </c>
      <c r="Z55" s="25">
        <f t="shared" si="19"/>
        <v>3.1536073196833832E-3</v>
      </c>
      <c r="AA55" s="25">
        <f t="shared" si="20"/>
        <v>5.2769460497294751E-3</v>
      </c>
      <c r="AB55" s="25">
        <f t="shared" si="21"/>
        <v>8.648916629505099E-5</v>
      </c>
      <c r="AC55" s="25">
        <f t="shared" si="22"/>
        <v>5.029144992458E-4</v>
      </c>
      <c r="AD55" s="25">
        <f t="shared" si="23"/>
        <v>7.3832445782731203E-4</v>
      </c>
      <c r="AE55" s="12">
        <f>'raw data pHILIC'!BH113</f>
        <v>2.5957720521284711E-5</v>
      </c>
      <c r="AF55" s="12">
        <f>'raw data pHILIC'!BM113</f>
        <v>4.4335797607882281E-7</v>
      </c>
    </row>
    <row r="56" spans="2:36" x14ac:dyDescent="0.25">
      <c r="B56" s="12" t="s">
        <v>20</v>
      </c>
      <c r="C56" s="25">
        <v>1.5640716369398012E-3</v>
      </c>
      <c r="D56" s="25">
        <f t="shared" si="0"/>
        <v>2.7480159063928168E-5</v>
      </c>
      <c r="E56" s="25">
        <f t="shared" si="1"/>
        <v>3.06662898413694E-4</v>
      </c>
      <c r="F56" s="25">
        <f>'raw data pHILIC'!K114</f>
        <v>3.0536644917169807E-3</v>
      </c>
      <c r="G56" s="25">
        <f t="shared" si="2"/>
        <v>1.3061997236224116E-4</v>
      </c>
      <c r="H56" s="25">
        <f t="shared" si="3"/>
        <v>2.0042549817451934E-3</v>
      </c>
      <c r="I56" s="25">
        <f t="shared" si="4"/>
        <v>3.3009722840785702E-3</v>
      </c>
      <c r="J56" s="25">
        <f t="shared" si="5"/>
        <v>0.35726116782584</v>
      </c>
      <c r="K56" s="25">
        <f t="shared" si="6"/>
        <v>5.0890830652956997E-3</v>
      </c>
      <c r="L56" s="25">
        <f t="shared" si="7"/>
        <v>3.5766525087443826E-4</v>
      </c>
      <c r="M56" s="25">
        <v>7.946910880881231E-4</v>
      </c>
      <c r="N56" s="25">
        <f t="shared" si="8"/>
        <v>7.9645362457685901E-4</v>
      </c>
      <c r="O56" s="25">
        <f>'raw data pHILIC'!AF114</f>
        <v>5.2148624342684058E-4</v>
      </c>
      <c r="P56" s="25">
        <f t="shared" si="9"/>
        <v>1.248905219376055E-4</v>
      </c>
      <c r="Q56" s="25">
        <f t="shared" si="10"/>
        <v>4.8048775440381663E-4</v>
      </c>
      <c r="R56" s="25">
        <f t="shared" si="11"/>
        <v>3.2420720047573797E-4</v>
      </c>
      <c r="S56" s="25">
        <f t="shared" si="12"/>
        <v>3.8451340001747E-5</v>
      </c>
      <c r="T56" s="25">
        <f t="shared" si="13"/>
        <v>4.4334806458461396E-3</v>
      </c>
      <c r="U56" s="25">
        <f t="shared" si="14"/>
        <v>1.93948819195227E-2</v>
      </c>
      <c r="V56" s="25">
        <f t="shared" si="15"/>
        <v>1.0981399484228699E-5</v>
      </c>
      <c r="W56" s="25">
        <f t="shared" si="16"/>
        <v>2.9745588001653701E-3</v>
      </c>
      <c r="X56" s="25">
        <f t="shared" si="17"/>
        <v>1.2117337266703625E-3</v>
      </c>
      <c r="Y56" s="25">
        <f t="shared" si="18"/>
        <v>1.1706567792461901E-3</v>
      </c>
      <c r="Z56" s="25">
        <f t="shared" si="19"/>
        <v>3.4895423276709503E-3</v>
      </c>
      <c r="AA56" s="25">
        <f t="shared" si="20"/>
        <v>5.5347394365086499E-3</v>
      </c>
      <c r="AB56" s="25">
        <f t="shared" si="21"/>
        <v>8.70237697595136E-5</v>
      </c>
      <c r="AC56" s="25">
        <f t="shared" si="22"/>
        <v>4.8658738067355498E-4</v>
      </c>
      <c r="AD56" s="25">
        <f t="shared" si="23"/>
        <v>1.1996887330205381E-3</v>
      </c>
      <c r="AE56" s="12">
        <f>'raw data pHILIC'!BH114</f>
        <v>4.7140998950990652E-6</v>
      </c>
      <c r="AF56" s="12" t="str">
        <f>'raw data pHILIC'!BM114</f>
        <v>-</v>
      </c>
      <c r="AJ56" s="3"/>
    </row>
    <row r="57" spans="2:36" x14ac:dyDescent="0.25">
      <c r="B57" s="12" t="s">
        <v>21</v>
      </c>
      <c r="C57" s="25">
        <v>8.636807761803823E-3</v>
      </c>
      <c r="D57" s="25">
        <f t="shared" si="0"/>
        <v>3.2775234237650398E-5</v>
      </c>
      <c r="E57" s="25">
        <f t="shared" si="1"/>
        <v>4.7403206806421398E-4</v>
      </c>
      <c r="F57" s="25">
        <f>'raw data pHILIC'!K115</f>
        <v>2.0234080905202366E-2</v>
      </c>
      <c r="G57" s="25">
        <f t="shared" si="2"/>
        <v>1.71193891829212E-4</v>
      </c>
      <c r="H57" s="25">
        <f t="shared" si="3"/>
        <v>2.0062577066643056E-3</v>
      </c>
      <c r="I57" s="25">
        <f t="shared" si="4"/>
        <v>4.6067843383630997E-3</v>
      </c>
      <c r="J57" s="25">
        <f t="shared" si="5"/>
        <v>0.39708675122291998</v>
      </c>
      <c r="K57" s="25">
        <f t="shared" si="6"/>
        <v>6.5260409908926998E-3</v>
      </c>
      <c r="L57" s="25">
        <f t="shared" si="7"/>
        <v>5.453481278242801E-4</v>
      </c>
      <c r="M57" s="25">
        <v>8.3123591252551726E-3</v>
      </c>
      <c r="N57" s="25">
        <f t="shared" si="8"/>
        <v>1.0636806133444701E-3</v>
      </c>
      <c r="O57" s="25">
        <f>'raw data pHILIC'!AF115</f>
        <v>3.8833888151438459E-3</v>
      </c>
      <c r="P57" s="25">
        <f t="shared" si="9"/>
        <v>1.35700793479366E-4</v>
      </c>
      <c r="Q57" s="25">
        <f t="shared" si="10"/>
        <v>5.8815902315569892E-4</v>
      </c>
      <c r="R57" s="25">
        <f t="shared" si="11"/>
        <v>4.1646622650302602E-4</v>
      </c>
      <c r="S57" s="25">
        <f t="shared" si="12"/>
        <v>4.4342725429510499E-5</v>
      </c>
      <c r="T57" s="25">
        <f t="shared" si="13"/>
        <v>5.3651272658510798E-3</v>
      </c>
      <c r="U57" s="25">
        <f t="shared" si="14"/>
        <v>2.1369418430111198E-2</v>
      </c>
      <c r="V57" s="25">
        <f t="shared" si="15"/>
        <v>1.1227476222057798E-5</v>
      </c>
      <c r="W57" s="25">
        <f t="shared" si="16"/>
        <v>3.9088000888042552E-3</v>
      </c>
      <c r="X57" s="25">
        <f t="shared" si="17"/>
        <v>1.5779002988453451E-3</v>
      </c>
      <c r="Y57" s="25">
        <f t="shared" si="18"/>
        <v>1.4304333892334251E-3</v>
      </c>
      <c r="Z57" s="25">
        <f t="shared" si="19"/>
        <v>4.2307924409254001E-3</v>
      </c>
      <c r="AA57" s="25">
        <f t="shared" si="20"/>
        <v>6.9706644784542499E-3</v>
      </c>
      <c r="AB57" s="25">
        <f t="shared" si="21"/>
        <v>1.01866541001396E-4</v>
      </c>
      <c r="AC57" s="25">
        <f t="shared" si="22"/>
        <v>6.5863054041137505E-4</v>
      </c>
      <c r="AD57" s="25">
        <f t="shared" si="23"/>
        <v>5.0469972809095E-4</v>
      </c>
      <c r="AE57" s="12">
        <f>'raw data pHILIC'!BH115</f>
        <v>4.1986932607379507E-5</v>
      </c>
      <c r="AF57" s="12">
        <f>'raw data pHILIC'!BM115</f>
        <v>9.1305966470657455E-7</v>
      </c>
    </row>
    <row r="58" spans="2:36" x14ac:dyDescent="0.25">
      <c r="B58" s="12" t="s">
        <v>22</v>
      </c>
      <c r="C58" s="25">
        <v>1.0605154552638558E-2</v>
      </c>
      <c r="D58" s="25">
        <f t="shared" si="0"/>
        <v>3.2113598020098667E-5</v>
      </c>
      <c r="E58" s="25">
        <f t="shared" si="1"/>
        <v>3.9090130264300205E-4</v>
      </c>
      <c r="F58" s="25">
        <f>'raw data pHILIC'!K116</f>
        <v>1.8661691552568246E-2</v>
      </c>
      <c r="G58" s="25">
        <f t="shared" si="2"/>
        <v>1.5994834716412333E-4</v>
      </c>
      <c r="H58" s="25">
        <f t="shared" si="3"/>
        <v>2.0058632396593805E-3</v>
      </c>
      <c r="I58" s="25">
        <f t="shared" si="4"/>
        <v>3.7653714869115402E-3</v>
      </c>
      <c r="J58" s="25">
        <f t="shared" si="5"/>
        <v>0.38766781419762997</v>
      </c>
      <c r="K58" s="25">
        <f t="shared" si="6"/>
        <v>5.8686223674502E-3</v>
      </c>
      <c r="L58" s="25">
        <f t="shared" si="7"/>
        <v>4.4960020437655667E-4</v>
      </c>
      <c r="M58" s="25">
        <v>7.0869502744791051E-3</v>
      </c>
      <c r="N58" s="25">
        <f t="shared" si="8"/>
        <v>9.5708698095241002E-4</v>
      </c>
      <c r="O58" s="25">
        <f>'raw data pHILIC'!AF116</f>
        <v>3.1943659240934977E-3</v>
      </c>
      <c r="P58" s="25">
        <f t="shared" si="9"/>
        <v>1.24904240447792E-4</v>
      </c>
      <c r="Q58" s="25">
        <f t="shared" si="10"/>
        <v>5.6324034524955335E-4</v>
      </c>
      <c r="R58" s="25">
        <f t="shared" si="11"/>
        <v>3.6074118103443997E-4</v>
      </c>
      <c r="S58" s="25">
        <f t="shared" si="12"/>
        <v>4.3391769140292246E-5</v>
      </c>
      <c r="T58" s="25">
        <f t="shared" si="13"/>
        <v>4.7552102741343404E-3</v>
      </c>
      <c r="U58" s="25">
        <f t="shared" si="14"/>
        <v>2.1071421136112899E-2</v>
      </c>
      <c r="V58" s="25">
        <f t="shared" si="15"/>
        <v>1.1106477125243901E-5</v>
      </c>
      <c r="W58" s="25">
        <f t="shared" si="16"/>
        <v>3.3669771487142052E-3</v>
      </c>
      <c r="X58" s="25">
        <f t="shared" si="17"/>
        <v>1.40355243360859E-3</v>
      </c>
      <c r="Y58" s="25">
        <f t="shared" si="18"/>
        <v>1.3078172090667201E-3</v>
      </c>
      <c r="Z58" s="25">
        <f t="shared" si="19"/>
        <v>3.8835460777183169E-3</v>
      </c>
      <c r="AA58" s="25">
        <f t="shared" si="20"/>
        <v>6.2755369136710251E-3</v>
      </c>
      <c r="AB58" s="25">
        <f t="shared" si="21"/>
        <v>9.5310585037108297E-5</v>
      </c>
      <c r="AC58" s="25">
        <f t="shared" si="22"/>
        <v>5.4757250182477994E-4</v>
      </c>
      <c r="AD58" s="25">
        <f t="shared" si="23"/>
        <v>1.417926912958042E-3</v>
      </c>
      <c r="AE58" s="12">
        <f>'raw data pHILIC'!BH116</f>
        <v>3.232070569920391E-5</v>
      </c>
      <c r="AF58" s="12">
        <f>'raw data pHILIC'!BM116</f>
        <v>4.7796881899268925E-7</v>
      </c>
    </row>
    <row r="59" spans="2:36" ht="12.75" thickBot="1" x14ac:dyDescent="0.3">
      <c r="B59" s="12" t="s">
        <v>23</v>
      </c>
      <c r="C59" s="25">
        <v>9.6826700397348361E-3</v>
      </c>
      <c r="D59" s="25">
        <f t="shared" si="0"/>
        <v>3.35167151450657E-5</v>
      </c>
      <c r="E59" s="25">
        <f t="shared" si="1"/>
        <v>5.0726815746369807E-4</v>
      </c>
      <c r="F59" s="25">
        <f>'raw data pHILIC'!K117</f>
        <v>1.9338490173049359E-2</v>
      </c>
      <c r="G59" s="25">
        <f t="shared" si="2"/>
        <v>1.5659813864586167E-4</v>
      </c>
      <c r="H59" s="25">
        <f t="shared" si="3"/>
        <v>2.0060294336255078E-3</v>
      </c>
      <c r="I59" s="25">
        <f t="shared" si="4"/>
        <v>5.37402760274524E-3</v>
      </c>
      <c r="J59" s="25">
        <f t="shared" si="5"/>
        <v>0.39606896015232501</v>
      </c>
      <c r="K59" s="25">
        <f t="shared" si="6"/>
        <v>6.4802085985395498E-3</v>
      </c>
      <c r="L59" s="25">
        <f t="shared" si="7"/>
        <v>5.9938967171263005E-4</v>
      </c>
      <c r="M59" s="25">
        <v>8.1382952839008406E-3</v>
      </c>
      <c r="N59" s="25">
        <f t="shared" si="8"/>
        <v>1.0321463727603699E-3</v>
      </c>
      <c r="O59" s="25">
        <f>'raw data pHILIC'!AF117</f>
        <v>3.7141010780322153E-3</v>
      </c>
      <c r="P59" s="25">
        <f t="shared" si="9"/>
        <v>1.3854074158375202E-4</v>
      </c>
      <c r="Q59" s="25">
        <f t="shared" si="10"/>
        <v>6.4129357152292331E-4</v>
      </c>
      <c r="R59" s="25">
        <f t="shared" si="11"/>
        <v>4.5485968289286601E-4</v>
      </c>
      <c r="S59" s="25">
        <f t="shared" si="12"/>
        <v>4.2388834325466755E-5</v>
      </c>
      <c r="T59" s="25">
        <f t="shared" si="13"/>
        <v>5.6607799260719608E-3</v>
      </c>
      <c r="U59" s="25">
        <f t="shared" si="14"/>
        <v>2.1445628814308948E-2</v>
      </c>
      <c r="V59" s="25">
        <f t="shared" si="15"/>
        <v>1.5896643171180802E-5</v>
      </c>
      <c r="W59" s="25">
        <f t="shared" si="16"/>
        <v>3.9277534475404101E-3</v>
      </c>
      <c r="X59" s="25">
        <f t="shared" si="17"/>
        <v>1.64087565721136E-3</v>
      </c>
      <c r="Y59" s="25">
        <f t="shared" si="18"/>
        <v>1.4763622617833701E-3</v>
      </c>
      <c r="Z59" s="25">
        <f t="shared" si="19"/>
        <v>4.9039679083524666E-3</v>
      </c>
      <c r="AA59" s="25">
        <f t="shared" si="20"/>
        <v>7.774712262756475E-3</v>
      </c>
      <c r="AB59" s="25">
        <f t="shared" si="21"/>
        <v>1.0789731036074489E-4</v>
      </c>
      <c r="AC59" s="25">
        <f t="shared" si="22"/>
        <v>7.5373080190131497E-4</v>
      </c>
      <c r="AD59" s="25">
        <f t="shared" si="23"/>
        <v>1.156819320011916E-3</v>
      </c>
      <c r="AE59" s="12">
        <f>'raw data pHILIC'!BH117</f>
        <v>3.7487051300557473E-5</v>
      </c>
      <c r="AF59" s="12">
        <f>'raw data pHILIC'!BM117</f>
        <v>6.2537260782027986E-7</v>
      </c>
    </row>
    <row r="60" spans="2:36" ht="12.75" thickBot="1" x14ac:dyDescent="0.3">
      <c r="B60" s="36" t="s">
        <v>141</v>
      </c>
      <c r="C60" s="37">
        <f>16000*AVERAGE(C55:C59)</f>
        <v>119.84153939620593</v>
      </c>
      <c r="D60" s="37">
        <f>16000*AVERAGE(D55:D59)</f>
        <v>0.48832043753769205</v>
      </c>
      <c r="E60" s="37">
        <f>16000*AVERAGE(E55:E59)</f>
        <v>6.416579731124167</v>
      </c>
      <c r="F60" s="37">
        <f>16000*AVERAGE(F55:F59)</f>
        <v>240.72199742940876</v>
      </c>
      <c r="G60" s="37">
        <f t="shared" ref="F60:N60" si="24">16000*AVERAGE(G55:G59)</f>
        <v>2.4713731076455869</v>
      </c>
      <c r="H60" s="37">
        <f t="shared" si="24"/>
        <v>32.088502850706469</v>
      </c>
      <c r="I60" s="38">
        <f>16000*AVERAGE(I55:I59)</f>
        <v>65.599433584166391</v>
      </c>
      <c r="J60" s="62">
        <f t="shared" si="24"/>
        <v>6046.3316717527196</v>
      </c>
      <c r="K60" s="38">
        <f t="shared" si="24"/>
        <v>93.772937823132793</v>
      </c>
      <c r="L60" s="37">
        <f t="shared" si="24"/>
        <v>7.1541980627447943</v>
      </c>
      <c r="M60" s="37">
        <f t="shared" si="24"/>
        <v>95.919508379301988</v>
      </c>
      <c r="N60" s="37">
        <f t="shared" si="24"/>
        <v>14.843289368461802</v>
      </c>
      <c r="O60" s="37">
        <f>16000*AVERAGE(O55:O59)</f>
        <v>45.016886672991163</v>
      </c>
      <c r="P60" s="37">
        <f t="shared" ref="P60:R60" si="25">16000*AVERAGE(P55:P59)</f>
        <v>2.0832477653586836</v>
      </c>
      <c r="Q60" s="37">
        <f t="shared" si="25"/>
        <v>8.8151401937736047</v>
      </c>
      <c r="R60" s="37">
        <f t="shared" si="25"/>
        <v>5.9330657172260741</v>
      </c>
      <c r="S60" s="37">
        <f t="shared" ref="S60:V60" si="26">16000*AVERAGE(S55:S59)</f>
        <v>0.65655788403859039</v>
      </c>
      <c r="T60" s="38">
        <f t="shared" si="26"/>
        <v>78.809190226553227</v>
      </c>
      <c r="U60" s="37">
        <f t="shared" si="26"/>
        <v>326.30793158286286</v>
      </c>
      <c r="V60" s="37">
        <f t="shared" si="26"/>
        <v>0.18376002236422431</v>
      </c>
      <c r="W60" s="38">
        <f>16000*AVERAGE(W55:W59)</f>
        <v>54.976685266536521</v>
      </c>
      <c r="X60" s="38">
        <f>16000*AVERAGE(X55:X59)</f>
        <v>22.630371769099536</v>
      </c>
      <c r="Y60" s="37">
        <f>16000*AVERAGE(Y55:Y59)</f>
        <v>20.884955896555041</v>
      </c>
      <c r="Z60" s="38">
        <f t="shared" ref="Z60:AF60" si="27">16000*AVERAGE(Z55:Z59)</f>
        <v>62.916659437921659</v>
      </c>
      <c r="AA60" s="38">
        <f t="shared" si="27"/>
        <v>101.8643172515836</v>
      </c>
      <c r="AB60" s="37">
        <f t="shared" si="27"/>
        <v>1.5314795918522042</v>
      </c>
      <c r="AC60" s="37">
        <f t="shared" si="27"/>
        <v>9.438194316981841</v>
      </c>
      <c r="AD60" s="37">
        <f t="shared" si="27"/>
        <v>16.055869286108027</v>
      </c>
      <c r="AE60" s="37">
        <f t="shared" si="27"/>
        <v>0.45589283207527892</v>
      </c>
      <c r="AF60" s="39">
        <f t="shared" si="27"/>
        <v>9.839036270393467E-3</v>
      </c>
    </row>
    <row r="61" spans="2:36" x14ac:dyDescent="0.25">
      <c r="B61" s="71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</row>
    <row r="62" spans="2:36" x14ac:dyDescent="0.25">
      <c r="B62" s="71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</row>
    <row r="63" spans="2:36" x14ac:dyDescent="0.25">
      <c r="C63" s="14"/>
    </row>
    <row r="65" spans="2:32" ht="15" x14ac:dyDescent="0.25">
      <c r="C65" s="90" t="s">
        <v>142</v>
      </c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2" t="s">
        <v>225</v>
      </c>
      <c r="AF65" s="93"/>
    </row>
    <row r="66" spans="2:32" s="25" customFormat="1" x14ac:dyDescent="0.25">
      <c r="B66" s="6"/>
      <c r="C66" s="6">
        <v>90.031694999999999</v>
      </c>
      <c r="D66" s="6">
        <v>116.01096</v>
      </c>
      <c r="E66" s="6">
        <v>118.02661000000001</v>
      </c>
      <c r="F66" s="6">
        <v>88.016045000000005</v>
      </c>
      <c r="G66" s="6">
        <v>148.03717336599999</v>
      </c>
      <c r="H66" s="6">
        <v>134.021525</v>
      </c>
      <c r="I66" s="6">
        <v>165.078979</v>
      </c>
      <c r="J66" s="6">
        <v>180.06339</v>
      </c>
      <c r="K66" s="6">
        <v>131.094629</v>
      </c>
      <c r="L66" s="6">
        <v>204.089878</v>
      </c>
      <c r="M66" s="6">
        <v>117.078979</v>
      </c>
      <c r="N66" s="6">
        <v>149.051051</v>
      </c>
      <c r="O66" s="6">
        <v>181.073894</v>
      </c>
      <c r="P66" s="6">
        <v>115.063329</v>
      </c>
      <c r="Q66" s="6">
        <v>147.05315899999999</v>
      </c>
      <c r="R66" s="6">
        <v>89.047679000000002</v>
      </c>
      <c r="S66" s="6">
        <v>133.037509</v>
      </c>
      <c r="T66" s="6">
        <v>119.058244</v>
      </c>
      <c r="U66" s="6">
        <v>146.069143</v>
      </c>
      <c r="V66" s="6">
        <v>132.053493</v>
      </c>
      <c r="W66" s="6">
        <v>105.04259399999999</v>
      </c>
      <c r="X66" s="6">
        <v>75.032028999999994</v>
      </c>
      <c r="Y66" s="6">
        <v>155.06947700000001</v>
      </c>
      <c r="Z66" s="6">
        <v>174.11167599999999</v>
      </c>
      <c r="AA66" s="6">
        <v>146.10552799999999</v>
      </c>
      <c r="AB66" s="6">
        <v>152.03342599999999</v>
      </c>
      <c r="AC66" s="6">
        <v>136.038511</v>
      </c>
      <c r="AD66" s="6">
        <v>60.032362999999997</v>
      </c>
      <c r="AE66" s="25">
        <v>146.0215</v>
      </c>
      <c r="AF66" s="25">
        <v>174.0164</v>
      </c>
    </row>
    <row r="67" spans="2:32" ht="12.75" thickBot="1" x14ac:dyDescent="0.3">
      <c r="B67" s="4" t="s">
        <v>114</v>
      </c>
      <c r="C67" s="31" t="s">
        <v>28</v>
      </c>
      <c r="D67" s="31" t="s">
        <v>30</v>
      </c>
      <c r="E67" s="31" t="s">
        <v>31</v>
      </c>
      <c r="F67" s="31" t="s">
        <v>34</v>
      </c>
      <c r="G67" s="31" t="s">
        <v>36</v>
      </c>
      <c r="H67" s="31" t="s">
        <v>42</v>
      </c>
      <c r="I67" s="31" t="s">
        <v>43</v>
      </c>
      <c r="J67" s="31" t="s">
        <v>46</v>
      </c>
      <c r="K67" s="31" t="s">
        <v>47</v>
      </c>
      <c r="L67" s="31" t="s">
        <v>48</v>
      </c>
      <c r="M67" s="31" t="s">
        <v>50</v>
      </c>
      <c r="N67" s="31" t="s">
        <v>51</v>
      </c>
      <c r="O67" s="31" t="s">
        <v>52</v>
      </c>
      <c r="P67" s="31" t="s">
        <v>54</v>
      </c>
      <c r="Q67" s="31" t="s">
        <v>59</v>
      </c>
      <c r="R67" s="31" t="s">
        <v>110</v>
      </c>
      <c r="S67" s="31" t="s">
        <v>61</v>
      </c>
      <c r="T67" s="31" t="s">
        <v>62</v>
      </c>
      <c r="U67" s="31" t="s">
        <v>64</v>
      </c>
      <c r="V67" s="31" t="s">
        <v>67</v>
      </c>
      <c r="W67" s="31" t="s">
        <v>68</v>
      </c>
      <c r="X67" s="31" t="s">
        <v>70</v>
      </c>
      <c r="Y67" s="31" t="s">
        <v>76</v>
      </c>
      <c r="Z67" s="31" t="s">
        <v>77</v>
      </c>
      <c r="AA67" s="31" t="s">
        <v>78</v>
      </c>
      <c r="AB67" s="31" t="s">
        <v>106</v>
      </c>
      <c r="AC67" s="31" t="s">
        <v>107</v>
      </c>
      <c r="AD67" s="31" t="s">
        <v>113</v>
      </c>
      <c r="AE67" s="4" t="s">
        <v>180</v>
      </c>
      <c r="AF67" s="4" t="s">
        <v>33</v>
      </c>
    </row>
    <row r="68" spans="2:32" ht="12.75" thickTop="1" x14ac:dyDescent="0.25">
      <c r="B68" s="12" t="s">
        <v>0</v>
      </c>
      <c r="C68" s="14">
        <f>16000*2*C35/C$66</f>
        <v>3.6039705640731303</v>
      </c>
      <c r="D68" s="14">
        <f t="shared" ref="D68:AD77" si="28">16000*2*D35/D$66</f>
        <v>7.8613597901088419E-2</v>
      </c>
      <c r="E68" s="14">
        <f t="shared" si="28"/>
        <v>0.16383167009760013</v>
      </c>
      <c r="F68" s="14">
        <f t="shared" si="28"/>
        <v>1.0807645693833876</v>
      </c>
      <c r="G68" s="14">
        <f t="shared" si="28"/>
        <v>4.469325092498784E-2</v>
      </c>
      <c r="H68" s="14">
        <f t="shared" si="28"/>
        <v>0.4797341535541485</v>
      </c>
      <c r="I68" s="14">
        <f t="shared" si="28"/>
        <v>0.90622560933674767</v>
      </c>
      <c r="J68" s="14">
        <f t="shared" si="28"/>
        <v>65.840749624071833</v>
      </c>
      <c r="K68" s="14">
        <f t="shared" si="28"/>
        <v>1.495068179772912</v>
      </c>
      <c r="L68" s="14">
        <f t="shared" si="28"/>
        <v>8.1163471466134618E-2</v>
      </c>
      <c r="M68" s="14">
        <f t="shared" si="28"/>
        <v>0.40440466162800492</v>
      </c>
      <c r="N68" s="14">
        <f t="shared" si="28"/>
        <v>0.1991993233813926</v>
      </c>
      <c r="O68" s="14">
        <f t="shared" si="28"/>
        <v>0.16898513075827018</v>
      </c>
      <c r="P68" s="14">
        <f t="shared" si="28"/>
        <v>6.7974960663094317E-2</v>
      </c>
      <c r="Q68" s="14">
        <f t="shared" si="28"/>
        <v>0.47092708468888506</v>
      </c>
      <c r="R68" s="14">
        <f t="shared" si="28"/>
        <v>0.2921670671379859</v>
      </c>
      <c r="S68" s="14">
        <f t="shared" si="28"/>
        <v>1.6048864519420371E-2</v>
      </c>
      <c r="T68" s="14">
        <f t="shared" si="28"/>
        <v>1.579274441263735</v>
      </c>
      <c r="U68" s="14">
        <f t="shared" si="28"/>
        <v>4.3054745828367924</v>
      </c>
      <c r="V68" s="14">
        <f t="shared" si="28"/>
        <v>1.5646880039887352E-2</v>
      </c>
      <c r="W68" s="14">
        <f t="shared" si="28"/>
        <v>0.9758655624364525</v>
      </c>
      <c r="X68" s="14">
        <f t="shared" si="28"/>
        <v>0.65656046976031535</v>
      </c>
      <c r="Y68" s="14">
        <f t="shared" si="28"/>
        <v>0.27498945376101425</v>
      </c>
      <c r="Z68" s="14">
        <f t="shared" si="28"/>
        <v>0.79430616000799859</v>
      </c>
      <c r="AA68" s="14">
        <f t="shared" si="28"/>
        <v>1.5066513522283869</v>
      </c>
      <c r="AB68" s="14">
        <f t="shared" si="28"/>
        <v>2.3613999123728281E-2</v>
      </c>
      <c r="AC68" s="14">
        <f t="shared" si="28"/>
        <v>4.5230572523208043E-2</v>
      </c>
      <c r="AD68" s="14">
        <f t="shared" si="28"/>
        <v>0.9474849645384763</v>
      </c>
      <c r="AE68" s="14">
        <f t="shared" ref="AE68:AF92" si="29">16000*2*AE35/AE$66</f>
        <v>5.0291158804955426E-3</v>
      </c>
      <c r="AF68" s="14">
        <f t="shared" si="29"/>
        <v>5.0787140298020631E-5</v>
      </c>
    </row>
    <row r="69" spans="2:32" x14ac:dyDescent="0.25">
      <c r="B69" s="12" t="s">
        <v>1</v>
      </c>
      <c r="C69" s="14">
        <f>16000*2*C36/C$66</f>
        <v>15.536454278644875</v>
      </c>
      <c r="D69" s="14">
        <f t="shared" ref="C69:R92" si="30">16000*2*D36/D$66</f>
        <v>7.643479141227319E-2</v>
      </c>
      <c r="E69" s="14">
        <f t="shared" si="30"/>
        <v>0.15296782663958022</v>
      </c>
      <c r="F69" s="14">
        <f t="shared" si="30"/>
        <v>5.6258253110541032</v>
      </c>
      <c r="G69" s="14">
        <f t="shared" si="30"/>
        <v>3.3955243212470718E-2</v>
      </c>
      <c r="H69" s="14">
        <f t="shared" si="30"/>
        <v>0.47982930536396057</v>
      </c>
      <c r="I69" s="14">
        <f t="shared" si="30"/>
        <v>0.91271987063511173</v>
      </c>
      <c r="J69" s="14">
        <f t="shared" si="30"/>
        <v>63.510329140277982</v>
      </c>
      <c r="K69" s="14">
        <f t="shared" si="30"/>
        <v>1.5342879077862817</v>
      </c>
      <c r="L69" s="14">
        <f t="shared" si="30"/>
        <v>8.4597360891631751E-2</v>
      </c>
      <c r="M69" s="14">
        <f t="shared" si="30"/>
        <v>2.3522259534069949</v>
      </c>
      <c r="N69" s="14">
        <f t="shared" si="30"/>
        <v>0.22357061413463766</v>
      </c>
      <c r="O69" s="14">
        <f t="shared" si="30"/>
        <v>0.75370024465141838</v>
      </c>
      <c r="P69" s="14">
        <f t="shared" si="30"/>
        <v>6.6973948666949473E-2</v>
      </c>
      <c r="Q69" s="14">
        <f t="shared" si="30"/>
        <v>0.45078192750587925</v>
      </c>
      <c r="R69" s="14">
        <f t="shared" si="30"/>
        <v>0.28163657481631088</v>
      </c>
      <c r="S69" s="14">
        <f t="shared" si="28"/>
        <v>1.6521092006326066E-2</v>
      </c>
      <c r="T69" s="14">
        <f t="shared" si="28"/>
        <v>1.4646061797694945</v>
      </c>
      <c r="U69" s="14">
        <f t="shared" si="28"/>
        <v>4.2144477138363658</v>
      </c>
      <c r="V69" s="14">
        <f t="shared" si="28"/>
        <v>1.8170495566158962E-2</v>
      </c>
      <c r="W69" s="14">
        <f t="shared" si="28"/>
        <v>1.1234380038612817</v>
      </c>
      <c r="X69" s="14">
        <f t="shared" si="28"/>
        <v>0.69209742725352874</v>
      </c>
      <c r="Y69" s="14">
        <f t="shared" si="28"/>
        <v>0.29538924166620156</v>
      </c>
      <c r="Z69" s="14">
        <f t="shared" si="28"/>
        <v>0.75255075112766745</v>
      </c>
      <c r="AA69" s="14">
        <f t="shared" si="28"/>
        <v>1.4030413534856752</v>
      </c>
      <c r="AB69" s="14">
        <f t="shared" si="28"/>
        <v>2.2732919552365827E-2</v>
      </c>
      <c r="AC69" s="14">
        <f t="shared" si="28"/>
        <v>3.9368132253379574E-2</v>
      </c>
      <c r="AD69" s="14">
        <f t="shared" si="28"/>
        <v>0.99696144459597713</v>
      </c>
      <c r="AE69" s="14">
        <f t="shared" si="29"/>
        <v>2.256521448913807E-2</v>
      </c>
      <c r="AF69" s="14">
        <f t="shared" ref="AF69" si="31">16000*2*AF36/AF$66</f>
        <v>3.7196560807934977E-4</v>
      </c>
    </row>
    <row r="70" spans="2:32" x14ac:dyDescent="0.25">
      <c r="B70" s="3" t="s">
        <v>2</v>
      </c>
      <c r="C70" s="14">
        <f t="shared" si="30"/>
        <v>14.892405489872351</v>
      </c>
      <c r="D70" s="14">
        <f t="shared" si="28"/>
        <v>7.5289462790014194E-2</v>
      </c>
      <c r="E70" s="14">
        <f t="shared" si="28"/>
        <v>0.16370249617851484</v>
      </c>
      <c r="F70" s="14">
        <f t="shared" si="28"/>
        <v>5.0801132543189684</v>
      </c>
      <c r="G70" s="14">
        <f t="shared" si="28"/>
        <v>3.1922776942402323E-2</v>
      </c>
      <c r="H70" s="14">
        <f t="shared" si="28"/>
        <v>0.47984744865035484</v>
      </c>
      <c r="I70" s="14">
        <f t="shared" si="28"/>
        <v>0.82628579424467996</v>
      </c>
      <c r="J70" s="14">
        <f t="shared" si="28"/>
        <v>63.233179298315328</v>
      </c>
      <c r="K70" s="14">
        <f t="shared" si="28"/>
        <v>1.4335998005143966</v>
      </c>
      <c r="L70" s="14">
        <f t="shared" si="28"/>
        <v>7.88418748594895E-2</v>
      </c>
      <c r="M70" s="14">
        <f t="shared" si="28"/>
        <v>2.1967240566189896</v>
      </c>
      <c r="N70" s="14">
        <f t="shared" si="28"/>
        <v>0.20243463933291528</v>
      </c>
      <c r="O70" s="14">
        <f t="shared" si="28"/>
        <v>0.70761681617920447</v>
      </c>
      <c r="P70" s="14">
        <f t="shared" si="28"/>
        <v>7.682311572719791E-2</v>
      </c>
      <c r="Q70" s="14">
        <f t="shared" si="28"/>
        <v>0.45282588925622719</v>
      </c>
      <c r="R70" s="14">
        <f t="shared" si="28"/>
        <v>0.27058829922639566</v>
      </c>
      <c r="S70" s="14">
        <f t="shared" si="28"/>
        <v>1.5794102082008044E-2</v>
      </c>
      <c r="T70" s="14">
        <f t="shared" si="28"/>
        <v>1.4635106959665596</v>
      </c>
      <c r="U70" s="14">
        <f t="shared" si="28"/>
        <v>4.2767991322625178</v>
      </c>
      <c r="V70" s="14">
        <f t="shared" si="28"/>
        <v>1.8814584140567459E-2</v>
      </c>
      <c r="W70" s="14">
        <f t="shared" si="28"/>
        <v>1.109765552726278</v>
      </c>
      <c r="X70" s="14">
        <f t="shared" si="28"/>
        <v>0.69128843560803088</v>
      </c>
      <c r="Y70" s="14">
        <f t="shared" si="28"/>
        <v>0.29067049124836553</v>
      </c>
      <c r="Z70" s="14">
        <f t="shared" si="28"/>
        <v>0.76725350084918453</v>
      </c>
      <c r="AA70" s="14">
        <f t="shared" si="28"/>
        <v>1.565021832658515</v>
      </c>
      <c r="AB70" s="14">
        <f t="shared" si="28"/>
        <v>2.278216673614341E-2</v>
      </c>
      <c r="AC70" s="14">
        <f t="shared" si="28"/>
        <v>4.1627339715657082E-2</v>
      </c>
      <c r="AD70" s="14">
        <f t="shared" si="28"/>
        <v>0.36599289985553535</v>
      </c>
      <c r="AE70" s="14">
        <f t="shared" si="29"/>
        <v>2.2663198409451114E-2</v>
      </c>
      <c r="AF70" s="14">
        <f t="shared" ref="AF70" si="32">16000*2*AF37/AF$66</f>
        <v>3.4409055150589571E-4</v>
      </c>
    </row>
    <row r="71" spans="2:32" x14ac:dyDescent="0.25">
      <c r="B71" s="3" t="s">
        <v>3</v>
      </c>
      <c r="C71" s="14">
        <f t="shared" si="30"/>
        <v>14.326319384091768</v>
      </c>
      <c r="D71" s="14">
        <f t="shared" si="28"/>
        <v>7.8649808094880785E-2</v>
      </c>
      <c r="E71" s="14">
        <f t="shared" si="28"/>
        <v>0.16403428227815187</v>
      </c>
      <c r="F71" s="14">
        <f t="shared" si="28"/>
        <v>5.1900315983625873</v>
      </c>
      <c r="G71" s="14">
        <f t="shared" si="28"/>
        <v>3.4914728458386536E-2</v>
      </c>
      <c r="H71" s="14">
        <f t="shared" si="28"/>
        <v>0.48005517788249641</v>
      </c>
      <c r="I71" s="14">
        <f t="shared" si="28"/>
        <v>0.88299498952019473</v>
      </c>
      <c r="J71" s="14">
        <f t="shared" si="28"/>
        <v>64.609098295302786</v>
      </c>
      <c r="K71" s="14">
        <f t="shared" si="28"/>
        <v>1.5057725284807268</v>
      </c>
      <c r="L71" s="14">
        <f t="shared" si="28"/>
        <v>7.7501533502502079E-2</v>
      </c>
      <c r="M71" s="14">
        <f t="shared" si="28"/>
        <v>2.2198825111532701</v>
      </c>
      <c r="N71" s="14">
        <f t="shared" si="28"/>
        <v>0.20073830662151429</v>
      </c>
      <c r="O71" s="14">
        <f t="shared" si="28"/>
        <v>0.68552408839195944</v>
      </c>
      <c r="P71" s="14">
        <f t="shared" si="28"/>
        <v>7.2888887121322354E-2</v>
      </c>
      <c r="Q71" s="14">
        <f t="shared" si="28"/>
        <v>0.44972162526758758</v>
      </c>
      <c r="R71" s="14">
        <f t="shared" si="28"/>
        <v>0.27395120527794375</v>
      </c>
      <c r="S71" s="14">
        <f t="shared" si="28"/>
        <v>1.7274684735584217E-2</v>
      </c>
      <c r="T71" s="14">
        <f t="shared" si="28"/>
        <v>1.4960722809363791</v>
      </c>
      <c r="U71" s="14">
        <f t="shared" si="28"/>
        <v>4.4593987782648394</v>
      </c>
      <c r="V71" s="14">
        <f t="shared" si="28"/>
        <v>1.8425045795465566E-2</v>
      </c>
      <c r="W71" s="14">
        <f t="shared" si="28"/>
        <v>1.0535531932977116</v>
      </c>
      <c r="X71" s="14">
        <f t="shared" si="28"/>
        <v>0.66414034454724724</v>
      </c>
      <c r="Y71" s="14">
        <f t="shared" si="28"/>
        <v>0.28345413688603388</v>
      </c>
      <c r="Z71" s="14">
        <f t="shared" si="28"/>
        <v>0.79623165192181766</v>
      </c>
      <c r="AA71" s="14">
        <f t="shared" si="28"/>
        <v>1.4756692456608267</v>
      </c>
      <c r="AB71" s="14">
        <f t="shared" si="28"/>
        <v>2.306334739276782E-2</v>
      </c>
      <c r="AC71" s="14">
        <f t="shared" si="28"/>
        <v>4.2218709791456158E-2</v>
      </c>
      <c r="AD71" s="14">
        <f t="shared" si="28"/>
        <v>0.21786499416264204</v>
      </c>
      <c r="AE71" s="14">
        <f t="shared" si="29"/>
        <v>2.1098734270743279E-2</v>
      </c>
      <c r="AF71" s="14">
        <f t="shared" ref="AF71" si="33">16000*2*AF38/AF$66</f>
        <v>3.3319733392190345E-4</v>
      </c>
    </row>
    <row r="72" spans="2:32" x14ac:dyDescent="0.25">
      <c r="B72" s="3" t="s">
        <v>4</v>
      </c>
      <c r="C72" s="14">
        <f t="shared" si="30"/>
        <v>15.47395100760146</v>
      </c>
      <c r="D72" s="14">
        <f t="shared" si="28"/>
        <v>8.5979159968119265E-2</v>
      </c>
      <c r="E72" s="14">
        <f t="shared" si="28"/>
        <v>0.17153846134466716</v>
      </c>
      <c r="F72" s="14">
        <f t="shared" si="28"/>
        <v>5.1893368357689145</v>
      </c>
      <c r="G72" s="14">
        <f t="shared" si="28"/>
        <v>3.5620315576441075E-2</v>
      </c>
      <c r="H72" s="14">
        <f t="shared" si="28"/>
        <v>0.47961156789302117</v>
      </c>
      <c r="I72" s="14">
        <f t="shared" si="28"/>
        <v>1.0097077346521617</v>
      </c>
      <c r="J72" s="14">
        <f t="shared" si="28"/>
        <v>66.204185641167371</v>
      </c>
      <c r="K72" s="14">
        <f t="shared" si="28"/>
        <v>1.5273042568065178</v>
      </c>
      <c r="L72" s="14">
        <f t="shared" si="28"/>
        <v>7.8377760139873812E-2</v>
      </c>
      <c r="M72" s="14">
        <f t="shared" si="28"/>
        <v>2.2170246420760309</v>
      </c>
      <c r="N72" s="14">
        <f t="shared" si="28"/>
        <v>0.20411267088910634</v>
      </c>
      <c r="O72" s="14">
        <f t="shared" si="28"/>
        <v>0.73098270946046606</v>
      </c>
      <c r="P72" s="14">
        <f t="shared" si="28"/>
        <v>7.0860850482591414E-2</v>
      </c>
      <c r="Q72" s="14">
        <f t="shared" si="28"/>
        <v>0.45633721499604246</v>
      </c>
      <c r="R72" s="14">
        <f t="shared" si="28"/>
        <v>0.30770951314549982</v>
      </c>
      <c r="S72" s="14">
        <f t="shared" si="28"/>
        <v>1.6705440541991988E-2</v>
      </c>
      <c r="T72" s="14">
        <f t="shared" si="28"/>
        <v>1.514946036214732</v>
      </c>
      <c r="U72" s="14">
        <f t="shared" si="28"/>
        <v>4.3017438269475994</v>
      </c>
      <c r="V72" s="14">
        <f t="shared" si="28"/>
        <v>1.8404064028851825E-2</v>
      </c>
      <c r="W72" s="14">
        <f t="shared" si="28"/>
        <v>1.0827087244633444</v>
      </c>
      <c r="X72" s="14">
        <f t="shared" si="28"/>
        <v>0.72829179750691797</v>
      </c>
      <c r="Y72" s="14">
        <f t="shared" si="28"/>
        <v>0.27011771601069884</v>
      </c>
      <c r="Z72" s="14">
        <f t="shared" si="28"/>
        <v>0.83094196511424934</v>
      </c>
      <c r="AA72" s="14">
        <f t="shared" si="28"/>
        <v>1.5361217310417934</v>
      </c>
      <c r="AB72" s="14">
        <f t="shared" si="28"/>
        <v>2.3923137692057801E-2</v>
      </c>
      <c r="AC72" s="14">
        <f t="shared" si="28"/>
        <v>4.0684476994545991E-2</v>
      </c>
      <c r="AD72" s="14">
        <f t="shared" si="28"/>
        <v>0.39659725944577945</v>
      </c>
      <c r="AE72" s="14">
        <f t="shared" si="29"/>
        <v>2.1723842904059657E-2</v>
      </c>
      <c r="AF72" s="14">
        <f t="shared" ref="AF72" si="34">16000*2*AF39/AF$66</f>
        <v>2.8523476782094364E-4</v>
      </c>
    </row>
    <row r="73" spans="2:32" x14ac:dyDescent="0.25">
      <c r="B73" s="3" t="s">
        <v>5</v>
      </c>
      <c r="C73" s="14">
        <f t="shared" si="30"/>
        <v>22.847260667367095</v>
      </c>
      <c r="D73" s="14">
        <f t="shared" si="28"/>
        <v>0.13047313737431337</v>
      </c>
      <c r="E73" s="14">
        <f t="shared" si="28"/>
        <v>0.19237861370068948</v>
      </c>
      <c r="F73" s="14">
        <f t="shared" si="28"/>
        <v>4.3838992605739797</v>
      </c>
      <c r="G73" s="14">
        <f t="shared" si="28"/>
        <v>3.9484264326996324E-2</v>
      </c>
      <c r="H73" s="14">
        <f t="shared" si="28"/>
        <v>0.48030504886089431</v>
      </c>
      <c r="I73" s="14">
        <f t="shared" si="28"/>
        <v>0.86410182908146638</v>
      </c>
      <c r="J73" s="14">
        <f t="shared" si="28"/>
        <v>63.758340394080548</v>
      </c>
      <c r="K73" s="14">
        <f t="shared" si="28"/>
        <v>1.5139265709533714</v>
      </c>
      <c r="L73" s="14">
        <f t="shared" si="28"/>
        <v>7.8326262560479934E-2</v>
      </c>
      <c r="M73" s="14">
        <f t="shared" si="28"/>
        <v>2.2340000431099405</v>
      </c>
      <c r="N73" s="14">
        <f t="shared" si="28"/>
        <v>0.20740915614347033</v>
      </c>
      <c r="O73" s="14">
        <f t="shared" si="28"/>
        <v>0.69313972617567987</v>
      </c>
      <c r="P73" s="14">
        <f t="shared" si="28"/>
        <v>7.0597534917810983E-2</v>
      </c>
      <c r="Q73" s="14">
        <f t="shared" si="28"/>
        <v>0.62072343163249033</v>
      </c>
      <c r="R73" s="14">
        <f t="shared" si="28"/>
        <v>0.31089652911387144</v>
      </c>
      <c r="S73" s="14">
        <f t="shared" si="28"/>
        <v>1.1597667820409475E-2</v>
      </c>
      <c r="T73" s="14">
        <f t="shared" si="28"/>
        <v>1.5077704763287698</v>
      </c>
      <c r="U73" s="14">
        <f t="shared" si="28"/>
        <v>4.1831615539821438</v>
      </c>
      <c r="V73" s="14">
        <f t="shared" si="28"/>
        <v>4.3577586637055703E-3</v>
      </c>
      <c r="W73" s="14">
        <f t="shared" si="28"/>
        <v>0.96019601847926184</v>
      </c>
      <c r="X73" s="14">
        <f t="shared" si="28"/>
        <v>0.69510409165817011</v>
      </c>
      <c r="Y73" s="14">
        <f t="shared" si="28"/>
        <v>0.27076263550587459</v>
      </c>
      <c r="Z73" s="14">
        <f t="shared" si="28"/>
        <v>0.70253922976414596</v>
      </c>
      <c r="AA73" s="14">
        <f t="shared" si="28"/>
        <v>1.4398724773102358</v>
      </c>
      <c r="AB73" s="14">
        <f t="shared" si="28"/>
        <v>2.399866869297251E-2</v>
      </c>
      <c r="AC73" s="14">
        <f t="shared" si="28"/>
        <v>-6.4891882844952346E-3</v>
      </c>
      <c r="AD73" s="14">
        <f t="shared" si="28"/>
        <v>0.47060921716825949</v>
      </c>
      <c r="AE73" s="14">
        <f t="shared" si="29"/>
        <v>3.1001199526243313E-2</v>
      </c>
      <c r="AF73" s="14">
        <f t="shared" ref="AF73" si="35">16000*2*AF40/AF$66</f>
        <v>1.6820992492382172E-4</v>
      </c>
    </row>
    <row r="74" spans="2:32" x14ac:dyDescent="0.25">
      <c r="B74" s="3" t="s">
        <v>6</v>
      </c>
      <c r="C74" s="14">
        <f t="shared" si="30"/>
        <v>22.746195024576238</v>
      </c>
      <c r="D74" s="14">
        <f t="shared" si="28"/>
        <v>0.13240029133750258</v>
      </c>
      <c r="E74" s="14">
        <f t="shared" si="28"/>
        <v>0.18302789737287617</v>
      </c>
      <c r="F74" s="14">
        <f t="shared" si="28"/>
        <v>4.4074920572375405</v>
      </c>
      <c r="G74" s="14">
        <f t="shared" si="28"/>
        <v>4.3494833560105348E-2</v>
      </c>
      <c r="H74" s="14">
        <f t="shared" si="28"/>
        <v>0.47922160298769551</v>
      </c>
      <c r="I74" s="14">
        <f t="shared" si="28"/>
        <v>0.91595349902785528</v>
      </c>
      <c r="J74" s="14">
        <f t="shared" si="28"/>
        <v>65.316966788476449</v>
      </c>
      <c r="K74" s="14">
        <f t="shared" si="28"/>
        <v>1.4506958301725696</v>
      </c>
      <c r="L74" s="14">
        <f t="shared" si="28"/>
        <v>7.8064618832299884E-2</v>
      </c>
      <c r="M74" s="14">
        <f t="shared" si="28"/>
        <v>2.2019460480617461</v>
      </c>
      <c r="N74" s="14">
        <f t="shared" si="28"/>
        <v>0.19328516681556471</v>
      </c>
      <c r="O74" s="14">
        <f t="shared" si="28"/>
        <v>0.64429593386280148</v>
      </c>
      <c r="P74" s="14">
        <f t="shared" si="28"/>
        <v>5.9679081454540851E-2</v>
      </c>
      <c r="Q74" s="14">
        <f t="shared" si="28"/>
        <v>0.59378846152920739</v>
      </c>
      <c r="R74" s="14">
        <f t="shared" si="28"/>
        <v>0.30209700156615332</v>
      </c>
      <c r="S74" s="14">
        <f t="shared" si="28"/>
        <v>1.0690111505753042E-2</v>
      </c>
      <c r="T74" s="14">
        <f t="shared" si="28"/>
        <v>1.4746584873251811</v>
      </c>
      <c r="U74" s="14">
        <f t="shared" si="28"/>
        <v>4.0629410688568059</v>
      </c>
      <c r="V74" s="14">
        <f t="shared" si="28"/>
        <v>3.6646244871734574E-3</v>
      </c>
      <c r="W74" s="14">
        <f t="shared" si="28"/>
        <v>0.87821756302745069</v>
      </c>
      <c r="X74" s="14">
        <f t="shared" si="28"/>
        <v>0.66486027877616061</v>
      </c>
      <c r="Y74" s="14">
        <f t="shared" si="28"/>
        <v>0.28333756752499173</v>
      </c>
      <c r="Z74" s="14">
        <f t="shared" si="28"/>
        <v>0.76310946766427923</v>
      </c>
      <c r="AA74" s="14">
        <f t="shared" si="28"/>
        <v>1.5186055163360392</v>
      </c>
      <c r="AB74" s="14">
        <f t="shared" si="28"/>
        <v>2.4837486788641967E-2</v>
      </c>
      <c r="AC74" s="14">
        <f t="shared" si="28"/>
        <v>2.763598186417676E-4</v>
      </c>
      <c r="AD74" s="14">
        <f t="shared" si="28"/>
        <v>0.58895540076185215</v>
      </c>
      <c r="AE74" s="14">
        <f t="shared" si="29"/>
        <v>2.9337069717779635E-2</v>
      </c>
      <c r="AF74" s="14">
        <f t="shared" ref="AF74" si="36">16000*2*AF41/AF$66</f>
        <v>1.4628196354253301E-4</v>
      </c>
    </row>
    <row r="75" spans="2:32" x14ac:dyDescent="0.25">
      <c r="B75" s="3" t="s">
        <v>7</v>
      </c>
      <c r="C75" s="14">
        <f t="shared" si="30"/>
        <v>24.702395361375629</v>
      </c>
      <c r="D75" s="14">
        <f t="shared" si="28"/>
        <v>0.13790897398153232</v>
      </c>
      <c r="E75" s="14">
        <f t="shared" si="28"/>
        <v>0.20553116113938302</v>
      </c>
      <c r="F75" s="14">
        <f t="shared" si="28"/>
        <v>4.566418745817872</v>
      </c>
      <c r="G75" s="14">
        <f t="shared" si="28"/>
        <v>4.5349913242824162E-2</v>
      </c>
      <c r="H75" s="14">
        <f t="shared" si="28"/>
        <v>0.47934617244818223</v>
      </c>
      <c r="I75" s="14">
        <f t="shared" si="28"/>
        <v>1.023707181637977</v>
      </c>
      <c r="J75" s="14">
        <f t="shared" si="28"/>
        <v>66.827331320328014</v>
      </c>
      <c r="K75" s="14">
        <f t="shared" si="28"/>
        <v>1.5715244527071754</v>
      </c>
      <c r="L75" s="14">
        <f t="shared" si="28"/>
        <v>0.10063731376821942</v>
      </c>
      <c r="M75" s="14">
        <f t="shared" si="28"/>
        <v>2.2395667355381339</v>
      </c>
      <c r="N75" s="14">
        <f t="shared" si="28"/>
        <v>0.21660339703507786</v>
      </c>
      <c r="O75" s="14">
        <f t="shared" si="28"/>
        <v>0.61617821612879287</v>
      </c>
      <c r="P75" s="14">
        <f t="shared" si="28"/>
        <v>5.8577146451587604E-2</v>
      </c>
      <c r="Q75" s="14">
        <f t="shared" si="28"/>
        <v>0.60454817690273044</v>
      </c>
      <c r="R75" s="14">
        <f t="shared" si="28"/>
        <v>0.32280350571087324</v>
      </c>
      <c r="S75" s="14">
        <f t="shared" si="28"/>
        <v>1.1875035679406353E-2</v>
      </c>
      <c r="T75" s="14">
        <f t="shared" si="28"/>
        <v>1.5146710865585742</v>
      </c>
      <c r="U75" s="14">
        <f t="shared" si="28"/>
        <v>4.3628700227855139</v>
      </c>
      <c r="V75" s="14">
        <f t="shared" si="28"/>
        <v>3.971725869495399E-3</v>
      </c>
      <c r="W75" s="14">
        <f t="shared" si="28"/>
        <v>0.97223269514485444</v>
      </c>
      <c r="X75" s="14">
        <f t="shared" si="28"/>
        <v>0.69628995626119505</v>
      </c>
      <c r="Y75" s="14">
        <f t="shared" si="28"/>
        <v>0.30523121605287362</v>
      </c>
      <c r="Z75" s="14">
        <f t="shared" si="28"/>
        <v>0.82056759913037891</v>
      </c>
      <c r="AA75" s="14">
        <f t="shared" si="28"/>
        <v>1.635521535030932</v>
      </c>
      <c r="AB75" s="14">
        <f t="shared" si="28"/>
        <v>2.615971641528694E-2</v>
      </c>
      <c r="AC75" s="14">
        <f t="shared" si="28"/>
        <v>1.0711412817535E-2</v>
      </c>
      <c r="AD75" s="14">
        <f t="shared" si="28"/>
        <v>0.88691239023854651</v>
      </c>
      <c r="AE75" s="14">
        <f t="shared" si="29"/>
        <v>2.8278850811935041E-2</v>
      </c>
      <c r="AF75" s="14">
        <f t="shared" ref="AF75" si="37">16000*2*AF42/AF$66</f>
        <v>1.1738738888216998E-4</v>
      </c>
    </row>
    <row r="76" spans="2:32" x14ac:dyDescent="0.25">
      <c r="B76" s="3" t="s">
        <v>8</v>
      </c>
      <c r="C76" s="14">
        <f t="shared" si="30"/>
        <v>22.729147567974326</v>
      </c>
      <c r="D76" s="14">
        <f t="shared" si="28"/>
        <v>0.13582417472914352</v>
      </c>
      <c r="E76" s="14">
        <f t="shared" si="28"/>
        <v>0.20472241358787438</v>
      </c>
      <c r="F76" s="14">
        <f t="shared" si="28"/>
        <v>4.3538791624839162</v>
      </c>
      <c r="G76" s="14">
        <f t="shared" si="28"/>
        <v>4.5703058264950594E-2</v>
      </c>
      <c r="H76" s="14">
        <f t="shared" si="28"/>
        <v>0.47996199688744196</v>
      </c>
      <c r="I76" s="14">
        <f t="shared" si="28"/>
        <v>0.94459847786410345</v>
      </c>
      <c r="J76" s="14">
        <f t="shared" si="28"/>
        <v>66.014020895974014</v>
      </c>
      <c r="K76" s="14">
        <f t="shared" si="28"/>
        <v>1.5034783015777831</v>
      </c>
      <c r="L76" s="14">
        <f t="shared" si="28"/>
        <v>8.5974603900336885E-2</v>
      </c>
      <c r="M76" s="14">
        <f t="shared" si="28"/>
        <v>2.1630589333257122</v>
      </c>
      <c r="N76" s="14">
        <f t="shared" si="28"/>
        <v>0.21763635911256851</v>
      </c>
      <c r="O76" s="14">
        <f t="shared" si="28"/>
        <v>0.64998428880510439</v>
      </c>
      <c r="P76" s="14">
        <f t="shared" si="28"/>
        <v>6.0470172782153102E-2</v>
      </c>
      <c r="Q76" s="14">
        <f t="shared" si="28"/>
        <v>0.57585220653061564</v>
      </c>
      <c r="R76" s="14">
        <f t="shared" si="28"/>
        <v>0.30572626921867579</v>
      </c>
      <c r="S76" s="14">
        <f t="shared" si="28"/>
        <v>1.1494886083095858E-2</v>
      </c>
      <c r="T76" s="14">
        <f t="shared" si="28"/>
        <v>1.436816283187045</v>
      </c>
      <c r="U76" s="14">
        <f t="shared" si="28"/>
        <v>4.1785603705001106</v>
      </c>
      <c r="V76" s="14">
        <f t="shared" si="28"/>
        <v>3.2672999633550745E-3</v>
      </c>
      <c r="W76" s="14">
        <f t="shared" si="28"/>
        <v>0.89426883120551581</v>
      </c>
      <c r="X76" s="14">
        <f t="shared" si="28"/>
        <v>0.6836710550184173</v>
      </c>
      <c r="Y76" s="14">
        <f t="shared" si="28"/>
        <v>0.28278605861368933</v>
      </c>
      <c r="Z76" s="14">
        <f t="shared" si="28"/>
        <v>0.76937029805469903</v>
      </c>
      <c r="AA76" s="14">
        <f t="shared" si="28"/>
        <v>1.5524235702457037</v>
      </c>
      <c r="AB76" s="14">
        <f t="shared" si="28"/>
        <v>2.5226264577139924E-2</v>
      </c>
      <c r="AC76" s="14">
        <f t="shared" si="28"/>
        <v>4.0947767801249165E-3</v>
      </c>
      <c r="AD76" s="14">
        <f t="shared" si="28"/>
        <v>0.62004359677835874</v>
      </c>
      <c r="AE76" s="14">
        <f t="shared" si="29"/>
        <v>2.8880144660282995E-2</v>
      </c>
      <c r="AF76" s="14">
        <f t="shared" ref="AF76" si="38">16000*2*AF43/AF$66</f>
        <v>1.6095993087724911E-4</v>
      </c>
    </row>
    <row r="77" spans="2:32" x14ac:dyDescent="0.25">
      <c r="B77" s="3" t="s">
        <v>9</v>
      </c>
      <c r="C77" s="14">
        <f t="shared" si="30"/>
        <v>19.193353986663229</v>
      </c>
      <c r="D77" s="14">
        <f t="shared" si="28"/>
        <v>0.11072816765187657</v>
      </c>
      <c r="E77" s="14">
        <f t="shared" si="28"/>
        <v>0.15508806317014293</v>
      </c>
      <c r="F77" s="14">
        <f t="shared" si="28"/>
        <v>4.0153855837816437</v>
      </c>
      <c r="G77" s="14">
        <f t="shared" si="28"/>
        <v>3.2494697133800196E-2</v>
      </c>
      <c r="H77" s="14">
        <f t="shared" si="28"/>
        <v>0.47969103834724586</v>
      </c>
      <c r="I77" s="14">
        <f t="shared" si="28"/>
        <v>0.72102694436673676</v>
      </c>
      <c r="J77" s="14">
        <f t="shared" si="28"/>
        <v>57.444296570174764</v>
      </c>
      <c r="K77" s="14">
        <f t="shared" si="28"/>
        <v>1.2546794626068165</v>
      </c>
      <c r="L77" s="14">
        <f t="shared" si="28"/>
        <v>4.8205074369658769E-2</v>
      </c>
      <c r="M77" s="14">
        <f t="shared" si="28"/>
        <v>1.8801938842907493</v>
      </c>
      <c r="N77" s="14">
        <f t="shared" si="28"/>
        <v>0.18179115180358715</v>
      </c>
      <c r="O77" s="14">
        <f t="shared" si="28"/>
        <v>0.62732402292840228</v>
      </c>
      <c r="P77" s="14">
        <f t="shared" si="28"/>
        <v>7.0392725684375351E-2</v>
      </c>
      <c r="Q77" s="14">
        <f t="shared" si="28"/>
        <v>0.55388661823879726</v>
      </c>
      <c r="R77" s="14">
        <f t="shared" si="28"/>
        <v>0.28354347397652513</v>
      </c>
      <c r="S77" s="14">
        <f t="shared" si="28"/>
        <v>9.9087386867067091E-3</v>
      </c>
      <c r="T77" s="14">
        <f t="shared" si="28"/>
        <v>1.3495616147075735</v>
      </c>
      <c r="U77" s="14">
        <f t="shared" si="28"/>
        <v>3.8721894002317736</v>
      </c>
      <c r="V77" s="14">
        <f t="shared" si="28"/>
        <v>3.0769902056916156E-3</v>
      </c>
      <c r="W77" s="14">
        <f t="shared" si="28"/>
        <v>0.78816439852557652</v>
      </c>
      <c r="X77" s="14">
        <f t="shared" si="28"/>
        <v>0.61892634213895825</v>
      </c>
      <c r="Y77" s="14">
        <f t="shared" si="28"/>
        <v>0.25994383089801226</v>
      </c>
      <c r="Z77" s="14">
        <f t="shared" si="28"/>
        <v>0.65744594754331354</v>
      </c>
      <c r="AA77" s="14">
        <f t="shared" si="28"/>
        <v>1.2974701453529891</v>
      </c>
      <c r="AB77" s="14">
        <f t="shared" si="28"/>
        <v>2.0725710873763101E-2</v>
      </c>
      <c r="AC77" s="14">
        <f t="shared" si="28"/>
        <v>-2.0109142017426538E-3</v>
      </c>
      <c r="AD77" s="14">
        <f t="shared" si="28"/>
        <v>0.15847858009003152</v>
      </c>
      <c r="AE77" s="14">
        <f t="shared" si="29"/>
        <v>2.3082880761999713E-2</v>
      </c>
      <c r="AF77" s="14">
        <f t="shared" ref="AF77" si="39">16000*2*AF44/AF$66</f>
        <v>2.0458552230459906E-4</v>
      </c>
    </row>
    <row r="78" spans="2:32" x14ac:dyDescent="0.25">
      <c r="B78" s="3" t="s">
        <v>80</v>
      </c>
      <c r="C78" s="14">
        <f t="shared" si="30"/>
        <v>14.486652374006185</v>
      </c>
      <c r="D78" s="14">
        <f t="shared" ref="D78:AD87" si="40">16000*2*D45/D$66</f>
        <v>1.7649747764637593E-2</v>
      </c>
      <c r="E78" s="14">
        <f t="shared" si="40"/>
        <v>0.11047395192095993</v>
      </c>
      <c r="F78" s="14">
        <f t="shared" si="40"/>
        <v>5.7540447267913777</v>
      </c>
      <c r="G78" s="14">
        <f t="shared" si="40"/>
        <v>3.0345530122316763E-2</v>
      </c>
      <c r="H78" s="14">
        <f t="shared" si="40"/>
        <v>0.47994879959143766</v>
      </c>
      <c r="I78" s="14">
        <f t="shared" si="40"/>
        <v>0.88027042797322663</v>
      </c>
      <c r="J78" s="14">
        <f t="shared" si="40"/>
        <v>65.028368033077243</v>
      </c>
      <c r="K78" s="14">
        <f t="shared" si="40"/>
        <v>1.4207690801476727</v>
      </c>
      <c r="L78" s="14">
        <f t="shared" si="40"/>
        <v>7.138015410171708E-2</v>
      </c>
      <c r="M78" s="14">
        <f t="shared" si="40"/>
        <v>2.4336651194430634</v>
      </c>
      <c r="N78" s="14">
        <f t="shared" si="40"/>
        <v>0.19078709474344641</v>
      </c>
      <c r="O78" s="14">
        <f t="shared" si="40"/>
        <v>0.76529135313702468</v>
      </c>
      <c r="P78" s="14">
        <f t="shared" si="40"/>
        <v>6.2867204634267176E-2</v>
      </c>
      <c r="Q78" s="14">
        <f t="shared" si="40"/>
        <v>0.33912547575019997</v>
      </c>
      <c r="R78" s="14">
        <f t="shared" si="40"/>
        <v>0.27859135321243944</v>
      </c>
      <c r="S78" s="14">
        <f t="shared" si="40"/>
        <v>2.1241277072823722E-2</v>
      </c>
      <c r="T78" s="14">
        <f t="shared" si="40"/>
        <v>1.4126258301703425</v>
      </c>
      <c r="U78" s="14">
        <f t="shared" si="40"/>
        <v>4.3347685545378409</v>
      </c>
      <c r="V78" s="14">
        <f t="shared" si="40"/>
        <v>2.1191037562915144E-2</v>
      </c>
      <c r="W78" s="14">
        <f t="shared" si="40"/>
        <v>0.99562913478720061</v>
      </c>
      <c r="X78" s="14">
        <f t="shared" si="40"/>
        <v>0.64072689570759822</v>
      </c>
      <c r="Y78" s="14">
        <f t="shared" si="40"/>
        <v>0.28196053314171166</v>
      </c>
      <c r="Z78" s="14">
        <f t="shared" si="40"/>
        <v>0.71908200322076821</v>
      </c>
      <c r="AA78" s="14">
        <f t="shared" si="40"/>
        <v>1.4038642602676663</v>
      </c>
      <c r="AB78" s="14">
        <f t="shared" si="40"/>
        <v>2.3253446223993821E-2</v>
      </c>
      <c r="AC78" s="14">
        <f t="shared" si="40"/>
        <v>2.0932823006430117E-2</v>
      </c>
      <c r="AD78" s="14">
        <f t="shared" si="40"/>
        <v>0.44736945491131025</v>
      </c>
      <c r="AE78" s="14">
        <f t="shared" si="29"/>
        <v>2.0489017720377239E-2</v>
      </c>
      <c r="AF78" s="14">
        <f t="shared" ref="AF78" si="41">16000*2*AF45/AF$66</f>
        <v>3.4673721670301676E-4</v>
      </c>
    </row>
    <row r="79" spans="2:32" x14ac:dyDescent="0.25">
      <c r="B79" s="3" t="s">
        <v>10</v>
      </c>
      <c r="C79" s="14">
        <f t="shared" si="30"/>
        <v>12.731378187341305</v>
      </c>
      <c r="D79" s="14">
        <f t="shared" si="40"/>
        <v>1.9207103514312006E-2</v>
      </c>
      <c r="E79" s="14">
        <f t="shared" si="40"/>
        <v>0.11698816238367397</v>
      </c>
      <c r="F79" s="14">
        <f t="shared" si="40"/>
        <v>4.7040686027087109</v>
      </c>
      <c r="G79" s="14">
        <f t="shared" si="40"/>
        <v>3.6473911225196318E-2</v>
      </c>
      <c r="H79" s="14">
        <f t="shared" si="40"/>
        <v>0.48032863366526235</v>
      </c>
      <c r="I79" s="14">
        <f t="shared" si="40"/>
        <v>0.89410295740505841</v>
      </c>
      <c r="J79" s="14">
        <f t="shared" si="40"/>
        <v>62.619519856516305</v>
      </c>
      <c r="K79" s="14">
        <f t="shared" si="40"/>
        <v>1.5311100317954047</v>
      </c>
      <c r="L79" s="14">
        <f t="shared" si="40"/>
        <v>8.051242535827631E-2</v>
      </c>
      <c r="M79" s="14">
        <f t="shared" si="40"/>
        <v>1.9007385291583205</v>
      </c>
      <c r="N79" s="14">
        <f t="shared" si="40"/>
        <v>0.19421460581496791</v>
      </c>
      <c r="O79" s="14">
        <f t="shared" si="40"/>
        <v>0.63771923456329671</v>
      </c>
      <c r="P79" s="14">
        <f t="shared" si="40"/>
        <v>5.9899706698234675E-2</v>
      </c>
      <c r="Q79" s="14">
        <f t="shared" si="40"/>
        <v>0.36823569894232816</v>
      </c>
      <c r="R79" s="14">
        <f t="shared" si="40"/>
        <v>0.30360579267441118</v>
      </c>
      <c r="S79" s="14">
        <f t="shared" si="40"/>
        <v>2.1427323487826881E-2</v>
      </c>
      <c r="T79" s="14">
        <f t="shared" si="40"/>
        <v>1.4383546890762768</v>
      </c>
      <c r="U79" s="14">
        <f t="shared" si="40"/>
        <v>4.0063119182984739</v>
      </c>
      <c r="V79" s="14">
        <f t="shared" si="40"/>
        <v>2.3770429687432197E-2</v>
      </c>
      <c r="W79" s="14">
        <f t="shared" si="40"/>
        <v>1.0534737986810327</v>
      </c>
      <c r="X79" s="14">
        <f t="shared" si="40"/>
        <v>0.64853951590884695</v>
      </c>
      <c r="Y79" s="14">
        <f t="shared" si="40"/>
        <v>0.28517528890589861</v>
      </c>
      <c r="Z79" s="14">
        <f t="shared" si="40"/>
        <v>0.7740739452941976</v>
      </c>
      <c r="AA79" s="14">
        <f t="shared" si="40"/>
        <v>1.5549344452014053</v>
      </c>
      <c r="AB79" s="14">
        <f t="shared" si="40"/>
        <v>2.1608816930983817E-2</v>
      </c>
      <c r="AC79" s="14">
        <f t="shared" si="40"/>
        <v>2.0141272668884529E-2</v>
      </c>
      <c r="AD79" s="14">
        <f t="shared" si="40"/>
        <v>0.82295228918905305</v>
      </c>
      <c r="AE79" s="14">
        <f t="shared" si="29"/>
        <v>1.7131498576911725E-2</v>
      </c>
      <c r="AF79" s="14">
        <f t="shared" ref="AF79" si="42">16000*2*AF46/AF$66</f>
        <v>2.7529727021525087E-4</v>
      </c>
    </row>
    <row r="80" spans="2:32" x14ac:dyDescent="0.25">
      <c r="B80" s="3" t="s">
        <v>11</v>
      </c>
      <c r="C80" s="14">
        <f t="shared" si="30"/>
        <v>5.7969245599875174</v>
      </c>
      <c r="D80" s="14">
        <f t="shared" si="40"/>
        <v>1.8090139538611778E-2</v>
      </c>
      <c r="E80" s="14">
        <f t="shared" si="40"/>
        <v>0.10606532703518082</v>
      </c>
      <c r="F80" s="14">
        <f t="shared" si="40"/>
        <v>2.0400647652520734</v>
      </c>
      <c r="G80" s="14">
        <f t="shared" si="40"/>
        <v>3.6490559856224562E-2</v>
      </c>
      <c r="H80" s="14">
        <f t="shared" si="40"/>
        <v>0.47953939691035719</v>
      </c>
      <c r="I80" s="14">
        <f t="shared" si="40"/>
        <v>0.8408602310820853</v>
      </c>
      <c r="J80" s="14">
        <f t="shared" si="40"/>
        <v>60.994184920598464</v>
      </c>
      <c r="K80" s="14">
        <f t="shared" si="40"/>
        <v>1.4202278261030876</v>
      </c>
      <c r="L80" s="14">
        <f t="shared" si="40"/>
        <v>6.007647659730124E-2</v>
      </c>
      <c r="M80" s="14">
        <f t="shared" si="40"/>
        <v>0.85312265665470033</v>
      </c>
      <c r="N80" s="14">
        <f t="shared" si="40"/>
        <v>0.17171448033654069</v>
      </c>
      <c r="O80" s="14">
        <f t="shared" si="40"/>
        <v>0.30594742804327296</v>
      </c>
      <c r="P80" s="14">
        <f t="shared" si="40"/>
        <v>6.2572740926895312E-2</v>
      </c>
      <c r="Q80" s="14">
        <f t="shared" si="40"/>
        <v>0.35048663914352884</v>
      </c>
      <c r="R80" s="14">
        <f t="shared" si="40"/>
        <v>0.26112697052298012</v>
      </c>
      <c r="S80" s="14">
        <f t="shared" si="40"/>
        <v>1.8270310614244344E-2</v>
      </c>
      <c r="T80" s="14">
        <f t="shared" si="40"/>
        <v>1.3485858503326662</v>
      </c>
      <c r="U80" s="14">
        <f t="shared" si="40"/>
        <v>4.162116096049302</v>
      </c>
      <c r="V80" s="14">
        <f t="shared" si="40"/>
        <v>1.9789775664600648E-2</v>
      </c>
      <c r="W80" s="14">
        <f t="shared" si="40"/>
        <v>0.93302301090535833</v>
      </c>
      <c r="X80" s="14">
        <f t="shared" si="40"/>
        <v>0.61987991566764755</v>
      </c>
      <c r="Y80" s="14">
        <f t="shared" si="40"/>
        <v>0.26335198231888796</v>
      </c>
      <c r="Z80" s="14">
        <f t="shared" si="40"/>
        <v>0.72399917267183855</v>
      </c>
      <c r="AA80" s="14">
        <f t="shared" si="40"/>
        <v>1.4529150098608454</v>
      </c>
      <c r="AB80" s="14">
        <f t="shared" si="40"/>
        <v>2.1599984439589968E-2</v>
      </c>
      <c r="AC80" s="14">
        <f t="shared" si="40"/>
        <v>2.0084160147076355E-2</v>
      </c>
      <c r="AD80" s="14">
        <f t="shared" si="40"/>
        <v>0.73585109264040705</v>
      </c>
      <c r="AE80" s="14">
        <f t="shared" si="29"/>
        <v>8.0101565765578978E-3</v>
      </c>
      <c r="AF80" s="14">
        <f t="shared" ref="AF80" si="43">16000*2*AF47/AF$66</f>
        <v>9.395815310090161E-5</v>
      </c>
    </row>
    <row r="81" spans="2:32" x14ac:dyDescent="0.25">
      <c r="B81" s="3" t="s">
        <v>12</v>
      </c>
      <c r="C81" s="14">
        <f t="shared" si="30"/>
        <v>1.7986656650000403</v>
      </c>
      <c r="D81" s="14">
        <f t="shared" si="40"/>
        <v>1.7467439731907168E-2</v>
      </c>
      <c r="E81" s="14">
        <f t="shared" si="40"/>
        <v>9.4602764267969194E-2</v>
      </c>
      <c r="F81" s="14">
        <f t="shared" si="40"/>
        <v>0.68915936516414922</v>
      </c>
      <c r="G81" s="14">
        <f t="shared" si="40"/>
        <v>4.3720915550617356E-2</v>
      </c>
      <c r="H81" s="14">
        <f t="shared" si="40"/>
        <v>0.47967770636390061</v>
      </c>
      <c r="I81" s="14">
        <f t="shared" si="40"/>
        <v>0.83286063957421497</v>
      </c>
      <c r="J81" s="14">
        <f t="shared" si="40"/>
        <v>61.730219506192348</v>
      </c>
      <c r="K81" s="14">
        <f t="shared" si="40"/>
        <v>1.3783136165154837</v>
      </c>
      <c r="L81" s="14">
        <f t="shared" si="40"/>
        <v>5.7096932157518293E-2</v>
      </c>
      <c r="M81" s="14">
        <f t="shared" si="40"/>
        <v>0.24911874189715555</v>
      </c>
      <c r="N81" s="14">
        <f t="shared" si="40"/>
        <v>0.17361475774494858</v>
      </c>
      <c r="O81" s="14">
        <f t="shared" si="40"/>
        <v>0.10452486280429087</v>
      </c>
      <c r="P81" s="14">
        <f t="shared" si="40"/>
        <v>6.052694880234491E-2</v>
      </c>
      <c r="Q81" s="14">
        <f t="shared" si="40"/>
        <v>0.35849626593434136</v>
      </c>
      <c r="R81" s="14">
        <f t="shared" si="40"/>
        <v>0.27225666246194569</v>
      </c>
      <c r="S81" s="14">
        <f t="shared" si="40"/>
        <v>2.031458259154242E-2</v>
      </c>
      <c r="T81" s="14">
        <f t="shared" si="40"/>
        <v>1.3829791457364669</v>
      </c>
      <c r="U81" s="14">
        <f t="shared" si="40"/>
        <v>4.0136060612360387</v>
      </c>
      <c r="V81" s="14">
        <f t="shared" si="40"/>
        <v>2.0137750178577222E-2</v>
      </c>
      <c r="W81" s="14">
        <f t="shared" si="40"/>
        <v>0.95678563946851802</v>
      </c>
      <c r="X81" s="14">
        <f t="shared" si="40"/>
        <v>0.62063236025281543</v>
      </c>
      <c r="Y81" s="14">
        <f t="shared" si="40"/>
        <v>0.25360943234246208</v>
      </c>
      <c r="Z81" s="14">
        <f t="shared" si="40"/>
        <v>0.70104322072282554</v>
      </c>
      <c r="AA81" s="14">
        <f t="shared" si="40"/>
        <v>1.3425248972146107</v>
      </c>
      <c r="AB81" s="14">
        <f t="shared" si="40"/>
        <v>2.1295862506912702E-2</v>
      </c>
      <c r="AC81" s="14">
        <f t="shared" si="40"/>
        <v>1.5936499113169973E-2</v>
      </c>
      <c r="AD81" s="14">
        <f t="shared" si="40"/>
        <v>0.27737517191275035</v>
      </c>
      <c r="AE81" s="14">
        <f t="shared" si="29"/>
        <v>3.2404609815013317E-3</v>
      </c>
      <c r="AF81" s="14">
        <f t="shared" ref="AF81" si="44">16000*2*AF48/AF$66</f>
        <v>2.7483724903067898E-5</v>
      </c>
    </row>
    <row r="82" spans="2:32" x14ac:dyDescent="0.25">
      <c r="B82" s="3" t="s">
        <v>13</v>
      </c>
      <c r="C82" s="14">
        <f t="shared" si="30"/>
        <v>25.114794767786172</v>
      </c>
      <c r="D82" s="14">
        <f t="shared" si="40"/>
        <v>1.8587696829217841E-2</v>
      </c>
      <c r="E82" s="14">
        <f t="shared" si="40"/>
        <v>0.10269324784163189</v>
      </c>
      <c r="F82" s="14">
        <f t="shared" si="40"/>
        <v>4.3159231008383125</v>
      </c>
      <c r="G82" s="14">
        <f t="shared" si="40"/>
        <v>3.8336767480410268E-2</v>
      </c>
      <c r="H82" s="14">
        <f t="shared" si="40"/>
        <v>0.47966944132961131</v>
      </c>
      <c r="I82" s="14">
        <f t="shared" si="40"/>
        <v>0.82339414098014829</v>
      </c>
      <c r="J82" s="14">
        <f t="shared" si="40"/>
        <v>65.159093641647871</v>
      </c>
      <c r="K82" s="14">
        <f t="shared" si="40"/>
        <v>1.4367849001863107</v>
      </c>
      <c r="L82" s="14">
        <f t="shared" si="40"/>
        <v>7.3530028987144169E-2</v>
      </c>
      <c r="M82" s="14">
        <f t="shared" si="40"/>
        <v>2.1146646806408125</v>
      </c>
      <c r="N82" s="14">
        <f t="shared" si="40"/>
        <v>0.18785427268770533</v>
      </c>
      <c r="O82" s="14">
        <f t="shared" si="40"/>
        <v>0.58673113084266759</v>
      </c>
      <c r="P82" s="14">
        <f t="shared" si="40"/>
        <v>6.3696971037070421E-2</v>
      </c>
      <c r="Q82" s="14">
        <f t="shared" si="40"/>
        <v>0.32710652444609373</v>
      </c>
      <c r="R82" s="14">
        <f t="shared" si="40"/>
        <v>0.26402278246221567</v>
      </c>
      <c r="S82" s="14">
        <f t="shared" si="40"/>
        <v>1.8361726226206354E-2</v>
      </c>
      <c r="T82" s="14">
        <f t="shared" si="40"/>
        <v>1.2463110821316343</v>
      </c>
      <c r="U82" s="14">
        <f t="shared" si="40"/>
        <v>4.3317873852942972</v>
      </c>
      <c r="V82" s="14">
        <f t="shared" si="40"/>
        <v>1.9755903121922026E-2</v>
      </c>
      <c r="W82" s="14">
        <f t="shared" si="40"/>
        <v>0.93582075605984982</v>
      </c>
      <c r="X82" s="14">
        <f t="shared" si="40"/>
        <v>0.61329711279774246</v>
      </c>
      <c r="Y82" s="14">
        <f t="shared" si="40"/>
        <v>0.26017101139405685</v>
      </c>
      <c r="Z82" s="14">
        <f t="shared" si="40"/>
        <v>0.68871420158352159</v>
      </c>
      <c r="AA82" s="14">
        <f t="shared" si="40"/>
        <v>1.2591473776177504</v>
      </c>
      <c r="AB82" s="14">
        <f t="shared" si="40"/>
        <v>2.4411924215067809E-2</v>
      </c>
      <c r="AC82" s="14">
        <f t="shared" si="40"/>
        <v>-6.0526931202558656E-3</v>
      </c>
      <c r="AD82" s="14">
        <f t="shared" si="40"/>
        <v>0.87270033792119173</v>
      </c>
      <c r="AE82" s="14">
        <f t="shared" si="29"/>
        <v>2.3522593413086722E-2</v>
      </c>
      <c r="AF82" s="14">
        <f t="shared" ref="AF82" si="45">16000*2*AF49/AF$66</f>
        <v>1.6017225474225646E-4</v>
      </c>
    </row>
    <row r="83" spans="2:32" x14ac:dyDescent="0.25">
      <c r="B83" s="3" t="s">
        <v>14</v>
      </c>
      <c r="C83" s="14">
        <f t="shared" si="30"/>
        <v>16.51852709630883</v>
      </c>
      <c r="D83" s="14">
        <f t="shared" si="40"/>
        <v>2.5226335613315064E-2</v>
      </c>
      <c r="E83" s="14">
        <f t="shared" si="40"/>
        <v>0.12978879214427458</v>
      </c>
      <c r="F83" s="14">
        <f t="shared" si="40"/>
        <v>3.2125110327209696</v>
      </c>
      <c r="G83" s="14">
        <f t="shared" si="40"/>
        <v>4.3081469576258032E-2</v>
      </c>
      <c r="H83" s="14">
        <f t="shared" si="40"/>
        <v>0.4801634649728071</v>
      </c>
      <c r="I83" s="14">
        <f t="shared" si="40"/>
        <v>0.81122436764452033</v>
      </c>
      <c r="J83" s="14">
        <f t="shared" si="40"/>
        <v>55.68274673229422</v>
      </c>
      <c r="K83" s="14">
        <f t="shared" si="40"/>
        <v>1.5394766055754245</v>
      </c>
      <c r="L83" s="14">
        <f t="shared" si="40"/>
        <v>8.6042342590950727E-2</v>
      </c>
      <c r="M83" s="14">
        <f t="shared" si="40"/>
        <v>1.4034271699153684</v>
      </c>
      <c r="N83" s="14">
        <f t="shared" si="40"/>
        <v>0.20000771120835475</v>
      </c>
      <c r="O83" s="14">
        <f t="shared" si="40"/>
        <v>0.45134486378344707</v>
      </c>
      <c r="P83" s="14">
        <f t="shared" si="40"/>
        <v>5.4627487975126045E-2</v>
      </c>
      <c r="Q83" s="14">
        <f t="shared" si="40"/>
        <v>0.42423140029779544</v>
      </c>
      <c r="R83" s="14">
        <f t="shared" si="40"/>
        <v>0.34904735251774932</v>
      </c>
      <c r="S83" s="14">
        <f t="shared" si="40"/>
        <v>2.151730371512112E-2</v>
      </c>
      <c r="T83" s="14">
        <f t="shared" si="40"/>
        <v>1.5127520646122266</v>
      </c>
      <c r="U83" s="14">
        <f t="shared" si="40"/>
        <v>3.6494394951144034</v>
      </c>
      <c r="V83" s="14">
        <f t="shared" si="40"/>
        <v>1.3422042791459367E-2</v>
      </c>
      <c r="W83" s="14">
        <f t="shared" si="40"/>
        <v>0.90655885915757806</v>
      </c>
      <c r="X83" s="14">
        <f t="shared" si="40"/>
        <v>0.67554254220519183</v>
      </c>
      <c r="Y83" s="14">
        <f t="shared" si="40"/>
        <v>0.28684071786767107</v>
      </c>
      <c r="Z83" s="14">
        <f t="shared" si="40"/>
        <v>0.78964225858324166</v>
      </c>
      <c r="AA83" s="14">
        <f t="shared" si="40"/>
        <v>1.5099392261990034</v>
      </c>
      <c r="AB83" s="14">
        <f t="shared" si="40"/>
        <v>1.7084945839422529E-2</v>
      </c>
      <c r="AC83" s="14">
        <f t="shared" si="40"/>
        <v>-1.3440435764453085E-2</v>
      </c>
      <c r="AD83" s="14">
        <f t="shared" si="40"/>
        <v>0.69918759017126009</v>
      </c>
      <c r="AE83" s="14">
        <f t="shared" si="29"/>
        <v>1.5444605417020427E-2</v>
      </c>
      <c r="AF83" s="14">
        <f t="shared" ref="AF83" si="46">16000*2*AF50/AF$66</f>
        <v>1.0866008003495182E-4</v>
      </c>
    </row>
    <row r="84" spans="2:32" x14ac:dyDescent="0.25">
      <c r="B84" s="3" t="s">
        <v>15</v>
      </c>
      <c r="C84" s="14">
        <f t="shared" si="30"/>
        <v>3.8031692835885003</v>
      </c>
      <c r="D84" s="14">
        <f t="shared" si="40"/>
        <v>2.0666422862461228E-2</v>
      </c>
      <c r="E84" s="14">
        <f t="shared" si="40"/>
        <v>9.1219893056988147E-2</v>
      </c>
      <c r="F84" s="14">
        <f t="shared" si="40"/>
        <v>0.59525173589868574</v>
      </c>
      <c r="G84" s="14">
        <f t="shared" si="40"/>
        <v>3.5660195201087631E-2</v>
      </c>
      <c r="H84" s="14">
        <f t="shared" si="40"/>
        <v>0.47917660074600865</v>
      </c>
      <c r="I84" s="14">
        <f t="shared" si="40"/>
        <v>0.58006129746820101</v>
      </c>
      <c r="J84" s="14">
        <f t="shared" si="40"/>
        <v>65.135840659716109</v>
      </c>
      <c r="K84" s="14">
        <f t="shared" si="40"/>
        <v>1.1923794098338683</v>
      </c>
      <c r="L84" s="14">
        <f t="shared" si="40"/>
        <v>4.3851220671064534E-2</v>
      </c>
      <c r="M84" s="14">
        <f t="shared" si="40"/>
        <v>0.26772450927614566</v>
      </c>
      <c r="N84" s="14">
        <f t="shared" si="40"/>
        <v>0.13573526489755214</v>
      </c>
      <c r="O84" s="14">
        <f t="shared" si="40"/>
        <v>0.10834290461413119</v>
      </c>
      <c r="P84" s="14">
        <f t="shared" si="40"/>
        <v>4.6565966714171056E-2</v>
      </c>
      <c r="Q84" s="14">
        <f t="shared" si="40"/>
        <v>0.30727502481024355</v>
      </c>
      <c r="R84" s="14">
        <f t="shared" si="40"/>
        <v>0.24059156475277402</v>
      </c>
      <c r="S84" s="14">
        <f t="shared" si="40"/>
        <v>1.6067944999447699E-2</v>
      </c>
      <c r="T84" s="14">
        <f t="shared" si="40"/>
        <v>1.1149664714325793</v>
      </c>
      <c r="U84" s="14">
        <f t="shared" si="40"/>
        <v>4.3205239379616271</v>
      </c>
      <c r="V84" s="14">
        <f t="shared" si="40"/>
        <v>9.7920443257011307E-3</v>
      </c>
      <c r="W84" s="14">
        <f t="shared" si="40"/>
        <v>0.63773126936542945</v>
      </c>
      <c r="X84" s="14">
        <f t="shared" si="40"/>
        <v>0.51853206013818987</v>
      </c>
      <c r="Y84" s="14">
        <f t="shared" si="40"/>
        <v>0.2174396349842263</v>
      </c>
      <c r="Z84" s="14">
        <f t="shared" si="40"/>
        <v>0.57010837936635272</v>
      </c>
      <c r="AA84" s="14">
        <f t="shared" si="40"/>
        <v>1.0766528544799594</v>
      </c>
      <c r="AB84" s="14">
        <f t="shared" si="40"/>
        <v>2.4312597398479359E-2</v>
      </c>
      <c r="AC84" s="14">
        <f t="shared" si="40"/>
        <v>-8.4486652720148041E-3</v>
      </c>
      <c r="AD84" s="14">
        <f t="shared" si="40"/>
        <v>0.43482199702199431</v>
      </c>
      <c r="AE84" s="14">
        <f t="shared" si="29"/>
        <v>4.0676687483349547E-3</v>
      </c>
      <c r="AF84" s="14" t="s">
        <v>108</v>
      </c>
    </row>
    <row r="85" spans="2:32" x14ac:dyDescent="0.25">
      <c r="B85" s="3" t="s">
        <v>16</v>
      </c>
      <c r="C85" s="14">
        <f t="shared" si="30"/>
        <v>6.105548567329194</v>
      </c>
      <c r="D85" s="14">
        <f t="shared" si="40"/>
        <v>2.5780294625975614E-2</v>
      </c>
      <c r="E85" s="14">
        <f t="shared" si="40"/>
        <v>0.1280885860198058</v>
      </c>
      <c r="F85" s="14">
        <f t="shared" si="40"/>
        <v>1.0676620362648996</v>
      </c>
      <c r="G85" s="14">
        <f t="shared" si="40"/>
        <v>4.5279857780463319E-2</v>
      </c>
      <c r="H85" s="14">
        <f t="shared" si="40"/>
        <v>0.48042341372133518</v>
      </c>
      <c r="I85" s="14">
        <f t="shared" si="40"/>
        <v>0.97087404515612763</v>
      </c>
      <c r="J85" s="14">
        <f t="shared" si="40"/>
        <v>51.927258473849683</v>
      </c>
      <c r="K85" s="14">
        <f t="shared" si="40"/>
        <v>1.5932454633657462</v>
      </c>
      <c r="L85" s="14">
        <f t="shared" si="40"/>
        <v>8.4681821144052094E-2</v>
      </c>
      <c r="M85" s="14">
        <f t="shared" si="40"/>
        <v>0.48838751303072819</v>
      </c>
      <c r="N85" s="14">
        <f t="shared" si="40"/>
        <v>0.21863888757187339</v>
      </c>
      <c r="O85" s="14">
        <f t="shared" si="40"/>
        <v>0.19054611106536076</v>
      </c>
      <c r="P85" s="14">
        <f t="shared" si="40"/>
        <v>4.8144008909863686E-2</v>
      </c>
      <c r="Q85" s="14">
        <f t="shared" si="40"/>
        <v>0.43334473183017103</v>
      </c>
      <c r="R85" s="14">
        <f t="shared" si="40"/>
        <v>0.33792290549047799</v>
      </c>
      <c r="S85" s="14">
        <f t="shared" si="40"/>
        <v>2.3121371375461278E-2</v>
      </c>
      <c r="T85" s="14">
        <f t="shared" si="40"/>
        <v>1.4927664022423393</v>
      </c>
      <c r="U85" s="14">
        <f t="shared" si="40"/>
        <v>3.3952625101961527</v>
      </c>
      <c r="V85" s="14">
        <f t="shared" si="40"/>
        <v>1.2768079729263535E-2</v>
      </c>
      <c r="W85" s="14">
        <f t="shared" si="40"/>
        <v>0.91728812609712973</v>
      </c>
      <c r="X85" s="14">
        <f t="shared" si="40"/>
        <v>0.69763499005090535</v>
      </c>
      <c r="Y85" s="14">
        <f t="shared" si="40"/>
        <v>0.27042818883111702</v>
      </c>
      <c r="Z85" s="14">
        <f t="shared" si="40"/>
        <v>0.76070323795368822</v>
      </c>
      <c r="AA85" s="14">
        <f t="shared" si="40"/>
        <v>1.57549389850893</v>
      </c>
      <c r="AB85" s="14">
        <f t="shared" si="40"/>
        <v>1.7479204123574458E-2</v>
      </c>
      <c r="AC85" s="14">
        <f t="shared" si="40"/>
        <v>-2.0254424081004061E-2</v>
      </c>
      <c r="AD85" s="14">
        <f t="shared" si="40"/>
        <v>0.70140440936014459</v>
      </c>
      <c r="AE85" s="14">
        <f t="shared" si="29"/>
        <v>6.4089410205072769E-3</v>
      </c>
      <c r="AF85" s="14">
        <f t="shared" ref="AF85" si="47">16000*2*AF52/AF$66</f>
        <v>4.9005761569088726E-5</v>
      </c>
    </row>
    <row r="86" spans="2:32" x14ac:dyDescent="0.25">
      <c r="B86" s="3" t="s">
        <v>17</v>
      </c>
      <c r="C86" s="14">
        <f t="shared" si="30"/>
        <v>24.625214945375227</v>
      </c>
      <c r="D86" s="14">
        <f t="shared" si="40"/>
        <v>1.9254710570882336E-2</v>
      </c>
      <c r="E86" s="14">
        <f t="shared" si="40"/>
        <v>7.5052696770877683E-2</v>
      </c>
      <c r="F86" s="14">
        <f t="shared" si="40"/>
        <v>3.7671489817575226</v>
      </c>
      <c r="G86" s="14">
        <f t="shared" si="40"/>
        <v>3.3018727176492471E-2</v>
      </c>
      <c r="H86" s="14">
        <f t="shared" si="40"/>
        <v>0.47936400724185541</v>
      </c>
      <c r="I86" s="14">
        <f t="shared" si="40"/>
        <v>0.59712720564208099</v>
      </c>
      <c r="J86" s="14">
        <f t="shared" si="40"/>
        <v>59.4577330039169</v>
      </c>
      <c r="K86" s="14">
        <f t="shared" si="40"/>
        <v>1.0835366788677208</v>
      </c>
      <c r="L86" s="14">
        <f t="shared" si="40"/>
        <v>8.6045040840016553E-3</v>
      </c>
      <c r="M86" s="14">
        <f t="shared" si="40"/>
        <v>1.790986642919413</v>
      </c>
      <c r="N86" s="14">
        <f t="shared" si="40"/>
        <v>0.13292197476018078</v>
      </c>
      <c r="O86" s="14">
        <f t="shared" si="40"/>
        <v>0.54145612315431757</v>
      </c>
      <c r="P86" s="14">
        <f t="shared" si="40"/>
        <v>4.8905292667410588E-2</v>
      </c>
      <c r="Q86" s="14">
        <f t="shared" si="40"/>
        <v>0.31856308080475731</v>
      </c>
      <c r="R86" s="14">
        <f t="shared" si="40"/>
        <v>0.21739812482160151</v>
      </c>
      <c r="S86" s="14">
        <f t="shared" si="40"/>
        <v>1.5713259279802119E-2</v>
      </c>
      <c r="T86" s="14">
        <f t="shared" si="40"/>
        <v>1.0539407405002479</v>
      </c>
      <c r="U86" s="14">
        <f t="shared" si="40"/>
        <v>3.9059092437108194</v>
      </c>
      <c r="V86" s="14">
        <f t="shared" si="40"/>
        <v>1.0440525265693338E-2</v>
      </c>
      <c r="W86" s="14">
        <f t="shared" si="40"/>
        <v>0.59070715200851343</v>
      </c>
      <c r="X86" s="14">
        <f t="shared" si="40"/>
        <v>0.49636842937681136</v>
      </c>
      <c r="Y86" s="14">
        <f t="shared" si="40"/>
        <v>0.21210717088484096</v>
      </c>
      <c r="Z86" s="14">
        <f t="shared" si="40"/>
        <v>0.50799686146654532</v>
      </c>
      <c r="AA86" s="14">
        <f t="shared" si="40"/>
        <v>1.0109548260476113</v>
      </c>
      <c r="AB86" s="14">
        <f t="shared" si="40"/>
        <v>2.1962888350038269E-2</v>
      </c>
      <c r="AC86" s="14">
        <f t="shared" si="40"/>
        <v>-1.4971211131480264E-2</v>
      </c>
      <c r="AD86" s="14">
        <f t="shared" si="40"/>
        <v>0.64021704403693658</v>
      </c>
      <c r="AE86" s="14">
        <f t="shared" si="29"/>
        <v>2.1787084487425612E-2</v>
      </c>
      <c r="AF86" s="14">
        <f t="shared" ref="AF86" si="48">16000*2*AF53/AF$66</f>
        <v>2.0746480573355171E-4</v>
      </c>
    </row>
    <row r="87" spans="2:32" x14ac:dyDescent="0.25">
      <c r="B87" s="3" t="s">
        <v>18</v>
      </c>
      <c r="C87" s="14">
        <f t="shared" si="30"/>
        <v>10.897747327538502</v>
      </c>
      <c r="D87" s="14">
        <f t="shared" si="40"/>
        <v>2.5530295312518013E-2</v>
      </c>
      <c r="E87" s="14">
        <f t="shared" si="40"/>
        <v>0.12018365367726129</v>
      </c>
      <c r="F87" s="14">
        <f t="shared" si="40"/>
        <v>4.9416004964597899</v>
      </c>
      <c r="G87" s="14">
        <f t="shared" si="40"/>
        <v>4.517236149682341E-2</v>
      </c>
      <c r="H87" s="14">
        <f t="shared" si="40"/>
        <v>0.48021888169746751</v>
      </c>
      <c r="I87" s="14">
        <f t="shared" si="40"/>
        <v>0.79705898738663361</v>
      </c>
      <c r="J87" s="14">
        <f t="shared" si="40"/>
        <v>61.532079880389233</v>
      </c>
      <c r="K87" s="14">
        <f t="shared" si="40"/>
        <v>1.3297085474310317</v>
      </c>
      <c r="L87" s="14">
        <f t="shared" si="40"/>
        <v>5.6877930163912571E-2</v>
      </c>
      <c r="M87" s="14">
        <f t="shared" si="40"/>
        <v>2.0626494480883122</v>
      </c>
      <c r="N87" s="14">
        <f t="shared" si="40"/>
        <v>0.18919601775344003</v>
      </c>
      <c r="O87" s="14">
        <f t="shared" si="40"/>
        <v>0.6514664287682973</v>
      </c>
      <c r="P87" s="14">
        <f t="shared" ref="D87:AD92" si="49">16000*2*P54/P$66</f>
        <v>5.5220570170223526E-2</v>
      </c>
      <c r="Q87" s="14">
        <f t="shared" si="49"/>
        <v>0.4115471545134517</v>
      </c>
      <c r="R87" s="14">
        <f t="shared" si="49"/>
        <v>0.31537712215520497</v>
      </c>
      <c r="S87" s="14">
        <f t="shared" si="49"/>
        <v>1.9956675390926448E-2</v>
      </c>
      <c r="T87" s="14">
        <f t="shared" si="49"/>
        <v>1.3876374950050052</v>
      </c>
      <c r="U87" s="14">
        <f t="shared" si="49"/>
        <v>4.3616731477586015</v>
      </c>
      <c r="V87" s="14">
        <f t="shared" si="49"/>
        <v>1.1730375717682226E-2</v>
      </c>
      <c r="W87" s="14">
        <f t="shared" si="49"/>
        <v>0.77471081194272884</v>
      </c>
      <c r="X87" s="14">
        <f t="shared" si="49"/>
        <v>0.58910126764592119</v>
      </c>
      <c r="Y87" s="14">
        <f t="shared" si="49"/>
        <v>0.26933178441799682</v>
      </c>
      <c r="Z87" s="14">
        <f t="shared" si="49"/>
        <v>0.70900240558516947</v>
      </c>
      <c r="AA87" s="14">
        <f t="shared" si="49"/>
        <v>1.3311944388470722</v>
      </c>
      <c r="AB87" s="14">
        <f t="shared" si="49"/>
        <v>2.1668160512547458E-2</v>
      </c>
      <c r="AC87" s="14">
        <f t="shared" si="49"/>
        <v>2.9108956388137711E-2</v>
      </c>
      <c r="AD87" s="14">
        <f t="shared" si="49"/>
        <v>0.88911639352382144</v>
      </c>
      <c r="AE87" s="14">
        <f t="shared" si="29"/>
        <v>1.7042130434744431E-2</v>
      </c>
      <c r="AF87" s="14">
        <f t="shared" ref="AF87" si="50">16000*2*AF54/AF$66</f>
        <v>2.8622980916844681E-4</v>
      </c>
    </row>
    <row r="88" spans="2:32" x14ac:dyDescent="0.25">
      <c r="B88" s="3" t="s">
        <v>19</v>
      </c>
      <c r="C88" s="14">
        <f t="shared" si="30"/>
        <v>2.4744271031031304</v>
      </c>
      <c r="D88" s="14">
        <f t="shared" si="49"/>
        <v>7.3688017790831629E-3</v>
      </c>
      <c r="E88" s="14">
        <f t="shared" si="49"/>
        <v>8.8472723740300671E-2</v>
      </c>
      <c r="F88" s="14">
        <f t="shared" si="49"/>
        <v>5.0673295576153743</v>
      </c>
      <c r="G88" s="14">
        <f t="shared" si="49"/>
        <v>3.3276776125889342E-2</v>
      </c>
      <c r="H88" s="14">
        <f t="shared" si="49"/>
        <v>0.47878918653435887</v>
      </c>
      <c r="I88" s="14">
        <f t="shared" si="49"/>
        <v>0.6692878386079284</v>
      </c>
      <c r="J88" s="14">
        <f t="shared" si="49"/>
        <v>62.448044151386462</v>
      </c>
      <c r="K88" s="14">
        <f t="shared" si="49"/>
        <v>1.3035073887094735</v>
      </c>
      <c r="L88" s="14">
        <f t="shared" si="49"/>
        <v>4.4479797642071155E-2</v>
      </c>
      <c r="M88" s="14">
        <f t="shared" si="49"/>
        <v>1.5422206500269897</v>
      </c>
      <c r="N88" s="14">
        <f t="shared" si="49"/>
        <v>0.16942604955081147</v>
      </c>
      <c r="O88" s="14">
        <f t="shared" si="49"/>
        <v>0.4867732108728321</v>
      </c>
      <c r="P88" s="14">
        <f t="shared" si="49"/>
        <v>3.5313736970310809E-2</v>
      </c>
      <c r="Q88" s="14">
        <f t="shared" si="49"/>
        <v>0.10478945045384769</v>
      </c>
      <c r="R88" s="14">
        <f t="shared" si="49"/>
        <v>0.10701996919275679</v>
      </c>
      <c r="S88" s="14">
        <f t="shared" si="49"/>
        <v>8.803452834353475E-3</v>
      </c>
      <c r="T88" s="14">
        <f t="shared" si="49"/>
        <v>1.1861821402692576</v>
      </c>
      <c r="U88" s="14">
        <f t="shared" si="49"/>
        <v>4.0944726171690125</v>
      </c>
      <c r="V88" s="14">
        <f t="shared" si="49"/>
        <v>1.9902264270698603E-3</v>
      </c>
      <c r="W88" s="14">
        <f t="shared" si="49"/>
        <v>0.91456223118585067</v>
      </c>
      <c r="X88" s="14">
        <f t="shared" si="49"/>
        <v>0.52795760019037097</v>
      </c>
      <c r="Y88" s="14">
        <f t="shared" si="49"/>
        <v>0.23551334030100482</v>
      </c>
      <c r="Z88" s="14">
        <f t="shared" si="49"/>
        <v>0.57960176220386439</v>
      </c>
      <c r="AA88" s="14">
        <f t="shared" si="49"/>
        <v>1.1557555412369012</v>
      </c>
      <c r="AB88" s="14">
        <f t="shared" si="49"/>
        <v>1.8204242279205311E-2</v>
      </c>
      <c r="AC88" s="14">
        <f t="shared" si="49"/>
        <v>0.11829932463657736</v>
      </c>
      <c r="AD88" s="14">
        <f t="shared" si="49"/>
        <v>0.39356076405777973</v>
      </c>
      <c r="AE88" s="14">
        <f t="shared" si="29"/>
        <v>5.688525708071145E-3</v>
      </c>
      <c r="AF88" s="14">
        <f t="shared" ref="AF88" si="51">16000*2*AF55/AF$66</f>
        <v>8.1529414667366577E-5</v>
      </c>
    </row>
    <row r="89" spans="2:32" x14ac:dyDescent="0.25">
      <c r="B89" s="3" t="s">
        <v>20</v>
      </c>
      <c r="C89" s="14">
        <f t="shared" si="30"/>
        <v>0.55591858380622117</v>
      </c>
      <c r="D89" s="14">
        <f t="shared" si="49"/>
        <v>7.5800173539267443E-3</v>
      </c>
      <c r="E89" s="14">
        <f t="shared" si="49"/>
        <v>8.314407021635381E-2</v>
      </c>
      <c r="F89" s="14">
        <f t="shared" si="49"/>
        <v>1.1102210254385252</v>
      </c>
      <c r="G89" s="14">
        <f t="shared" si="49"/>
        <v>2.8235064346018576E-2</v>
      </c>
      <c r="H89" s="14">
        <f t="shared" si="49"/>
        <v>0.47855118359417409</v>
      </c>
      <c r="I89" s="14">
        <f t="shared" si="49"/>
        <v>0.63988227774606143</v>
      </c>
      <c r="J89" s="14">
        <f t="shared" si="49"/>
        <v>63.490737181094282</v>
      </c>
      <c r="K89" s="14">
        <f t="shared" si="49"/>
        <v>1.242237453446414</v>
      </c>
      <c r="L89" s="14">
        <f t="shared" si="49"/>
        <v>5.6079645596054613E-2</v>
      </c>
      <c r="M89" s="14">
        <f t="shared" si="49"/>
        <v>0.21720478805012416</v>
      </c>
      <c r="N89" s="14">
        <f t="shared" si="49"/>
        <v>0.17099185692061633</v>
      </c>
      <c r="O89" s="14">
        <f t="shared" si="49"/>
        <v>9.2158838698519943E-2</v>
      </c>
      <c r="P89" s="14">
        <f t="shared" si="49"/>
        <v>3.4733018214720489E-2</v>
      </c>
      <c r="Q89" s="14">
        <f t="shared" si="49"/>
        <v>0.10455816281323227</v>
      </c>
      <c r="R89" s="14">
        <f t="shared" si="49"/>
        <v>0.11650646633051059</v>
      </c>
      <c r="S89" s="14">
        <f t="shared" si="49"/>
        <v>9.2488418439637503E-3</v>
      </c>
      <c r="T89" s="14">
        <f t="shared" si="49"/>
        <v>1.1916132465978286</v>
      </c>
      <c r="U89" s="14">
        <f t="shared" si="49"/>
        <v>4.2489208102270197</v>
      </c>
      <c r="V89" s="14">
        <f t="shared" si="49"/>
        <v>2.6610790484377293E-3</v>
      </c>
      <c r="W89" s="14">
        <f t="shared" si="49"/>
        <v>0.90616461361656631</v>
      </c>
      <c r="X89" s="14">
        <f t="shared" si="49"/>
        <v>0.51678569499235594</v>
      </c>
      <c r="Y89" s="14">
        <f t="shared" si="49"/>
        <v>0.24157569665291437</v>
      </c>
      <c r="Z89" s="14">
        <f t="shared" si="49"/>
        <v>0.64134328639436222</v>
      </c>
      <c r="AA89" s="14">
        <f t="shared" si="49"/>
        <v>1.2122173910372289</v>
      </c>
      <c r="AB89" s="14">
        <f t="shared" si="49"/>
        <v>1.8316765632213246E-2</v>
      </c>
      <c r="AC89" s="14">
        <f t="shared" si="49"/>
        <v>0.11445873721415371</v>
      </c>
      <c r="AD89" s="14">
        <f t="shared" si="49"/>
        <v>0.63948906120282523</v>
      </c>
      <c r="AE89" s="14">
        <f t="shared" si="29"/>
        <v>1.0330752433249219E-3</v>
      </c>
      <c r="AF89" s="14" t="s">
        <v>108</v>
      </c>
    </row>
    <row r="90" spans="2:32" x14ac:dyDescent="0.25">
      <c r="B90" s="3" t="s">
        <v>21</v>
      </c>
      <c r="C90" s="14">
        <f t="shared" si="30"/>
        <v>3.0697839064089854</v>
      </c>
      <c r="D90" s="14">
        <f t="shared" si="49"/>
        <v>9.0405897477687687E-3</v>
      </c>
      <c r="E90" s="14">
        <f t="shared" si="49"/>
        <v>0.12852208648587676</v>
      </c>
      <c r="F90" s="14">
        <f t="shared" si="49"/>
        <v>7.356506293443152</v>
      </c>
      <c r="G90" s="14">
        <f t="shared" si="49"/>
        <v>3.7005600782384129E-2</v>
      </c>
      <c r="H90" s="14">
        <f t="shared" si="49"/>
        <v>0.47902936944836122</v>
      </c>
      <c r="I90" s="14">
        <f t="shared" si="49"/>
        <v>0.89300951411638652</v>
      </c>
      <c r="J90" s="14">
        <f t="shared" si="49"/>
        <v>70.568348397380717</v>
      </c>
      <c r="K90" s="14">
        <f t="shared" si="49"/>
        <v>1.5929967024702927</v>
      </c>
      <c r="L90" s="14">
        <f t="shared" si="49"/>
        <v>8.5507131766608055E-2</v>
      </c>
      <c r="M90" s="14">
        <f t="shared" si="49"/>
        <v>2.2719321118111688</v>
      </c>
      <c r="N90" s="14">
        <f t="shared" si="49"/>
        <v>0.22836323124634017</v>
      </c>
      <c r="O90" s="14">
        <f t="shared" si="49"/>
        <v>0.68628579934666378</v>
      </c>
      <c r="P90" s="14">
        <f t="shared" si="49"/>
        <v>3.7739438177907335E-2</v>
      </c>
      <c r="Q90" s="14">
        <f t="shared" si="49"/>
        <v>0.12798833339569649</v>
      </c>
      <c r="R90" s="14">
        <f t="shared" si="49"/>
        <v>0.14966048972592347</v>
      </c>
      <c r="S90" s="14">
        <f t="shared" si="49"/>
        <v>1.0665918389559863E-2</v>
      </c>
      <c r="T90" s="14">
        <f t="shared" si="49"/>
        <v>1.4420175095748478</v>
      </c>
      <c r="U90" s="14">
        <f t="shared" si="49"/>
        <v>4.6814910782598229</v>
      </c>
      <c r="V90" s="14">
        <f t="shared" si="49"/>
        <v>2.7207098498019246E-3</v>
      </c>
      <c r="W90" s="14">
        <f t="shared" si="49"/>
        <v>1.1907703159133349</v>
      </c>
      <c r="X90" s="14">
        <f t="shared" si="49"/>
        <v>0.67295007526787054</v>
      </c>
      <c r="Y90" s="14">
        <f t="shared" si="49"/>
        <v>0.29518296792520687</v>
      </c>
      <c r="Z90" s="14">
        <f t="shared" si="49"/>
        <v>0.77757770885861111</v>
      </c>
      <c r="AA90" s="14">
        <f t="shared" si="49"/>
        <v>1.5267133719302941</v>
      </c>
      <c r="AB90" s="14">
        <f t="shared" si="49"/>
        <v>2.1440872562094811E-2</v>
      </c>
      <c r="AC90" s="14">
        <f t="shared" si="49"/>
        <v>0.154928021030486</v>
      </c>
      <c r="AD90" s="14">
        <f t="shared" si="49"/>
        <v>0.26902807905313342</v>
      </c>
      <c r="AE90" s="14">
        <f t="shared" si="29"/>
        <v>9.2012603858756693E-3</v>
      </c>
      <c r="AF90" s="14">
        <f t="shared" ref="AF90" si="52">16000*2*AF57/AF$66</f>
        <v>1.679031934381494E-4</v>
      </c>
    </row>
    <row r="91" spans="2:32" x14ac:dyDescent="0.25">
      <c r="B91" s="3" t="s">
        <v>22</v>
      </c>
      <c r="C91" s="14">
        <f t="shared" si="30"/>
        <v>3.7693941637379353</v>
      </c>
      <c r="D91" s="14">
        <f t="shared" si="49"/>
        <v>8.8580866552880628E-3</v>
      </c>
      <c r="E91" s="14">
        <f t="shared" si="49"/>
        <v>0.10598323280297609</v>
      </c>
      <c r="F91" s="14">
        <f t="shared" si="49"/>
        <v>6.7848325800390583</v>
      </c>
      <c r="G91" s="14">
        <f t="shared" si="49"/>
        <v>3.4574742227734857E-2</v>
      </c>
      <c r="H91" s="14">
        <f t="shared" si="49"/>
        <v>0.47893518350205444</v>
      </c>
      <c r="I91" s="14">
        <f t="shared" si="49"/>
        <v>0.72990448760389581</v>
      </c>
      <c r="J91" s="14">
        <f t="shared" si="49"/>
        <v>68.894460191625626</v>
      </c>
      <c r="K91" s="14">
        <f t="shared" si="49"/>
        <v>1.4325218141347835</v>
      </c>
      <c r="L91" s="14">
        <f t="shared" si="49"/>
        <v>7.0494463914814107E-2</v>
      </c>
      <c r="M91" s="14">
        <f t="shared" si="49"/>
        <v>1.9370036425012842</v>
      </c>
      <c r="N91" s="14">
        <f t="shared" si="49"/>
        <v>0.2054784799234802</v>
      </c>
      <c r="O91" s="14">
        <f t="shared" si="49"/>
        <v>0.56451930928812921</v>
      </c>
      <c r="P91" s="14">
        <f t="shared" si="49"/>
        <v>3.4736833438300259E-2</v>
      </c>
      <c r="Q91" s="14">
        <f t="shared" si="49"/>
        <v>0.1225658202146185</v>
      </c>
      <c r="R91" s="14">
        <f t="shared" si="49"/>
        <v>0.12963524622693512</v>
      </c>
      <c r="S91" s="14">
        <f t="shared" si="49"/>
        <v>1.0437181385359161E-2</v>
      </c>
      <c r="T91" s="14">
        <f t="shared" si="49"/>
        <v>1.2780864529826164</v>
      </c>
      <c r="U91" s="14">
        <f t="shared" si="49"/>
        <v>4.6162075199935471</v>
      </c>
      <c r="V91" s="14">
        <f t="shared" si="49"/>
        <v>2.6913886178520459E-3</v>
      </c>
      <c r="W91" s="14">
        <f t="shared" si="49"/>
        <v>1.0257102824293789</v>
      </c>
      <c r="X91" s="14">
        <f t="shared" si="49"/>
        <v>0.59859340702988162</v>
      </c>
      <c r="Y91" s="14">
        <f t="shared" si="49"/>
        <v>0.26988000153076575</v>
      </c>
      <c r="Z91" s="14">
        <f t="shared" si="49"/>
        <v>0.71375726971341169</v>
      </c>
      <c r="AA91" s="14">
        <f t="shared" si="49"/>
        <v>1.3744666884710399</v>
      </c>
      <c r="AB91" s="14">
        <f t="shared" si="49"/>
        <v>2.0060974756876591E-2</v>
      </c>
      <c r="AC91" s="14">
        <f t="shared" si="49"/>
        <v>0.12880411531697047</v>
      </c>
      <c r="AD91" s="14">
        <f t="shared" si="49"/>
        <v>0.7558200101944571</v>
      </c>
      <c r="AE91" s="14">
        <f t="shared" si="29"/>
        <v>7.0829472534833914E-3</v>
      </c>
      <c r="AF91" s="14">
        <f t="shared" ref="AF91" si="53">16000*2*AF58/AF$66</f>
        <v>8.7894027274245737E-5</v>
      </c>
    </row>
    <row r="92" spans="2:32" x14ac:dyDescent="0.25">
      <c r="B92" s="3" t="s">
        <v>23</v>
      </c>
      <c r="C92" s="14">
        <f t="shared" si="30"/>
        <v>3.441515138324506</v>
      </c>
      <c r="D92" s="14">
        <f t="shared" si="49"/>
        <v>9.2451168806990513E-3</v>
      </c>
      <c r="E92" s="14">
        <f t="shared" si="49"/>
        <v>0.13753323118268276</v>
      </c>
      <c r="F92" s="14">
        <f t="shared" si="49"/>
        <v>7.0308963046178619</v>
      </c>
      <c r="G92" s="14">
        <f t="shared" si="49"/>
        <v>3.3850554713566912E-2</v>
      </c>
      <c r="H92" s="14">
        <f t="shared" si="49"/>
        <v>0.47897486523911925</v>
      </c>
      <c r="I92" s="14">
        <f>16000*2*I59/I$66</f>
        <v>1.0417370178176817</v>
      </c>
      <c r="J92" s="14">
        <f t="shared" si="49"/>
        <v>70.387471461435894</v>
      </c>
      <c r="K92" s="14">
        <f t="shared" si="49"/>
        <v>1.5818090850485231</v>
      </c>
      <c r="L92" s="14">
        <f t="shared" si="49"/>
        <v>9.3980503505441654E-2</v>
      </c>
      <c r="M92" s="14">
        <f t="shared" si="49"/>
        <v>2.2243570221502091</v>
      </c>
      <c r="N92" s="14">
        <f t="shared" si="49"/>
        <v>0.22159309650444423</v>
      </c>
      <c r="O92" s="14">
        <f t="shared" si="49"/>
        <v>0.65636868944250404</v>
      </c>
      <c r="P92" s="14">
        <f t="shared" si="49"/>
        <v>3.8529249668068137E-2</v>
      </c>
      <c r="Q92" s="14">
        <f t="shared" si="49"/>
        <v>0.13955085649491927</v>
      </c>
      <c r="R92" s="14">
        <f t="shared" si="49"/>
        <v>0.16345748722514947</v>
      </c>
      <c r="S92" s="14">
        <f t="shared" si="49"/>
        <v>1.019594179574526E-2</v>
      </c>
      <c r="T92" s="14">
        <f t="shared" si="49"/>
        <v>1.521481852481402</v>
      </c>
      <c r="U92" s="14">
        <f t="shared" si="49"/>
        <v>4.6981868173066941</v>
      </c>
      <c r="V92" s="14">
        <f t="shared" si="49"/>
        <v>3.8521705857321445E-3</v>
      </c>
      <c r="W92" s="14">
        <f t="shared" si="49"/>
        <v>1.1965442353917224</v>
      </c>
      <c r="X92" s="14">
        <f t="shared" si="49"/>
        <v>0.69980809169859337</v>
      </c>
      <c r="Y92" s="14">
        <f t="shared" si="49"/>
        <v>0.30466080940653356</v>
      </c>
      <c r="Z92" s="14">
        <f t="shared" si="49"/>
        <v>0.90130068627493398</v>
      </c>
      <c r="AA92" s="14">
        <f t="shared" si="49"/>
        <v>1.7028157374593467</v>
      </c>
      <c r="AB92" s="14">
        <f t="shared" si="49"/>
        <v>2.2710229075176117E-2</v>
      </c>
      <c r="AC92" s="14">
        <f t="shared" si="49"/>
        <v>0.17729821859665956</v>
      </c>
      <c r="AD92" s="14">
        <f t="shared" si="49"/>
        <v>0.61663769990831963</v>
      </c>
      <c r="AE92" s="14">
        <f t="shared" si="29"/>
        <v>8.2151302487499384E-3</v>
      </c>
      <c r="AF92" s="14">
        <f t="shared" ref="AF92" si="54">16000*2*AF59/AF$66</f>
        <v>1.1500021521103159E-4</v>
      </c>
    </row>
    <row r="93" spans="2:32" x14ac:dyDescent="0.25">
      <c r="B93" s="24" t="s">
        <v>237</v>
      </c>
      <c r="C93" s="49">
        <f>AVERAGE(C88:C92)</f>
        <v>2.662207779076156</v>
      </c>
      <c r="D93" s="24">
        <f t="shared" ref="D93:AF93" si="55">AVERAGE(D88:D92)</f>
        <v>8.4185224833531573E-3</v>
      </c>
      <c r="E93" s="24">
        <f t="shared" si="55"/>
        <v>0.10873106888563802</v>
      </c>
      <c r="F93" s="24">
        <f t="shared" si="55"/>
        <v>5.4699571522307942</v>
      </c>
      <c r="G93" s="24">
        <f t="shared" si="55"/>
        <v>3.3388547639118762E-2</v>
      </c>
      <c r="H93" s="24">
        <f t="shared" si="55"/>
        <v>0.47885595766361355</v>
      </c>
      <c r="I93" s="49">
        <f>AVERAGE(I88:I92)</f>
        <v>0.79476422717839079</v>
      </c>
      <c r="J93" s="24">
        <f t="shared" si="55"/>
        <v>67.157812276584593</v>
      </c>
      <c r="K93" s="24">
        <f t="shared" si="55"/>
        <v>1.4306144887618975</v>
      </c>
      <c r="L93" s="24">
        <f t="shared" si="55"/>
        <v>7.0108308484997911E-2</v>
      </c>
      <c r="M93" s="24">
        <f t="shared" si="55"/>
        <v>1.6385436429079552</v>
      </c>
      <c r="N93" s="24">
        <f t="shared" si="55"/>
        <v>0.19917054282913849</v>
      </c>
      <c r="O93" s="24">
        <f t="shared" si="55"/>
        <v>0.49722116952972978</v>
      </c>
      <c r="P93" s="24">
        <f t="shared" si="55"/>
        <v>3.6210455293861403E-2</v>
      </c>
      <c r="Q93" s="24">
        <f t="shared" si="55"/>
        <v>0.11989052467446285</v>
      </c>
      <c r="R93" s="24">
        <f t="shared" si="55"/>
        <v>0.13325593174025507</v>
      </c>
      <c r="S93" s="24">
        <f t="shared" si="55"/>
        <v>9.870267249796302E-3</v>
      </c>
      <c r="T93" s="24">
        <f t="shared" si="55"/>
        <v>1.3238762403811903</v>
      </c>
      <c r="U93" s="24">
        <f t="shared" si="55"/>
        <v>4.4678557685912192</v>
      </c>
      <c r="V93" s="24">
        <f t="shared" si="55"/>
        <v>2.7831149057787412E-3</v>
      </c>
      <c r="W93" s="24">
        <f t="shared" si="55"/>
        <v>1.0467503357073706</v>
      </c>
      <c r="X93" s="24">
        <f t="shared" si="55"/>
        <v>0.60321897383581446</v>
      </c>
      <c r="Y93" s="24">
        <f t="shared" si="55"/>
        <v>0.26936256316328511</v>
      </c>
      <c r="Z93" s="24">
        <f t="shared" si="55"/>
        <v>0.72271614268903672</v>
      </c>
      <c r="AA93" s="24">
        <f t="shared" si="55"/>
        <v>1.394393746026962</v>
      </c>
      <c r="AB93" s="24">
        <f t="shared" si="55"/>
        <v>2.0146616861113215E-2</v>
      </c>
      <c r="AC93" s="24">
        <f t="shared" si="55"/>
        <v>0.13875768335896943</v>
      </c>
      <c r="AD93" s="24">
        <f t="shared" si="55"/>
        <v>0.534907122883303</v>
      </c>
      <c r="AE93" s="24">
        <f t="shared" si="55"/>
        <v>6.2441877679010136E-3</v>
      </c>
      <c r="AF93" s="24">
        <f t="shared" si="55"/>
        <v>1.1308171264769832E-4</v>
      </c>
    </row>
    <row r="94" spans="2:32" x14ac:dyDescent="0.25">
      <c r="C94" s="49"/>
    </row>
    <row r="95" spans="2:32" x14ac:dyDescent="0.25">
      <c r="C95" s="49"/>
    </row>
    <row r="98" spans="2:32" ht="15" x14ac:dyDescent="0.25">
      <c r="C98" s="90" t="s">
        <v>143</v>
      </c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2" t="s">
        <v>225</v>
      </c>
      <c r="AF98" s="93"/>
    </row>
    <row r="99" spans="2:32" ht="12.75" thickBot="1" x14ac:dyDescent="0.3">
      <c r="B99" s="4" t="s">
        <v>114</v>
      </c>
      <c r="C99" s="31" t="s">
        <v>28</v>
      </c>
      <c r="D99" s="31" t="s">
        <v>30</v>
      </c>
      <c r="E99" s="31" t="s">
        <v>31</v>
      </c>
      <c r="F99" s="31" t="s">
        <v>34</v>
      </c>
      <c r="G99" s="31" t="s">
        <v>36</v>
      </c>
      <c r="H99" s="31" t="s">
        <v>42</v>
      </c>
      <c r="I99" s="31" t="s">
        <v>43</v>
      </c>
      <c r="J99" s="31" t="s">
        <v>46</v>
      </c>
      <c r="K99" s="31" t="s">
        <v>47</v>
      </c>
      <c r="L99" s="31" t="s">
        <v>48</v>
      </c>
      <c r="M99" s="31" t="s">
        <v>50</v>
      </c>
      <c r="N99" s="31" t="s">
        <v>51</v>
      </c>
      <c r="O99" s="31" t="s">
        <v>52</v>
      </c>
      <c r="P99" s="31" t="s">
        <v>54</v>
      </c>
      <c r="Q99" s="31" t="s">
        <v>59</v>
      </c>
      <c r="R99" s="31" t="s">
        <v>110</v>
      </c>
      <c r="S99" s="31" t="s">
        <v>61</v>
      </c>
      <c r="T99" s="31" t="s">
        <v>62</v>
      </c>
      <c r="U99" s="31" t="s">
        <v>64</v>
      </c>
      <c r="V99" s="31" t="s">
        <v>67</v>
      </c>
      <c r="W99" s="31" t="s">
        <v>68</v>
      </c>
      <c r="X99" s="31" t="s">
        <v>70</v>
      </c>
      <c r="Y99" s="31" t="s">
        <v>76</v>
      </c>
      <c r="Z99" s="31" t="s">
        <v>77</v>
      </c>
      <c r="AA99" s="31" t="s">
        <v>78</v>
      </c>
      <c r="AB99" s="31" t="s">
        <v>106</v>
      </c>
      <c r="AC99" s="31" t="s">
        <v>107</v>
      </c>
      <c r="AD99" s="31" t="s">
        <v>113</v>
      </c>
      <c r="AE99" s="4" t="s">
        <v>180</v>
      </c>
      <c r="AF99" s="4" t="s">
        <v>33</v>
      </c>
    </row>
    <row r="100" spans="2:32" ht="12.75" thickTop="1" x14ac:dyDescent="0.25">
      <c r="B100" s="12" t="s">
        <v>0</v>
      </c>
      <c r="C100" s="12">
        <f>C68-C$93</f>
        <v>0.9417627849969743</v>
      </c>
      <c r="D100" s="12">
        <f t="shared" ref="D100:AD109" si="56">D68-D$93</f>
        <v>7.0195075417735259E-2</v>
      </c>
      <c r="E100" s="12">
        <f t="shared" si="56"/>
        <v>5.5100601211962114E-2</v>
      </c>
      <c r="F100" s="12">
        <f t="shared" si="56"/>
        <v>-4.3891925828474063</v>
      </c>
      <c r="G100" s="12">
        <f t="shared" si="56"/>
        <v>1.1304703285869078E-2</v>
      </c>
      <c r="H100" s="12">
        <f t="shared" si="56"/>
        <v>8.7819589053494962E-4</v>
      </c>
      <c r="I100" s="12">
        <f t="shared" si="56"/>
        <v>0.11146138215835688</v>
      </c>
      <c r="J100" s="12">
        <f t="shared" si="56"/>
        <v>-1.3170626525127602</v>
      </c>
      <c r="K100" s="12">
        <f t="shared" si="56"/>
        <v>6.4453691011014502E-2</v>
      </c>
      <c r="L100" s="12">
        <f t="shared" si="56"/>
        <v>1.1055162981136707E-2</v>
      </c>
      <c r="M100" s="12">
        <f t="shared" si="56"/>
        <v>-1.2341389812799504</v>
      </c>
      <c r="N100" s="12">
        <f t="shared" si="56"/>
        <v>2.8780552254109582E-5</v>
      </c>
      <c r="O100" s="12">
        <f t="shared" si="56"/>
        <v>-0.32823603877145957</v>
      </c>
      <c r="P100" s="12">
        <f t="shared" si="56"/>
        <v>3.1764505369232914E-2</v>
      </c>
      <c r="Q100" s="12">
        <f t="shared" si="56"/>
        <v>0.35103656001442218</v>
      </c>
      <c r="R100" s="12">
        <f t="shared" si="56"/>
        <v>0.15891113539773083</v>
      </c>
      <c r="S100" s="12">
        <f t="shared" si="56"/>
        <v>6.1785972696240688E-3</v>
      </c>
      <c r="T100" s="12">
        <f t="shared" si="56"/>
        <v>0.25539820088254461</v>
      </c>
      <c r="U100" s="12">
        <f t="shared" si="56"/>
        <v>-0.16238118575442684</v>
      </c>
      <c r="V100" s="12">
        <f t="shared" si="56"/>
        <v>1.2863765134108611E-2</v>
      </c>
      <c r="W100" s="12">
        <f t="shared" si="56"/>
        <v>-7.0884773270918133E-2</v>
      </c>
      <c r="X100" s="12">
        <f t="shared" si="56"/>
        <v>5.3341495924500881E-2</v>
      </c>
      <c r="Y100" s="12">
        <f t="shared" si="56"/>
        <v>5.6268905977291395E-3</v>
      </c>
      <c r="Z100" s="12">
        <f t="shared" si="56"/>
        <v>7.1590017318961863E-2</v>
      </c>
      <c r="AA100" s="12">
        <f t="shared" si="56"/>
        <v>0.11225760620142489</v>
      </c>
      <c r="AB100" s="12">
        <f t="shared" si="56"/>
        <v>3.4673822626150666E-3</v>
      </c>
      <c r="AC100" s="12">
        <f t="shared" si="56"/>
        <v>-9.3527110835761387E-2</v>
      </c>
      <c r="AD100" s="12">
        <f t="shared" si="56"/>
        <v>0.41257784165517331</v>
      </c>
      <c r="AE100" s="13">
        <f>AE68-AE$93</f>
        <v>-1.215071887405471E-3</v>
      </c>
      <c r="AF100" s="13">
        <f>AF68-AF$93</f>
        <v>-6.2294572349677699E-5</v>
      </c>
    </row>
    <row r="101" spans="2:32" x14ac:dyDescent="0.25">
      <c r="B101" s="12" t="s">
        <v>1</v>
      </c>
      <c r="C101" s="12">
        <f t="shared" ref="C101:R119" si="57">C69-C$93</f>
        <v>12.87424649956872</v>
      </c>
      <c r="D101" s="12">
        <f t="shared" si="57"/>
        <v>6.8016268928920029E-2</v>
      </c>
      <c r="E101" s="12">
        <f t="shared" si="57"/>
        <v>4.4236757753942202E-2</v>
      </c>
      <c r="F101" s="12">
        <f t="shared" si="57"/>
        <v>0.15586815882330907</v>
      </c>
      <c r="G101" s="12">
        <f t="shared" si="57"/>
        <v>5.666955733519552E-4</v>
      </c>
      <c r="H101" s="12">
        <f t="shared" si="57"/>
        <v>9.733477003470159E-4</v>
      </c>
      <c r="I101" s="12">
        <f t="shared" si="57"/>
        <v>0.11795564345672094</v>
      </c>
      <c r="J101" s="12">
        <f t="shared" si="57"/>
        <v>-3.6474831363066116</v>
      </c>
      <c r="K101" s="12">
        <f t="shared" si="57"/>
        <v>0.10367341902438421</v>
      </c>
      <c r="L101" s="12">
        <f t="shared" si="57"/>
        <v>1.448905240663384E-2</v>
      </c>
      <c r="M101" s="12">
        <f t="shared" si="57"/>
        <v>0.71368231049903974</v>
      </c>
      <c r="N101" s="12">
        <f t="shared" si="57"/>
        <v>2.4400071305499177E-2</v>
      </c>
      <c r="O101" s="12">
        <f t="shared" si="57"/>
        <v>0.2564790751216886</v>
      </c>
      <c r="P101" s="12">
        <f t="shared" si="57"/>
        <v>3.076349337308807E-2</v>
      </c>
      <c r="Q101" s="12">
        <f t="shared" si="57"/>
        <v>0.33089140283141638</v>
      </c>
      <c r="R101" s="12">
        <f t="shared" si="57"/>
        <v>0.14838064307605581</v>
      </c>
      <c r="S101" s="12">
        <f t="shared" si="56"/>
        <v>6.6508247565297638E-3</v>
      </c>
      <c r="T101" s="12">
        <f t="shared" si="56"/>
        <v>0.14072993938830414</v>
      </c>
      <c r="U101" s="12">
        <f t="shared" si="56"/>
        <v>-0.2534080547548534</v>
      </c>
      <c r="V101" s="12">
        <f t="shared" si="56"/>
        <v>1.538738066038022E-2</v>
      </c>
      <c r="W101" s="12">
        <f t="shared" si="56"/>
        <v>7.6687668153911037E-2</v>
      </c>
      <c r="X101" s="12">
        <f t="shared" si="56"/>
        <v>8.8878453417714276E-2</v>
      </c>
      <c r="Y101" s="12">
        <f t="shared" si="56"/>
        <v>2.6026678502916456E-2</v>
      </c>
      <c r="Z101" s="12">
        <f t="shared" si="56"/>
        <v>2.9834608438630728E-2</v>
      </c>
      <c r="AA101" s="12">
        <f t="shared" si="56"/>
        <v>8.6476074587131802E-3</v>
      </c>
      <c r="AB101" s="12">
        <f t="shared" si="56"/>
        <v>2.5863026912526128E-3</v>
      </c>
      <c r="AC101" s="12">
        <f t="shared" si="56"/>
        <v>-9.9389551105589863E-2</v>
      </c>
      <c r="AD101" s="12">
        <f t="shared" si="56"/>
        <v>0.46205432171267413</v>
      </c>
      <c r="AE101" s="13">
        <f t="shared" ref="AE101:AF119" si="58">AE69-AE$93</f>
        <v>1.6321026721237059E-2</v>
      </c>
      <c r="AF101" s="13">
        <f t="shared" si="58"/>
        <v>2.5888389543165147E-4</v>
      </c>
    </row>
    <row r="102" spans="2:32" x14ac:dyDescent="0.25">
      <c r="B102" s="12" t="s">
        <v>2</v>
      </c>
      <c r="C102" s="12">
        <f t="shared" si="57"/>
        <v>12.230197710796194</v>
      </c>
      <c r="D102" s="12">
        <f t="shared" si="56"/>
        <v>6.6870940306661034E-2</v>
      </c>
      <c r="E102" s="12">
        <f t="shared" si="56"/>
        <v>5.4971427292876823E-2</v>
      </c>
      <c r="F102" s="12">
        <f t="shared" si="56"/>
        <v>-0.38984389791182572</v>
      </c>
      <c r="G102" s="12">
        <f t="shared" si="56"/>
        <v>-1.4657706967164397E-3</v>
      </c>
      <c r="H102" s="12">
        <f t="shared" si="56"/>
        <v>9.9149098674128355E-4</v>
      </c>
      <c r="I102" s="12">
        <f t="shared" si="56"/>
        <v>3.1521567066289169E-2</v>
      </c>
      <c r="J102" s="12">
        <f t="shared" si="56"/>
        <v>-3.9246329782692655</v>
      </c>
      <c r="K102" s="12">
        <f t="shared" si="56"/>
        <v>2.9853117524991646E-3</v>
      </c>
      <c r="L102" s="12">
        <f t="shared" si="56"/>
        <v>8.7335663744915887E-3</v>
      </c>
      <c r="M102" s="12">
        <f t="shared" si="56"/>
        <v>0.55818041371103444</v>
      </c>
      <c r="N102" s="12">
        <f t="shared" si="56"/>
        <v>3.2640965037767922E-3</v>
      </c>
      <c r="O102" s="12">
        <f t="shared" si="56"/>
        <v>0.21039564664947469</v>
      </c>
      <c r="P102" s="12">
        <f t="shared" si="56"/>
        <v>4.0612660433336507E-2</v>
      </c>
      <c r="Q102" s="12">
        <f t="shared" si="56"/>
        <v>0.33293536458176431</v>
      </c>
      <c r="R102" s="12">
        <f t="shared" si="56"/>
        <v>0.13733236748614058</v>
      </c>
      <c r="S102" s="12">
        <f t="shared" si="56"/>
        <v>5.9238348322117416E-3</v>
      </c>
      <c r="T102" s="12">
        <f t="shared" si="56"/>
        <v>0.13963445558536924</v>
      </c>
      <c r="U102" s="12">
        <f t="shared" si="56"/>
        <v>-0.1910566363287014</v>
      </c>
      <c r="V102" s="12">
        <f t="shared" si="56"/>
        <v>1.6031469234788719E-2</v>
      </c>
      <c r="W102" s="12">
        <f t="shared" si="56"/>
        <v>6.3015217018907332E-2</v>
      </c>
      <c r="X102" s="12">
        <f t="shared" si="56"/>
        <v>8.8069461772216417E-2</v>
      </c>
      <c r="Y102" s="12">
        <f t="shared" si="56"/>
        <v>2.1307928085080419E-2</v>
      </c>
      <c r="Z102" s="12">
        <f t="shared" si="56"/>
        <v>4.4537358160147811E-2</v>
      </c>
      <c r="AA102" s="12">
        <f t="shared" si="56"/>
        <v>0.17062808663155304</v>
      </c>
      <c r="AB102" s="12">
        <f t="shared" si="56"/>
        <v>2.6355498750301951E-3</v>
      </c>
      <c r="AC102" s="12">
        <f t="shared" si="56"/>
        <v>-9.7130343643312356E-2</v>
      </c>
      <c r="AD102" s="12">
        <f t="shared" si="56"/>
        <v>-0.16891422302776765</v>
      </c>
      <c r="AE102" s="13">
        <f t="shared" si="58"/>
        <v>1.6419010641550102E-2</v>
      </c>
      <c r="AF102" s="13">
        <f t="shared" si="58"/>
        <v>2.3100883885819739E-4</v>
      </c>
    </row>
    <row r="103" spans="2:32" x14ac:dyDescent="0.25">
      <c r="B103" s="12" t="s">
        <v>3</v>
      </c>
      <c r="C103" s="12">
        <f t="shared" si="57"/>
        <v>11.664111605015613</v>
      </c>
      <c r="D103" s="12">
        <f t="shared" si="56"/>
        <v>7.0231285611527625E-2</v>
      </c>
      <c r="E103" s="12">
        <f t="shared" si="56"/>
        <v>5.5303213392513845E-2</v>
      </c>
      <c r="F103" s="12">
        <f t="shared" si="56"/>
        <v>-0.27992555386820683</v>
      </c>
      <c r="G103" s="12">
        <f t="shared" si="56"/>
        <v>1.5261808192677737E-3</v>
      </c>
      <c r="H103" s="12">
        <f t="shared" si="56"/>
        <v>1.1992202188828571E-3</v>
      </c>
      <c r="I103" s="12">
        <f t="shared" si="56"/>
        <v>8.8230762341803937E-2</v>
      </c>
      <c r="J103" s="12">
        <f t="shared" si="56"/>
        <v>-2.5487139812818072</v>
      </c>
      <c r="K103" s="12">
        <f t="shared" si="56"/>
        <v>7.5158039718829395E-2</v>
      </c>
      <c r="L103" s="12">
        <f t="shared" si="56"/>
        <v>7.3932250175041681E-3</v>
      </c>
      <c r="M103" s="12">
        <f t="shared" si="56"/>
        <v>0.58133886824531489</v>
      </c>
      <c r="N103" s="12">
        <f t="shared" si="56"/>
        <v>1.5677637923758037E-3</v>
      </c>
      <c r="O103" s="12">
        <f t="shared" si="56"/>
        <v>0.18830291886222966</v>
      </c>
      <c r="P103" s="12">
        <f t="shared" si="56"/>
        <v>3.6678431827460951E-2</v>
      </c>
      <c r="Q103" s="12">
        <f t="shared" si="56"/>
        <v>0.3298311005931247</v>
      </c>
      <c r="R103" s="12">
        <f t="shared" si="56"/>
        <v>0.14069527353768868</v>
      </c>
      <c r="S103" s="12">
        <f t="shared" si="56"/>
        <v>7.404417485787915E-3</v>
      </c>
      <c r="T103" s="12">
        <f t="shared" si="56"/>
        <v>0.17219604055518878</v>
      </c>
      <c r="U103" s="12">
        <f t="shared" si="56"/>
        <v>-8.4569903263798096E-3</v>
      </c>
      <c r="V103" s="12">
        <f t="shared" si="56"/>
        <v>1.5641930889686826E-2</v>
      </c>
      <c r="W103" s="12">
        <f t="shared" si="56"/>
        <v>6.8028575903409383E-3</v>
      </c>
      <c r="X103" s="12">
        <f t="shared" si="56"/>
        <v>6.0921370711432776E-2</v>
      </c>
      <c r="Y103" s="12">
        <f t="shared" si="56"/>
        <v>1.4091573722748774E-2</v>
      </c>
      <c r="Z103" s="12">
        <f t="shared" si="56"/>
        <v>7.351550923278094E-2</v>
      </c>
      <c r="AA103" s="12">
        <f t="shared" si="56"/>
        <v>8.1275499633864712E-2</v>
      </c>
      <c r="AB103" s="12">
        <f t="shared" si="56"/>
        <v>2.9167305316546051E-3</v>
      </c>
      <c r="AC103" s="12">
        <f t="shared" si="56"/>
        <v>-9.6538973567513273E-2</v>
      </c>
      <c r="AD103" s="12">
        <f t="shared" si="56"/>
        <v>-0.31704212872066095</v>
      </c>
      <c r="AE103" s="13">
        <f t="shared" si="58"/>
        <v>1.4854546502842266E-2</v>
      </c>
      <c r="AF103" s="13">
        <f t="shared" si="58"/>
        <v>2.2011562127420513E-4</v>
      </c>
    </row>
    <row r="104" spans="2:32" x14ac:dyDescent="0.25">
      <c r="B104" s="16" t="s">
        <v>4</v>
      </c>
      <c r="C104" s="16">
        <f t="shared" si="57"/>
        <v>12.811743228525305</v>
      </c>
      <c r="D104" s="16">
        <f t="shared" si="56"/>
        <v>7.7560637484766104E-2</v>
      </c>
      <c r="E104" s="16">
        <f t="shared" si="56"/>
        <v>6.2807392459029138E-2</v>
      </c>
      <c r="F104" s="16">
        <f t="shared" si="56"/>
        <v>-0.28062031646187968</v>
      </c>
      <c r="G104" s="16">
        <f t="shared" si="56"/>
        <v>2.2317679373223126E-3</v>
      </c>
      <c r="H104" s="16">
        <f t="shared" si="56"/>
        <v>7.5561022940762168E-4</v>
      </c>
      <c r="I104" s="16">
        <f t="shared" si="56"/>
        <v>0.21494350747377089</v>
      </c>
      <c r="J104" s="16">
        <f t="shared" si="56"/>
        <v>-0.9536266354172227</v>
      </c>
      <c r="K104" s="16">
        <f t="shared" si="56"/>
        <v>9.6689768044620372E-2</v>
      </c>
      <c r="L104" s="16">
        <f t="shared" si="56"/>
        <v>8.2694516548759006E-3</v>
      </c>
      <c r="M104" s="16">
        <f t="shared" si="56"/>
        <v>0.57848099916807572</v>
      </c>
      <c r="N104" s="16">
        <f t="shared" si="56"/>
        <v>4.9421280599678541E-3</v>
      </c>
      <c r="O104" s="16">
        <f t="shared" si="56"/>
        <v>0.23376153993073628</v>
      </c>
      <c r="P104" s="16">
        <f t="shared" si="56"/>
        <v>3.4650395188730011E-2</v>
      </c>
      <c r="Q104" s="16">
        <f t="shared" si="56"/>
        <v>0.33644669032157959</v>
      </c>
      <c r="R104" s="16">
        <f t="shared" si="56"/>
        <v>0.17445358140524475</v>
      </c>
      <c r="S104" s="16">
        <f t="shared" si="56"/>
        <v>6.835173292195686E-3</v>
      </c>
      <c r="T104" s="16">
        <f t="shared" si="56"/>
        <v>0.19106979583354167</v>
      </c>
      <c r="U104" s="16">
        <f t="shared" si="56"/>
        <v>-0.16611194164361986</v>
      </c>
      <c r="V104" s="16">
        <f t="shared" si="56"/>
        <v>1.5620949123073083E-2</v>
      </c>
      <c r="W104" s="16">
        <f t="shared" si="56"/>
        <v>3.5958388755973791E-2</v>
      </c>
      <c r="X104" s="16">
        <f t="shared" si="56"/>
        <v>0.12507282367110351</v>
      </c>
      <c r="Y104" s="16">
        <f t="shared" si="56"/>
        <v>7.5515284741373145E-4</v>
      </c>
      <c r="Z104" s="16">
        <f t="shared" si="56"/>
        <v>0.10822582242521261</v>
      </c>
      <c r="AA104" s="16">
        <f t="shared" si="56"/>
        <v>0.14172798501483141</v>
      </c>
      <c r="AB104" s="16">
        <f t="shared" si="56"/>
        <v>3.7765208309445859E-3</v>
      </c>
      <c r="AC104" s="16">
        <f t="shared" si="56"/>
        <v>-9.8073206364423432E-2</v>
      </c>
      <c r="AD104" s="16">
        <f t="shared" si="56"/>
        <v>-0.13830986343752355</v>
      </c>
      <c r="AE104" s="11">
        <f t="shared" si="58"/>
        <v>1.5479655136158644E-2</v>
      </c>
      <c r="AF104" s="11">
        <f t="shared" si="58"/>
        <v>1.7215305517324532E-4</v>
      </c>
    </row>
    <row r="105" spans="2:32" x14ac:dyDescent="0.25">
      <c r="B105" s="12" t="s">
        <v>5</v>
      </c>
      <c r="C105" s="12">
        <f t="shared" si="57"/>
        <v>20.18505288829094</v>
      </c>
      <c r="D105" s="12">
        <f t="shared" si="56"/>
        <v>0.12205461489096021</v>
      </c>
      <c r="E105" s="12">
        <f t="shared" si="56"/>
        <v>8.3647544815051461E-2</v>
      </c>
      <c r="F105" s="12">
        <f t="shared" si="56"/>
        <v>-1.0860578916568144</v>
      </c>
      <c r="G105" s="12">
        <f t="shared" si="56"/>
        <v>6.0957166878775615E-3</v>
      </c>
      <c r="H105" s="12">
        <f t="shared" si="56"/>
        <v>1.4490911972807607E-3</v>
      </c>
      <c r="I105" s="12">
        <f t="shared" si="56"/>
        <v>6.9337601903075585E-2</v>
      </c>
      <c r="J105" s="12">
        <f t="shared" si="56"/>
        <v>-3.3994718825040451</v>
      </c>
      <c r="K105" s="12">
        <f t="shared" si="56"/>
        <v>8.3312082191473902E-2</v>
      </c>
      <c r="L105" s="12">
        <f t="shared" si="56"/>
        <v>8.2179540754820229E-3</v>
      </c>
      <c r="M105" s="12">
        <f t="shared" si="56"/>
        <v>0.59545640020198531</v>
      </c>
      <c r="N105" s="12">
        <f t="shared" si="56"/>
        <v>8.2386133143318441E-3</v>
      </c>
      <c r="O105" s="12">
        <f t="shared" si="56"/>
        <v>0.19591855664595009</v>
      </c>
      <c r="P105" s="12">
        <f t="shared" si="56"/>
        <v>3.438707962394958E-2</v>
      </c>
      <c r="Q105" s="12">
        <f t="shared" si="56"/>
        <v>0.50083290695802751</v>
      </c>
      <c r="R105" s="12">
        <f t="shared" si="56"/>
        <v>0.17764059737361637</v>
      </c>
      <c r="S105" s="12">
        <f t="shared" si="56"/>
        <v>1.7274005706131735E-3</v>
      </c>
      <c r="T105" s="12">
        <f t="shared" si="56"/>
        <v>0.18389423594757948</v>
      </c>
      <c r="U105" s="12">
        <f t="shared" si="56"/>
        <v>-0.2846942146090754</v>
      </c>
      <c r="V105" s="12">
        <f t="shared" si="56"/>
        <v>1.5746437579268291E-3</v>
      </c>
      <c r="W105" s="12">
        <f t="shared" si="56"/>
        <v>-8.6554317228108801E-2</v>
      </c>
      <c r="X105" s="12">
        <f t="shared" si="56"/>
        <v>9.1885117822355644E-2</v>
      </c>
      <c r="Y105" s="12">
        <f t="shared" si="56"/>
        <v>1.4000723425894868E-3</v>
      </c>
      <c r="Z105" s="12">
        <f t="shared" si="56"/>
        <v>-2.0176912924890766E-2</v>
      </c>
      <c r="AA105" s="12">
        <f t="shared" si="56"/>
        <v>4.5478731283273843E-2</v>
      </c>
      <c r="AB105" s="12">
        <f t="shared" si="56"/>
        <v>3.8520518318592954E-3</v>
      </c>
      <c r="AC105" s="12">
        <f t="shared" si="56"/>
        <v>-0.14524687164346467</v>
      </c>
      <c r="AD105" s="12">
        <f t="shared" si="56"/>
        <v>-6.4297905715043513E-2</v>
      </c>
      <c r="AE105" s="70">
        <f t="shared" si="58"/>
        <v>2.4757011758342301E-2</v>
      </c>
      <c r="AF105" s="70">
        <f t="shared" si="58"/>
        <v>5.5128212276123401E-5</v>
      </c>
    </row>
    <row r="106" spans="2:32" x14ac:dyDescent="0.25">
      <c r="B106" s="12" t="s">
        <v>6</v>
      </c>
      <c r="C106" s="12">
        <f t="shared" si="57"/>
        <v>20.083987245500083</v>
      </c>
      <c r="D106" s="12">
        <f t="shared" si="56"/>
        <v>0.12398176885414942</v>
      </c>
      <c r="E106" s="12">
        <f t="shared" si="56"/>
        <v>7.4296828487238148E-2</v>
      </c>
      <c r="F106" s="12">
        <f t="shared" si="56"/>
        <v>-1.0624650949932537</v>
      </c>
      <c r="G106" s="12">
        <f t="shared" si="56"/>
        <v>1.0106285920986585E-2</v>
      </c>
      <c r="H106" s="12">
        <f t="shared" si="56"/>
        <v>3.6564532408195349E-4</v>
      </c>
      <c r="I106" s="12">
        <f t="shared" si="56"/>
        <v>0.12118927184946449</v>
      </c>
      <c r="J106" s="12">
        <f t="shared" si="56"/>
        <v>-1.840845488108144</v>
      </c>
      <c r="K106" s="12">
        <f t="shared" si="56"/>
        <v>2.0081341410672193E-2</v>
      </c>
      <c r="L106" s="12">
        <f t="shared" si="56"/>
        <v>7.9563103473019731E-3</v>
      </c>
      <c r="M106" s="12">
        <f t="shared" si="56"/>
        <v>0.56340240515379092</v>
      </c>
      <c r="N106" s="12">
        <f t="shared" si="56"/>
        <v>-5.8853760135737787E-3</v>
      </c>
      <c r="O106" s="12">
        <f t="shared" si="56"/>
        <v>0.14707476433307171</v>
      </c>
      <c r="P106" s="12">
        <f t="shared" si="56"/>
        <v>2.3468626160679448E-2</v>
      </c>
      <c r="Q106" s="12">
        <f t="shared" si="56"/>
        <v>0.47389793685474457</v>
      </c>
      <c r="R106" s="12">
        <f t="shared" si="56"/>
        <v>0.16884106982589825</v>
      </c>
      <c r="S106" s="12">
        <f t="shared" si="56"/>
        <v>8.1984425595674031E-4</v>
      </c>
      <c r="T106" s="12">
        <f t="shared" si="56"/>
        <v>0.15078224694399078</v>
      </c>
      <c r="U106" s="12">
        <f t="shared" si="56"/>
        <v>-0.4049146997344133</v>
      </c>
      <c r="V106" s="12">
        <f t="shared" si="56"/>
        <v>8.8150958139471616E-4</v>
      </c>
      <c r="W106" s="12">
        <f t="shared" si="56"/>
        <v>-0.16853277267991995</v>
      </c>
      <c r="X106" s="12">
        <f t="shared" si="56"/>
        <v>6.1641304940346142E-2</v>
      </c>
      <c r="Y106" s="12">
        <f t="shared" si="56"/>
        <v>1.3975004361706622E-2</v>
      </c>
      <c r="Z106" s="12">
        <f t="shared" si="56"/>
        <v>4.0393324975242506E-2</v>
      </c>
      <c r="AA106" s="12">
        <f t="shared" si="56"/>
        <v>0.12421177030907726</v>
      </c>
      <c r="AB106" s="12">
        <f t="shared" si="56"/>
        <v>4.690869927528752E-3</v>
      </c>
      <c r="AC106" s="12">
        <f t="shared" si="56"/>
        <v>-0.13848132354032766</v>
      </c>
      <c r="AD106" s="12">
        <f t="shared" si="56"/>
        <v>5.4048277878549156E-2</v>
      </c>
      <c r="AE106" s="13">
        <f t="shared" si="58"/>
        <v>2.3092881949878623E-2</v>
      </c>
      <c r="AF106" s="13">
        <f t="shared" si="58"/>
        <v>3.3200250894834687E-5</v>
      </c>
    </row>
    <row r="107" spans="2:32" x14ac:dyDescent="0.25">
      <c r="B107" s="12" t="s">
        <v>7</v>
      </c>
      <c r="C107" s="12">
        <f t="shared" si="57"/>
        <v>22.040187582299474</v>
      </c>
      <c r="D107" s="12">
        <f t="shared" si="56"/>
        <v>0.12949045149817917</v>
      </c>
      <c r="E107" s="12">
        <f t="shared" si="56"/>
        <v>9.6800092253745001E-2</v>
      </c>
      <c r="F107" s="12">
        <f t="shared" si="56"/>
        <v>-0.90353840641292216</v>
      </c>
      <c r="G107" s="12">
        <f t="shared" si="56"/>
        <v>1.19613656037054E-2</v>
      </c>
      <c r="H107" s="12">
        <f t="shared" si="56"/>
        <v>4.9021478456867662E-4</v>
      </c>
      <c r="I107" s="12">
        <f t="shared" si="56"/>
        <v>0.22894295445958623</v>
      </c>
      <c r="J107" s="12">
        <f t="shared" si="56"/>
        <v>-0.33048095625657936</v>
      </c>
      <c r="K107" s="12">
        <f t="shared" si="56"/>
        <v>0.14090996394527799</v>
      </c>
      <c r="L107" s="12">
        <f t="shared" si="56"/>
        <v>3.0529005283221514E-2</v>
      </c>
      <c r="M107" s="12">
        <f t="shared" si="56"/>
        <v>0.60102309263017872</v>
      </c>
      <c r="N107" s="12">
        <f t="shared" si="56"/>
        <v>1.7432854205939374E-2</v>
      </c>
      <c r="O107" s="12">
        <f t="shared" si="56"/>
        <v>0.11895704659906309</v>
      </c>
      <c r="P107" s="12">
        <f t="shared" si="56"/>
        <v>2.2366691157726201E-2</v>
      </c>
      <c r="Q107" s="12">
        <f t="shared" si="56"/>
        <v>0.48465765222826762</v>
      </c>
      <c r="R107" s="12">
        <f t="shared" si="56"/>
        <v>0.18954757397061817</v>
      </c>
      <c r="S107" s="12">
        <f t="shared" si="56"/>
        <v>2.0047684296100512E-3</v>
      </c>
      <c r="T107" s="12">
        <f t="shared" si="56"/>
        <v>0.19079484617738385</v>
      </c>
      <c r="U107" s="12">
        <f t="shared" si="56"/>
        <v>-0.1049857458057053</v>
      </c>
      <c r="V107" s="12">
        <f t="shared" si="56"/>
        <v>1.1886109637166578E-3</v>
      </c>
      <c r="W107" s="12">
        <f t="shared" si="56"/>
        <v>-7.4517640562516196E-2</v>
      </c>
      <c r="X107" s="12">
        <f t="shared" si="56"/>
        <v>9.3070982425380588E-2</v>
      </c>
      <c r="Y107" s="12">
        <f t="shared" si="56"/>
        <v>3.5868652889588515E-2</v>
      </c>
      <c r="Z107" s="12">
        <f t="shared" si="56"/>
        <v>9.7851456441342188E-2</v>
      </c>
      <c r="AA107" s="12">
        <f t="shared" si="56"/>
        <v>0.24112778900397003</v>
      </c>
      <c r="AB107" s="12">
        <f t="shared" si="56"/>
        <v>6.0130995541737252E-3</v>
      </c>
      <c r="AC107" s="12">
        <f t="shared" si="56"/>
        <v>-0.12804627054143444</v>
      </c>
      <c r="AD107" s="12">
        <f t="shared" si="56"/>
        <v>0.35200526735524351</v>
      </c>
      <c r="AE107" s="13">
        <f t="shared" si="58"/>
        <v>2.2034663044034029E-2</v>
      </c>
      <c r="AF107" s="13">
        <f t="shared" si="58"/>
        <v>4.3056762344716518E-6</v>
      </c>
    </row>
    <row r="108" spans="2:32" x14ac:dyDescent="0.25">
      <c r="B108" s="12" t="s">
        <v>8</v>
      </c>
      <c r="C108" s="3">
        <f t="shared" si="57"/>
        <v>20.066939788898171</v>
      </c>
      <c r="D108" s="3">
        <f t="shared" si="56"/>
        <v>0.12740565224579037</v>
      </c>
      <c r="E108" s="3">
        <f t="shared" si="56"/>
        <v>9.5991344702236359E-2</v>
      </c>
      <c r="F108" s="3">
        <f t="shared" si="56"/>
        <v>-1.116077989746878</v>
      </c>
      <c r="G108" s="3">
        <f t="shared" si="56"/>
        <v>1.2314510625831832E-2</v>
      </c>
      <c r="H108" s="3">
        <f t="shared" si="56"/>
        <v>1.1060392238284034E-3</v>
      </c>
      <c r="I108" s="3">
        <f t="shared" si="56"/>
        <v>0.14983425068571266</v>
      </c>
      <c r="J108" s="3">
        <f t="shared" si="56"/>
        <v>-1.1437913806105797</v>
      </c>
      <c r="K108" s="3">
        <f t="shared" si="56"/>
        <v>7.2863812815885609E-2</v>
      </c>
      <c r="L108" s="3">
        <f t="shared" si="56"/>
        <v>1.5866295415338974E-2</v>
      </c>
      <c r="M108" s="3">
        <f t="shared" si="56"/>
        <v>0.52451529041775702</v>
      </c>
      <c r="N108" s="3">
        <f t="shared" si="56"/>
        <v>1.8465816283430025E-2</v>
      </c>
      <c r="O108" s="3">
        <f t="shared" si="56"/>
        <v>0.15276311927537461</v>
      </c>
      <c r="P108" s="3">
        <f t="shared" si="56"/>
        <v>2.4259717488291699E-2</v>
      </c>
      <c r="Q108" s="3">
        <f t="shared" si="56"/>
        <v>0.45596168185615282</v>
      </c>
      <c r="R108" s="3">
        <f t="shared" si="56"/>
        <v>0.17247033747842072</v>
      </c>
      <c r="S108" s="3">
        <f t="shared" si="56"/>
        <v>1.6246188332995556E-3</v>
      </c>
      <c r="T108" s="3">
        <f t="shared" si="56"/>
        <v>0.11294004280585468</v>
      </c>
      <c r="U108" s="3">
        <f t="shared" si="56"/>
        <v>-0.2892953980911086</v>
      </c>
      <c r="V108" s="3">
        <f t="shared" si="56"/>
        <v>4.8418505757633328E-4</v>
      </c>
      <c r="W108" s="3">
        <f t="shared" si="56"/>
        <v>-0.15248150450185483</v>
      </c>
      <c r="X108" s="3">
        <f t="shared" si="56"/>
        <v>8.045208118260283E-2</v>
      </c>
      <c r="Y108" s="3">
        <f t="shared" si="56"/>
        <v>1.3423495450404221E-2</v>
      </c>
      <c r="Z108" s="3">
        <f t="shared" si="56"/>
        <v>4.6654155365662309E-2</v>
      </c>
      <c r="AA108" s="3">
        <f t="shared" si="56"/>
        <v>0.15802982421874168</v>
      </c>
      <c r="AB108" s="3">
        <f t="shared" si="56"/>
        <v>5.0796477160267098E-3</v>
      </c>
      <c r="AC108" s="3">
        <f t="shared" si="56"/>
        <v>-0.13466290657884453</v>
      </c>
      <c r="AD108" s="3">
        <f t="shared" si="56"/>
        <v>8.5136473895055742E-2</v>
      </c>
      <c r="AE108" s="13">
        <f t="shared" si="58"/>
        <v>2.263595689238198E-2</v>
      </c>
      <c r="AF108" s="13">
        <f t="shared" si="58"/>
        <v>4.7878218229550782E-5</v>
      </c>
    </row>
    <row r="109" spans="2:32" x14ac:dyDescent="0.25">
      <c r="B109" s="16" t="s">
        <v>9</v>
      </c>
      <c r="C109" s="16">
        <f t="shared" si="57"/>
        <v>16.531146207587074</v>
      </c>
      <c r="D109" s="16">
        <f t="shared" si="56"/>
        <v>0.10230964516852341</v>
      </c>
      <c r="E109" s="16">
        <f t="shared" si="56"/>
        <v>4.6356994284504904E-2</v>
      </c>
      <c r="F109" s="16">
        <f t="shared" si="56"/>
        <v>-1.4545715684491505</v>
      </c>
      <c r="G109" s="16">
        <f t="shared" si="56"/>
        <v>-8.9385050531856636E-4</v>
      </c>
      <c r="H109" s="16">
        <f t="shared" si="56"/>
        <v>8.3508068363230548E-4</v>
      </c>
      <c r="I109" s="16">
        <f t="shared" si="56"/>
        <v>-7.3737282811654037E-2</v>
      </c>
      <c r="J109" s="16">
        <f t="shared" si="56"/>
        <v>-9.7135157064098294</v>
      </c>
      <c r="K109" s="16">
        <f t="shared" si="56"/>
        <v>-0.17593502615508094</v>
      </c>
      <c r="L109" s="16">
        <f t="shared" si="56"/>
        <v>-2.1903234115339142E-2</v>
      </c>
      <c r="M109" s="16">
        <f t="shared" si="56"/>
        <v>0.24165024138279412</v>
      </c>
      <c r="N109" s="16">
        <f t="shared" si="56"/>
        <v>-1.7379391025551333E-2</v>
      </c>
      <c r="O109" s="16">
        <f t="shared" si="56"/>
        <v>0.1301028533986725</v>
      </c>
      <c r="P109" s="16">
        <f t="shared" si="56"/>
        <v>3.4182270390513948E-2</v>
      </c>
      <c r="Q109" s="16">
        <f t="shared" si="56"/>
        <v>0.43399609356433444</v>
      </c>
      <c r="R109" s="16">
        <f t="shared" si="56"/>
        <v>0.15028754223627006</v>
      </c>
      <c r="S109" s="16">
        <f t="shared" si="56"/>
        <v>3.847143691040715E-5</v>
      </c>
      <c r="T109" s="16">
        <f t="shared" si="56"/>
        <v>2.5685374326383181E-2</v>
      </c>
      <c r="U109" s="16">
        <f t="shared" si="56"/>
        <v>-0.59566636835944564</v>
      </c>
      <c r="V109" s="16">
        <f t="shared" si="56"/>
        <v>2.9387529991287435E-4</v>
      </c>
      <c r="W109" s="16">
        <f t="shared" si="56"/>
        <v>-0.25858593718179412</v>
      </c>
      <c r="X109" s="16">
        <f t="shared" si="56"/>
        <v>1.5707368303143787E-2</v>
      </c>
      <c r="Y109" s="16">
        <f t="shared" si="56"/>
        <v>-9.4187322652728445E-3</v>
      </c>
      <c r="Z109" s="16">
        <f t="shared" si="56"/>
        <v>-6.5270195145723187E-2</v>
      </c>
      <c r="AA109" s="16">
        <f t="shared" si="56"/>
        <v>-9.6923600673972876E-2</v>
      </c>
      <c r="AB109" s="16">
        <f t="shared" si="56"/>
        <v>5.7909401264988683E-4</v>
      </c>
      <c r="AC109" s="16">
        <f t="shared" si="56"/>
        <v>-0.14076859756071208</v>
      </c>
      <c r="AD109" s="16">
        <f t="shared" si="56"/>
        <v>-0.37642854279327148</v>
      </c>
      <c r="AE109" s="69">
        <f t="shared" si="58"/>
        <v>1.6838692994098702E-2</v>
      </c>
      <c r="AF109" s="69">
        <f t="shared" si="58"/>
        <v>9.1503809656900736E-5</v>
      </c>
    </row>
    <row r="110" spans="2:32" x14ac:dyDescent="0.25">
      <c r="B110" s="12" t="s">
        <v>80</v>
      </c>
      <c r="C110" s="12">
        <f t="shared" si="57"/>
        <v>11.824444594930029</v>
      </c>
      <c r="D110" s="12">
        <f t="shared" ref="D110:AD119" si="59">D78-D$93</f>
        <v>9.2312252812844359E-3</v>
      </c>
      <c r="E110" s="12">
        <f t="shared" si="59"/>
        <v>1.7428830353219127E-3</v>
      </c>
      <c r="F110" s="12">
        <f t="shared" si="59"/>
        <v>0.28408757456058353</v>
      </c>
      <c r="G110" s="12">
        <f t="shared" si="59"/>
        <v>-3.0430175168019991E-3</v>
      </c>
      <c r="H110" s="12">
        <f t="shared" si="59"/>
        <v>1.0928419278241064E-3</v>
      </c>
      <c r="I110" s="12">
        <f t="shared" si="59"/>
        <v>8.550620079483584E-2</v>
      </c>
      <c r="J110" s="12">
        <f t="shared" si="59"/>
        <v>-2.1294442435073506</v>
      </c>
      <c r="K110" s="12">
        <f t="shared" si="59"/>
        <v>-9.8454086142247821E-3</v>
      </c>
      <c r="L110" s="12">
        <f t="shared" si="59"/>
        <v>1.2718456167191694E-3</v>
      </c>
      <c r="M110" s="12">
        <f t="shared" si="59"/>
        <v>0.79512147653510823</v>
      </c>
      <c r="N110" s="12">
        <f t="shared" si="59"/>
        <v>-8.3834480856920801E-3</v>
      </c>
      <c r="O110" s="12">
        <f t="shared" si="59"/>
        <v>0.2680701836072949</v>
      </c>
      <c r="P110" s="12">
        <f t="shared" si="59"/>
        <v>2.6656749340405773E-2</v>
      </c>
      <c r="Q110" s="12">
        <f t="shared" si="59"/>
        <v>0.21923495107573712</v>
      </c>
      <c r="R110" s="12">
        <f t="shared" si="59"/>
        <v>0.14533542147218437</v>
      </c>
      <c r="S110" s="12">
        <f t="shared" si="59"/>
        <v>1.137100982302742E-2</v>
      </c>
      <c r="T110" s="12">
        <f t="shared" si="59"/>
        <v>8.874958978915215E-2</v>
      </c>
      <c r="U110" s="12">
        <f t="shared" si="59"/>
        <v>-0.13308721405337831</v>
      </c>
      <c r="V110" s="12">
        <f t="shared" si="59"/>
        <v>1.8407922657136404E-2</v>
      </c>
      <c r="W110" s="12">
        <f t="shared" si="59"/>
        <v>-5.1121200920170029E-2</v>
      </c>
      <c r="X110" s="12">
        <f t="shared" si="59"/>
        <v>3.7507921871783756E-2</v>
      </c>
      <c r="Y110" s="12">
        <f t="shared" si="59"/>
        <v>1.2597969978426549E-2</v>
      </c>
      <c r="Z110" s="12">
        <f t="shared" si="59"/>
        <v>-3.6341394682685157E-3</v>
      </c>
      <c r="AA110" s="12">
        <f t="shared" si="59"/>
        <v>9.4705142407043308E-3</v>
      </c>
      <c r="AB110" s="12">
        <f t="shared" si="59"/>
        <v>3.106829362880606E-3</v>
      </c>
      <c r="AC110" s="12">
        <f t="shared" si="59"/>
        <v>-0.11782486035253931</v>
      </c>
      <c r="AD110" s="12">
        <f t="shared" si="59"/>
        <v>-8.753766797199275E-2</v>
      </c>
      <c r="AE110" s="13">
        <f t="shared" si="58"/>
        <v>1.4244829952476225E-2</v>
      </c>
      <c r="AF110" s="13">
        <f t="shared" si="58"/>
        <v>2.3365550405531844E-4</v>
      </c>
    </row>
    <row r="111" spans="2:32" x14ac:dyDescent="0.25">
      <c r="B111" s="12" t="s">
        <v>10</v>
      </c>
      <c r="C111" s="12">
        <f t="shared" si="57"/>
        <v>10.069170408265148</v>
      </c>
      <c r="D111" s="12">
        <f t="shared" si="59"/>
        <v>1.0788581030958849E-2</v>
      </c>
      <c r="E111" s="12">
        <f t="shared" si="59"/>
        <v>8.2570934980359528E-3</v>
      </c>
      <c r="F111" s="12">
        <f t="shared" si="59"/>
        <v>-0.7658885495220833</v>
      </c>
      <c r="G111" s="12">
        <f t="shared" si="59"/>
        <v>3.0853635860775552E-3</v>
      </c>
      <c r="H111" s="12">
        <f t="shared" si="59"/>
        <v>1.4726760016487983E-3</v>
      </c>
      <c r="I111" s="12">
        <f t="shared" si="59"/>
        <v>9.9338730226667615E-2</v>
      </c>
      <c r="J111" s="12">
        <f t="shared" si="59"/>
        <v>-4.5382924200682879</v>
      </c>
      <c r="K111" s="12">
        <f t="shared" si="59"/>
        <v>0.10049554303350727</v>
      </c>
      <c r="L111" s="12">
        <f t="shared" si="59"/>
        <v>1.0404116873278399E-2</v>
      </c>
      <c r="M111" s="12">
        <f t="shared" si="59"/>
        <v>0.26219488625036536</v>
      </c>
      <c r="N111" s="12">
        <f t="shared" si="59"/>
        <v>-4.955937014170575E-3</v>
      </c>
      <c r="O111" s="12">
        <f t="shared" si="59"/>
        <v>0.14049806503356693</v>
      </c>
      <c r="P111" s="12">
        <f t="shared" si="59"/>
        <v>2.3689251404373272E-2</v>
      </c>
      <c r="Q111" s="12">
        <f t="shared" si="59"/>
        <v>0.24834517426786532</v>
      </c>
      <c r="R111" s="12">
        <f t="shared" si="59"/>
        <v>0.17034986093415611</v>
      </c>
      <c r="S111" s="12">
        <f t="shared" si="59"/>
        <v>1.1557056238030579E-2</v>
      </c>
      <c r="T111" s="12">
        <f t="shared" si="59"/>
        <v>0.1144784486950865</v>
      </c>
      <c r="U111" s="12">
        <f t="shared" si="59"/>
        <v>-0.46154385029274536</v>
      </c>
      <c r="V111" s="12">
        <f t="shared" si="59"/>
        <v>2.0987314781653457E-2</v>
      </c>
      <c r="W111" s="12">
        <f t="shared" si="59"/>
        <v>6.7234629736621088E-3</v>
      </c>
      <c r="X111" s="12">
        <f t="shared" si="59"/>
        <v>4.5320542073032488E-2</v>
      </c>
      <c r="Y111" s="12">
        <f t="shared" si="59"/>
        <v>1.5812725742613498E-2</v>
      </c>
      <c r="Z111" s="12">
        <f t="shared" si="59"/>
        <v>5.1357802605160874E-2</v>
      </c>
      <c r="AA111" s="12">
        <f t="shared" si="59"/>
        <v>0.16054069917444336</v>
      </c>
      <c r="AB111" s="12">
        <f t="shared" si="59"/>
        <v>1.4622000698706027E-3</v>
      </c>
      <c r="AC111" s="12">
        <f t="shared" si="59"/>
        <v>-0.1186164106900849</v>
      </c>
      <c r="AD111" s="12">
        <f t="shared" si="59"/>
        <v>0.28804516630575006</v>
      </c>
      <c r="AE111" s="13">
        <f t="shared" si="58"/>
        <v>1.0887310809010712E-2</v>
      </c>
      <c r="AF111" s="13">
        <f t="shared" si="58"/>
        <v>1.6221555756755254E-4</v>
      </c>
    </row>
    <row r="112" spans="2:32" x14ac:dyDescent="0.25">
      <c r="B112" s="12" t="s">
        <v>11</v>
      </c>
      <c r="C112" s="3">
        <f t="shared" si="57"/>
        <v>3.1347167809113614</v>
      </c>
      <c r="D112" s="3">
        <f t="shared" si="59"/>
        <v>9.671617055258621E-3</v>
      </c>
      <c r="E112" s="3">
        <f t="shared" si="59"/>
        <v>-2.6657418504572039E-3</v>
      </c>
      <c r="F112" s="3">
        <f t="shared" si="59"/>
        <v>-3.4298923869787208</v>
      </c>
      <c r="G112" s="3">
        <f t="shared" si="59"/>
        <v>3.1020122171057998E-3</v>
      </c>
      <c r="H112" s="3">
        <f t="shared" si="59"/>
        <v>6.8343924674363343E-4</v>
      </c>
      <c r="I112" s="3">
        <f t="shared" si="59"/>
        <v>4.6096003903694505E-2</v>
      </c>
      <c r="J112" s="3">
        <f t="shared" si="59"/>
        <v>-6.1636273559861294</v>
      </c>
      <c r="K112" s="3">
        <f t="shared" si="59"/>
        <v>-1.0386662658809831E-2</v>
      </c>
      <c r="L112" s="3">
        <f t="shared" si="59"/>
        <v>-1.0031831887696671E-2</v>
      </c>
      <c r="M112" s="3">
        <f t="shared" si="59"/>
        <v>-0.78542098625325485</v>
      </c>
      <c r="N112" s="3">
        <f t="shared" si="59"/>
        <v>-2.7456062492597799E-2</v>
      </c>
      <c r="O112" s="3">
        <f t="shared" si="59"/>
        <v>-0.19127374148645682</v>
      </c>
      <c r="P112" s="3">
        <f t="shared" si="59"/>
        <v>2.6362285633033909E-2</v>
      </c>
      <c r="Q112" s="3">
        <f t="shared" si="59"/>
        <v>0.230596114469066</v>
      </c>
      <c r="R112" s="3">
        <f t="shared" si="59"/>
        <v>0.12787103878272504</v>
      </c>
      <c r="S112" s="3">
        <f t="shared" si="59"/>
        <v>8.4000433644480423E-3</v>
      </c>
      <c r="T112" s="3">
        <f t="shared" si="59"/>
        <v>2.4709609951475864E-2</v>
      </c>
      <c r="U112" s="3">
        <f t="shared" si="59"/>
        <v>-0.30573967254191725</v>
      </c>
      <c r="V112" s="3">
        <f t="shared" si="59"/>
        <v>1.7006660758821908E-2</v>
      </c>
      <c r="W112" s="3">
        <f t="shared" si="59"/>
        <v>-0.11372732480201231</v>
      </c>
      <c r="X112" s="3">
        <f t="shared" si="59"/>
        <v>1.6660941831833087E-2</v>
      </c>
      <c r="Y112" s="3">
        <f t="shared" si="59"/>
        <v>-6.0105808443971509E-3</v>
      </c>
      <c r="Z112" s="3">
        <f t="shared" si="59"/>
        <v>1.283029982801831E-3</v>
      </c>
      <c r="AA112" s="3">
        <f t="shared" si="59"/>
        <v>5.8521263833883452E-2</v>
      </c>
      <c r="AB112" s="3">
        <f t="shared" si="59"/>
        <v>1.4533675784767532E-3</v>
      </c>
      <c r="AC112" s="3">
        <f t="shared" si="59"/>
        <v>-0.11867352321189308</v>
      </c>
      <c r="AD112" s="3">
        <f t="shared" si="59"/>
        <v>0.20094396975710405</v>
      </c>
      <c r="AE112" s="13">
        <f t="shared" si="58"/>
        <v>1.7659688086568842E-3</v>
      </c>
      <c r="AF112" s="13">
        <f>AF80-AF$93</f>
        <v>-1.9123559546796714E-5</v>
      </c>
    </row>
    <row r="113" spans="2:32" x14ac:dyDescent="0.25">
      <c r="B113" s="3" t="s">
        <v>12</v>
      </c>
      <c r="C113" s="3">
        <f t="shared" si="57"/>
        <v>-0.8635421140761157</v>
      </c>
      <c r="D113" s="3">
        <f t="shared" si="59"/>
        <v>9.0489172485540108E-3</v>
      </c>
      <c r="E113" s="3">
        <f t="shared" si="59"/>
        <v>-1.4128304617668827E-2</v>
      </c>
      <c r="F113" s="3">
        <f t="shared" si="59"/>
        <v>-4.7807977870666445</v>
      </c>
      <c r="G113" s="3">
        <f t="shared" si="59"/>
        <v>1.0332367911498594E-2</v>
      </c>
      <c r="H113" s="3">
        <f t="shared" si="59"/>
        <v>8.217487002870616E-4</v>
      </c>
      <c r="I113" s="3">
        <f t="shared" si="59"/>
        <v>3.8096412395824175E-2</v>
      </c>
      <c r="J113" s="3">
        <f t="shared" si="59"/>
        <v>-5.4275927703922449</v>
      </c>
      <c r="K113" s="3">
        <f t="shared" si="59"/>
        <v>-5.2300872246413777E-2</v>
      </c>
      <c r="L113" s="3">
        <f t="shared" si="59"/>
        <v>-1.3011376327479618E-2</v>
      </c>
      <c r="M113" s="3">
        <f t="shared" si="59"/>
        <v>-1.3894249010107997</v>
      </c>
      <c r="N113" s="3">
        <f t="shared" si="59"/>
        <v>-2.5555785084189903E-2</v>
      </c>
      <c r="O113" s="3">
        <f t="shared" si="59"/>
        <v>-0.39269630672543893</v>
      </c>
      <c r="P113" s="3">
        <f t="shared" si="59"/>
        <v>2.4316493508483507E-2</v>
      </c>
      <c r="Q113" s="3">
        <f t="shared" si="59"/>
        <v>0.23860574125987852</v>
      </c>
      <c r="R113" s="3">
        <f t="shared" si="59"/>
        <v>0.13900073072169061</v>
      </c>
      <c r="S113" s="3">
        <f t="shared" si="59"/>
        <v>1.0444315341746118E-2</v>
      </c>
      <c r="T113" s="3">
        <f t="shared" si="59"/>
        <v>5.9102905355276514E-2</v>
      </c>
      <c r="U113" s="3">
        <f t="shared" si="59"/>
        <v>-0.45424970735518055</v>
      </c>
      <c r="V113" s="3">
        <f t="shared" si="59"/>
        <v>1.7354635272798482E-2</v>
      </c>
      <c r="W113" s="3">
        <f t="shared" si="59"/>
        <v>-8.9964696238852615E-2</v>
      </c>
      <c r="X113" s="3">
        <f t="shared" si="59"/>
        <v>1.7413386417000964E-2</v>
      </c>
      <c r="Y113" s="3">
        <f t="shared" si="59"/>
        <v>-1.5753130820823025E-2</v>
      </c>
      <c r="Z113" s="3">
        <f t="shared" si="59"/>
        <v>-2.1672921966211178E-2</v>
      </c>
      <c r="AA113" s="3">
        <f t="shared" si="59"/>
        <v>-5.186884881235132E-2</v>
      </c>
      <c r="AB113" s="3">
        <f t="shared" si="59"/>
        <v>1.1492456457994869E-3</v>
      </c>
      <c r="AC113" s="3">
        <f t="shared" si="59"/>
        <v>-0.12282118424579946</v>
      </c>
      <c r="AD113" s="3">
        <f t="shared" si="59"/>
        <v>-0.25753195097055265</v>
      </c>
      <c r="AE113" s="13">
        <f t="shared" si="58"/>
        <v>-3.0037267863996819E-3</v>
      </c>
      <c r="AF113" s="13">
        <f t="shared" si="58"/>
        <v>-8.5597987744630418E-5</v>
      </c>
    </row>
    <row r="114" spans="2:32" x14ac:dyDescent="0.25">
      <c r="B114" s="16" t="s">
        <v>13</v>
      </c>
      <c r="C114" s="16">
        <f t="shared" si="57"/>
        <v>22.452586988710017</v>
      </c>
      <c r="D114" s="16">
        <f t="shared" si="59"/>
        <v>1.0169174345864684E-2</v>
      </c>
      <c r="E114" s="16">
        <f t="shared" si="59"/>
        <v>-6.0378210440061308E-3</v>
      </c>
      <c r="F114" s="16">
        <f t="shared" si="59"/>
        <v>-1.1540340513924816</v>
      </c>
      <c r="G114" s="16">
        <f t="shared" si="59"/>
        <v>4.9482198412915054E-3</v>
      </c>
      <c r="H114" s="16">
        <f t="shared" si="59"/>
        <v>8.1348366599776067E-4</v>
      </c>
      <c r="I114" s="16">
        <f t="shared" si="59"/>
        <v>2.8629913801757501E-2</v>
      </c>
      <c r="J114" s="16">
        <f t="shared" si="59"/>
        <v>-1.9987186349367221</v>
      </c>
      <c r="K114" s="16">
        <f t="shared" si="59"/>
        <v>6.1704114244132136E-3</v>
      </c>
      <c r="L114" s="16">
        <f t="shared" si="59"/>
        <v>3.4217205021462582E-3</v>
      </c>
      <c r="M114" s="16">
        <f t="shared" si="59"/>
        <v>0.4761210377328573</v>
      </c>
      <c r="N114" s="16">
        <f t="shared" si="59"/>
        <v>-1.131627014143316E-2</v>
      </c>
      <c r="O114" s="16">
        <f t="shared" si="59"/>
        <v>8.9509961312937814E-2</v>
      </c>
      <c r="P114" s="16">
        <f t="shared" si="59"/>
        <v>2.7486515743209018E-2</v>
      </c>
      <c r="Q114" s="16">
        <f t="shared" si="59"/>
        <v>0.20721599977163088</v>
      </c>
      <c r="R114" s="16">
        <f t="shared" si="59"/>
        <v>0.13076685072196059</v>
      </c>
      <c r="S114" s="16">
        <f t="shared" si="59"/>
        <v>8.4914589764100521E-3</v>
      </c>
      <c r="T114" s="16">
        <f t="shared" si="59"/>
        <v>-7.756515824955601E-2</v>
      </c>
      <c r="U114" s="16">
        <f t="shared" si="59"/>
        <v>-0.13606838329692206</v>
      </c>
      <c r="V114" s="16">
        <f t="shared" si="59"/>
        <v>1.6972788216143286E-2</v>
      </c>
      <c r="W114" s="16">
        <f t="shared" si="59"/>
        <v>-0.11092957964752082</v>
      </c>
      <c r="X114" s="16">
        <f t="shared" si="59"/>
        <v>1.0078138961927996E-2</v>
      </c>
      <c r="Y114" s="16">
        <f t="shared" si="59"/>
        <v>-9.1915517692282567E-3</v>
      </c>
      <c r="Z114" s="16">
        <f t="shared" si="59"/>
        <v>-3.4001941105515132E-2</v>
      </c>
      <c r="AA114" s="16">
        <f t="shared" si="59"/>
        <v>-0.13524636840921156</v>
      </c>
      <c r="AB114" s="16">
        <f t="shared" si="59"/>
        <v>4.2653073539545942E-3</v>
      </c>
      <c r="AC114" s="16">
        <f t="shared" si="59"/>
        <v>-0.14481037647922529</v>
      </c>
      <c r="AD114" s="16">
        <f t="shared" si="59"/>
        <v>0.33779321503788873</v>
      </c>
      <c r="AE114" s="11">
        <f t="shared" si="58"/>
        <v>1.7278405645185707E-2</v>
      </c>
      <c r="AF114" s="11">
        <f t="shared" si="58"/>
        <v>4.7090542094558138E-5</v>
      </c>
    </row>
    <row r="115" spans="2:32" x14ac:dyDescent="0.25">
      <c r="B115" s="12" t="s">
        <v>14</v>
      </c>
      <c r="C115" s="12">
        <f t="shared" si="57"/>
        <v>13.856319317232675</v>
      </c>
      <c r="D115" s="12">
        <f t="shared" si="59"/>
        <v>1.6807813129961907E-2</v>
      </c>
      <c r="E115" s="12">
        <f t="shared" si="59"/>
        <v>2.1057723258636557E-2</v>
      </c>
      <c r="F115" s="12">
        <f t="shared" si="59"/>
        <v>-2.2574461195098245</v>
      </c>
      <c r="G115" s="12">
        <f t="shared" si="59"/>
        <v>9.6929219371392691E-3</v>
      </c>
      <c r="H115" s="12">
        <f t="shared" si="59"/>
        <v>1.3075073091935452E-3</v>
      </c>
      <c r="I115" s="12">
        <f t="shared" si="59"/>
        <v>1.6460140466129536E-2</v>
      </c>
      <c r="J115" s="12">
        <f t="shared" si="59"/>
        <v>-11.475065544290374</v>
      </c>
      <c r="K115" s="12">
        <f t="shared" si="59"/>
        <v>0.10886211681352709</v>
      </c>
      <c r="L115" s="12">
        <f t="shared" si="59"/>
        <v>1.5934034105952816E-2</v>
      </c>
      <c r="M115" s="12">
        <f t="shared" si="59"/>
        <v>-0.23511647299258676</v>
      </c>
      <c r="N115" s="12">
        <f t="shared" si="59"/>
        <v>8.3716837921626874E-4</v>
      </c>
      <c r="O115" s="12">
        <f t="shared" si="59"/>
        <v>-4.5876305746282708E-2</v>
      </c>
      <c r="P115" s="12">
        <f t="shared" si="59"/>
        <v>1.8417032681264642E-2</v>
      </c>
      <c r="Q115" s="12">
        <f t="shared" si="59"/>
        <v>0.30434087562333256</v>
      </c>
      <c r="R115" s="12">
        <f t="shared" si="59"/>
        <v>0.21579142077749425</v>
      </c>
      <c r="S115" s="12">
        <f t="shared" si="59"/>
        <v>1.1647036465324818E-2</v>
      </c>
      <c r="T115" s="12">
        <f t="shared" si="59"/>
        <v>0.18887582423103622</v>
      </c>
      <c r="U115" s="12">
        <f t="shared" si="59"/>
        <v>-0.81841627347681589</v>
      </c>
      <c r="V115" s="12">
        <f t="shared" si="59"/>
        <v>1.0638927885680625E-2</v>
      </c>
      <c r="W115" s="12">
        <f t="shared" si="59"/>
        <v>-0.14019147654979258</v>
      </c>
      <c r="X115" s="12">
        <f t="shared" si="59"/>
        <v>7.2323568369377367E-2</v>
      </c>
      <c r="Y115" s="12">
        <f t="shared" si="59"/>
        <v>1.7478154704385962E-2</v>
      </c>
      <c r="Z115" s="12">
        <f t="shared" si="59"/>
        <v>6.6926115894204941E-2</v>
      </c>
      <c r="AA115" s="12">
        <f t="shared" si="59"/>
        <v>0.11554548017204147</v>
      </c>
      <c r="AB115" s="12">
        <f t="shared" si="59"/>
        <v>-3.0616710216906859E-3</v>
      </c>
      <c r="AC115" s="12">
        <f t="shared" si="59"/>
        <v>-0.15219811912342252</v>
      </c>
      <c r="AD115" s="12">
        <f t="shared" si="59"/>
        <v>0.16428046728795709</v>
      </c>
      <c r="AE115" s="70">
        <f t="shared" si="58"/>
        <v>9.2004176491194134E-3</v>
      </c>
      <c r="AF115" s="70">
        <f t="shared" si="58"/>
        <v>-4.4216326127465065E-6</v>
      </c>
    </row>
    <row r="116" spans="2:32" x14ac:dyDescent="0.25">
      <c r="B116" s="12" t="s">
        <v>15</v>
      </c>
      <c r="C116" s="12">
        <f t="shared" si="57"/>
        <v>1.1409615045123442</v>
      </c>
      <c r="D116" s="12">
        <f t="shared" si="59"/>
        <v>1.224790037910807E-2</v>
      </c>
      <c r="E116" s="12">
        <f t="shared" si="59"/>
        <v>-1.7511175828649875E-2</v>
      </c>
      <c r="F116" s="12">
        <f t="shared" si="59"/>
        <v>-4.8747054163321089</v>
      </c>
      <c r="G116" s="12">
        <f t="shared" si="59"/>
        <v>2.2716475619688689E-3</v>
      </c>
      <c r="H116" s="12">
        <f t="shared" si="59"/>
        <v>3.2064308239510009E-4</v>
      </c>
      <c r="I116" s="12">
        <f t="shared" si="59"/>
        <v>-0.21470292971018978</v>
      </c>
      <c r="J116" s="12">
        <f t="shared" si="59"/>
        <v>-2.021971616868484</v>
      </c>
      <c r="K116" s="12">
        <f t="shared" si="59"/>
        <v>-0.2382350789280292</v>
      </c>
      <c r="L116" s="12">
        <f t="shared" si="59"/>
        <v>-2.6257087813933377E-2</v>
      </c>
      <c r="M116" s="12">
        <f t="shared" si="59"/>
        <v>-1.3708191336318096</v>
      </c>
      <c r="N116" s="12">
        <f t="shared" si="59"/>
        <v>-6.3435277931586348E-2</v>
      </c>
      <c r="O116" s="12">
        <f t="shared" si="59"/>
        <v>-0.38887826491559857</v>
      </c>
      <c r="P116" s="12">
        <f t="shared" si="59"/>
        <v>1.0355511420309653E-2</v>
      </c>
      <c r="Q116" s="12">
        <f t="shared" si="59"/>
        <v>0.1873845001357807</v>
      </c>
      <c r="R116" s="12">
        <f t="shared" si="59"/>
        <v>0.10733563301251894</v>
      </c>
      <c r="S116" s="12">
        <f t="shared" si="59"/>
        <v>6.1976777496513969E-3</v>
      </c>
      <c r="T116" s="12">
        <f t="shared" si="59"/>
        <v>-0.20890976894861102</v>
      </c>
      <c r="U116" s="12">
        <f t="shared" si="59"/>
        <v>-0.1473318306295921</v>
      </c>
      <c r="V116" s="12">
        <f t="shared" si="59"/>
        <v>7.0089294199223891E-3</v>
      </c>
      <c r="W116" s="12">
        <f t="shared" si="59"/>
        <v>-0.40901906634194118</v>
      </c>
      <c r="X116" s="12">
        <f t="shared" si="59"/>
        <v>-8.46869136976246E-2</v>
      </c>
      <c r="Y116" s="12">
        <f t="shared" si="59"/>
        <v>-5.1922928179058803E-2</v>
      </c>
      <c r="Z116" s="12">
        <f t="shared" si="59"/>
        <v>-0.152607763322684</v>
      </c>
      <c r="AA116" s="12">
        <f t="shared" si="59"/>
        <v>-0.31774089154700258</v>
      </c>
      <c r="AB116" s="12">
        <f t="shared" si="59"/>
        <v>4.1659805373661443E-3</v>
      </c>
      <c r="AC116" s="12">
        <f t="shared" si="59"/>
        <v>-0.14720634863098422</v>
      </c>
      <c r="AD116" s="12">
        <f t="shared" si="59"/>
        <v>-0.10008512586130869</v>
      </c>
      <c r="AE116" s="13">
        <f t="shared" si="58"/>
        <v>-2.1765190195660589E-3</v>
      </c>
      <c r="AF116" s="13" t="s">
        <v>116</v>
      </c>
    </row>
    <row r="117" spans="2:32" x14ac:dyDescent="0.25">
      <c r="B117" s="12" t="s">
        <v>16</v>
      </c>
      <c r="C117" s="12">
        <f t="shared" si="57"/>
        <v>3.443340788253038</v>
      </c>
      <c r="D117" s="12">
        <f t="shared" si="59"/>
        <v>1.7361772142622457E-2</v>
      </c>
      <c r="E117" s="12">
        <f t="shared" si="59"/>
        <v>1.9357517134167779E-2</v>
      </c>
      <c r="F117" s="12">
        <f t="shared" si="59"/>
        <v>-4.4022951159658943</v>
      </c>
      <c r="G117" s="12">
        <f t="shared" si="59"/>
        <v>1.1891310141344556E-2</v>
      </c>
      <c r="H117" s="12">
        <f t="shared" si="59"/>
        <v>1.5674560577216279E-3</v>
      </c>
      <c r="I117" s="12">
        <f t="shared" si="59"/>
        <v>0.17610981797773684</v>
      </c>
      <c r="J117" s="12">
        <f t="shared" si="59"/>
        <v>-15.23055380273491</v>
      </c>
      <c r="K117" s="12">
        <f t="shared" si="59"/>
        <v>0.16263097460384879</v>
      </c>
      <c r="L117" s="12">
        <f t="shared" si="59"/>
        <v>1.4573512659054183E-2</v>
      </c>
      <c r="M117" s="12">
        <f t="shared" si="59"/>
        <v>-1.1501561298772269</v>
      </c>
      <c r="N117" s="12">
        <f t="shared" si="59"/>
        <v>1.94683447427349E-2</v>
      </c>
      <c r="O117" s="12">
        <f t="shared" si="59"/>
        <v>-0.30667505846436904</v>
      </c>
      <c r="P117" s="12">
        <f t="shared" si="59"/>
        <v>1.1933553616002283E-2</v>
      </c>
      <c r="Q117" s="12">
        <f t="shared" si="59"/>
        <v>0.31345420715570815</v>
      </c>
      <c r="R117" s="12">
        <f t="shared" si="59"/>
        <v>0.20466697375022291</v>
      </c>
      <c r="S117" s="12">
        <f t="shared" si="59"/>
        <v>1.3251104125664976E-2</v>
      </c>
      <c r="T117" s="12">
        <f t="shared" si="59"/>
        <v>0.16889016186114891</v>
      </c>
      <c r="U117" s="12">
        <f t="shared" si="59"/>
        <v>-1.0725932583950666</v>
      </c>
      <c r="V117" s="12">
        <f t="shared" si="59"/>
        <v>9.9849648234847932E-3</v>
      </c>
      <c r="W117" s="12">
        <f t="shared" si="59"/>
        <v>-0.12946220961024091</v>
      </c>
      <c r="X117" s="12">
        <f t="shared" si="59"/>
        <v>9.4416016215090881E-2</v>
      </c>
      <c r="Y117" s="12">
        <f t="shared" si="59"/>
        <v>1.0656256678319154E-3</v>
      </c>
      <c r="Z117" s="12">
        <f t="shared" si="59"/>
        <v>3.7987095264651494E-2</v>
      </c>
      <c r="AA117" s="12">
        <f t="shared" si="59"/>
        <v>0.18110015248196798</v>
      </c>
      <c r="AB117" s="12">
        <f t="shared" si="59"/>
        <v>-2.6674127375387567E-3</v>
      </c>
      <c r="AC117" s="12">
        <f t="shared" si="59"/>
        <v>-0.15901210743997349</v>
      </c>
      <c r="AD117" s="12">
        <f t="shared" si="59"/>
        <v>0.16649728647684159</v>
      </c>
      <c r="AE117" s="13">
        <f t="shared" si="58"/>
        <v>1.6475325260626329E-4</v>
      </c>
      <c r="AF117" s="13">
        <f t="shared" si="58"/>
        <v>-6.4075951078609598E-5</v>
      </c>
    </row>
    <row r="118" spans="2:32" x14ac:dyDescent="0.25">
      <c r="B118" s="3" t="s">
        <v>17</v>
      </c>
      <c r="C118" s="3">
        <f t="shared" si="57"/>
        <v>21.963007166299072</v>
      </c>
      <c r="D118" s="3">
        <f t="shared" si="59"/>
        <v>1.0836188087529178E-2</v>
      </c>
      <c r="E118" s="3">
        <f t="shared" si="59"/>
        <v>-3.3678372114760338E-2</v>
      </c>
      <c r="F118" s="3">
        <f t="shared" si="59"/>
        <v>-1.7028081704732716</v>
      </c>
      <c r="G118" s="3">
        <f t="shared" si="59"/>
        <v>-3.6982046262629131E-4</v>
      </c>
      <c r="H118" s="3">
        <f t="shared" si="59"/>
        <v>5.0804957824185371E-4</v>
      </c>
      <c r="I118" s="3">
        <f t="shared" si="59"/>
        <v>-0.1976370215363098</v>
      </c>
      <c r="J118" s="3">
        <f t="shared" si="59"/>
        <v>-7.7000792726676934</v>
      </c>
      <c r="K118" s="3">
        <f t="shared" si="59"/>
        <v>-0.34707780989417669</v>
      </c>
      <c r="L118" s="3">
        <f t="shared" si="59"/>
        <v>-6.1503804400996259E-2</v>
      </c>
      <c r="M118" s="3">
        <f t="shared" si="59"/>
        <v>0.15244300001145783</v>
      </c>
      <c r="N118" s="3">
        <f t="shared" si="59"/>
        <v>-6.6248568068957708E-2</v>
      </c>
      <c r="O118" s="3">
        <f t="shared" si="59"/>
        <v>4.4234953624587792E-2</v>
      </c>
      <c r="P118" s="3">
        <f t="shared" si="59"/>
        <v>1.2694837373549185E-2</v>
      </c>
      <c r="Q118" s="3">
        <f t="shared" si="59"/>
        <v>0.19867255613029447</v>
      </c>
      <c r="R118" s="3">
        <f t="shared" si="59"/>
        <v>8.4142193081346434E-2</v>
      </c>
      <c r="S118" s="3">
        <f t="shared" si="59"/>
        <v>5.8429920300058173E-3</v>
      </c>
      <c r="T118" s="3">
        <f t="shared" si="59"/>
        <v>-0.26993549988094245</v>
      </c>
      <c r="U118" s="3">
        <f t="shared" si="59"/>
        <v>-0.56194652488039987</v>
      </c>
      <c r="V118" s="3">
        <f t="shared" si="59"/>
        <v>7.6574103599145963E-3</v>
      </c>
      <c r="W118" s="3">
        <f t="shared" si="59"/>
        <v>-0.45604318369885721</v>
      </c>
      <c r="X118" s="3">
        <f t="shared" si="59"/>
        <v>-0.10685054445900311</v>
      </c>
      <c r="Y118" s="3">
        <f t="shared" si="59"/>
        <v>-5.7255392278444145E-2</v>
      </c>
      <c r="Z118" s="3">
        <f t="shared" si="59"/>
        <v>-0.2147192812224914</v>
      </c>
      <c r="AA118" s="3">
        <f t="shared" si="59"/>
        <v>-0.38343891997935065</v>
      </c>
      <c r="AB118" s="3">
        <f t="shared" si="59"/>
        <v>1.8162714889250545E-3</v>
      </c>
      <c r="AC118" s="3">
        <f t="shared" si="59"/>
        <v>-0.15372889449044969</v>
      </c>
      <c r="AD118" s="3">
        <f t="shared" si="59"/>
        <v>0.10530992115363358</v>
      </c>
      <c r="AE118" s="13">
        <f t="shared" si="58"/>
        <v>1.5542896719524598E-2</v>
      </c>
      <c r="AF118" s="13">
        <f t="shared" si="58"/>
        <v>9.4383093085853391E-5</v>
      </c>
    </row>
    <row r="119" spans="2:32" x14ac:dyDescent="0.25">
      <c r="B119" s="16" t="s">
        <v>18</v>
      </c>
      <c r="C119" s="16">
        <f t="shared" si="57"/>
        <v>8.235539548462345</v>
      </c>
      <c r="D119" s="16">
        <f t="shared" si="59"/>
        <v>1.7111772829164856E-2</v>
      </c>
      <c r="E119" s="16">
        <f t="shared" si="59"/>
        <v>1.1452584791623269E-2</v>
      </c>
      <c r="F119" s="16">
        <f t="shared" si="59"/>
        <v>-0.52835665577100421</v>
      </c>
      <c r="G119" s="16">
        <f t="shared" si="59"/>
        <v>1.1783813857704648E-2</v>
      </c>
      <c r="H119" s="16">
        <f t="shared" si="59"/>
        <v>1.3629240338539628E-3</v>
      </c>
      <c r="I119" s="16">
        <f t="shared" si="59"/>
        <v>2.2947602082428187E-3</v>
      </c>
      <c r="J119" s="16">
        <f t="shared" si="59"/>
        <v>-5.6257323961953603</v>
      </c>
      <c r="K119" s="16">
        <f t="shared" si="59"/>
        <v>-0.10090594133086572</v>
      </c>
      <c r="L119" s="16">
        <f t="shared" si="59"/>
        <v>-1.323037832108534E-2</v>
      </c>
      <c r="M119" s="16">
        <f t="shared" si="59"/>
        <v>0.42410580518035701</v>
      </c>
      <c r="N119" s="16">
        <f t="shared" si="59"/>
        <v>-9.9745250756984594E-3</v>
      </c>
      <c r="O119" s="16">
        <f t="shared" si="59"/>
        <v>0.15424525923856752</v>
      </c>
      <c r="P119" s="16">
        <f t="shared" ref="P119:AC119" si="60">P87-P$93</f>
        <v>1.9010114876362123E-2</v>
      </c>
      <c r="Q119" s="16">
        <f t="shared" si="60"/>
        <v>0.29165662983898888</v>
      </c>
      <c r="R119" s="16">
        <f t="shared" si="60"/>
        <v>0.1821211904149499</v>
      </c>
      <c r="S119" s="16">
        <f t="shared" si="60"/>
        <v>1.0086408141130146E-2</v>
      </c>
      <c r="T119" s="16">
        <f t="shared" si="60"/>
        <v>6.3761254623814878E-2</v>
      </c>
      <c r="U119" s="16">
        <f t="shared" si="60"/>
        <v>-0.10618262083261776</v>
      </c>
      <c r="V119" s="16">
        <f t="shared" si="60"/>
        <v>8.947260811903484E-3</v>
      </c>
      <c r="W119" s="16">
        <f t="shared" si="60"/>
        <v>-0.2720395237646418</v>
      </c>
      <c r="X119" s="16">
        <f t="shared" si="60"/>
        <v>-1.4117706189893275E-2</v>
      </c>
      <c r="Y119" s="16">
        <f t="shared" si="60"/>
        <v>-3.0778745288284615E-5</v>
      </c>
      <c r="Z119" s="16">
        <f t="shared" si="60"/>
        <v>-1.3713737103867252E-2</v>
      </c>
      <c r="AA119" s="16">
        <f t="shared" si="60"/>
        <v>-6.3199307179889752E-2</v>
      </c>
      <c r="AB119" s="16">
        <f t="shared" si="60"/>
        <v>1.5215436514342436E-3</v>
      </c>
      <c r="AC119" s="16">
        <f t="shared" si="60"/>
        <v>-0.10964872697083172</v>
      </c>
      <c r="AD119" s="16">
        <f>AD87-AD$93</f>
        <v>0.35420927064051844</v>
      </c>
      <c r="AE119" s="69">
        <f t="shared" si="58"/>
        <v>1.0797942666843417E-2</v>
      </c>
      <c r="AF119" s="69">
        <f t="shared" si="58"/>
        <v>1.7314809652074848E-4</v>
      </c>
    </row>
    <row r="120" spans="2:32" x14ac:dyDescent="0.25">
      <c r="AE120" s="14"/>
    </row>
    <row r="122" spans="2:32" x14ac:dyDescent="0.25">
      <c r="B122" s="12" t="s">
        <v>144</v>
      </c>
      <c r="C122" s="13">
        <f>AVERAGE(C100:C104)</f>
        <v>10.104412365780561</v>
      </c>
      <c r="D122" s="13">
        <f t="shared" ref="D122:AD122" si="61">AVERAGE(D100:D104)</f>
        <v>7.057484154992201E-2</v>
      </c>
      <c r="E122" s="13">
        <f t="shared" si="61"/>
        <v>5.4483878422064827E-2</v>
      </c>
      <c r="F122" s="13">
        <f t="shared" si="61"/>
        <v>-1.0367428384532018</v>
      </c>
      <c r="G122" s="13">
        <f t="shared" si="61"/>
        <v>2.8327153838189358E-3</v>
      </c>
      <c r="H122" s="13">
        <f t="shared" si="61"/>
        <v>9.5957300518274553E-4</v>
      </c>
      <c r="I122" s="13">
        <f t="shared" si="61"/>
        <v>0.11282257249938836</v>
      </c>
      <c r="J122" s="13">
        <f>AVERAGE(J100:J104)</f>
        <v>-2.4783038767575336</v>
      </c>
      <c r="K122" s="13">
        <f t="shared" si="61"/>
        <v>6.8592045910269531E-2</v>
      </c>
      <c r="L122" s="13">
        <f t="shared" si="61"/>
        <v>9.9880916869284405E-3</v>
      </c>
      <c r="M122" s="13">
        <f t="shared" si="61"/>
        <v>0.23950872206870288</v>
      </c>
      <c r="N122" s="13">
        <f t="shared" si="61"/>
        <v>6.8405680427747473E-3</v>
      </c>
      <c r="O122" s="13">
        <f t="shared" si="61"/>
        <v>0.11214062835853393</v>
      </c>
      <c r="P122" s="13">
        <f t="shared" si="61"/>
        <v>3.4893897238369685E-2</v>
      </c>
      <c r="Q122" s="13">
        <f t="shared" si="61"/>
        <v>0.33622822366846145</v>
      </c>
      <c r="R122" s="13">
        <f t="shared" si="61"/>
        <v>0.15195460018057214</v>
      </c>
      <c r="S122" s="13">
        <f t="shared" si="61"/>
        <v>6.5985695272698349E-3</v>
      </c>
      <c r="T122" s="13">
        <f t="shared" si="61"/>
        <v>0.1798056864489897</v>
      </c>
      <c r="U122" s="13">
        <f t="shared" si="61"/>
        <v>-0.15628296176159626</v>
      </c>
      <c r="V122" s="13">
        <f t="shared" si="61"/>
        <v>1.5109099008407493E-2</v>
      </c>
      <c r="W122" s="13">
        <f t="shared" si="61"/>
        <v>2.2315871649642993E-2</v>
      </c>
      <c r="X122" s="13">
        <f t="shared" si="61"/>
        <v>8.3256721099393569E-2</v>
      </c>
      <c r="Y122" s="13">
        <f t="shared" si="61"/>
        <v>1.3561644751177705E-2</v>
      </c>
      <c r="Z122" s="13">
        <f t="shared" si="61"/>
        <v>6.5540663115146794E-2</v>
      </c>
      <c r="AA122" s="13">
        <f t="shared" si="61"/>
        <v>0.10290735698807744</v>
      </c>
      <c r="AB122" s="13">
        <f t="shared" si="61"/>
        <v>3.0764972382994133E-3</v>
      </c>
      <c r="AC122" s="13">
        <f t="shared" si="61"/>
        <v>-9.6931837103320068E-2</v>
      </c>
      <c r="AD122" s="13">
        <f t="shared" si="61"/>
        <v>5.0073189636379044E-2</v>
      </c>
      <c r="AE122" s="13">
        <f t="shared" ref="AE122:AF122" si="62">AVERAGE(AE100:AE104)</f>
        <v>1.2371833422876521E-2</v>
      </c>
      <c r="AF122" s="13">
        <f t="shared" si="62"/>
        <v>1.6397336767752431E-4</v>
      </c>
    </row>
    <row r="123" spans="2:32" x14ac:dyDescent="0.25">
      <c r="B123" s="12" t="s">
        <v>145</v>
      </c>
      <c r="C123" s="13">
        <f>AVERAGE(C105:C109)</f>
        <v>19.781462742515149</v>
      </c>
      <c r="D123" s="13">
        <f t="shared" ref="D123:AD123" si="63">AVERAGE(D105:D109)</f>
        <v>0.12104842653152051</v>
      </c>
      <c r="E123" s="13">
        <f t="shared" si="63"/>
        <v>7.9418560908555175E-2</v>
      </c>
      <c r="F123" s="13">
        <f t="shared" si="63"/>
        <v>-1.1245421902518038</v>
      </c>
      <c r="G123" s="13">
        <f t="shared" si="63"/>
        <v>7.916805666616563E-3</v>
      </c>
      <c r="H123" s="13">
        <f t="shared" si="63"/>
        <v>8.4921424267841994E-4</v>
      </c>
      <c r="I123" s="13">
        <f t="shared" si="63"/>
        <v>9.911335921723699E-2</v>
      </c>
      <c r="J123" s="13">
        <f t="shared" si="63"/>
        <v>-3.2856210827778356</v>
      </c>
      <c r="K123" s="13">
        <f t="shared" si="63"/>
        <v>2.824643484164575E-2</v>
      </c>
      <c r="L123" s="13">
        <f t="shared" si="63"/>
        <v>8.1332662012010681E-3</v>
      </c>
      <c r="M123" s="13">
        <f t="shared" si="63"/>
        <v>0.5052094859573012</v>
      </c>
      <c r="N123" s="13">
        <f t="shared" si="63"/>
        <v>4.1745033529152261E-3</v>
      </c>
      <c r="O123" s="13">
        <f t="shared" si="63"/>
        <v>0.1489632680504264</v>
      </c>
      <c r="P123" s="13">
        <f t="shared" si="63"/>
        <v>2.7732876964232173E-2</v>
      </c>
      <c r="Q123" s="13">
        <f t="shared" si="63"/>
        <v>0.46986925429230542</v>
      </c>
      <c r="R123" s="13">
        <f t="shared" si="63"/>
        <v>0.17175742417696471</v>
      </c>
      <c r="S123" s="13">
        <f t="shared" si="63"/>
        <v>1.2430207052779856E-3</v>
      </c>
      <c r="T123" s="13">
        <f t="shared" si="63"/>
        <v>0.13281934924023839</v>
      </c>
      <c r="U123" s="13">
        <f t="shared" si="63"/>
        <v>-0.33591128531994963</v>
      </c>
      <c r="V123" s="13">
        <f t="shared" si="63"/>
        <v>8.8456493210548222E-4</v>
      </c>
      <c r="W123" s="13">
        <f t="shared" si="63"/>
        <v>-0.14813443443083879</v>
      </c>
      <c r="X123" s="13">
        <f t="shared" si="63"/>
        <v>6.8551370934765793E-2</v>
      </c>
      <c r="Y123" s="13">
        <f t="shared" si="63"/>
        <v>1.10496985558032E-2</v>
      </c>
      <c r="Z123" s="13">
        <f t="shared" si="63"/>
        <v>1.989036574232661E-2</v>
      </c>
      <c r="AA123" s="13">
        <f t="shared" si="63"/>
        <v>9.4384902828217987E-2</v>
      </c>
      <c r="AB123" s="13">
        <f t="shared" si="63"/>
        <v>4.042952608447674E-3</v>
      </c>
      <c r="AC123" s="13">
        <f t="shared" si="63"/>
        <v>-0.13744119397295668</v>
      </c>
      <c r="AD123" s="13">
        <f t="shared" si="63"/>
        <v>1.0092714124106682E-2</v>
      </c>
      <c r="AE123" s="13">
        <f t="shared" ref="AE123:AF123" si="64">AVERAGE(AE105:AE109)</f>
        <v>2.1871841327747128E-2</v>
      </c>
      <c r="AF123" s="13">
        <f t="shared" si="64"/>
        <v>4.640323345837625E-5</v>
      </c>
    </row>
    <row r="124" spans="2:32" x14ac:dyDescent="0.25">
      <c r="B124" s="12" t="s">
        <v>146</v>
      </c>
      <c r="C124" s="13">
        <f>AVERAGE(C110:C114)</f>
        <v>9.3234753317480887</v>
      </c>
      <c r="D124" s="13">
        <f t="shared" ref="D124:AD124" si="65">AVERAGE(D110:D114)</f>
        <v>9.7819029923841196E-3</v>
      </c>
      <c r="E124" s="13">
        <f t="shared" si="65"/>
        <v>-2.5663781957548592E-3</v>
      </c>
      <c r="F124" s="13">
        <f t="shared" si="65"/>
        <v>-1.9693050400798697</v>
      </c>
      <c r="G124" s="13">
        <f t="shared" si="65"/>
        <v>3.6849892078342911E-3</v>
      </c>
      <c r="H124" s="13">
        <f t="shared" si="65"/>
        <v>9.7683790850027212E-4</v>
      </c>
      <c r="I124" s="13">
        <f t="shared" si="65"/>
        <v>5.953345222455593E-2</v>
      </c>
      <c r="J124" s="13">
        <f t="shared" si="65"/>
        <v>-4.0515350849781466</v>
      </c>
      <c r="K124" s="13">
        <f t="shared" si="65"/>
        <v>6.8266021876944192E-3</v>
      </c>
      <c r="L124" s="13">
        <f t="shared" si="65"/>
        <v>-1.5891050446064925E-3</v>
      </c>
      <c r="M124" s="13">
        <f t="shared" si="65"/>
        <v>-0.12828169734914474</v>
      </c>
      <c r="N124" s="13">
        <f t="shared" si="65"/>
        <v>-1.5533500563616704E-2</v>
      </c>
      <c r="O124" s="13">
        <f t="shared" si="65"/>
        <v>-1.717836765161922E-2</v>
      </c>
      <c r="P124" s="13">
        <f t="shared" si="65"/>
        <v>2.5702259125901093E-2</v>
      </c>
      <c r="Q124" s="13">
        <f t="shared" si="65"/>
        <v>0.22879959616883555</v>
      </c>
      <c r="R124" s="13">
        <f t="shared" si="65"/>
        <v>0.14266478052654336</v>
      </c>
      <c r="S124" s="13">
        <f t="shared" si="65"/>
        <v>1.0052776748732442E-2</v>
      </c>
      <c r="T124" s="13">
        <f t="shared" si="65"/>
        <v>4.1895079108287006E-2</v>
      </c>
      <c r="U124" s="13">
        <f t="shared" si="65"/>
        <v>-0.29813776550802873</v>
      </c>
      <c r="V124" s="13">
        <f t="shared" si="65"/>
        <v>1.8145864337310708E-2</v>
      </c>
      <c r="W124" s="13">
        <f t="shared" si="65"/>
        <v>-7.1803867726978735E-2</v>
      </c>
      <c r="X124" s="13">
        <f t="shared" si="65"/>
        <v>2.5396186231115659E-2</v>
      </c>
      <c r="Y124" s="13">
        <f t="shared" si="65"/>
        <v>-5.089135426816771E-4</v>
      </c>
      <c r="Z124" s="13">
        <f t="shared" si="65"/>
        <v>-1.3336339904064243E-3</v>
      </c>
      <c r="AA124" s="13">
        <f t="shared" si="65"/>
        <v>8.2834520054936526E-3</v>
      </c>
      <c r="AB124" s="13">
        <f t="shared" si="65"/>
        <v>2.2873900021964087E-3</v>
      </c>
      <c r="AC124" s="13">
        <f t="shared" si="65"/>
        <v>-0.1245492709959084</v>
      </c>
      <c r="AD124" s="13">
        <f t="shared" si="65"/>
        <v>9.6342546431639489E-2</v>
      </c>
      <c r="AE124" s="13">
        <f t="shared" ref="AE124:AF124" si="66">AVERAGE(AE110:AE114)</f>
        <v>8.2345576857859697E-3</v>
      </c>
      <c r="AF124" s="13">
        <f t="shared" si="66"/>
        <v>6.7648011285200395E-5</v>
      </c>
    </row>
    <row r="125" spans="2:32" x14ac:dyDescent="0.25">
      <c r="B125" s="12" t="s">
        <v>147</v>
      </c>
      <c r="C125" s="13">
        <f>AVERAGE(C115:C119)</f>
        <v>9.7278336649518931</v>
      </c>
      <c r="D125" s="13">
        <f t="shared" ref="D125:AD125" si="67">AVERAGE(D115:D119)</f>
        <v>1.4873089313677293E-2</v>
      </c>
      <c r="E125" s="13">
        <f t="shared" si="67"/>
        <v>1.3565544820347831E-4</v>
      </c>
      <c r="F125" s="13">
        <f t="shared" si="67"/>
        <v>-2.7531222956104204</v>
      </c>
      <c r="G125" s="13">
        <f t="shared" si="67"/>
        <v>7.0539746071062101E-3</v>
      </c>
      <c r="H125" s="13">
        <f t="shared" si="67"/>
        <v>1.0133160122812179E-3</v>
      </c>
      <c r="I125" s="13">
        <f t="shared" si="67"/>
        <v>-4.3495046518878075E-2</v>
      </c>
      <c r="J125" s="13">
        <f t="shared" si="67"/>
        <v>-8.4106805265513636</v>
      </c>
      <c r="K125" s="13">
        <f t="shared" si="67"/>
        <v>-8.2945147747139153E-2</v>
      </c>
      <c r="L125" s="13">
        <f t="shared" si="67"/>
        <v>-1.4096744754201595E-2</v>
      </c>
      <c r="M125" s="13">
        <f t="shared" si="67"/>
        <v>-0.43590858626196172</v>
      </c>
      <c r="N125" s="13">
        <f t="shared" si="67"/>
        <v>-2.3870571590858269E-2</v>
      </c>
      <c r="O125" s="13">
        <f t="shared" si="67"/>
        <v>-0.10858988325261901</v>
      </c>
      <c r="P125" s="13">
        <f t="shared" si="67"/>
        <v>1.4482209993497577E-2</v>
      </c>
      <c r="Q125" s="13">
        <f t="shared" si="67"/>
        <v>0.25910175377682093</v>
      </c>
      <c r="R125" s="13">
        <f t="shared" si="67"/>
        <v>0.15881148220730648</v>
      </c>
      <c r="S125" s="13">
        <f t="shared" si="67"/>
        <v>9.4050437023554308E-3</v>
      </c>
      <c r="T125" s="13">
        <f t="shared" si="67"/>
        <v>-1.1463605622710694E-2</v>
      </c>
      <c r="U125" s="13">
        <f t="shared" si="67"/>
        <v>-0.54129410164289848</v>
      </c>
      <c r="V125" s="13">
        <f t="shared" si="67"/>
        <v>8.8474986601811776E-3</v>
      </c>
      <c r="W125" s="13">
        <f t="shared" si="67"/>
        <v>-0.28135109199309472</v>
      </c>
      <c r="X125" s="13">
        <f t="shared" si="67"/>
        <v>-7.7831159524105464E-3</v>
      </c>
      <c r="Y125" s="13">
        <f t="shared" si="67"/>
        <v>-1.813306376611467E-2</v>
      </c>
      <c r="Z125" s="13">
        <f t="shared" si="67"/>
        <v>-5.5225514098037241E-2</v>
      </c>
      <c r="AA125" s="13">
        <f t="shared" si="67"/>
        <v>-9.35466972104467E-2</v>
      </c>
      <c r="AB125" s="13">
        <f t="shared" si="67"/>
        <v>3.5494238369919993E-4</v>
      </c>
      <c r="AC125" s="13">
        <f t="shared" si="67"/>
        <v>-0.14435883933113233</v>
      </c>
      <c r="AD125" s="13">
        <f t="shared" si="67"/>
        <v>0.1380423639395284</v>
      </c>
      <c r="AE125" s="13">
        <f t="shared" ref="AE125:AF125" si="68">AVERAGE(AE115:AE119)</f>
        <v>6.7058982537055263E-3</v>
      </c>
      <c r="AF125" s="13">
        <f t="shared" si="68"/>
        <v>4.9758401478811439E-5</v>
      </c>
    </row>
    <row r="126" spans="2:32" x14ac:dyDescent="0.2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9" spans="2:32" ht="15" x14ac:dyDescent="0.25">
      <c r="C129" s="90" t="s">
        <v>155</v>
      </c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2" t="s">
        <v>225</v>
      </c>
      <c r="AF129" s="93"/>
    </row>
    <row r="130" spans="2:32" ht="12.75" thickBot="1" x14ac:dyDescent="0.3">
      <c r="B130" s="4" t="s">
        <v>114</v>
      </c>
      <c r="C130" s="31" t="s">
        <v>28</v>
      </c>
      <c r="D130" s="31" t="s">
        <v>30</v>
      </c>
      <c r="E130" s="31" t="s">
        <v>31</v>
      </c>
      <c r="F130" s="31" t="s">
        <v>34</v>
      </c>
      <c r="G130" s="31" t="s">
        <v>36</v>
      </c>
      <c r="H130" s="31" t="s">
        <v>42</v>
      </c>
      <c r="I130" s="31" t="s">
        <v>43</v>
      </c>
      <c r="J130" s="31" t="s">
        <v>46</v>
      </c>
      <c r="K130" s="31" t="s">
        <v>47</v>
      </c>
      <c r="L130" s="31" t="s">
        <v>48</v>
      </c>
      <c r="M130" s="31" t="s">
        <v>50</v>
      </c>
      <c r="N130" s="31" t="s">
        <v>51</v>
      </c>
      <c r="O130" s="31" t="s">
        <v>52</v>
      </c>
      <c r="P130" s="31" t="s">
        <v>54</v>
      </c>
      <c r="Q130" s="31" t="s">
        <v>59</v>
      </c>
      <c r="R130" s="31" t="s">
        <v>110</v>
      </c>
      <c r="S130" s="31" t="s">
        <v>61</v>
      </c>
      <c r="T130" s="31" t="s">
        <v>62</v>
      </c>
      <c r="U130" s="31" t="s">
        <v>64</v>
      </c>
      <c r="V130" s="31" t="s">
        <v>67</v>
      </c>
      <c r="W130" s="31" t="s">
        <v>68</v>
      </c>
      <c r="X130" s="31" t="s">
        <v>70</v>
      </c>
      <c r="Y130" s="31" t="s">
        <v>76</v>
      </c>
      <c r="Z130" s="31" t="s">
        <v>77</v>
      </c>
      <c r="AA130" s="31" t="s">
        <v>78</v>
      </c>
      <c r="AB130" s="31" t="s">
        <v>106</v>
      </c>
      <c r="AC130" s="31" t="s">
        <v>107</v>
      </c>
      <c r="AD130" s="31" t="s">
        <v>113</v>
      </c>
      <c r="AE130" s="4" t="s">
        <v>180</v>
      </c>
      <c r="AF130" s="4" t="s">
        <v>33</v>
      </c>
    </row>
    <row r="131" spans="2:32" ht="12.75" thickTop="1" x14ac:dyDescent="0.25">
      <c r="B131" s="12" t="s">
        <v>0</v>
      </c>
      <c r="C131" s="32">
        <f t="shared" ref="C131:AF131" si="69">1000000000*C100/$C$175</f>
        <v>174.09688241548895</v>
      </c>
      <c r="D131" s="32">
        <f t="shared" si="69"/>
        <v>12.976456476974821</v>
      </c>
      <c r="E131" s="32">
        <f t="shared" si="69"/>
        <v>10.186050078685723</v>
      </c>
      <c r="F131" s="32">
        <f t="shared" si="69"/>
        <v>-811.39832362071525</v>
      </c>
      <c r="G131" s="32">
        <f t="shared" si="69"/>
        <v>2.0898188270502356</v>
      </c>
      <c r="H131" s="32">
        <f t="shared" si="69"/>
        <v>0.16234572986733589</v>
      </c>
      <c r="I131" s="32">
        <f t="shared" si="69"/>
        <v>20.605060480865866</v>
      </c>
      <c r="J131" s="32">
        <f t="shared" si="69"/>
        <v>-243.47585761639823</v>
      </c>
      <c r="K131" s="32">
        <f t="shared" si="69"/>
        <v>11.915088219614558</v>
      </c>
      <c r="L131" s="32">
        <f t="shared" si="69"/>
        <v>2.0436881136869376</v>
      </c>
      <c r="M131" s="32">
        <f t="shared" si="69"/>
        <v>-228.14635758723162</v>
      </c>
      <c r="N131" s="32">
        <f t="shared" si="69"/>
        <v>5.3204527737339387E-3</v>
      </c>
      <c r="O131" s="32">
        <f t="shared" si="69"/>
        <v>-60.678625187662583</v>
      </c>
      <c r="P131" s="32">
        <f t="shared" si="69"/>
        <v>5.8720746289324621</v>
      </c>
      <c r="Q131" s="32">
        <f t="shared" si="69"/>
        <v>64.893592830348382</v>
      </c>
      <c r="R131" s="32">
        <f t="shared" si="69"/>
        <v>29.376753567449015</v>
      </c>
      <c r="S131" s="32">
        <f t="shared" si="69"/>
        <v>1.1421926407358074</v>
      </c>
      <c r="T131" s="32">
        <f t="shared" si="69"/>
        <v>47.213620304946161</v>
      </c>
      <c r="U131" s="32">
        <f t="shared" si="69"/>
        <v>-30.018236707948638</v>
      </c>
      <c r="V131" s="32">
        <f t="shared" si="69"/>
        <v>2.3780313276878617</v>
      </c>
      <c r="W131" s="32">
        <f t="shared" si="69"/>
        <v>-13.103955936457263</v>
      </c>
      <c r="X131" s="32">
        <f t="shared" si="69"/>
        <v>9.8608569926278715</v>
      </c>
      <c r="Y131" s="32">
        <f t="shared" si="69"/>
        <v>1.0402026140381173</v>
      </c>
      <c r="Z131" s="32">
        <f t="shared" si="69"/>
        <v>13.2343293086721</v>
      </c>
      <c r="AA131" s="32">
        <f t="shared" si="69"/>
        <v>20.752252667487301</v>
      </c>
      <c r="AB131" s="32">
        <f t="shared" si="69"/>
        <v>0.64098990922218979</v>
      </c>
      <c r="AC131" s="32">
        <f t="shared" si="69"/>
        <v>-17.289681305347251</v>
      </c>
      <c r="AD131" s="32">
        <f t="shared" si="69"/>
        <v>76.270284970017883</v>
      </c>
      <c r="AE131" s="32">
        <f t="shared" si="69"/>
        <v>-0.22462156169048039</v>
      </c>
      <c r="AF131" s="32">
        <f t="shared" si="69"/>
        <v>-1.1515947550974686E-2</v>
      </c>
    </row>
    <row r="132" spans="2:32" x14ac:dyDescent="0.25">
      <c r="B132" s="12" t="s">
        <v>1</v>
      </c>
      <c r="C132" s="32">
        <f t="shared" ref="C132:AF132" si="70">1000000000*C101/$C$175</f>
        <v>2379.9689419991641</v>
      </c>
      <c r="D132" s="32">
        <f t="shared" si="70"/>
        <v>12.573676261901246</v>
      </c>
      <c r="E132" s="32">
        <f t="shared" si="70"/>
        <v>8.1777298230735322</v>
      </c>
      <c r="F132" s="32">
        <f t="shared" si="70"/>
        <v>28.814220471737556</v>
      </c>
      <c r="G132" s="32">
        <f t="shared" si="70"/>
        <v>0.10476091662461519</v>
      </c>
      <c r="H132" s="32">
        <f t="shared" si="70"/>
        <v>0.17993575753499902</v>
      </c>
      <c r="I132" s="32">
        <f t="shared" si="70"/>
        <v>21.805607650119725</v>
      </c>
      <c r="J132" s="32">
        <f t="shared" si="70"/>
        <v>-674.2838566254145</v>
      </c>
      <c r="K132" s="32">
        <f t="shared" si="70"/>
        <v>19.165355999449392</v>
      </c>
      <c r="L132" s="32">
        <f t="shared" si="70"/>
        <v>2.6784864440759284</v>
      </c>
      <c r="M132" s="32">
        <f t="shared" si="70"/>
        <v>131.93329283378401</v>
      </c>
      <c r="N132" s="32">
        <f t="shared" si="70"/>
        <v>4.5106649069985112</v>
      </c>
      <c r="O132" s="32">
        <f t="shared" si="70"/>
        <v>47.413433716896584</v>
      </c>
      <c r="P132" s="32">
        <f t="shared" si="70"/>
        <v>5.6870247728905463</v>
      </c>
      <c r="Q132" s="32">
        <f t="shared" si="70"/>
        <v>61.169503158082804</v>
      </c>
      <c r="R132" s="32">
        <f t="shared" si="70"/>
        <v>27.430057528159505</v>
      </c>
      <c r="S132" s="32">
        <f t="shared" si="70"/>
        <v>1.2294899246919224</v>
      </c>
      <c r="T132" s="32">
        <f t="shared" si="70"/>
        <v>26.015727208952292</v>
      </c>
      <c r="U132" s="32">
        <f t="shared" si="70"/>
        <v>-46.845716367880513</v>
      </c>
      <c r="V132" s="32">
        <f t="shared" si="70"/>
        <v>2.8445538984864327</v>
      </c>
      <c r="W132" s="32">
        <f t="shared" si="70"/>
        <v>14.17669519119125</v>
      </c>
      <c r="X132" s="32">
        <f t="shared" si="70"/>
        <v>16.430317592114267</v>
      </c>
      <c r="Y132" s="32">
        <f t="shared" si="70"/>
        <v>4.8113640283657393</v>
      </c>
      <c r="Z132" s="32">
        <f t="shared" si="70"/>
        <v>5.5153085256699059</v>
      </c>
      <c r="AA132" s="32">
        <f t="shared" si="70"/>
        <v>1.5986207173388471</v>
      </c>
      <c r="AB132" s="32">
        <f t="shared" si="70"/>
        <v>0.47811109411306302</v>
      </c>
      <c r="AC132" s="32">
        <f t="shared" si="70"/>
        <v>-18.373428285567368</v>
      </c>
      <c r="AD132" s="32">
        <f t="shared" si="70"/>
        <v>85.416644401634926</v>
      </c>
      <c r="AE132" s="32">
        <f t="shared" si="70"/>
        <v>3.0171503007483884</v>
      </c>
      <c r="AF132" s="32">
        <f t="shared" si="70"/>
        <v>4.7857995474277278E-2</v>
      </c>
    </row>
    <row r="133" spans="2:32" x14ac:dyDescent="0.25">
      <c r="B133" s="12" t="s">
        <v>2</v>
      </c>
      <c r="C133" s="32">
        <f t="shared" ref="C133:AF133" si="71">1000000000*C102/$C$175</f>
        <v>2260.9082952683329</v>
      </c>
      <c r="D133" s="32">
        <f t="shared" si="71"/>
        <v>12.36194763378694</v>
      </c>
      <c r="E133" s="32">
        <f t="shared" si="71"/>
        <v>10.162170629465171</v>
      </c>
      <c r="F133" s="32">
        <f t="shared" si="71"/>
        <v>-72.067625028705123</v>
      </c>
      <c r="G133" s="32">
        <f t="shared" si="71"/>
        <v>-0.27096643942575321</v>
      </c>
      <c r="H133" s="32">
        <f t="shared" si="71"/>
        <v>0.18328977581681455</v>
      </c>
      <c r="I133" s="32">
        <f t="shared" si="71"/>
        <v>5.8271643799444943</v>
      </c>
      <c r="J133" s="32">
        <f t="shared" si="71"/>
        <v>-725.51854567484281</v>
      </c>
      <c r="K133" s="32">
        <f t="shared" si="71"/>
        <v>0.55187301667488808</v>
      </c>
      <c r="L133" s="32">
        <f t="shared" si="71"/>
        <v>1.614511321099416</v>
      </c>
      <c r="M133" s="32">
        <f t="shared" si="71"/>
        <v>103.18678057849901</v>
      </c>
      <c r="N133" s="32">
        <f t="shared" si="71"/>
        <v>0.60340993959817857</v>
      </c>
      <c r="O133" s="32">
        <f t="shared" si="71"/>
        <v>38.894323219176719</v>
      </c>
      <c r="P133" s="32">
        <f t="shared" si="71"/>
        <v>7.5077691332488588</v>
      </c>
      <c r="Q133" s="32">
        <f t="shared" si="71"/>
        <v>61.547355600524803</v>
      </c>
      <c r="R133" s="32">
        <f t="shared" si="71"/>
        <v>25.387642636730593</v>
      </c>
      <c r="S133" s="32">
        <f t="shared" si="71"/>
        <v>1.0950965494306069</v>
      </c>
      <c r="T133" s="32">
        <f t="shared" si="71"/>
        <v>25.813213032488793</v>
      </c>
      <c r="U133" s="32">
        <f t="shared" si="71"/>
        <v>-35.319260093425356</v>
      </c>
      <c r="V133" s="32">
        <f t="shared" si="71"/>
        <v>2.9636219001003603</v>
      </c>
      <c r="W133" s="32">
        <f t="shared" si="71"/>
        <v>11.649167924768308</v>
      </c>
      <c r="X133" s="32">
        <f t="shared" si="71"/>
        <v>16.280765151069566</v>
      </c>
      <c r="Y133" s="32">
        <f t="shared" si="71"/>
        <v>3.9390427286398433</v>
      </c>
      <c r="Z133" s="32">
        <f t="shared" si="71"/>
        <v>8.2332996485189014</v>
      </c>
      <c r="AA133" s="32">
        <f t="shared" si="71"/>
        <v>31.54278169440385</v>
      </c>
      <c r="AB133" s="32">
        <f t="shared" si="71"/>
        <v>0.48721506519793362</v>
      </c>
      <c r="AC133" s="32">
        <f t="shared" si="71"/>
        <v>-17.955784923376552</v>
      </c>
      <c r="AD133" s="32">
        <f t="shared" si="71"/>
        <v>-31.225952111564293</v>
      </c>
      <c r="AE133" s="32">
        <f t="shared" si="71"/>
        <v>3.0352638802241412</v>
      </c>
      <c r="AF133" s="32">
        <f t="shared" si="71"/>
        <v>4.2704935145386355E-2</v>
      </c>
    </row>
    <row r="134" spans="2:32" x14ac:dyDescent="0.25">
      <c r="B134" s="12" t="s">
        <v>3</v>
      </c>
      <c r="C134" s="32">
        <f t="shared" ref="C134:AF134" si="72">1000000000*C103/$C$175</f>
        <v>2156.2600465106161</v>
      </c>
      <c r="D134" s="32">
        <f t="shared" si="72"/>
        <v>12.98315039390522</v>
      </c>
      <c r="E134" s="32">
        <f t="shared" si="72"/>
        <v>10.223505528758082</v>
      </c>
      <c r="F134" s="32">
        <f t="shared" si="72"/>
        <v>-51.747814856625915</v>
      </c>
      <c r="G134" s="32">
        <f t="shared" si="72"/>
        <v>0.28213402235647889</v>
      </c>
      <c r="H134" s="32">
        <f t="shared" si="72"/>
        <v>0.22169117824909215</v>
      </c>
      <c r="I134" s="32">
        <f t="shared" si="72"/>
        <v>16.310583622073516</v>
      </c>
      <c r="J134" s="32">
        <f t="shared" si="72"/>
        <v>-471.16234085567203</v>
      </c>
      <c r="K134" s="32">
        <f t="shared" si="72"/>
        <v>13.893923833006129</v>
      </c>
      <c r="L134" s="32">
        <f t="shared" si="72"/>
        <v>1.3667320975608623</v>
      </c>
      <c r="M134" s="32">
        <f t="shared" si="72"/>
        <v>107.46791676290665</v>
      </c>
      <c r="N134" s="32">
        <f t="shared" si="72"/>
        <v>0.28982116618399634</v>
      </c>
      <c r="O134" s="32">
        <f t="shared" si="72"/>
        <v>34.810200239284541</v>
      </c>
      <c r="P134" s="32">
        <f t="shared" si="72"/>
        <v>6.7804767132208479</v>
      </c>
      <c r="Q134" s="32">
        <f t="shared" si="72"/>
        <v>60.973492743310111</v>
      </c>
      <c r="R134" s="32">
        <f t="shared" si="72"/>
        <v>26.009318783588089</v>
      </c>
      <c r="S134" s="32">
        <f t="shared" si="72"/>
        <v>1.3688011683138981</v>
      </c>
      <c r="T134" s="32">
        <f t="shared" si="72"/>
        <v>31.83263800878029</v>
      </c>
      <c r="U134" s="32">
        <f t="shared" si="72"/>
        <v>-1.5633827051738973</v>
      </c>
      <c r="V134" s="32">
        <f t="shared" si="72"/>
        <v>2.8916107604121994</v>
      </c>
      <c r="W134" s="32">
        <f t="shared" si="72"/>
        <v>1.2575951363364903</v>
      </c>
      <c r="X134" s="32">
        <f t="shared" si="72"/>
        <v>11.262093684635031</v>
      </c>
      <c r="Y134" s="32">
        <f t="shared" si="72"/>
        <v>2.6050074313209017</v>
      </c>
      <c r="Z134" s="32">
        <f t="shared" si="72"/>
        <v>13.590281088305451</v>
      </c>
      <c r="AA134" s="32">
        <f t="shared" si="72"/>
        <v>15.02481445267825</v>
      </c>
      <c r="AB134" s="32">
        <f t="shared" si="72"/>
        <v>0.53919490183376673</v>
      </c>
      <c r="AC134" s="32">
        <f t="shared" si="72"/>
        <v>-17.846462609742378</v>
      </c>
      <c r="AD134" s="32">
        <f t="shared" si="72"/>
        <v>-58.60928790556801</v>
      </c>
      <c r="AE134" s="32">
        <f t="shared" si="72"/>
        <v>2.7460526971758084</v>
      </c>
      <c r="AF134" s="32">
        <f t="shared" si="72"/>
        <v>4.0691184707315337E-2</v>
      </c>
    </row>
    <row r="135" spans="2:32" x14ac:dyDescent="0.25">
      <c r="B135" s="3" t="s">
        <v>4</v>
      </c>
      <c r="C135" s="32">
        <f t="shared" ref="C135:AF135" si="73">1000000000*C104/$C$175</f>
        <v>2368.4144138283959</v>
      </c>
      <c r="D135" s="32">
        <f t="shared" si="73"/>
        <v>14.338074724729191</v>
      </c>
      <c r="E135" s="32">
        <f t="shared" si="73"/>
        <v>11.610748899786046</v>
      </c>
      <c r="F135" s="32">
        <f t="shared" si="73"/>
        <v>-51.876250598093151</v>
      </c>
      <c r="G135" s="32">
        <f t="shared" si="73"/>
        <v>0.41257081544574858</v>
      </c>
      <c r="H135" s="32">
        <f t="shared" si="73"/>
        <v>0.1396842042994319</v>
      </c>
      <c r="I135" s="32">
        <f t="shared" si="73"/>
        <v>39.735053394315301</v>
      </c>
      <c r="J135" s="32">
        <f t="shared" si="73"/>
        <v>-176.29006673378368</v>
      </c>
      <c r="K135" s="32">
        <f t="shared" si="73"/>
        <v>17.874338895329416</v>
      </c>
      <c r="L135" s="32">
        <f t="shared" si="73"/>
        <v>1.5287137858225364</v>
      </c>
      <c r="M135" s="32">
        <f t="shared" si="73"/>
        <v>106.93960315291349</v>
      </c>
      <c r="N135" s="32">
        <f t="shared" si="73"/>
        <v>0.91361551066309787</v>
      </c>
      <c r="O135" s="32">
        <f t="shared" si="73"/>
        <v>43.213807106123618</v>
      </c>
      <c r="P135" s="32">
        <f t="shared" si="73"/>
        <v>6.4055682311145192</v>
      </c>
      <c r="Q135" s="32">
        <f t="shared" si="73"/>
        <v>62.196469022912858</v>
      </c>
      <c r="R135" s="32">
        <f t="shared" si="73"/>
        <v>32.249973276409939</v>
      </c>
      <c r="S135" s="32">
        <f t="shared" si="73"/>
        <v>1.2635691066776502</v>
      </c>
      <c r="T135" s="32">
        <f t="shared" si="73"/>
        <v>35.321692796015988</v>
      </c>
      <c r="U135" s="32">
        <f t="shared" si="73"/>
        <v>-30.707914596806624</v>
      </c>
      <c r="V135" s="32">
        <f t="shared" si="73"/>
        <v>2.8877320127984532</v>
      </c>
      <c r="W135" s="32">
        <f t="shared" si="73"/>
        <v>6.6473675524557088</v>
      </c>
      <c r="X135" s="32">
        <f t="shared" si="73"/>
        <v>23.121309339178492</v>
      </c>
      <c r="Y135" s="32">
        <f t="shared" si="73"/>
        <v>0.13959965139452019</v>
      </c>
      <c r="Z135" s="32">
        <f t="shared" si="73"/>
        <v>20.006925927894212</v>
      </c>
      <c r="AA135" s="32">
        <f t="shared" si="73"/>
        <v>26.200228693673171</v>
      </c>
      <c r="AB135" s="32">
        <f t="shared" si="73"/>
        <v>0.69813812301652645</v>
      </c>
      <c r="AC135" s="32">
        <f t="shared" si="73"/>
        <v>-18.130085143035107</v>
      </c>
      <c r="AD135" s="32">
        <f t="shared" si="73"/>
        <v>-25.568345251466091</v>
      </c>
      <c r="AE135" s="32">
        <f t="shared" si="73"/>
        <v>2.8616120141982346</v>
      </c>
      <c r="AF135" s="32">
        <f t="shared" si="73"/>
        <v>3.1824691611762893E-2</v>
      </c>
    </row>
    <row r="136" spans="2:32" x14ac:dyDescent="0.25">
      <c r="B136" s="3" t="s">
        <v>5</v>
      </c>
      <c r="C136" s="32">
        <f t="shared" ref="C136:AD136" si="74">1000000000*C105/$D$175</f>
        <v>2065.2587536650472</v>
      </c>
      <c r="D136" s="32">
        <f t="shared" si="74"/>
        <v>12.488169499669556</v>
      </c>
      <c r="E136" s="32">
        <f t="shared" si="74"/>
        <v>8.5585024279072552</v>
      </c>
      <c r="F136" s="32">
        <f t="shared" si="74"/>
        <v>-111.12136193769241</v>
      </c>
      <c r="G136" s="32">
        <f t="shared" si="74"/>
        <v>0.62369082306462897</v>
      </c>
      <c r="H136" s="32">
        <f t="shared" si="74"/>
        <v>0.14826556544615771</v>
      </c>
      <c r="I136" s="32">
        <f t="shared" si="74"/>
        <v>7.0943628476464093</v>
      </c>
      <c r="J136" s="32">
        <f t="shared" si="74"/>
        <v>-347.82118739219828</v>
      </c>
      <c r="K136" s="32">
        <f t="shared" si="74"/>
        <v>8.5241791529718256</v>
      </c>
      <c r="L136" s="32">
        <f t="shared" si="74"/>
        <v>0.84083017694008266</v>
      </c>
      <c r="M136" s="32">
        <f t="shared" si="74"/>
        <v>60.924861071649744</v>
      </c>
      <c r="N136" s="32">
        <f t="shared" si="74"/>
        <v>0.84294395261928345</v>
      </c>
      <c r="O136" s="32">
        <f t="shared" si="74"/>
        <v>20.045650430432389</v>
      </c>
      <c r="P136" s="32">
        <f t="shared" si="74"/>
        <v>3.5183567563271287</v>
      </c>
      <c r="Q136" s="32">
        <f t="shared" si="74"/>
        <v>51.243340849435668</v>
      </c>
      <c r="R136" s="32">
        <f t="shared" si="74"/>
        <v>18.175518328464111</v>
      </c>
      <c r="S136" s="32">
        <f t="shared" si="74"/>
        <v>0.17674113460531612</v>
      </c>
      <c r="T136" s="32">
        <f t="shared" si="74"/>
        <v>18.815367125423503</v>
      </c>
      <c r="U136" s="32">
        <f t="shared" si="74"/>
        <v>-29.128842123582444</v>
      </c>
      <c r="V136" s="32">
        <f t="shared" si="74"/>
        <v>0.16111163160978761</v>
      </c>
      <c r="W136" s="32">
        <f t="shared" si="74"/>
        <v>-8.8559124572097367</v>
      </c>
      <c r="X136" s="32">
        <f t="shared" si="74"/>
        <v>9.4013399402210673</v>
      </c>
      <c r="Y136" s="32">
        <f t="shared" si="74"/>
        <v>0.14325014045291856</v>
      </c>
      <c r="Z136" s="32">
        <f t="shared" si="74"/>
        <v>-2.0644259032009065</v>
      </c>
      <c r="AA136" s="32">
        <f t="shared" si="74"/>
        <v>4.6532128703436042</v>
      </c>
      <c r="AB136" s="32">
        <f t="shared" si="74"/>
        <v>0.39412746696015605</v>
      </c>
      <c r="AC136" s="32">
        <f t="shared" si="74"/>
        <v>-14.861114051285872</v>
      </c>
      <c r="AD136" s="32">
        <f t="shared" si="74"/>
        <v>-6.5787200734734821</v>
      </c>
      <c r="AE136" s="32">
        <f t="shared" ref="AE136:AF136" si="75">1000000000*AE105/$C$175</f>
        <v>4.5766499098441695</v>
      </c>
      <c r="AF136" s="32">
        <f t="shared" si="75"/>
        <v>1.0191154336644555E-2</v>
      </c>
    </row>
    <row r="137" spans="2:32" x14ac:dyDescent="0.25">
      <c r="B137" s="3" t="s">
        <v>6</v>
      </c>
      <c r="C137" s="32">
        <f t="shared" ref="C137:AD137" si="76">1000000000*C106/$D$175</f>
        <v>2054.91809691157</v>
      </c>
      <c r="D137" s="32">
        <f t="shared" si="76"/>
        <v>12.685348650705896</v>
      </c>
      <c r="E137" s="32">
        <f t="shared" si="76"/>
        <v>7.6017722743658922</v>
      </c>
      <c r="F137" s="32">
        <f t="shared" si="76"/>
        <v>-108.70743564765417</v>
      </c>
      <c r="G137" s="32">
        <f t="shared" si="76"/>
        <v>1.0340371947931319</v>
      </c>
      <c r="H137" s="32">
        <f t="shared" si="76"/>
        <v>3.7411455420807968E-2</v>
      </c>
      <c r="I137" s="32">
        <f t="shared" si="76"/>
        <v>12.399630851727302</v>
      </c>
      <c r="J137" s="32">
        <f t="shared" si="76"/>
        <v>-188.34839222370994</v>
      </c>
      <c r="K137" s="32">
        <f t="shared" si="76"/>
        <v>2.0546473850353468</v>
      </c>
      <c r="L137" s="32">
        <f t="shared" si="76"/>
        <v>0.81405977396140816</v>
      </c>
      <c r="M137" s="32">
        <f t="shared" si="76"/>
        <v>57.645216761100464</v>
      </c>
      <c r="N137" s="32">
        <f t="shared" si="76"/>
        <v>-0.6021695557555059</v>
      </c>
      <c r="O137" s="32">
        <f t="shared" si="76"/>
        <v>15.048137161845128</v>
      </c>
      <c r="P137" s="32">
        <f t="shared" si="76"/>
        <v>2.4012216308311882</v>
      </c>
      <c r="Q137" s="32">
        <f t="shared" si="76"/>
        <v>48.487455933336172</v>
      </c>
      <c r="R137" s="32">
        <f t="shared" si="76"/>
        <v>17.27518373946813</v>
      </c>
      <c r="S137" s="32">
        <f t="shared" si="76"/>
        <v>8.388338319583305E-2</v>
      </c>
      <c r="T137" s="32">
        <f t="shared" si="76"/>
        <v>15.427472849427261</v>
      </c>
      <c r="U137" s="32">
        <f t="shared" si="76"/>
        <v>-41.429350358514547</v>
      </c>
      <c r="V137" s="32">
        <f t="shared" si="76"/>
        <v>9.0192747548911364E-2</v>
      </c>
      <c r="W137" s="32">
        <f t="shared" si="76"/>
        <v>-17.243639934109513</v>
      </c>
      <c r="X137" s="32">
        <f t="shared" si="76"/>
        <v>6.3069066660327824</v>
      </c>
      <c r="Y137" s="32">
        <f t="shared" si="76"/>
        <v>1.4298699265367916</v>
      </c>
      <c r="Z137" s="32">
        <f t="shared" si="76"/>
        <v>4.1328932084764984</v>
      </c>
      <c r="AA137" s="32">
        <f t="shared" si="76"/>
        <v>12.708881535200884</v>
      </c>
      <c r="AB137" s="32">
        <f t="shared" si="76"/>
        <v>0.47995218212941465</v>
      </c>
      <c r="AC137" s="32">
        <f t="shared" si="76"/>
        <v>-14.168888595119196</v>
      </c>
      <c r="AD137" s="32">
        <f t="shared" si="76"/>
        <v>5.5300166725818132</v>
      </c>
      <c r="AE137" s="32">
        <f t="shared" ref="AE137:AF137" si="77">1000000000*AE106/$C$175</f>
        <v>4.2690142544501821</v>
      </c>
      <c r="AF137" s="32">
        <f t="shared" si="77"/>
        <v>6.1374905318873222E-3</v>
      </c>
    </row>
    <row r="138" spans="2:32" x14ac:dyDescent="0.25">
      <c r="B138" s="3" t="s">
        <v>7</v>
      </c>
      <c r="C138" s="32">
        <f t="shared" ref="C138:AD138" si="78">1000000000*C107/$D$175</f>
        <v>2255.0691637359246</v>
      </c>
      <c r="D138" s="32">
        <f t="shared" si="78"/>
        <v>13.248976356548802</v>
      </c>
      <c r="E138" s="32">
        <f t="shared" si="78"/>
        <v>9.9042216529737264</v>
      </c>
      <c r="F138" s="32">
        <f t="shared" si="78"/>
        <v>-92.446654137791128</v>
      </c>
      <c r="G138" s="32">
        <f t="shared" si="78"/>
        <v>1.2238419763155846</v>
      </c>
      <c r="H138" s="32">
        <f t="shared" si="78"/>
        <v>5.0156934470742716E-2</v>
      </c>
      <c r="I138" s="32">
        <f t="shared" si="78"/>
        <v>23.424582705050952</v>
      </c>
      <c r="J138" s="32">
        <f t="shared" si="78"/>
        <v>-33.813569456853948</v>
      </c>
      <c r="K138" s="32">
        <f t="shared" si="78"/>
        <v>14.417377954229959</v>
      </c>
      <c r="L138" s="32">
        <f t="shared" si="78"/>
        <v>3.1236130888928351</v>
      </c>
      <c r="M138" s="32">
        <f t="shared" si="78"/>
        <v>61.494424120600492</v>
      </c>
      <c r="N138" s="32">
        <f t="shared" si="78"/>
        <v>1.7836641275816454</v>
      </c>
      <c r="O138" s="32">
        <f t="shared" si="78"/>
        <v>12.171237953078128</v>
      </c>
      <c r="P138" s="32">
        <f t="shared" si="78"/>
        <v>2.2884757825337454</v>
      </c>
      <c r="Q138" s="32">
        <f t="shared" si="78"/>
        <v>49.588349574046092</v>
      </c>
      <c r="R138" s="32">
        <f t="shared" si="78"/>
        <v>19.393795426014233</v>
      </c>
      <c r="S138" s="32">
        <f t="shared" si="78"/>
        <v>0.20512037155598711</v>
      </c>
      <c r="T138" s="32">
        <f t="shared" si="78"/>
        <v>19.521411630811009</v>
      </c>
      <c r="U138" s="32">
        <f t="shared" si="78"/>
        <v>-10.741746961736332</v>
      </c>
      <c r="V138" s="32">
        <f t="shared" si="78"/>
        <v>0.12161420686403371</v>
      </c>
      <c r="W138" s="32">
        <f t="shared" si="78"/>
        <v>-7.6243649360699131</v>
      </c>
      <c r="X138" s="32">
        <f t="shared" si="78"/>
        <v>9.5226731497802799</v>
      </c>
      <c r="Y138" s="32">
        <f t="shared" si="78"/>
        <v>3.6699457649361613</v>
      </c>
      <c r="Z138" s="32">
        <f t="shared" si="78"/>
        <v>10.011793285495166</v>
      </c>
      <c r="AA138" s="32">
        <f t="shared" si="78"/>
        <v>24.671289183553501</v>
      </c>
      <c r="AB138" s="32">
        <f t="shared" si="78"/>
        <v>0.61523774842921186</v>
      </c>
      <c r="AC138" s="32">
        <f t="shared" si="78"/>
        <v>-13.101213188461013</v>
      </c>
      <c r="AD138" s="32">
        <f t="shared" si="78"/>
        <v>36.015856077510392</v>
      </c>
      <c r="AE138" s="32">
        <f t="shared" ref="AE138:AF138" si="79">1000000000*AE107/$C$175</f>
        <v>4.0733889702962056</v>
      </c>
      <c r="AF138" s="32">
        <f t="shared" si="79"/>
        <v>7.9595925964985397E-4</v>
      </c>
    </row>
    <row r="139" spans="2:32" x14ac:dyDescent="0.25">
      <c r="B139" s="3" t="s">
        <v>8</v>
      </c>
      <c r="C139" s="32">
        <f t="shared" ref="C139:AD139" si="80">1000000000*C108/$D$175</f>
        <v>2053.1738652184617</v>
      </c>
      <c r="D139" s="32">
        <f t="shared" si="80"/>
        <v>13.035667531971583</v>
      </c>
      <c r="E139" s="32">
        <f t="shared" si="80"/>
        <v>9.8214736428742686</v>
      </c>
      <c r="F139" s="32">
        <f t="shared" si="80"/>
        <v>-114.19290555511598</v>
      </c>
      <c r="G139" s="32">
        <f t="shared" si="80"/>
        <v>1.2599744478179467</v>
      </c>
      <c r="H139" s="32">
        <f t="shared" si="80"/>
        <v>0.11316577675323156</v>
      </c>
      <c r="I139" s="32">
        <f t="shared" si="80"/>
        <v>15.330477434964596</v>
      </c>
      <c r="J139" s="32">
        <f t="shared" si="80"/>
        <v>-117.02843555802237</v>
      </c>
      <c r="K139" s="32">
        <f t="shared" si="80"/>
        <v>7.4551514963189423</v>
      </c>
      <c r="L139" s="32">
        <f t="shared" si="80"/>
        <v>1.6233797194444148</v>
      </c>
      <c r="M139" s="32">
        <f t="shared" si="80"/>
        <v>53.666433323779927</v>
      </c>
      <c r="N139" s="32">
        <f t="shared" si="80"/>
        <v>1.8893529253543335</v>
      </c>
      <c r="O139" s="32">
        <f t="shared" si="80"/>
        <v>15.630148262017162</v>
      </c>
      <c r="P139" s="32">
        <f t="shared" si="80"/>
        <v>2.4821631224557881</v>
      </c>
      <c r="Q139" s="32">
        <f t="shared" si="80"/>
        <v>46.652285728491272</v>
      </c>
      <c r="R139" s="32">
        <f t="shared" si="80"/>
        <v>17.646516766448375</v>
      </c>
      <c r="S139" s="32">
        <f t="shared" si="80"/>
        <v>0.16622489350956027</v>
      </c>
      <c r="T139" s="32">
        <f t="shared" si="80"/>
        <v>11.555600737583489</v>
      </c>
      <c r="U139" s="32">
        <f t="shared" si="80"/>
        <v>-29.599617925661239</v>
      </c>
      <c r="V139" s="32">
        <f t="shared" si="80"/>
        <v>4.9539995465327911E-2</v>
      </c>
      <c r="W139" s="32">
        <f t="shared" si="80"/>
        <v>-15.601334496732925</v>
      </c>
      <c r="X139" s="32">
        <f t="shared" si="80"/>
        <v>8.2315545979731031</v>
      </c>
      <c r="Y139" s="32">
        <f t="shared" si="80"/>
        <v>1.37344160736938</v>
      </c>
      <c r="Z139" s="32">
        <f t="shared" si="80"/>
        <v>4.7734778450680277</v>
      </c>
      <c r="AA139" s="32">
        <f t="shared" si="80"/>
        <v>16.169017718909668</v>
      </c>
      <c r="AB139" s="32">
        <f t="shared" si="80"/>
        <v>0.51973046437467507</v>
      </c>
      <c r="AC139" s="32">
        <f t="shared" si="80"/>
        <v>-13.778202521692025</v>
      </c>
      <c r="AD139" s="32">
        <f t="shared" si="80"/>
        <v>8.7108440557981126</v>
      </c>
      <c r="AE139" s="32">
        <f t="shared" ref="AE139:AF139" si="81">1000000000*AE108/$C$175</f>
        <v>4.1845458200684398</v>
      </c>
      <c r="AF139" s="32">
        <f t="shared" si="81"/>
        <v>8.8509003139256564E-3</v>
      </c>
    </row>
    <row r="140" spans="2:32" x14ac:dyDescent="0.25">
      <c r="B140" s="3" t="s">
        <v>9</v>
      </c>
      <c r="C140" s="32">
        <f t="shared" ref="C140:AD140" si="82">1000000000*C109/$D$175</f>
        <v>1691.4047539177225</v>
      </c>
      <c r="D140" s="32">
        <f t="shared" si="82"/>
        <v>10.467938401649052</v>
      </c>
      <c r="E140" s="32">
        <f t="shared" si="82"/>
        <v>4.7430734400112096</v>
      </c>
      <c r="F140" s="32">
        <f t="shared" si="82"/>
        <v>-148.82629642821107</v>
      </c>
      <c r="G140" s="32">
        <f t="shared" si="82"/>
        <v>-9.1455424506118196E-2</v>
      </c>
      <c r="H140" s="32">
        <f t="shared" si="82"/>
        <v>8.5442317215262784E-2</v>
      </c>
      <c r="I140" s="32">
        <f t="shared" si="82"/>
        <v>-7.544521663680305</v>
      </c>
      <c r="J140" s="32">
        <f t="shared" si="82"/>
        <v>-993.85042251550806</v>
      </c>
      <c r="K140" s="32">
        <f t="shared" si="82"/>
        <v>-18.001010691126048</v>
      </c>
      <c r="L140" s="32">
        <f t="shared" si="82"/>
        <v>-2.2410565996842013</v>
      </c>
      <c r="M140" s="32">
        <f t="shared" si="82"/>
        <v>24.724744547515687</v>
      </c>
      <c r="N140" s="32">
        <f t="shared" si="82"/>
        <v>-1.7781939758854253</v>
      </c>
      <c r="O140" s="32">
        <f t="shared" si="82"/>
        <v>13.311635017527028</v>
      </c>
      <c r="P140" s="32">
        <f t="shared" si="82"/>
        <v>3.4974014452598126</v>
      </c>
      <c r="Q140" s="32">
        <f t="shared" si="82"/>
        <v>44.404849283804239</v>
      </c>
      <c r="R140" s="32">
        <f t="shared" si="82"/>
        <v>15.376856522893274</v>
      </c>
      <c r="S140" s="32">
        <f t="shared" si="82"/>
        <v>3.9362528443698452E-3</v>
      </c>
      <c r="T140" s="32">
        <f t="shared" si="82"/>
        <v>2.6280309723388489</v>
      </c>
      <c r="U140" s="32">
        <f t="shared" si="82"/>
        <v>-60.946344224435407</v>
      </c>
      <c r="V140" s="32">
        <f t="shared" si="82"/>
        <v>3.0068216268240515E-2</v>
      </c>
      <c r="W140" s="32">
        <f t="shared" si="82"/>
        <v>-26.457541295280592</v>
      </c>
      <c r="X140" s="32">
        <f t="shared" si="82"/>
        <v>1.6071188945918717</v>
      </c>
      <c r="Y140" s="32">
        <f t="shared" si="82"/>
        <v>-0.96368928865012082</v>
      </c>
      <c r="Z140" s="32">
        <f t="shared" si="82"/>
        <v>-6.6782010740395998</v>
      </c>
      <c r="AA140" s="32">
        <f t="shared" si="82"/>
        <v>-9.9168585703718932</v>
      </c>
      <c r="AB140" s="32">
        <f t="shared" si="82"/>
        <v>5.9250723069146208E-2</v>
      </c>
      <c r="AC140" s="32">
        <f t="shared" si="82"/>
        <v>-14.402913877033109</v>
      </c>
      <c r="AD140" s="32">
        <f t="shared" si="82"/>
        <v>-38.514753834712678</v>
      </c>
      <c r="AE140" s="32">
        <f t="shared" ref="AE140:AF140" si="83">1000000000*AE109/$C$175</f>
        <v>3.1128475247973801</v>
      </c>
      <c r="AF140" s="32">
        <f t="shared" si="83"/>
        <v>1.6915648233496408E-2</v>
      </c>
    </row>
    <row r="141" spans="2:32" x14ac:dyDescent="0.25">
      <c r="B141" s="3" t="s">
        <v>80</v>
      </c>
      <c r="C141" s="32">
        <f t="shared" ref="C141:AD141" si="84">1000000000*C110/$C$176</f>
        <v>2308.754240140106</v>
      </c>
      <c r="D141" s="32">
        <f t="shared" si="84"/>
        <v>1.802421275582974</v>
      </c>
      <c r="E141" s="32">
        <f t="shared" si="84"/>
        <v>0.34030254576126545</v>
      </c>
      <c r="F141" s="32">
        <f t="shared" si="84"/>
        <v>55.468854124369713</v>
      </c>
      <c r="G141" s="32">
        <f t="shared" si="84"/>
        <v>-0.59415725942422626</v>
      </c>
      <c r="H141" s="32">
        <f t="shared" si="84"/>
        <v>0.21338029151480187</v>
      </c>
      <c r="I141" s="32">
        <f t="shared" si="84"/>
        <v>16.695313006751562</v>
      </c>
      <c r="J141" s="32">
        <f t="shared" si="84"/>
        <v>-415.77964925705913</v>
      </c>
      <c r="K141" s="32">
        <f t="shared" si="84"/>
        <v>-1.9223422040261924</v>
      </c>
      <c r="L141" s="32">
        <f t="shared" si="84"/>
        <v>0.24833123761796155</v>
      </c>
      <c r="M141" s="32">
        <f t="shared" si="84"/>
        <v>155.24958196886504</v>
      </c>
      <c r="N141" s="32">
        <f t="shared" si="84"/>
        <v>-1.6368905244932206</v>
      </c>
      <c r="O141" s="32">
        <f t="shared" si="84"/>
        <v>52.341415961629878</v>
      </c>
      <c r="P141" s="32">
        <f t="shared" si="84"/>
        <v>5.204801170483897</v>
      </c>
      <c r="Q141" s="32">
        <f t="shared" si="84"/>
        <v>42.806206990901117</v>
      </c>
      <c r="R141" s="32">
        <f t="shared" si="84"/>
        <v>28.377127388319469</v>
      </c>
      <c r="S141" s="32">
        <f t="shared" si="84"/>
        <v>2.2202198955582069</v>
      </c>
      <c r="T141" s="32">
        <f t="shared" si="84"/>
        <v>17.328593329808957</v>
      </c>
      <c r="U141" s="32">
        <f t="shared" si="84"/>
        <v>-25.985632330326744</v>
      </c>
      <c r="V141" s="32">
        <f t="shared" si="84"/>
        <v>3.5941958326784551</v>
      </c>
      <c r="W141" s="32">
        <f t="shared" si="84"/>
        <v>-9.9815503754064707</v>
      </c>
      <c r="X141" s="32">
        <f t="shared" si="84"/>
        <v>7.3235214529614865</v>
      </c>
      <c r="Y141" s="32">
        <f t="shared" si="84"/>
        <v>2.4597871275341845</v>
      </c>
      <c r="Z141" s="32">
        <f t="shared" si="84"/>
        <v>-0.70957539183049423</v>
      </c>
      <c r="AA141" s="32">
        <f t="shared" si="84"/>
        <v>1.8491430810127423</v>
      </c>
      <c r="AB141" s="32">
        <f t="shared" si="84"/>
        <v>0.60661669200242274</v>
      </c>
      <c r="AC141" s="32">
        <f t="shared" si="84"/>
        <v>-23.005617198246991</v>
      </c>
      <c r="AD141" s="32">
        <f t="shared" si="84"/>
        <v>-17.091962373350775</v>
      </c>
      <c r="AE141" s="32">
        <f t="shared" ref="AE141:AF141" si="85">1000000000*AE110/$C$175</f>
        <v>2.6333388033302421</v>
      </c>
      <c r="AF141" s="32">
        <f t="shared" si="85"/>
        <v>4.3194205019877981E-2</v>
      </c>
    </row>
    <row r="142" spans="2:32" x14ac:dyDescent="0.25">
      <c r="B142" s="3" t="s">
        <v>10</v>
      </c>
      <c r="C142" s="32">
        <f t="shared" ref="C142:AD142" si="86">1000000000*C111/$C$176</f>
        <v>1966.0322891396665</v>
      </c>
      <c r="D142" s="32">
        <f t="shared" si="86"/>
        <v>2.1064991256334564</v>
      </c>
      <c r="E142" s="32">
        <f t="shared" si="86"/>
        <v>1.6122194553643314</v>
      </c>
      <c r="F142" s="32">
        <f t="shared" si="86"/>
        <v>-149.54177525953631</v>
      </c>
      <c r="G142" s="32">
        <f t="shared" si="86"/>
        <v>0.60242544201904569</v>
      </c>
      <c r="H142" s="32">
        <f t="shared" si="86"/>
        <v>0.28754390414388514</v>
      </c>
      <c r="I142" s="32">
        <f t="shared" si="86"/>
        <v>19.396151149398669</v>
      </c>
      <c r="J142" s="32">
        <f t="shared" si="86"/>
        <v>-886.11365918369927</v>
      </c>
      <c r="K142" s="32">
        <f t="shared" si="86"/>
        <v>19.622021925095364</v>
      </c>
      <c r="L142" s="32">
        <f t="shared" si="86"/>
        <v>2.0314314768233612</v>
      </c>
      <c r="M142" s="32">
        <f t="shared" si="86"/>
        <v>51.194248534357129</v>
      </c>
      <c r="N142" s="32">
        <f t="shared" si="86"/>
        <v>-0.96765987640887752</v>
      </c>
      <c r="O142" s="32">
        <f t="shared" si="86"/>
        <v>27.432620684510677</v>
      </c>
      <c r="P142" s="32">
        <f t="shared" si="86"/>
        <v>4.6253893099589929</v>
      </c>
      <c r="Q142" s="32">
        <f t="shared" si="86"/>
        <v>48.490055453015593</v>
      </c>
      <c r="R142" s="32">
        <f t="shared" si="86"/>
        <v>33.261263189278587</v>
      </c>
      <c r="S142" s="32">
        <f t="shared" si="86"/>
        <v>2.2565459526556859</v>
      </c>
      <c r="T142" s="32">
        <f t="shared" si="86"/>
        <v>22.352221426346539</v>
      </c>
      <c r="U142" s="32">
        <f t="shared" si="86"/>
        <v>-90.117663693976809</v>
      </c>
      <c r="V142" s="32">
        <f t="shared" si="86"/>
        <v>4.0978290018013546</v>
      </c>
      <c r="W142" s="32">
        <f t="shared" si="86"/>
        <v>1.3127740186226697</v>
      </c>
      <c r="X142" s="32">
        <f t="shared" si="86"/>
        <v>8.8489563155825337</v>
      </c>
      <c r="Y142" s="32">
        <f t="shared" si="86"/>
        <v>3.0874767362929618</v>
      </c>
      <c r="Z142" s="32">
        <f t="shared" si="86"/>
        <v>10.027747483360372</v>
      </c>
      <c r="AA142" s="32">
        <f t="shared" si="86"/>
        <v>31.345998279951061</v>
      </c>
      <c r="AB142" s="32">
        <f t="shared" si="86"/>
        <v>0.28549845061597073</v>
      </c>
      <c r="AC142" s="32">
        <f t="shared" si="86"/>
        <v>-23.160169505834979</v>
      </c>
      <c r="AD142" s="32">
        <f t="shared" si="86"/>
        <v>56.241584433099348</v>
      </c>
      <c r="AE142" s="32">
        <f t="shared" ref="AE142:AF142" si="87">1000000000*AE111/$C$175</f>
        <v>2.0126584952529307</v>
      </c>
      <c r="AF142" s="32">
        <f t="shared" si="87"/>
        <v>2.9987618221601214E-2</v>
      </c>
    </row>
    <row r="143" spans="2:32" x14ac:dyDescent="0.25">
      <c r="B143" s="3" t="s">
        <v>11</v>
      </c>
      <c r="C143" s="32">
        <f t="shared" ref="C143:AD143" si="88">1000000000*C112/$C$176</f>
        <v>612.06178450619018</v>
      </c>
      <c r="D143" s="32">
        <f t="shared" si="88"/>
        <v>1.8884089401470818</v>
      </c>
      <c r="E143" s="32">
        <f t="shared" si="88"/>
        <v>-0.52049318265662026</v>
      </c>
      <c r="F143" s="32">
        <f t="shared" si="88"/>
        <v>-669.69560625762733</v>
      </c>
      <c r="G143" s="32">
        <f t="shared" si="88"/>
        <v>0.60567613148444932</v>
      </c>
      <c r="H143" s="32">
        <f t="shared" si="88"/>
        <v>0.13344332971665135</v>
      </c>
      <c r="I143" s="32">
        <f t="shared" si="88"/>
        <v>9.000367299433341</v>
      </c>
      <c r="J143" s="32">
        <f t="shared" si="88"/>
        <v>-1203.4646260576212</v>
      </c>
      <c r="K143" s="32">
        <f t="shared" si="88"/>
        <v>-2.0280234950497484</v>
      </c>
      <c r="L143" s="32">
        <f t="shared" si="88"/>
        <v>-1.9587418437414958</v>
      </c>
      <c r="M143" s="32">
        <f t="shared" si="88"/>
        <v>-153.35553545447152</v>
      </c>
      <c r="N143" s="32">
        <f t="shared" si="88"/>
        <v>-5.360869188267527</v>
      </c>
      <c r="O143" s="32">
        <f t="shared" si="88"/>
        <v>-37.346706489171289</v>
      </c>
      <c r="P143" s="32">
        <f t="shared" si="88"/>
        <v>5.1473063488451984</v>
      </c>
      <c r="Q143" s="32">
        <f t="shared" si="88"/>
        <v>45.02450434488587</v>
      </c>
      <c r="R143" s="32">
        <f t="shared" si="88"/>
        <v>24.967160242546967</v>
      </c>
      <c r="S143" s="32">
        <f t="shared" si="88"/>
        <v>1.6401307967856347</v>
      </c>
      <c r="T143" s="32">
        <f t="shared" si="88"/>
        <v>4.8246170287049868</v>
      </c>
      <c r="U143" s="32">
        <f t="shared" si="88"/>
        <v>-59.696483813105139</v>
      </c>
      <c r="V143" s="32">
        <f t="shared" si="88"/>
        <v>3.3205957220510598</v>
      </c>
      <c r="W143" s="32">
        <f t="shared" si="88"/>
        <v>-22.205562489507415</v>
      </c>
      <c r="X143" s="32">
        <f t="shared" si="88"/>
        <v>3.2530931825301455</v>
      </c>
      <c r="Y143" s="32">
        <f t="shared" si="88"/>
        <v>-1.1735818878255684</v>
      </c>
      <c r="Z143" s="32">
        <f t="shared" si="88"/>
        <v>0.2505150148270574</v>
      </c>
      <c r="AA143" s="32">
        <f t="shared" si="88"/>
        <v>11.426432330933153</v>
      </c>
      <c r="AB143" s="32">
        <f t="shared" si="88"/>
        <v>0.28377388319186569</v>
      </c>
      <c r="AC143" s="32">
        <f t="shared" si="88"/>
        <v>-23.171320877540527</v>
      </c>
      <c r="AD143" s="32">
        <f t="shared" si="88"/>
        <v>39.234844265431178</v>
      </c>
      <c r="AE143" s="32">
        <f t="shared" ref="AE143:AF143" si="89">1000000000*AE112/$C$175</f>
        <v>0.32646189563664529</v>
      </c>
      <c r="AF143" s="32">
        <f t="shared" si="89"/>
        <v>-3.5352342976633601E-3</v>
      </c>
    </row>
    <row r="144" spans="2:32" x14ac:dyDescent="0.25">
      <c r="B144" s="3" t="s">
        <v>12</v>
      </c>
      <c r="C144" s="32">
        <f t="shared" ref="C144:AD144" si="90">1000000000*C113/$C$176</f>
        <v>-168.60889333166867</v>
      </c>
      <c r="D144" s="32">
        <f t="shared" si="90"/>
        <v>1.7668251475620058</v>
      </c>
      <c r="E144" s="32">
        <f t="shared" si="90"/>
        <v>-2.7585890339424406</v>
      </c>
      <c r="F144" s="32">
        <f t="shared" si="90"/>
        <v>-933.46347674335448</v>
      </c>
      <c r="G144" s="32">
        <f t="shared" si="90"/>
        <v>2.0174223013052317</v>
      </c>
      <c r="H144" s="32">
        <f t="shared" si="90"/>
        <v>0.16044861818971559</v>
      </c>
      <c r="I144" s="32">
        <f t="shared" si="90"/>
        <v>7.4384257921676715</v>
      </c>
      <c r="J144" s="32">
        <f t="shared" si="90"/>
        <v>-1059.7519166160068</v>
      </c>
      <c r="K144" s="32">
        <f t="shared" si="90"/>
        <v>-10.211884337781729</v>
      </c>
      <c r="L144" s="32">
        <f t="shared" si="90"/>
        <v>-2.5405058161469554</v>
      </c>
      <c r="M144" s="32">
        <f t="shared" si="90"/>
        <v>-271.28890543749998</v>
      </c>
      <c r="N144" s="32">
        <f t="shared" si="90"/>
        <v>-4.9898349727589766</v>
      </c>
      <c r="O144" s="32">
        <f t="shared" si="90"/>
        <v>-76.674997794691919</v>
      </c>
      <c r="P144" s="32">
        <f t="shared" si="90"/>
        <v>4.7478599981873284</v>
      </c>
      <c r="Q144" s="32">
        <f t="shared" si="90"/>
        <v>46.58840526782285</v>
      </c>
      <c r="R144" s="32">
        <f t="shared" si="90"/>
        <v>27.140262179745562</v>
      </c>
      <c r="S144" s="32">
        <f t="shared" si="90"/>
        <v>2.039280334651473</v>
      </c>
      <c r="T144" s="32">
        <f t="shared" si="90"/>
        <v>11.539999384165704</v>
      </c>
      <c r="U144" s="32">
        <f t="shared" si="90"/>
        <v>-88.693462895360739</v>
      </c>
      <c r="V144" s="32">
        <f t="shared" si="90"/>
        <v>3.3885386709273715</v>
      </c>
      <c r="W144" s="32">
        <f t="shared" si="90"/>
        <v>-17.565846094236505</v>
      </c>
      <c r="X144" s="32">
        <f t="shared" si="90"/>
        <v>3.4000099880113654</v>
      </c>
      <c r="Y144" s="32">
        <f t="shared" si="90"/>
        <v>-3.0758406693918943</v>
      </c>
      <c r="Z144" s="32">
        <f t="shared" si="90"/>
        <v>-4.2316956271392456</v>
      </c>
      <c r="AA144" s="32">
        <f t="shared" si="90"/>
        <v>-10.127530613830988</v>
      </c>
      <c r="AB144" s="32">
        <f t="shared" si="90"/>
        <v>0.22439326738777965</v>
      </c>
      <c r="AC144" s="32">
        <f t="shared" si="90"/>
        <v>-23.981162720158753</v>
      </c>
      <c r="AD144" s="32">
        <f t="shared" si="90"/>
        <v>-50.283798025469601</v>
      </c>
      <c r="AE144" s="32">
        <f t="shared" ref="AE144:AF144" si="91">1000000000*AE113/$C$175</f>
        <v>-0.55527727095497836</v>
      </c>
      <c r="AF144" s="32">
        <f t="shared" si="91"/>
        <v>-1.5823881602443298E-2</v>
      </c>
    </row>
    <row r="145" spans="1:32" x14ac:dyDescent="0.25">
      <c r="B145" s="3" t="s">
        <v>13</v>
      </c>
      <c r="C145" s="32">
        <f t="shared" ref="C145:AD145" si="92">1000000000*C114/$C$176</f>
        <v>4383.9272953695609</v>
      </c>
      <c r="D145" s="32">
        <f t="shared" si="92"/>
        <v>1.9855583237969416</v>
      </c>
      <c r="E145" s="32">
        <f t="shared" si="92"/>
        <v>-1.17890060921198</v>
      </c>
      <c r="F145" s="32">
        <f t="shared" si="92"/>
        <v>-225.32821630885431</v>
      </c>
      <c r="G145" s="32">
        <f t="shared" si="92"/>
        <v>0.96615307788964011</v>
      </c>
      <c r="H145" s="32">
        <f t="shared" si="92"/>
        <v>0.15883484827374775</v>
      </c>
      <c r="I145" s="32">
        <f t="shared" si="92"/>
        <v>5.5900667768357462</v>
      </c>
      <c r="J145" s="32">
        <f t="shared" si="92"/>
        <v>-390.25512667510691</v>
      </c>
      <c r="K145" s="32">
        <f t="shared" si="92"/>
        <v>1.2047892334521322</v>
      </c>
      <c r="L145" s="32">
        <f t="shared" si="92"/>
        <v>0.66810002402072677</v>
      </c>
      <c r="M145" s="32">
        <f t="shared" si="92"/>
        <v>92.963898292268709</v>
      </c>
      <c r="N145" s="32">
        <f t="shared" si="92"/>
        <v>-2.2095318272121593</v>
      </c>
      <c r="O145" s="32">
        <f t="shared" si="92"/>
        <v>17.477057891127519</v>
      </c>
      <c r="P145" s="32">
        <f t="shared" si="92"/>
        <v>5.3668152664033961</v>
      </c>
      <c r="Q145" s="32">
        <f t="shared" si="92"/>
        <v>40.459474798736203</v>
      </c>
      <c r="R145" s="32">
        <f t="shared" si="92"/>
        <v>25.532575221634019</v>
      </c>
      <c r="S145" s="32">
        <f t="shared" si="92"/>
        <v>1.6579799380317939</v>
      </c>
      <c r="T145" s="32">
        <f t="shared" si="92"/>
        <v>-15.144803340072688</v>
      </c>
      <c r="U145" s="32">
        <f t="shared" si="92"/>
        <v>-26.567713549985722</v>
      </c>
      <c r="V145" s="32">
        <f t="shared" si="92"/>
        <v>3.3139820180495101</v>
      </c>
      <c r="W145" s="32">
        <f t="shared" si="92"/>
        <v>-21.659295310833059</v>
      </c>
      <c r="X145" s="32">
        <f t="shared" si="92"/>
        <v>1.9677834230834883</v>
      </c>
      <c r="Y145" s="32">
        <f t="shared" si="92"/>
        <v>-1.79467491688971</v>
      </c>
      <c r="Z145" s="32">
        <f t="shared" si="92"/>
        <v>-6.6389693883813878</v>
      </c>
      <c r="AA145" s="32">
        <f t="shared" si="92"/>
        <v>-26.40721295799397</v>
      </c>
      <c r="AB145" s="32">
        <f t="shared" si="92"/>
        <v>0.83281259934743845</v>
      </c>
      <c r="AC145" s="32">
        <f t="shared" si="92"/>
        <v>-28.274610957714486</v>
      </c>
      <c r="AD145" s="32">
        <f t="shared" si="92"/>
        <v>65.955023193535382</v>
      </c>
      <c r="AE145" s="32">
        <f t="shared" ref="AE145:AF145" si="93">1000000000*AE114/$C$175</f>
        <v>3.1941340259550395</v>
      </c>
      <c r="AF145" s="32">
        <f t="shared" si="93"/>
        <v>8.7052883173168276E-3</v>
      </c>
    </row>
    <row r="146" spans="1:32" x14ac:dyDescent="0.25">
      <c r="B146" s="3" t="s">
        <v>14</v>
      </c>
      <c r="C146" s="32">
        <f t="shared" ref="C146:AD146" si="94">1000000000*C115/$D$176</f>
        <v>1508.2232706780676</v>
      </c>
      <c r="D146" s="32">
        <f t="shared" si="94"/>
        <v>1.8294854724003067</v>
      </c>
      <c r="E146" s="32">
        <f t="shared" si="94"/>
        <v>2.2920768148490795</v>
      </c>
      <c r="F146" s="32">
        <f t="shared" si="94"/>
        <v>-245.71696796221048</v>
      </c>
      <c r="G146" s="32">
        <f t="shared" si="94"/>
        <v>1.0550486093574698</v>
      </c>
      <c r="H146" s="32">
        <f t="shared" si="94"/>
        <v>0.14231867100917894</v>
      </c>
      <c r="I146" s="32">
        <f t="shared" si="94"/>
        <v>1.7916422335021907</v>
      </c>
      <c r="J146" s="32">
        <f t="shared" si="94"/>
        <v>-1249.0301710159561</v>
      </c>
      <c r="K146" s="32">
        <f t="shared" si="94"/>
        <v>11.849350041265264</v>
      </c>
      <c r="L146" s="32">
        <f t="shared" si="94"/>
        <v>1.7343769643420441</v>
      </c>
      <c r="M146" s="32">
        <f t="shared" si="94"/>
        <v>-25.591798786432093</v>
      </c>
      <c r="N146" s="32">
        <f t="shared" si="94"/>
        <v>9.1123537362444829E-2</v>
      </c>
      <c r="O146" s="32">
        <f t="shared" si="94"/>
        <v>-4.9935130906830318</v>
      </c>
      <c r="P146" s="32">
        <f t="shared" si="94"/>
        <v>2.004644713417973</v>
      </c>
      <c r="Q146" s="32">
        <f t="shared" si="94"/>
        <v>33.126689730857173</v>
      </c>
      <c r="R146" s="32">
        <f t="shared" si="94"/>
        <v>23.488318577108203</v>
      </c>
      <c r="S146" s="32">
        <f t="shared" si="94"/>
        <v>1.2677487454833847</v>
      </c>
      <c r="T146" s="32">
        <f t="shared" si="94"/>
        <v>20.558627933716068</v>
      </c>
      <c r="U146" s="32">
        <f t="shared" si="94"/>
        <v>-89.082420843479738</v>
      </c>
      <c r="V146" s="32">
        <f t="shared" si="94"/>
        <v>1.1580188248327654</v>
      </c>
      <c r="W146" s="32">
        <f t="shared" si="94"/>
        <v>-15.259466994251088</v>
      </c>
      <c r="X146" s="32">
        <f t="shared" si="94"/>
        <v>7.8722268400318711</v>
      </c>
      <c r="Y146" s="32">
        <f t="shared" si="94"/>
        <v>1.9024503585798531</v>
      </c>
      <c r="Z146" s="32">
        <f t="shared" si="94"/>
        <v>7.2847285846106189</v>
      </c>
      <c r="AA146" s="32">
        <f t="shared" si="94"/>
        <v>12.576816254545463</v>
      </c>
      <c r="AB146" s="32">
        <f t="shared" si="94"/>
        <v>-0.3332546960239085</v>
      </c>
      <c r="AC146" s="32">
        <f t="shared" si="94"/>
        <v>-16.566357902123094</v>
      </c>
      <c r="AD146" s="32">
        <f t="shared" si="94"/>
        <v>17.881489160935981</v>
      </c>
      <c r="AE146" s="32">
        <f t="shared" ref="AE146:AF146" si="95">1000000000*AE115/$C$175</f>
        <v>1.7008147435314909</v>
      </c>
      <c r="AF146" s="32">
        <f t="shared" si="95"/>
        <v>-8.1739527758924223E-4</v>
      </c>
    </row>
    <row r="147" spans="1:32" x14ac:dyDescent="0.25">
      <c r="B147" s="3" t="s">
        <v>15</v>
      </c>
      <c r="C147" s="32">
        <f t="shared" ref="C147:AD147" si="96">1000000000*C116/$D$176</f>
        <v>124.19060593625611</v>
      </c>
      <c r="D147" s="32">
        <f t="shared" si="96"/>
        <v>1.3331511742619668</v>
      </c>
      <c r="E147" s="32">
        <f t="shared" si="96"/>
        <v>-1.9060446195735967</v>
      </c>
      <c r="F147" s="32">
        <f t="shared" si="96"/>
        <v>-530.59863722026591</v>
      </c>
      <c r="G147" s="32">
        <f t="shared" si="96"/>
        <v>0.24726275696313862</v>
      </c>
      <c r="H147" s="32">
        <f t="shared" si="96"/>
        <v>3.4901141304444022E-2</v>
      </c>
      <c r="I147" s="32">
        <f t="shared" si="96"/>
        <v>-23.369839237822763</v>
      </c>
      <c r="J147" s="32">
        <f t="shared" si="96"/>
        <v>-220.08619860679246</v>
      </c>
      <c r="K147" s="32">
        <f t="shared" si="96"/>
        <v>-25.931250695429267</v>
      </c>
      <c r="L147" s="32">
        <f t="shared" si="96"/>
        <v>-2.8580137303822526</v>
      </c>
      <c r="M147" s="32">
        <f t="shared" si="96"/>
        <v>-149.20999364260865</v>
      </c>
      <c r="N147" s="32">
        <f t="shared" si="96"/>
        <v>-6.9047602157494961</v>
      </c>
      <c r="O147" s="32">
        <f t="shared" si="96"/>
        <v>-42.328358287556583</v>
      </c>
      <c r="P147" s="32">
        <f t="shared" si="96"/>
        <v>1.1271697011528419</v>
      </c>
      <c r="Q147" s="32">
        <f t="shared" si="96"/>
        <v>20.396301297537153</v>
      </c>
      <c r="R147" s="32">
        <f t="shared" si="96"/>
        <v>11.68319636522156</v>
      </c>
      <c r="S147" s="32">
        <f t="shared" si="96"/>
        <v>0.67460063471276543</v>
      </c>
      <c r="T147" s="32">
        <f t="shared" si="96"/>
        <v>-22.739269194555519</v>
      </c>
      <c r="U147" s="32">
        <f t="shared" si="96"/>
        <v>-16.036675424388903</v>
      </c>
      <c r="V147" s="32">
        <f t="shared" si="96"/>
        <v>0.76290320767364339</v>
      </c>
      <c r="W147" s="32">
        <f t="shared" si="96"/>
        <v>-44.520630615139076</v>
      </c>
      <c r="X147" s="32">
        <f t="shared" si="96"/>
        <v>-9.2179438880145295</v>
      </c>
      <c r="Y147" s="32">
        <f t="shared" si="96"/>
        <v>-5.6516717584596252</v>
      </c>
      <c r="Z147" s="32">
        <f t="shared" si="96"/>
        <v>-16.610946576783334</v>
      </c>
      <c r="AA147" s="32">
        <f t="shared" si="96"/>
        <v>-34.585245598460553</v>
      </c>
      <c r="AB147" s="32">
        <f t="shared" si="96"/>
        <v>0.45345583107580978</v>
      </c>
      <c r="AC147" s="32">
        <f t="shared" si="96"/>
        <v>-16.023017044698115</v>
      </c>
      <c r="AD147" s="32">
        <f t="shared" si="96"/>
        <v>-10.893998068089864</v>
      </c>
      <c r="AE147" s="32">
        <f t="shared" ref="AE147" si="97">1000000000*AE116/$C$175</f>
        <v>-0.40235734715901389</v>
      </c>
      <c r="AF147" s="32" t="s">
        <v>116</v>
      </c>
    </row>
    <row r="148" spans="1:32" x14ac:dyDescent="0.25">
      <c r="B148" s="3" t="s">
        <v>16</v>
      </c>
      <c r="C148" s="32">
        <f t="shared" ref="C148:AD148" si="98">1000000000*C117/$D$176</f>
        <v>374.79842855955349</v>
      </c>
      <c r="D148" s="32">
        <f t="shared" si="98"/>
        <v>1.8897824282345597</v>
      </c>
      <c r="E148" s="32">
        <f t="shared" si="98"/>
        <v>2.1070139288715564</v>
      </c>
      <c r="F148" s="32">
        <f t="shared" si="98"/>
        <v>-479.17804045080317</v>
      </c>
      <c r="G148" s="32">
        <f t="shared" si="98"/>
        <v>1.2943372813096958</v>
      </c>
      <c r="H148" s="32">
        <f t="shared" si="98"/>
        <v>0.17061339652305343</v>
      </c>
      <c r="I148" s="32">
        <f t="shared" si="98"/>
        <v>19.16908232177984</v>
      </c>
      <c r="J148" s="32">
        <f t="shared" si="98"/>
        <v>-1657.8050162304437</v>
      </c>
      <c r="K148" s="32">
        <f t="shared" si="98"/>
        <v>17.701946297205108</v>
      </c>
      <c r="L148" s="32">
        <f t="shared" si="98"/>
        <v>1.586287846338164</v>
      </c>
      <c r="M148" s="32">
        <f t="shared" si="98"/>
        <v>-125.1914162974345</v>
      </c>
      <c r="N148" s="32">
        <f t="shared" si="98"/>
        <v>2.1190772174294819</v>
      </c>
      <c r="O148" s="32">
        <f t="shared" si="98"/>
        <v>-33.380759285568608</v>
      </c>
      <c r="P148" s="32">
        <f t="shared" si="98"/>
        <v>1.2989353704598099</v>
      </c>
      <c r="Q148" s="32">
        <f t="shared" si="98"/>
        <v>34.118651475953428</v>
      </c>
      <c r="R148" s="32">
        <f t="shared" si="98"/>
        <v>22.277452293225036</v>
      </c>
      <c r="S148" s="32">
        <f t="shared" si="98"/>
        <v>1.4423472169590204</v>
      </c>
      <c r="T148" s="32">
        <f t="shared" si="98"/>
        <v>18.383242077192737</v>
      </c>
      <c r="U148" s="32">
        <f t="shared" si="98"/>
        <v>-116.74890533678428</v>
      </c>
      <c r="V148" s="32">
        <f t="shared" si="98"/>
        <v>1.0868366958715063</v>
      </c>
      <c r="W148" s="32">
        <f t="shared" si="98"/>
        <v>-14.091615005200614</v>
      </c>
      <c r="X148" s="32">
        <f t="shared" si="98"/>
        <v>10.276930656701801</v>
      </c>
      <c r="Y148" s="32">
        <f t="shared" si="98"/>
        <v>0.11599050175302505</v>
      </c>
      <c r="Z148" s="32">
        <f t="shared" si="98"/>
        <v>4.1347936455504781</v>
      </c>
      <c r="AA148" s="32">
        <f t="shared" si="98"/>
        <v>19.712266875731956</v>
      </c>
      <c r="AB148" s="32">
        <f t="shared" si="98"/>
        <v>-0.29034073704231783</v>
      </c>
      <c r="AC148" s="32">
        <f t="shared" si="98"/>
        <v>-17.308042292462559</v>
      </c>
      <c r="AD148" s="32">
        <f t="shared" si="98"/>
        <v>18.12278399623926</v>
      </c>
      <c r="AE148" s="32">
        <f t="shared" ref="AE148:AF148" si="99">1000000000*AE117/$C$175</f>
        <v>3.0456743570148739E-2</v>
      </c>
      <c r="AF148" s="32">
        <f t="shared" si="99"/>
        <v>-1.1845258167245541E-2</v>
      </c>
    </row>
    <row r="149" spans="1:32" x14ac:dyDescent="0.25">
      <c r="B149" s="3" t="s">
        <v>17</v>
      </c>
      <c r="C149" s="32">
        <f t="shared" ref="C149:AD149" si="100">1000000000*C118/$D$176</f>
        <v>2390.6145451689135</v>
      </c>
      <c r="D149" s="32">
        <f t="shared" si="100"/>
        <v>1.1794900698290203</v>
      </c>
      <c r="E149" s="32">
        <f t="shared" si="100"/>
        <v>-3.6658006631577345</v>
      </c>
      <c r="F149" s="32">
        <f t="shared" si="100"/>
        <v>-185.34611172063023</v>
      </c>
      <c r="G149" s="32">
        <f t="shared" si="100"/>
        <v>-4.025396751734911E-2</v>
      </c>
      <c r="H149" s="32">
        <f t="shared" si="100"/>
        <v>5.5299836776248161E-2</v>
      </c>
      <c r="I149" s="32">
        <f t="shared" si="100"/>
        <v>-21.512260810693864</v>
      </c>
      <c r="J149" s="32">
        <f t="shared" si="100"/>
        <v>-838.1330192542539</v>
      </c>
      <c r="K149" s="32">
        <f t="shared" si="100"/>
        <v>-37.778490639094272</v>
      </c>
      <c r="L149" s="32">
        <f t="shared" si="100"/>
        <v>-6.6945244916122952</v>
      </c>
      <c r="M149" s="32">
        <f t="shared" si="100"/>
        <v>16.593012531352077</v>
      </c>
      <c r="N149" s="32">
        <f t="shared" si="100"/>
        <v>-7.2109793173167942</v>
      </c>
      <c r="O149" s="32">
        <f t="shared" si="100"/>
        <v>4.8148563053823086</v>
      </c>
      <c r="P149" s="32">
        <f t="shared" si="100"/>
        <v>1.381799069861823</v>
      </c>
      <c r="Q149" s="32">
        <f t="shared" si="100"/>
        <v>21.624975979598599</v>
      </c>
      <c r="R149" s="32">
        <f t="shared" si="100"/>
        <v>9.158652506899557</v>
      </c>
      <c r="S149" s="32">
        <f t="shared" si="100"/>
        <v>0.63599404346011112</v>
      </c>
      <c r="T149" s="32">
        <f t="shared" si="100"/>
        <v>-29.381756668686748</v>
      </c>
      <c r="U149" s="32">
        <f t="shared" si="100"/>
        <v>-61.166375160482218</v>
      </c>
      <c r="V149" s="32">
        <f t="shared" si="100"/>
        <v>0.83348862230616116</v>
      </c>
      <c r="W149" s="32">
        <f t="shared" si="100"/>
        <v>-49.639079927475038</v>
      </c>
      <c r="X149" s="32">
        <f t="shared" si="100"/>
        <v>-11.630395774530621</v>
      </c>
      <c r="Y149" s="32">
        <f t="shared" si="100"/>
        <v>-6.2320962031204861</v>
      </c>
      <c r="Z149" s="32">
        <f t="shared" si="100"/>
        <v>-23.371619056171301</v>
      </c>
      <c r="AA149" s="32">
        <f t="shared" si="100"/>
        <v>-41.73630014987414</v>
      </c>
      <c r="AB149" s="32">
        <f t="shared" si="100"/>
        <v>0.19769629024491614</v>
      </c>
      <c r="AC149" s="32">
        <f t="shared" si="100"/>
        <v>-16.732978703641422</v>
      </c>
      <c r="AD149" s="32">
        <f t="shared" si="100"/>
        <v>11.462703051282141</v>
      </c>
      <c r="AE149" s="32">
        <f t="shared" ref="AE149:AF149" si="101">1000000000*AE118/$C$175</f>
        <v>2.8733030288342265</v>
      </c>
      <c r="AF149" s="32">
        <f t="shared" si="101"/>
        <v>1.7447920559985557E-2</v>
      </c>
    </row>
    <row r="150" spans="1:32" x14ac:dyDescent="0.25">
      <c r="B150" s="3" t="s">
        <v>18</v>
      </c>
      <c r="C150" s="32">
        <f t="shared" ref="C150:AD150" si="102">1000000000*C119/$D$176</f>
        <v>896.41643709327627</v>
      </c>
      <c r="D150" s="32">
        <f t="shared" si="102"/>
        <v>1.8625706720980391</v>
      </c>
      <c r="E150" s="32">
        <f t="shared" si="102"/>
        <v>1.2465832012587914</v>
      </c>
      <c r="F150" s="32">
        <f t="shared" si="102"/>
        <v>-57.510207812576539</v>
      </c>
      <c r="G150" s="32">
        <f t="shared" si="102"/>
        <v>1.2826365985536707</v>
      </c>
      <c r="H150" s="32">
        <f t="shared" si="102"/>
        <v>0.14835063316334596</v>
      </c>
      <c r="I150" s="32">
        <f t="shared" si="102"/>
        <v>0.24977850664811943</v>
      </c>
      <c r="J150" s="32">
        <f t="shared" si="102"/>
        <v>-612.34591382409678</v>
      </c>
      <c r="K150" s="32">
        <f t="shared" si="102"/>
        <v>-10.98334163500513</v>
      </c>
      <c r="L150" s="32">
        <f t="shared" si="102"/>
        <v>-1.4400912686039866</v>
      </c>
      <c r="M150" s="32">
        <f t="shared" si="102"/>
        <v>46.162781757429997</v>
      </c>
      <c r="N150" s="32">
        <f t="shared" si="102"/>
        <v>-1.0857003572673738</v>
      </c>
      <c r="O150" s="32">
        <f t="shared" si="102"/>
        <v>16.789183624402778</v>
      </c>
      <c r="P150" s="32">
        <f t="shared" si="102"/>
        <v>2.0692001229456953</v>
      </c>
      <c r="Q150" s="32">
        <f t="shared" si="102"/>
        <v>31.746043527131555</v>
      </c>
      <c r="R150" s="32">
        <f t="shared" si="102"/>
        <v>19.823404121887446</v>
      </c>
      <c r="S150" s="32">
        <f t="shared" si="102"/>
        <v>1.0978785294800337</v>
      </c>
      <c r="T150" s="32">
        <f t="shared" si="102"/>
        <v>6.9402419062086853</v>
      </c>
      <c r="U150" s="32">
        <f t="shared" si="102"/>
        <v>-11.557694075523353</v>
      </c>
      <c r="V150" s="32">
        <f t="shared" si="102"/>
        <v>0.97388539166791022</v>
      </c>
      <c r="W150" s="32">
        <f t="shared" si="102"/>
        <v>-29.610774036921846</v>
      </c>
      <c r="X150" s="32">
        <f t="shared" si="102"/>
        <v>-1.5366745321545687</v>
      </c>
      <c r="Y150" s="32">
        <f t="shared" si="102"/>
        <v>-3.3501840440650897E-3</v>
      </c>
      <c r="Z150" s="32">
        <f t="shared" si="102"/>
        <v>-1.4927035783803393</v>
      </c>
      <c r="AA150" s="32">
        <f t="shared" si="102"/>
        <v>-6.8790754310126445</v>
      </c>
      <c r="AB150" s="32">
        <f t="shared" si="102"/>
        <v>0.16561595398509607</v>
      </c>
      <c r="AC150" s="32">
        <f t="shared" si="102"/>
        <v>-11.934970451493767</v>
      </c>
      <c r="AD150" s="32">
        <f t="shared" si="102"/>
        <v>38.554731053688577</v>
      </c>
      <c r="AE150" s="32">
        <f t="shared" ref="AE150:AF150" si="103">1000000000*AE119/$C$175</f>
        <v>1.9961376524393761</v>
      </c>
      <c r="AF150" s="32">
        <f t="shared" si="103"/>
        <v>3.2008637717124623E-2</v>
      </c>
    </row>
    <row r="151" spans="1:32" x14ac:dyDescent="0.25">
      <c r="C151" s="3"/>
    </row>
    <row r="152" spans="1:32" x14ac:dyDescent="0.25">
      <c r="A152" s="89" t="s">
        <v>115</v>
      </c>
      <c r="B152" s="24" t="s">
        <v>144</v>
      </c>
      <c r="C152" s="19">
        <f>AVERAGE(C131:C135)</f>
        <v>1867.9297160043996</v>
      </c>
      <c r="D152" s="49">
        <f t="shared" ref="D152:AD152" si="104">AVERAGE(D131:D135)</f>
        <v>13.046661098259483</v>
      </c>
      <c r="E152" s="49">
        <f t="shared" si="104"/>
        <v>10.07204099195371</v>
      </c>
      <c r="F152" s="49">
        <f t="shared" si="104"/>
        <v>-191.65515872648038</v>
      </c>
      <c r="G152" s="49">
        <f t="shared" si="104"/>
        <v>0.52366362841026493</v>
      </c>
      <c r="H152" s="49">
        <f t="shared" si="104"/>
        <v>0.17738932915353467</v>
      </c>
      <c r="I152" s="49">
        <f t="shared" si="104"/>
        <v>20.856693905463779</v>
      </c>
      <c r="J152" s="49">
        <f t="shared" si="104"/>
        <v>-458.14613350122215</v>
      </c>
      <c r="K152" s="49">
        <f t="shared" si="104"/>
        <v>12.680115992814876</v>
      </c>
      <c r="L152" s="49">
        <f t="shared" si="104"/>
        <v>1.8464263524491362</v>
      </c>
      <c r="M152" s="49">
        <f t="shared" si="104"/>
        <v>44.276247148174306</v>
      </c>
      <c r="N152" s="49">
        <f t="shared" si="104"/>
        <v>1.2645663952435036</v>
      </c>
      <c r="O152" s="49">
        <f t="shared" si="104"/>
        <v>20.730627818763775</v>
      </c>
      <c r="P152" s="49">
        <f t="shared" si="104"/>
        <v>6.4505826958814483</v>
      </c>
      <c r="Q152" s="49">
        <f t="shared" si="104"/>
        <v>62.15608267103579</v>
      </c>
      <c r="R152" s="49">
        <f t="shared" si="104"/>
        <v>28.090749158467428</v>
      </c>
      <c r="S152" s="49">
        <f t="shared" si="104"/>
        <v>1.219829877969977</v>
      </c>
      <c r="T152" s="49">
        <f t="shared" si="104"/>
        <v>33.239378270236706</v>
      </c>
      <c r="U152" s="49">
        <f t="shared" si="104"/>
        <v>-28.890902094247007</v>
      </c>
      <c r="V152" s="49">
        <f t="shared" si="104"/>
        <v>2.7931099798970616</v>
      </c>
      <c r="W152" s="49">
        <f t="shared" si="104"/>
        <v>4.125373973658899</v>
      </c>
      <c r="X152" s="49">
        <f t="shared" si="104"/>
        <v>15.391068551925045</v>
      </c>
      <c r="Y152" s="49">
        <f t="shared" si="104"/>
        <v>2.5070432907518247</v>
      </c>
      <c r="Z152" s="49">
        <f t="shared" si="104"/>
        <v>12.116028899812113</v>
      </c>
      <c r="AA152" s="49">
        <f t="shared" si="104"/>
        <v>19.023739645116283</v>
      </c>
      <c r="AB152" s="49">
        <f t="shared" si="104"/>
        <v>0.56872981867669592</v>
      </c>
      <c r="AC152" s="49">
        <f t="shared" si="104"/>
        <v>-17.919088453413728</v>
      </c>
      <c r="AD152" s="49">
        <f t="shared" si="104"/>
        <v>9.2566688206108854</v>
      </c>
      <c r="AE152" s="49">
        <f t="shared" ref="AE152:AF152" si="105">AVERAGE(AE131:AE135)</f>
        <v>2.2870914661312183</v>
      </c>
      <c r="AF152" s="49">
        <f t="shared" si="105"/>
        <v>3.0312571877553436E-2</v>
      </c>
    </row>
    <row r="153" spans="1:32" x14ac:dyDescent="0.25">
      <c r="A153" s="82"/>
      <c r="B153" s="24" t="s">
        <v>145</v>
      </c>
      <c r="C153" s="19">
        <f>AVERAGE(C136:C140)</f>
        <v>2023.9649266897454</v>
      </c>
      <c r="D153" s="49">
        <f t="shared" ref="D153:AD153" si="106">AVERAGE(D136:D140)</f>
        <v>12.385220088108976</v>
      </c>
      <c r="E153" s="49">
        <f t="shared" si="106"/>
        <v>8.1258086876264706</v>
      </c>
      <c r="F153" s="49">
        <f t="shared" si="106"/>
        <v>-115.05893074129297</v>
      </c>
      <c r="G153" s="49">
        <f t="shared" si="106"/>
        <v>0.81001780349703478</v>
      </c>
      <c r="H153" s="49">
        <f t="shared" si="106"/>
        <v>8.6888409861240551E-2</v>
      </c>
      <c r="I153" s="49">
        <f t="shared" si="106"/>
        <v>10.14090643514179</v>
      </c>
      <c r="J153" s="49">
        <f t="shared" si="106"/>
        <v>-336.17240142925851</v>
      </c>
      <c r="K153" s="49">
        <f t="shared" si="106"/>
        <v>2.890069059486005</v>
      </c>
      <c r="L153" s="49">
        <f t="shared" si="106"/>
        <v>0.83216523191090785</v>
      </c>
      <c r="M153" s="49">
        <f t="shared" si="106"/>
        <v>51.691135964929266</v>
      </c>
      <c r="N153" s="49">
        <f t="shared" si="106"/>
        <v>0.4271194947828662</v>
      </c>
      <c r="O153" s="49">
        <f t="shared" si="106"/>
        <v>15.241361764979965</v>
      </c>
      <c r="P153" s="49">
        <f t="shared" si="106"/>
        <v>2.8375237474815327</v>
      </c>
      <c r="Q153" s="49">
        <f t="shared" si="106"/>
        <v>48.075256273822696</v>
      </c>
      <c r="R153" s="49">
        <f t="shared" si="106"/>
        <v>17.573574156657624</v>
      </c>
      <c r="S153" s="49">
        <f t="shared" si="106"/>
        <v>0.12718120714221329</v>
      </c>
      <c r="T153" s="49">
        <f t="shared" si="106"/>
        <v>13.589576663116821</v>
      </c>
      <c r="U153" s="49">
        <f t="shared" si="106"/>
        <v>-34.369180318785993</v>
      </c>
      <c r="V153" s="49">
        <f t="shared" si="106"/>
        <v>9.0505359551260212E-2</v>
      </c>
      <c r="W153" s="49">
        <f t="shared" si="106"/>
        <v>-15.156558623880533</v>
      </c>
      <c r="X153" s="49">
        <f t="shared" si="106"/>
        <v>7.0139186497198214</v>
      </c>
      <c r="Y153" s="49">
        <f t="shared" si="106"/>
        <v>1.1305636301290263</v>
      </c>
      <c r="Z153" s="49">
        <f t="shared" si="106"/>
        <v>2.0351074723598375</v>
      </c>
      <c r="AA153" s="49">
        <f t="shared" si="106"/>
        <v>9.6571085475271552</v>
      </c>
      <c r="AB153" s="49">
        <f t="shared" si="106"/>
        <v>0.4136597169925208</v>
      </c>
      <c r="AC153" s="49">
        <f t="shared" si="106"/>
        <v>-14.062466446718243</v>
      </c>
      <c r="AD153" s="49">
        <f t="shared" si="106"/>
        <v>1.0326485795408318</v>
      </c>
      <c r="AE153" s="49">
        <f t="shared" ref="AE153:AF153" si="107">AVERAGE(AE136:AE140)</f>
        <v>4.0432892958912756</v>
      </c>
      <c r="AF153" s="49">
        <f t="shared" si="107"/>
        <v>8.5782305351207594E-3</v>
      </c>
    </row>
    <row r="154" spans="1:32" x14ac:dyDescent="0.25">
      <c r="A154" s="82"/>
      <c r="B154" s="24" t="s">
        <v>146</v>
      </c>
      <c r="C154" s="19">
        <f>AVERAGE(C141:C145)</f>
        <v>1820.4333431647708</v>
      </c>
      <c r="D154" s="49">
        <f t="shared" ref="D154:AD154" si="108">AVERAGE(D141:D145)</f>
        <v>1.9099425625444919</v>
      </c>
      <c r="E154" s="49">
        <f t="shared" si="108"/>
        <v>-0.50109216493708886</v>
      </c>
      <c r="F154" s="49">
        <f t="shared" si="108"/>
        <v>-384.51204408900054</v>
      </c>
      <c r="G154" s="49">
        <f t="shared" si="108"/>
        <v>0.71950393865482809</v>
      </c>
      <c r="H154" s="49">
        <f t="shared" si="108"/>
        <v>0.19073019836776031</v>
      </c>
      <c r="I154" s="49">
        <f t="shared" si="108"/>
        <v>11.624064804917399</v>
      </c>
      <c r="J154" s="49">
        <f t="shared" si="108"/>
        <v>-791.07299555789871</v>
      </c>
      <c r="K154" s="49">
        <f t="shared" si="108"/>
        <v>1.332912224337965</v>
      </c>
      <c r="L154" s="49">
        <f t="shared" si="108"/>
        <v>-0.31027698428528028</v>
      </c>
      <c r="M154" s="49">
        <f t="shared" si="108"/>
        <v>-25.047342419296125</v>
      </c>
      <c r="N154" s="49">
        <f t="shared" si="108"/>
        <v>-3.0329572778281522</v>
      </c>
      <c r="O154" s="49">
        <f t="shared" si="108"/>
        <v>-3.3541219493190262</v>
      </c>
      <c r="P154" s="49">
        <f t="shared" si="108"/>
        <v>5.0184344187757626</v>
      </c>
      <c r="Q154" s="49">
        <f t="shared" si="108"/>
        <v>44.673729371072326</v>
      </c>
      <c r="R154" s="49">
        <f t="shared" si="108"/>
        <v>27.855677644304922</v>
      </c>
      <c r="S154" s="49">
        <f t="shared" si="108"/>
        <v>1.9628313835365589</v>
      </c>
      <c r="T154" s="49">
        <f t="shared" si="108"/>
        <v>8.1801255657906999</v>
      </c>
      <c r="U154" s="49">
        <f t="shared" si="108"/>
        <v>-58.212191256551037</v>
      </c>
      <c r="V154" s="49">
        <f t="shared" si="108"/>
        <v>3.5430282491015506</v>
      </c>
      <c r="W154" s="49">
        <f t="shared" si="108"/>
        <v>-14.019896050272155</v>
      </c>
      <c r="X154" s="49">
        <f t="shared" si="108"/>
        <v>4.9586728724338034</v>
      </c>
      <c r="Y154" s="49">
        <f t="shared" si="108"/>
        <v>-9.9366722056005316E-2</v>
      </c>
      <c r="Z154" s="49">
        <f t="shared" si="108"/>
        <v>-0.26039558183273981</v>
      </c>
      <c r="AA154" s="49">
        <f t="shared" si="108"/>
        <v>1.6173660240144003</v>
      </c>
      <c r="AB154" s="49">
        <f t="shared" si="108"/>
        <v>0.44661897850909549</v>
      </c>
      <c r="AC154" s="49">
        <f t="shared" si="108"/>
        <v>-24.318576251899145</v>
      </c>
      <c r="AD154" s="49">
        <f t="shared" si="108"/>
        <v>18.811138298649105</v>
      </c>
      <c r="AE154" s="49">
        <f t="shared" ref="AE154:AF154" si="109">AVERAGE(AE141:AE145)</f>
        <v>1.5222631898439758</v>
      </c>
      <c r="AF154" s="49">
        <f t="shared" si="109"/>
        <v>1.2505599131737872E-2</v>
      </c>
    </row>
    <row r="155" spans="1:32" x14ac:dyDescent="0.25">
      <c r="A155" s="82"/>
      <c r="B155" s="24" t="s">
        <v>147</v>
      </c>
      <c r="C155" s="19">
        <f>AVERAGE(C146:C150)</f>
        <v>1058.8486574872136</v>
      </c>
      <c r="D155" s="49">
        <f t="shared" ref="D155:AD155" si="110">AVERAGE(D146:D150)</f>
        <v>1.6188959633647784</v>
      </c>
      <c r="E155" s="49">
        <f t="shared" si="110"/>
        <v>1.4765732449619184E-2</v>
      </c>
      <c r="F155" s="49">
        <f t="shared" si="110"/>
        <v>-299.66999303329726</v>
      </c>
      <c r="G155" s="49">
        <f t="shared" si="110"/>
        <v>0.76780625573332517</v>
      </c>
      <c r="H155" s="49">
        <f t="shared" si="110"/>
        <v>0.11029673575525409</v>
      </c>
      <c r="I155" s="49">
        <f t="shared" si="110"/>
        <v>-4.7343193973172948</v>
      </c>
      <c r="J155" s="49">
        <f t="shared" si="110"/>
        <v>-915.48006378630851</v>
      </c>
      <c r="K155" s="49">
        <f t="shared" si="110"/>
        <v>-9.0283573262116583</v>
      </c>
      <c r="L155" s="49">
        <f t="shared" si="110"/>
        <v>-1.5343929359836652</v>
      </c>
      <c r="M155" s="49">
        <f t="shared" si="110"/>
        <v>-47.447482887538634</v>
      </c>
      <c r="N155" s="49">
        <f t="shared" si="110"/>
        <v>-2.5982478271083473</v>
      </c>
      <c r="O155" s="49">
        <f t="shared" si="110"/>
        <v>-11.819718146804627</v>
      </c>
      <c r="P155" s="49">
        <f t="shared" si="110"/>
        <v>1.5763497955676287</v>
      </c>
      <c r="Q155" s="49">
        <f t="shared" si="110"/>
        <v>28.202532402215581</v>
      </c>
      <c r="R155" s="49">
        <f t="shared" si="110"/>
        <v>17.286204772868363</v>
      </c>
      <c r="S155" s="49">
        <f t="shared" si="110"/>
        <v>1.023713834019063</v>
      </c>
      <c r="T155" s="49">
        <f t="shared" si="110"/>
        <v>-1.2477827892249553</v>
      </c>
      <c r="U155" s="49">
        <f t="shared" si="110"/>
        <v>-58.918414168131697</v>
      </c>
      <c r="V155" s="49">
        <f t="shared" si="110"/>
        <v>0.96302654847039726</v>
      </c>
      <c r="W155" s="49">
        <f t="shared" si="110"/>
        <v>-30.624313315797529</v>
      </c>
      <c r="X155" s="49">
        <f t="shared" si="110"/>
        <v>-0.84717133959320956</v>
      </c>
      <c r="Y155" s="49">
        <f t="shared" si="110"/>
        <v>-1.9737354570582597</v>
      </c>
      <c r="Z155" s="49">
        <f t="shared" si="110"/>
        <v>-6.0111493962347762</v>
      </c>
      <c r="AA155" s="49">
        <f t="shared" si="110"/>
        <v>-10.182307609813984</v>
      </c>
      <c r="AB155" s="49">
        <f t="shared" si="110"/>
        <v>3.8634528447919134E-2</v>
      </c>
      <c r="AC155" s="49">
        <f t="shared" si="110"/>
        <v>-15.713073278883792</v>
      </c>
      <c r="AD155" s="49">
        <f t="shared" si="110"/>
        <v>15.025541838811218</v>
      </c>
      <c r="AE155" s="49">
        <f t="shared" ref="AE155:AF155" si="111">AVERAGE(AE146:AE150)</f>
        <v>1.2396709642432457</v>
      </c>
      <c r="AF155" s="49">
        <f t="shared" si="111"/>
        <v>9.1984762080688492E-3</v>
      </c>
    </row>
    <row r="156" spans="1:32" x14ac:dyDescent="0.25">
      <c r="C156" s="50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x14ac:dyDescent="0.25">
      <c r="A157" s="89" t="s">
        <v>159</v>
      </c>
      <c r="B157" s="24" t="s">
        <v>144</v>
      </c>
      <c r="C157" s="49">
        <f>STDEV(C131:C135)</f>
        <v>951.22359531122595</v>
      </c>
      <c r="D157" s="49">
        <f t="shared" ref="D157:AD157" si="112">STDEV(D131:D135)</f>
        <v>0.76961981473058505</v>
      </c>
      <c r="E157" s="49">
        <f t="shared" si="112"/>
        <v>1.2247550530100633</v>
      </c>
      <c r="F157" s="49">
        <f t="shared" si="112"/>
        <v>348.6049783922229</v>
      </c>
      <c r="G157" s="49">
        <f t="shared" si="112"/>
        <v>0.9124742046450296</v>
      </c>
      <c r="H157" s="49">
        <f t="shared" si="112"/>
        <v>3.0215640491974366E-2</v>
      </c>
      <c r="I157" s="49">
        <f t="shared" si="112"/>
        <v>12.287291098251526</v>
      </c>
      <c r="J157" s="49">
        <f t="shared" si="112"/>
        <v>246.9307157508062</v>
      </c>
      <c r="K157" s="49">
        <f t="shared" si="112"/>
        <v>7.3856476384882113</v>
      </c>
      <c r="L157" s="49">
        <f t="shared" si="112"/>
        <v>0.52822074775983718</v>
      </c>
      <c r="M157" s="49">
        <f t="shared" si="112"/>
        <v>152.71555869710187</v>
      </c>
      <c r="N157" s="49">
        <f t="shared" si="112"/>
        <v>1.8461634905560358</v>
      </c>
      <c r="O157" s="49">
        <f t="shared" si="112"/>
        <v>45.752284496713955</v>
      </c>
      <c r="P157" s="49">
        <f t="shared" si="112"/>
        <v>0.73249433672816366</v>
      </c>
      <c r="Q157" s="49">
        <f t="shared" si="112"/>
        <v>1.5998437149193088</v>
      </c>
      <c r="R157" s="49">
        <f t="shared" si="112"/>
        <v>2.7851662116864873</v>
      </c>
      <c r="S157" s="49">
        <f t="shared" si="112"/>
        <v>0.10698694526811477</v>
      </c>
      <c r="T157" s="49">
        <f t="shared" si="112"/>
        <v>8.7881092560579539</v>
      </c>
      <c r="U157" s="49">
        <f t="shared" si="112"/>
        <v>16.696293569922545</v>
      </c>
      <c r="V157" s="49">
        <f t="shared" si="112"/>
        <v>0.23593792196440955</v>
      </c>
      <c r="W157" s="49">
        <f t="shared" si="112"/>
        <v>10.82902292291041</v>
      </c>
      <c r="X157" s="49">
        <f t="shared" si="112"/>
        <v>5.2263728957154694</v>
      </c>
      <c r="Y157" s="49">
        <f t="shared" si="112"/>
        <v>1.9446416367252513</v>
      </c>
      <c r="Z157" s="49">
        <f t="shared" si="112"/>
        <v>5.5752884930735407</v>
      </c>
      <c r="AA157" s="49">
        <f t="shared" si="112"/>
        <v>11.520008013303388</v>
      </c>
      <c r="AB157" s="49">
        <f t="shared" si="112"/>
        <v>9.707825388174543E-2</v>
      </c>
      <c r="AC157" s="49">
        <f t="shared" si="112"/>
        <v>0.40426439004272352</v>
      </c>
      <c r="AD157" s="49">
        <f t="shared" si="112"/>
        <v>66.611896300398868</v>
      </c>
      <c r="AE157" s="49">
        <f t="shared" ref="AE157:AF157" si="113">STDEV(AE131:AE135)</f>
        <v>1.4090927461574918</v>
      </c>
      <c r="AF157" s="49">
        <f t="shared" si="113"/>
        <v>2.4088584975532741E-2</v>
      </c>
    </row>
    <row r="158" spans="1:32" x14ac:dyDescent="0.25">
      <c r="A158" s="82"/>
      <c r="B158" s="24" t="s">
        <v>145</v>
      </c>
      <c r="C158" s="49">
        <f>STDEV(C136:C140)</f>
        <v>204.64718290137543</v>
      </c>
      <c r="D158" s="49">
        <f t="shared" ref="D158:AD158" si="114">STDEV(D136:D140)</f>
        <v>1.1119579094055523</v>
      </c>
      <c r="E158" s="49">
        <f t="shared" si="114"/>
        <v>2.1179452369295726</v>
      </c>
      <c r="F158" s="49">
        <f t="shared" si="114"/>
        <v>20.664861336687004</v>
      </c>
      <c r="G158" s="49">
        <f t="shared" si="114"/>
        <v>0.56375256981623778</v>
      </c>
      <c r="H158" s="49">
        <f t="shared" si="114"/>
        <v>4.5433788988690937E-2</v>
      </c>
      <c r="I158" s="49">
        <f t="shared" si="114"/>
        <v>11.516784851523719</v>
      </c>
      <c r="J158" s="49">
        <f t="shared" si="114"/>
        <v>385.34820370070105</v>
      </c>
      <c r="K158" s="49">
        <f t="shared" si="114"/>
        <v>12.475948531835337</v>
      </c>
      <c r="L158" s="49">
        <f t="shared" si="114"/>
        <v>1.957156672421928</v>
      </c>
      <c r="M158" s="49">
        <f t="shared" si="114"/>
        <v>15.394035223666799</v>
      </c>
      <c r="N158" s="49">
        <f t="shared" si="114"/>
        <v>1.5869856158343194</v>
      </c>
      <c r="O158" s="49">
        <f t="shared" si="114"/>
        <v>3.0174155252787109</v>
      </c>
      <c r="P158" s="49">
        <f t="shared" si="114"/>
        <v>0.61584627558029448</v>
      </c>
      <c r="Q158" s="49">
        <f t="shared" si="114"/>
        <v>2.6454135980021127</v>
      </c>
      <c r="R158" s="49">
        <f t="shared" si="114"/>
        <v>1.4659014362564451</v>
      </c>
      <c r="S158" s="49">
        <f t="shared" si="114"/>
        <v>8.2339433935366427E-2</v>
      </c>
      <c r="T158" s="49">
        <f t="shared" si="114"/>
        <v>6.8950336552516545</v>
      </c>
      <c r="U158" s="49">
        <f t="shared" si="114"/>
        <v>18.47063290145655</v>
      </c>
      <c r="V158" s="49">
        <f t="shared" si="114"/>
        <v>5.3112882392837409E-2</v>
      </c>
      <c r="W158" s="49">
        <f t="shared" si="114"/>
        <v>7.5613825981122824</v>
      </c>
      <c r="X158" s="49">
        <f t="shared" si="114"/>
        <v>3.286701096826405</v>
      </c>
      <c r="Y158" s="49">
        <f t="shared" si="114"/>
        <v>1.7289967330931204</v>
      </c>
      <c r="Z158" s="49">
        <f t="shared" si="114"/>
        <v>6.4856536597391026</v>
      </c>
      <c r="AA158" s="49">
        <f t="shared" si="114"/>
        <v>13.089337839216585</v>
      </c>
      <c r="AB158" s="49">
        <f t="shared" si="114"/>
        <v>0.21346348687019745</v>
      </c>
      <c r="AC158" s="49">
        <f t="shared" si="114"/>
        <v>0.66518454738916877</v>
      </c>
      <c r="AD158" s="49">
        <f t="shared" si="114"/>
        <v>27.041337720557152</v>
      </c>
      <c r="AE158" s="49">
        <f t="shared" ref="AE158:AF158" si="115">STDEV(AE136:AE140)</f>
        <v>0.55272203385852969</v>
      </c>
      <c r="AF158" s="49">
        <f t="shared" si="115"/>
        <v>5.8887469771460406E-3</v>
      </c>
    </row>
    <row r="159" spans="1:32" x14ac:dyDescent="0.25">
      <c r="A159" s="82"/>
      <c r="B159" s="24" t="s">
        <v>146</v>
      </c>
      <c r="C159" s="49">
        <f>STDEV(C141:C145)</f>
        <v>1749.8291657204754</v>
      </c>
      <c r="D159" s="49">
        <f t="shared" ref="D159:AD159" si="116">STDEV(D141:D145)</f>
        <v>0.1386175893941837</v>
      </c>
      <c r="E159" s="49">
        <f t="shared" si="116"/>
        <v>1.6378433887188397</v>
      </c>
      <c r="F159" s="49">
        <f t="shared" si="116"/>
        <v>405.21940001609897</v>
      </c>
      <c r="G159" s="49">
        <f t="shared" si="116"/>
        <v>0.93512001387369881</v>
      </c>
      <c r="H159" s="49">
        <f t="shared" si="116"/>
        <v>6.1445083451046302E-2</v>
      </c>
      <c r="I159" s="49">
        <f t="shared" si="116"/>
        <v>6.060845221974148</v>
      </c>
      <c r="J159" s="49">
        <f t="shared" si="116"/>
        <v>371.748573320405</v>
      </c>
      <c r="K159" s="49">
        <f t="shared" si="116"/>
        <v>11.064389354039193</v>
      </c>
      <c r="L159" s="49">
        <f t="shared" si="116"/>
        <v>1.9002776289345595</v>
      </c>
      <c r="M159" s="49">
        <f t="shared" si="116"/>
        <v>179.82235249466157</v>
      </c>
      <c r="N159" s="49">
        <f t="shared" si="116"/>
        <v>2.0087949985303233</v>
      </c>
      <c r="O159" s="49">
        <f t="shared" si="116"/>
        <v>52.476664235563391</v>
      </c>
      <c r="P159" s="49">
        <f t="shared" si="116"/>
        <v>0.316387709202398</v>
      </c>
      <c r="Q159" s="49">
        <f t="shared" si="116"/>
        <v>3.1464644077308432</v>
      </c>
      <c r="R159" s="49">
        <f t="shared" si="116"/>
        <v>3.3069782979696694</v>
      </c>
      <c r="S159" s="49">
        <f t="shared" si="116"/>
        <v>0.29809042624506477</v>
      </c>
      <c r="T159" s="49">
        <f t="shared" si="116"/>
        <v>14.587179830175394</v>
      </c>
      <c r="U159" s="49">
        <f t="shared" si="116"/>
        <v>31.580034381371398</v>
      </c>
      <c r="V159" s="49">
        <f t="shared" si="116"/>
        <v>0.33023757797191117</v>
      </c>
      <c r="W159" s="49">
        <f t="shared" si="116"/>
        <v>9.8658289700138919</v>
      </c>
      <c r="X159" s="49">
        <f t="shared" si="116"/>
        <v>2.9584905712619696</v>
      </c>
      <c r="Y159" s="49">
        <f t="shared" si="116"/>
        <v>2.7199561076836711</v>
      </c>
      <c r="Z159" s="49">
        <f t="shared" si="116"/>
        <v>6.3789910590313967</v>
      </c>
      <c r="AA159" s="49">
        <f t="shared" si="116"/>
        <v>21.813887218804528</v>
      </c>
      <c r="AB159" s="49">
        <f t="shared" si="116"/>
        <v>0.26296739216114517</v>
      </c>
      <c r="AC159" s="49">
        <f t="shared" si="116"/>
        <v>2.244215956904875</v>
      </c>
      <c r="AD159" s="49">
        <f t="shared" si="116"/>
        <v>50.258966388400822</v>
      </c>
      <c r="AE159" s="49">
        <f t="shared" ref="AE159:AF159" si="117">STDEV(AE141:AE145)</f>
        <v>1.5824224916701601</v>
      </c>
      <c r="AF159" s="49">
        <f t="shared" si="117"/>
        <v>2.4092123717515429E-2</v>
      </c>
    </row>
    <row r="160" spans="1:32" x14ac:dyDescent="0.25">
      <c r="A160" s="82"/>
      <c r="B160" s="24" t="s">
        <v>147</v>
      </c>
      <c r="C160" s="49">
        <f>STDEV(C146:C150)</f>
        <v>914.25277382955983</v>
      </c>
      <c r="D160" s="49">
        <f t="shared" ref="D160:AD160" si="118">STDEV(D146:D150)</f>
        <v>0.33609240009820307</v>
      </c>
      <c r="E160" s="49">
        <f t="shared" si="118"/>
        <v>2.6606908857864036</v>
      </c>
      <c r="F160" s="49">
        <f t="shared" si="118"/>
        <v>200.10835697475054</v>
      </c>
      <c r="G160" s="49">
        <f t="shared" si="118"/>
        <v>0.62223794303513735</v>
      </c>
      <c r="H160" s="49">
        <f t="shared" si="118"/>
        <v>6.0870266903119329E-2</v>
      </c>
      <c r="I160" s="49">
        <f t="shared" si="118"/>
        <v>17.80157253351755</v>
      </c>
      <c r="J160" s="49">
        <f t="shared" si="118"/>
        <v>557.61714351214141</v>
      </c>
      <c r="K160" s="49">
        <f t="shared" si="118"/>
        <v>23.803821805171012</v>
      </c>
      <c r="L160" s="49">
        <f t="shared" si="118"/>
        <v>3.4932552043064868</v>
      </c>
      <c r="M160" s="49">
        <f t="shared" si="118"/>
        <v>86.22857038873984</v>
      </c>
      <c r="N160" s="49">
        <f t="shared" si="118"/>
        <v>4.2307509532783296</v>
      </c>
      <c r="O160" s="49">
        <f t="shared" si="118"/>
        <v>25.18645976240775</v>
      </c>
      <c r="P160" s="49">
        <f t="shared" si="118"/>
        <v>0.43096098640194141</v>
      </c>
      <c r="Q160" s="49">
        <f t="shared" si="118"/>
        <v>6.6333580096475666</v>
      </c>
      <c r="R160" s="49">
        <f t="shared" si="118"/>
        <v>6.4665863683841565</v>
      </c>
      <c r="S160" s="49">
        <f t="shared" si="118"/>
        <v>0.35795041950629342</v>
      </c>
      <c r="T160" s="49">
        <f t="shared" si="118"/>
        <v>23.352435143348995</v>
      </c>
      <c r="U160" s="49">
        <f t="shared" si="118"/>
        <v>45.664996609871174</v>
      </c>
      <c r="V160" s="49">
        <f t="shared" si="118"/>
        <v>0.16605592488875215</v>
      </c>
      <c r="W160" s="49">
        <f t="shared" si="118"/>
        <v>16.317972159281336</v>
      </c>
      <c r="X160" s="49">
        <f t="shared" si="118"/>
        <v>9.8310315679867912</v>
      </c>
      <c r="Y160" s="49">
        <f t="shared" si="118"/>
        <v>3.7059088246058027</v>
      </c>
      <c r="Z160" s="49">
        <f t="shared" si="118"/>
        <v>13.359252329190321</v>
      </c>
      <c r="AA160" s="49">
        <f t="shared" si="118"/>
        <v>27.44873618797449</v>
      </c>
      <c r="AB160" s="49">
        <f t="shared" si="118"/>
        <v>0.33912680526388189</v>
      </c>
      <c r="AC160" s="49">
        <f t="shared" si="118"/>
        <v>2.1611544363072923</v>
      </c>
      <c r="AD160" s="49">
        <f t="shared" si="118"/>
        <v>17.71925829718446</v>
      </c>
      <c r="AE160" s="49">
        <f t="shared" ref="AE160:AF160" si="119">STDEV(AE146:AE150)</f>
        <v>1.379502189642251</v>
      </c>
      <c r="AF160" s="49">
        <f t="shared" si="119"/>
        <v>1.9420892858470637E-2</v>
      </c>
    </row>
    <row r="161" spans="1:32" x14ac:dyDescent="0.2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spans="1:32" x14ac:dyDescent="0.25">
      <c r="A162" s="89" t="s">
        <v>160</v>
      </c>
      <c r="B162" s="24" t="s">
        <v>144</v>
      </c>
      <c r="C162" s="49">
        <f>PERCENTILE(C131:C135, 0.75)</f>
        <v>2368.4144138283959</v>
      </c>
      <c r="D162" s="49">
        <f t="shared" ref="D162:AD162" si="120">PERCENTILE(D131:D135, 0.75)</f>
        <v>12.98315039390522</v>
      </c>
      <c r="E162" s="49">
        <f t="shared" si="120"/>
        <v>10.223505528758082</v>
      </c>
      <c r="F162" s="49">
        <f t="shared" si="120"/>
        <v>-51.747814856625915</v>
      </c>
      <c r="G162" s="49">
        <f t="shared" si="120"/>
        <v>0.41257081544574858</v>
      </c>
      <c r="H162" s="49">
        <f t="shared" si="120"/>
        <v>0.18328977581681455</v>
      </c>
      <c r="I162" s="49">
        <f t="shared" si="120"/>
        <v>21.805607650119725</v>
      </c>
      <c r="J162" s="49">
        <f t="shared" si="120"/>
        <v>-243.47585761639823</v>
      </c>
      <c r="K162" s="49">
        <f t="shared" si="120"/>
        <v>17.874338895329416</v>
      </c>
      <c r="L162" s="49">
        <f t="shared" si="120"/>
        <v>2.0436881136869376</v>
      </c>
      <c r="M162" s="49">
        <f t="shared" si="120"/>
        <v>107.46791676290665</v>
      </c>
      <c r="N162" s="49">
        <f t="shared" si="120"/>
        <v>0.91361551066309787</v>
      </c>
      <c r="O162" s="49">
        <f t="shared" si="120"/>
        <v>43.213807106123618</v>
      </c>
      <c r="P162" s="49">
        <f t="shared" si="120"/>
        <v>6.7804767132208479</v>
      </c>
      <c r="Q162" s="49">
        <f t="shared" si="120"/>
        <v>62.196469022912858</v>
      </c>
      <c r="R162" s="49">
        <f t="shared" si="120"/>
        <v>29.376753567449015</v>
      </c>
      <c r="S162" s="49">
        <f t="shared" si="120"/>
        <v>1.2635691066776502</v>
      </c>
      <c r="T162" s="49">
        <f t="shared" si="120"/>
        <v>35.321692796015988</v>
      </c>
      <c r="U162" s="49">
        <f t="shared" si="120"/>
        <v>-30.018236707948638</v>
      </c>
      <c r="V162" s="49">
        <f t="shared" si="120"/>
        <v>2.8916107604121994</v>
      </c>
      <c r="W162" s="49">
        <f t="shared" si="120"/>
        <v>11.649167924768308</v>
      </c>
      <c r="X162" s="49">
        <f t="shared" si="120"/>
        <v>16.430317592114267</v>
      </c>
      <c r="Y162" s="49">
        <f t="shared" si="120"/>
        <v>3.9390427286398433</v>
      </c>
      <c r="Z162" s="49">
        <f t="shared" si="120"/>
        <v>13.590281088305451</v>
      </c>
      <c r="AA162" s="49">
        <f t="shared" si="120"/>
        <v>26.200228693673171</v>
      </c>
      <c r="AB162" s="49">
        <f t="shared" si="120"/>
        <v>0.64098990922218979</v>
      </c>
      <c r="AC162" s="49">
        <f t="shared" si="120"/>
        <v>-17.846462609742378</v>
      </c>
      <c r="AD162" s="49">
        <f t="shared" si="120"/>
        <v>76.270284970017883</v>
      </c>
      <c r="AE162" s="49">
        <f t="shared" ref="AE162:AF162" si="121">PERCENTILE(AE131:AE135, 0.75)</f>
        <v>3.0171503007483884</v>
      </c>
      <c r="AF162" s="49">
        <f t="shared" si="121"/>
        <v>4.2704935145386355E-2</v>
      </c>
    </row>
    <row r="163" spans="1:32" x14ac:dyDescent="0.25">
      <c r="A163" s="82"/>
      <c r="B163" s="24" t="s">
        <v>145</v>
      </c>
      <c r="C163" s="49">
        <f>PERCENTILE(C136:C140, 0.75)</f>
        <v>2065.2587536650472</v>
      </c>
      <c r="D163" s="49">
        <f t="shared" ref="D163:AD163" si="122">PERCENTILE(D136:D140, 0.75)</f>
        <v>13.035667531971583</v>
      </c>
      <c r="E163" s="49">
        <f t="shared" si="122"/>
        <v>9.8214736428742686</v>
      </c>
      <c r="F163" s="49">
        <f t="shared" si="122"/>
        <v>-108.70743564765417</v>
      </c>
      <c r="G163" s="49">
        <f t="shared" si="122"/>
        <v>1.2238419763155846</v>
      </c>
      <c r="H163" s="49">
        <f t="shared" si="122"/>
        <v>0.11316577675323156</v>
      </c>
      <c r="I163" s="49">
        <f t="shared" si="122"/>
        <v>15.330477434964596</v>
      </c>
      <c r="J163" s="49">
        <f t="shared" si="122"/>
        <v>-117.02843555802237</v>
      </c>
      <c r="K163" s="49">
        <f t="shared" si="122"/>
        <v>8.5241791529718256</v>
      </c>
      <c r="L163" s="49">
        <f t="shared" si="122"/>
        <v>1.6233797194444148</v>
      </c>
      <c r="M163" s="49">
        <f t="shared" si="122"/>
        <v>60.924861071649744</v>
      </c>
      <c r="N163" s="49">
        <f t="shared" si="122"/>
        <v>1.7836641275816454</v>
      </c>
      <c r="O163" s="49">
        <f t="shared" si="122"/>
        <v>15.630148262017162</v>
      </c>
      <c r="P163" s="49">
        <f t="shared" si="122"/>
        <v>3.4974014452598126</v>
      </c>
      <c r="Q163" s="49">
        <f t="shared" si="122"/>
        <v>49.588349574046092</v>
      </c>
      <c r="R163" s="49">
        <f t="shared" si="122"/>
        <v>18.175518328464111</v>
      </c>
      <c r="S163" s="49">
        <f t="shared" si="122"/>
        <v>0.17674113460531612</v>
      </c>
      <c r="T163" s="49">
        <f t="shared" si="122"/>
        <v>18.815367125423503</v>
      </c>
      <c r="U163" s="49">
        <f t="shared" si="122"/>
        <v>-29.128842123582444</v>
      </c>
      <c r="V163" s="49">
        <f t="shared" si="122"/>
        <v>0.12161420686403371</v>
      </c>
      <c r="W163" s="49">
        <f t="shared" si="122"/>
        <v>-8.8559124572097367</v>
      </c>
      <c r="X163" s="49">
        <f t="shared" si="122"/>
        <v>9.4013399402210673</v>
      </c>
      <c r="Y163" s="49">
        <f t="shared" si="122"/>
        <v>1.4298699265367916</v>
      </c>
      <c r="Z163" s="49">
        <f t="shared" si="122"/>
        <v>4.7734778450680277</v>
      </c>
      <c r="AA163" s="49">
        <f t="shared" si="122"/>
        <v>16.169017718909668</v>
      </c>
      <c r="AB163" s="49">
        <f t="shared" si="122"/>
        <v>0.51973046437467507</v>
      </c>
      <c r="AC163" s="49">
        <f t="shared" si="122"/>
        <v>-13.778202521692025</v>
      </c>
      <c r="AD163" s="49">
        <f t="shared" si="122"/>
        <v>8.7108440557981126</v>
      </c>
      <c r="AE163" s="49">
        <f t="shared" ref="AE163:AF163" si="123">PERCENTILE(AE136:AE140, 0.75)</f>
        <v>4.2690142544501821</v>
      </c>
      <c r="AF163" s="49">
        <f t="shared" si="123"/>
        <v>1.0191154336644555E-2</v>
      </c>
    </row>
    <row r="164" spans="1:32" x14ac:dyDescent="0.25">
      <c r="A164" s="82"/>
      <c r="B164" s="24" t="s">
        <v>146</v>
      </c>
      <c r="C164" s="49">
        <f>PERCENTILE(C141:C145, 0.75)</f>
        <v>2308.754240140106</v>
      </c>
      <c r="D164" s="49">
        <f t="shared" ref="D164:AD164" si="124">PERCENTILE(D141:D145, 0.75)</f>
        <v>1.9855583237969416</v>
      </c>
      <c r="E164" s="49">
        <f t="shared" si="124"/>
        <v>0.34030254576126545</v>
      </c>
      <c r="F164" s="49">
        <f t="shared" si="124"/>
        <v>-149.54177525953631</v>
      </c>
      <c r="G164" s="49">
        <f t="shared" si="124"/>
        <v>0.96615307788964011</v>
      </c>
      <c r="H164" s="49">
        <f t="shared" si="124"/>
        <v>0.21338029151480187</v>
      </c>
      <c r="I164" s="49">
        <f t="shared" si="124"/>
        <v>16.695313006751562</v>
      </c>
      <c r="J164" s="49">
        <f t="shared" si="124"/>
        <v>-415.77964925705913</v>
      </c>
      <c r="K164" s="49">
        <f t="shared" si="124"/>
        <v>1.2047892334521322</v>
      </c>
      <c r="L164" s="49">
        <f t="shared" si="124"/>
        <v>0.66810002402072677</v>
      </c>
      <c r="M164" s="49">
        <f t="shared" si="124"/>
        <v>92.963898292268709</v>
      </c>
      <c r="N164" s="49">
        <f t="shared" si="124"/>
        <v>-1.6368905244932206</v>
      </c>
      <c r="O164" s="49">
        <f t="shared" si="124"/>
        <v>27.432620684510677</v>
      </c>
      <c r="P164" s="49">
        <f t="shared" si="124"/>
        <v>5.204801170483897</v>
      </c>
      <c r="Q164" s="49">
        <f t="shared" si="124"/>
        <v>46.58840526782285</v>
      </c>
      <c r="R164" s="49">
        <f t="shared" si="124"/>
        <v>28.377127388319469</v>
      </c>
      <c r="S164" s="49">
        <f t="shared" si="124"/>
        <v>2.2202198955582069</v>
      </c>
      <c r="T164" s="49">
        <f t="shared" si="124"/>
        <v>17.328593329808957</v>
      </c>
      <c r="U164" s="49">
        <f t="shared" si="124"/>
        <v>-26.567713549985722</v>
      </c>
      <c r="V164" s="49">
        <f t="shared" si="124"/>
        <v>3.5941958326784551</v>
      </c>
      <c r="W164" s="49">
        <f t="shared" si="124"/>
        <v>-9.9815503754064707</v>
      </c>
      <c r="X164" s="49">
        <f t="shared" si="124"/>
        <v>7.3235214529614865</v>
      </c>
      <c r="Y164" s="49">
        <f t="shared" si="124"/>
        <v>2.4597871275341845</v>
      </c>
      <c r="Z164" s="49">
        <f t="shared" si="124"/>
        <v>0.2505150148270574</v>
      </c>
      <c r="AA164" s="49">
        <f t="shared" si="124"/>
        <v>11.426432330933153</v>
      </c>
      <c r="AB164" s="49">
        <f t="shared" si="124"/>
        <v>0.60661669200242274</v>
      </c>
      <c r="AC164" s="49">
        <f t="shared" si="124"/>
        <v>-23.160169505834979</v>
      </c>
      <c r="AD164" s="49">
        <f t="shared" si="124"/>
        <v>56.241584433099348</v>
      </c>
      <c r="AE164" s="49">
        <f t="shared" ref="AE164:AF164" si="125">PERCENTILE(AE141:AE145, 0.75)</f>
        <v>2.6333388033302421</v>
      </c>
      <c r="AF164" s="49">
        <f t="shared" si="125"/>
        <v>2.9987618221601214E-2</v>
      </c>
    </row>
    <row r="165" spans="1:32" x14ac:dyDescent="0.25">
      <c r="A165" s="82"/>
      <c r="B165" s="24" t="s">
        <v>147</v>
      </c>
      <c r="C165" s="49">
        <f>PERCENTILE(C146:C150, 0.75)</f>
        <v>1508.2232706780676</v>
      </c>
      <c r="D165" s="49">
        <f t="shared" ref="D165:AD165" si="126">PERCENTILE(D146:D150, 0.75)</f>
        <v>1.8625706720980391</v>
      </c>
      <c r="E165" s="49">
        <f t="shared" si="126"/>
        <v>2.1070139288715564</v>
      </c>
      <c r="F165" s="49">
        <f t="shared" si="126"/>
        <v>-185.34611172063023</v>
      </c>
      <c r="G165" s="49">
        <f t="shared" si="126"/>
        <v>1.2826365985536707</v>
      </c>
      <c r="H165" s="49">
        <f t="shared" si="126"/>
        <v>0.14835063316334596</v>
      </c>
      <c r="I165" s="49">
        <f t="shared" si="126"/>
        <v>1.7916422335021907</v>
      </c>
      <c r="J165" s="49">
        <f t="shared" si="126"/>
        <v>-612.34591382409678</v>
      </c>
      <c r="K165" s="49">
        <f t="shared" si="126"/>
        <v>11.849350041265264</v>
      </c>
      <c r="L165" s="49">
        <f t="shared" si="126"/>
        <v>1.586287846338164</v>
      </c>
      <c r="M165" s="49">
        <f t="shared" si="126"/>
        <v>16.593012531352077</v>
      </c>
      <c r="N165" s="49">
        <f t="shared" si="126"/>
        <v>9.1123537362444829E-2</v>
      </c>
      <c r="O165" s="49">
        <f t="shared" si="126"/>
        <v>4.8148563053823086</v>
      </c>
      <c r="P165" s="49">
        <f t="shared" si="126"/>
        <v>2.004644713417973</v>
      </c>
      <c r="Q165" s="49">
        <f t="shared" si="126"/>
        <v>33.126689730857173</v>
      </c>
      <c r="R165" s="49">
        <f t="shared" si="126"/>
        <v>22.277452293225036</v>
      </c>
      <c r="S165" s="49">
        <f t="shared" si="126"/>
        <v>1.2677487454833847</v>
      </c>
      <c r="T165" s="49">
        <f t="shared" si="126"/>
        <v>18.383242077192737</v>
      </c>
      <c r="U165" s="49">
        <f t="shared" si="126"/>
        <v>-16.036675424388903</v>
      </c>
      <c r="V165" s="49">
        <f t="shared" si="126"/>
        <v>1.0868366958715063</v>
      </c>
      <c r="W165" s="49">
        <f t="shared" si="126"/>
        <v>-15.259466994251088</v>
      </c>
      <c r="X165" s="49">
        <f t="shared" si="126"/>
        <v>7.8722268400318711</v>
      </c>
      <c r="Y165" s="49">
        <f t="shared" si="126"/>
        <v>0.11599050175302505</v>
      </c>
      <c r="Z165" s="49">
        <f t="shared" si="126"/>
        <v>4.1347936455504781</v>
      </c>
      <c r="AA165" s="49">
        <f t="shared" si="126"/>
        <v>12.576816254545463</v>
      </c>
      <c r="AB165" s="49">
        <f t="shared" si="126"/>
        <v>0.19769629024491614</v>
      </c>
      <c r="AC165" s="49">
        <f t="shared" si="126"/>
        <v>-16.023017044698115</v>
      </c>
      <c r="AD165" s="49">
        <f t="shared" si="126"/>
        <v>18.12278399623926</v>
      </c>
      <c r="AE165" s="49">
        <f t="shared" ref="AE165:AF165" si="127">PERCENTILE(AE146:AE150, 0.75)</f>
        <v>1.9961376524393761</v>
      </c>
      <c r="AF165" s="49">
        <f t="shared" si="127"/>
        <v>2.1088099849270323E-2</v>
      </c>
    </row>
    <row r="166" spans="1:32" x14ac:dyDescent="0.2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spans="1:32" x14ac:dyDescent="0.25">
      <c r="A167" s="89" t="s">
        <v>161</v>
      </c>
      <c r="B167" s="24" t="s">
        <v>144</v>
      </c>
      <c r="C167" s="49">
        <f>PERCENTILE(C131:C135, 0.25)</f>
        <v>2156.2600465106161</v>
      </c>
      <c r="D167" s="49">
        <f t="shared" ref="D167:AD167" si="128">PERCENTILE(D131:D135, 0.25)</f>
        <v>12.573676261901246</v>
      </c>
      <c r="E167" s="49">
        <f t="shared" si="128"/>
        <v>10.162170629465171</v>
      </c>
      <c r="F167" s="49">
        <f t="shared" si="128"/>
        <v>-72.067625028705123</v>
      </c>
      <c r="G167" s="49">
        <f t="shared" si="128"/>
        <v>0.10476091662461519</v>
      </c>
      <c r="H167" s="49">
        <f t="shared" si="128"/>
        <v>0.16234572986733589</v>
      </c>
      <c r="I167" s="49">
        <f t="shared" si="128"/>
        <v>16.310583622073516</v>
      </c>
      <c r="J167" s="49">
        <f t="shared" si="128"/>
        <v>-674.2838566254145</v>
      </c>
      <c r="K167" s="49">
        <f t="shared" si="128"/>
        <v>11.915088219614558</v>
      </c>
      <c r="L167" s="49">
        <f t="shared" si="128"/>
        <v>1.5287137858225364</v>
      </c>
      <c r="M167" s="49">
        <f t="shared" si="128"/>
        <v>103.18678057849901</v>
      </c>
      <c r="N167" s="49">
        <f t="shared" si="128"/>
        <v>0.28982116618399634</v>
      </c>
      <c r="O167" s="49">
        <f t="shared" si="128"/>
        <v>34.810200239284541</v>
      </c>
      <c r="P167" s="49">
        <f t="shared" si="128"/>
        <v>5.8720746289324621</v>
      </c>
      <c r="Q167" s="49">
        <f t="shared" si="128"/>
        <v>61.169503158082804</v>
      </c>
      <c r="R167" s="49">
        <f t="shared" si="128"/>
        <v>26.009318783588089</v>
      </c>
      <c r="S167" s="49">
        <f t="shared" si="128"/>
        <v>1.1421926407358074</v>
      </c>
      <c r="T167" s="49">
        <f t="shared" si="128"/>
        <v>26.015727208952292</v>
      </c>
      <c r="U167" s="49">
        <f t="shared" si="128"/>
        <v>-35.319260093425356</v>
      </c>
      <c r="V167" s="49">
        <f t="shared" si="128"/>
        <v>2.8445538984864327</v>
      </c>
      <c r="W167" s="49">
        <f t="shared" si="128"/>
        <v>1.2575951363364903</v>
      </c>
      <c r="X167" s="49">
        <f t="shared" si="128"/>
        <v>11.262093684635031</v>
      </c>
      <c r="Y167" s="49">
        <f t="shared" si="128"/>
        <v>1.0402026140381173</v>
      </c>
      <c r="Z167" s="49">
        <f t="shared" si="128"/>
        <v>8.2332996485189014</v>
      </c>
      <c r="AA167" s="49">
        <f t="shared" si="128"/>
        <v>15.02481445267825</v>
      </c>
      <c r="AB167" s="49">
        <f t="shared" si="128"/>
        <v>0.48721506519793362</v>
      </c>
      <c r="AC167" s="49">
        <f t="shared" si="128"/>
        <v>-18.130085143035107</v>
      </c>
      <c r="AD167" s="49">
        <f t="shared" si="128"/>
        <v>-31.225952111564293</v>
      </c>
      <c r="AE167" s="49">
        <f t="shared" ref="AE167:AF167" si="129">PERCENTILE(AE131:AE135, 0.25)</f>
        <v>2.7460526971758084</v>
      </c>
      <c r="AF167" s="49">
        <f t="shared" si="129"/>
        <v>3.1824691611762893E-2</v>
      </c>
    </row>
    <row r="168" spans="1:32" x14ac:dyDescent="0.25">
      <c r="A168" s="82"/>
      <c r="B168" s="24" t="s">
        <v>145</v>
      </c>
      <c r="C168" s="49">
        <f>PERCENTILE(C136:C140, 0.25)</f>
        <v>2053.1738652184617</v>
      </c>
      <c r="D168" s="49">
        <f t="shared" ref="D168:AD168" si="130">PERCENTILE(D136:D140, 0.25)</f>
        <v>12.488169499669556</v>
      </c>
      <c r="E168" s="49">
        <f t="shared" si="130"/>
        <v>7.6017722743658922</v>
      </c>
      <c r="F168" s="49">
        <f t="shared" si="130"/>
        <v>-114.19290555511598</v>
      </c>
      <c r="G168" s="49">
        <f t="shared" si="130"/>
        <v>0.62369082306462897</v>
      </c>
      <c r="H168" s="49">
        <f t="shared" si="130"/>
        <v>5.0156934470742716E-2</v>
      </c>
      <c r="I168" s="49">
        <f t="shared" si="130"/>
        <v>7.0943628476464093</v>
      </c>
      <c r="J168" s="49">
        <f t="shared" si="130"/>
        <v>-347.82118739219828</v>
      </c>
      <c r="K168" s="49">
        <f t="shared" si="130"/>
        <v>2.0546473850353468</v>
      </c>
      <c r="L168" s="49">
        <f t="shared" si="130"/>
        <v>0.81405977396140816</v>
      </c>
      <c r="M168" s="49">
        <f t="shared" si="130"/>
        <v>53.666433323779927</v>
      </c>
      <c r="N168" s="49">
        <f t="shared" si="130"/>
        <v>-0.6021695557555059</v>
      </c>
      <c r="O168" s="49">
        <f t="shared" si="130"/>
        <v>13.311635017527028</v>
      </c>
      <c r="P168" s="49">
        <f t="shared" si="130"/>
        <v>2.4012216308311882</v>
      </c>
      <c r="Q168" s="49">
        <f t="shared" si="130"/>
        <v>46.652285728491272</v>
      </c>
      <c r="R168" s="49">
        <f t="shared" si="130"/>
        <v>17.27518373946813</v>
      </c>
      <c r="S168" s="49">
        <f t="shared" si="130"/>
        <v>8.388338319583305E-2</v>
      </c>
      <c r="T168" s="49">
        <f t="shared" si="130"/>
        <v>11.555600737583489</v>
      </c>
      <c r="U168" s="49">
        <f t="shared" si="130"/>
        <v>-41.429350358514547</v>
      </c>
      <c r="V168" s="49">
        <f t="shared" si="130"/>
        <v>4.9539995465327911E-2</v>
      </c>
      <c r="W168" s="49">
        <f t="shared" si="130"/>
        <v>-17.243639934109513</v>
      </c>
      <c r="X168" s="49">
        <f t="shared" si="130"/>
        <v>6.3069066660327824</v>
      </c>
      <c r="Y168" s="49">
        <f t="shared" si="130"/>
        <v>0.14325014045291856</v>
      </c>
      <c r="Z168" s="49">
        <f t="shared" si="130"/>
        <v>-2.0644259032009065</v>
      </c>
      <c r="AA168" s="49">
        <f t="shared" si="130"/>
        <v>4.6532128703436042</v>
      </c>
      <c r="AB168" s="49">
        <f t="shared" si="130"/>
        <v>0.39412746696015605</v>
      </c>
      <c r="AC168" s="49">
        <f t="shared" si="130"/>
        <v>-14.402913877033109</v>
      </c>
      <c r="AD168" s="49">
        <f t="shared" si="130"/>
        <v>-6.5787200734734821</v>
      </c>
      <c r="AE168" s="49">
        <f t="shared" ref="AE168:AF168" si="131">PERCENTILE(AE136:AE140, 0.25)</f>
        <v>4.0733889702962056</v>
      </c>
      <c r="AF168" s="49">
        <f t="shared" si="131"/>
        <v>6.1374905318873222E-3</v>
      </c>
    </row>
    <row r="169" spans="1:32" x14ac:dyDescent="0.25">
      <c r="A169" s="82"/>
      <c r="B169" s="24" t="s">
        <v>146</v>
      </c>
      <c r="C169" s="49">
        <f>PERCENTILE(C141:C145, 0.25)</f>
        <v>612.06178450619018</v>
      </c>
      <c r="D169" s="49">
        <f t="shared" ref="D169:AD169" si="132">PERCENTILE(D141:D145, 0.25)</f>
        <v>1.802421275582974</v>
      </c>
      <c r="E169" s="49">
        <f t="shared" si="132"/>
        <v>-1.17890060921198</v>
      </c>
      <c r="F169" s="49">
        <f t="shared" si="132"/>
        <v>-669.69560625762733</v>
      </c>
      <c r="G169" s="49">
        <f t="shared" si="132"/>
        <v>0.60242544201904569</v>
      </c>
      <c r="H169" s="49">
        <f t="shared" si="132"/>
        <v>0.15883484827374775</v>
      </c>
      <c r="I169" s="49">
        <f t="shared" si="132"/>
        <v>7.4384257921676715</v>
      </c>
      <c r="J169" s="49">
        <f t="shared" si="132"/>
        <v>-1059.7519166160068</v>
      </c>
      <c r="K169" s="49">
        <f t="shared" si="132"/>
        <v>-2.0280234950497484</v>
      </c>
      <c r="L169" s="49">
        <f t="shared" si="132"/>
        <v>-1.9587418437414958</v>
      </c>
      <c r="M169" s="49">
        <f t="shared" si="132"/>
        <v>-153.35553545447152</v>
      </c>
      <c r="N169" s="49">
        <f t="shared" si="132"/>
        <v>-4.9898349727589766</v>
      </c>
      <c r="O169" s="49">
        <f t="shared" si="132"/>
        <v>-37.346706489171289</v>
      </c>
      <c r="P169" s="49">
        <f t="shared" si="132"/>
        <v>4.7478599981873284</v>
      </c>
      <c r="Q169" s="49">
        <f t="shared" si="132"/>
        <v>42.806206990901117</v>
      </c>
      <c r="R169" s="49">
        <f t="shared" si="132"/>
        <v>25.532575221634019</v>
      </c>
      <c r="S169" s="49">
        <f t="shared" si="132"/>
        <v>1.6579799380317939</v>
      </c>
      <c r="T169" s="49">
        <f t="shared" si="132"/>
        <v>4.8246170287049868</v>
      </c>
      <c r="U169" s="49">
        <f t="shared" si="132"/>
        <v>-88.693462895360739</v>
      </c>
      <c r="V169" s="49">
        <f t="shared" si="132"/>
        <v>3.3205957220510598</v>
      </c>
      <c r="W169" s="49">
        <f t="shared" si="132"/>
        <v>-21.659295310833059</v>
      </c>
      <c r="X169" s="49">
        <f t="shared" si="132"/>
        <v>3.2530931825301455</v>
      </c>
      <c r="Y169" s="49">
        <f t="shared" si="132"/>
        <v>-1.79467491688971</v>
      </c>
      <c r="Z169" s="49">
        <f t="shared" si="132"/>
        <v>-4.2316956271392456</v>
      </c>
      <c r="AA169" s="49">
        <f t="shared" si="132"/>
        <v>-10.127530613830988</v>
      </c>
      <c r="AB169" s="49">
        <f t="shared" si="132"/>
        <v>0.28377388319186569</v>
      </c>
      <c r="AC169" s="49">
        <f t="shared" si="132"/>
        <v>-23.981162720158753</v>
      </c>
      <c r="AD169" s="49">
        <f t="shared" si="132"/>
        <v>-17.091962373350775</v>
      </c>
      <c r="AE169" s="49">
        <f t="shared" ref="AE169:AF169" si="133">PERCENTILE(AE141:AE145, 0.25)</f>
        <v>0.32646189563664529</v>
      </c>
      <c r="AF169" s="49">
        <f t="shared" si="133"/>
        <v>-3.5352342976633601E-3</v>
      </c>
    </row>
    <row r="170" spans="1:32" x14ac:dyDescent="0.25">
      <c r="A170" s="82"/>
      <c r="B170" s="24" t="s">
        <v>147</v>
      </c>
      <c r="C170" s="49">
        <f>PERCENTILE(C146:C150, 0.25)</f>
        <v>374.79842855955349</v>
      </c>
      <c r="D170" s="49">
        <f t="shared" ref="D170:AD170" si="134">PERCENTILE(D146:D150, 0.25)</f>
        <v>1.3331511742619668</v>
      </c>
      <c r="E170" s="49">
        <f t="shared" si="134"/>
        <v>-1.9060446195735967</v>
      </c>
      <c r="F170" s="49">
        <f t="shared" si="134"/>
        <v>-479.17804045080317</v>
      </c>
      <c r="G170" s="49">
        <f t="shared" si="134"/>
        <v>0.24726275696313862</v>
      </c>
      <c r="H170" s="49">
        <f t="shared" si="134"/>
        <v>5.5299836776248161E-2</v>
      </c>
      <c r="I170" s="49">
        <f t="shared" si="134"/>
        <v>-21.512260810693864</v>
      </c>
      <c r="J170" s="49">
        <f t="shared" si="134"/>
        <v>-1249.0301710159561</v>
      </c>
      <c r="K170" s="49">
        <f t="shared" si="134"/>
        <v>-25.931250695429267</v>
      </c>
      <c r="L170" s="49">
        <f t="shared" si="134"/>
        <v>-2.8580137303822526</v>
      </c>
      <c r="M170" s="49">
        <f t="shared" si="134"/>
        <v>-125.1914162974345</v>
      </c>
      <c r="N170" s="49">
        <f t="shared" si="134"/>
        <v>-6.9047602157494961</v>
      </c>
      <c r="O170" s="49">
        <f t="shared" si="134"/>
        <v>-33.380759285568608</v>
      </c>
      <c r="P170" s="49">
        <f t="shared" si="134"/>
        <v>1.2989353704598099</v>
      </c>
      <c r="Q170" s="49">
        <f t="shared" si="134"/>
        <v>21.624975979598599</v>
      </c>
      <c r="R170" s="49">
        <f t="shared" si="134"/>
        <v>11.68319636522156</v>
      </c>
      <c r="S170" s="49">
        <f t="shared" si="134"/>
        <v>0.67460063471276543</v>
      </c>
      <c r="T170" s="49">
        <f t="shared" si="134"/>
        <v>-22.739269194555519</v>
      </c>
      <c r="U170" s="49">
        <f t="shared" si="134"/>
        <v>-89.082420843479738</v>
      </c>
      <c r="V170" s="49">
        <f t="shared" si="134"/>
        <v>0.83348862230616116</v>
      </c>
      <c r="W170" s="49">
        <f t="shared" si="134"/>
        <v>-44.520630615139076</v>
      </c>
      <c r="X170" s="49">
        <f t="shared" si="134"/>
        <v>-9.2179438880145295</v>
      </c>
      <c r="Y170" s="49">
        <f t="shared" si="134"/>
        <v>-5.6516717584596252</v>
      </c>
      <c r="Z170" s="49">
        <f t="shared" si="134"/>
        <v>-16.610946576783334</v>
      </c>
      <c r="AA170" s="49">
        <f t="shared" si="134"/>
        <v>-34.585245598460553</v>
      </c>
      <c r="AB170" s="49">
        <f t="shared" si="134"/>
        <v>-0.29034073704231783</v>
      </c>
      <c r="AC170" s="49">
        <f t="shared" si="134"/>
        <v>-16.732978703641422</v>
      </c>
      <c r="AD170" s="49">
        <f t="shared" si="134"/>
        <v>11.462703051282141</v>
      </c>
      <c r="AE170" s="49">
        <f t="shared" ref="AE170:AF170" si="135">PERCENTILE(AE146:AE150, 0.25)</f>
        <v>3.0456743570148739E-2</v>
      </c>
      <c r="AF170" s="49">
        <f t="shared" si="135"/>
        <v>-3.5743610000033166E-3</v>
      </c>
    </row>
    <row r="174" spans="1:32" x14ac:dyDescent="0.25">
      <c r="C174" s="24" t="s">
        <v>104</v>
      </c>
      <c r="D174" s="24" t="s">
        <v>103</v>
      </c>
    </row>
    <row r="175" spans="1:32" x14ac:dyDescent="0.25">
      <c r="B175" s="12">
        <v>262</v>
      </c>
      <c r="C175" s="13">
        <v>5409417.8593584523</v>
      </c>
      <c r="D175" s="13">
        <v>9773619.3358193804</v>
      </c>
    </row>
    <row r="176" spans="1:32" x14ac:dyDescent="0.25">
      <c r="B176" s="12" t="s">
        <v>101</v>
      </c>
      <c r="C176" s="13">
        <v>5121569.1949145989</v>
      </c>
      <c r="D176" s="13">
        <v>9187180.4305228274</v>
      </c>
    </row>
  </sheetData>
  <mergeCells count="12">
    <mergeCell ref="AE32:AF32"/>
    <mergeCell ref="AE65:AF65"/>
    <mergeCell ref="AE98:AF98"/>
    <mergeCell ref="AE129:AF129"/>
    <mergeCell ref="A157:A160"/>
    <mergeCell ref="D32:AD32"/>
    <mergeCell ref="A162:A165"/>
    <mergeCell ref="A167:A170"/>
    <mergeCell ref="C65:AD65"/>
    <mergeCell ref="C98:AD98"/>
    <mergeCell ref="C129:AD129"/>
    <mergeCell ref="A152:A1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K45" sqref="K45"/>
    </sheetView>
  </sheetViews>
  <sheetFormatPr defaultRowHeight="12" x14ac:dyDescent="0.2"/>
  <cols>
    <col min="1" max="1" width="10.42578125" style="34" bestFit="1" customWidth="1"/>
    <col min="2" max="2" width="12.5703125" style="34" bestFit="1" customWidth="1"/>
    <col min="3" max="6" width="9.42578125" style="34" bestFit="1" customWidth="1"/>
    <col min="7" max="7" width="12.42578125" style="34" bestFit="1" customWidth="1"/>
    <col min="8" max="8" width="11.85546875" style="34" bestFit="1" customWidth="1"/>
    <col min="9" max="9" width="10.5703125" style="34" bestFit="1" customWidth="1"/>
    <col min="10" max="11" width="9.42578125" style="34" bestFit="1" customWidth="1"/>
    <col min="12" max="12" width="10.5703125" style="34" bestFit="1" customWidth="1"/>
    <col min="13" max="15" width="11.140625" style="34" bestFit="1" customWidth="1"/>
    <col min="16" max="18" width="9.42578125" style="34" bestFit="1" customWidth="1"/>
    <col min="19" max="19" width="10.5703125" style="34" bestFit="1" customWidth="1"/>
    <col min="20" max="20" width="9.42578125" style="34" bestFit="1" customWidth="1"/>
    <col min="21" max="21" width="12.42578125" style="34" bestFit="1" customWidth="1"/>
    <col min="22" max="22" width="10.5703125" style="34" bestFit="1" customWidth="1"/>
    <col min="23" max="24" width="9.42578125" style="34" bestFit="1" customWidth="1"/>
    <col min="25" max="25" width="11.140625" style="34" bestFit="1" customWidth="1"/>
    <col min="26" max="27" width="9.42578125" style="34" bestFit="1" customWidth="1"/>
    <col min="28" max="28" width="12.42578125" style="34" bestFit="1" customWidth="1"/>
    <col min="29" max="30" width="9.42578125" style="34" bestFit="1" customWidth="1"/>
    <col min="31" max="16384" width="9.140625" style="34"/>
  </cols>
  <sheetData>
    <row r="1" spans="2:30" ht="15" x14ac:dyDescent="0.25">
      <c r="C1" s="94" t="s">
        <v>154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2:30" x14ac:dyDescent="0.2">
      <c r="B2" s="34" t="s">
        <v>114</v>
      </c>
      <c r="C2" s="34" t="s">
        <v>28</v>
      </c>
      <c r="D2" s="34" t="s">
        <v>30</v>
      </c>
      <c r="E2" s="34" t="s">
        <v>31</v>
      </c>
      <c r="F2" s="34" t="s">
        <v>34</v>
      </c>
      <c r="G2" s="34" t="s">
        <v>36</v>
      </c>
      <c r="H2" s="34" t="s">
        <v>42</v>
      </c>
      <c r="I2" s="34" t="s">
        <v>43</v>
      </c>
      <c r="J2" s="34" t="s">
        <v>46</v>
      </c>
      <c r="K2" s="34" t="s">
        <v>47</v>
      </c>
      <c r="L2" s="34" t="s">
        <v>48</v>
      </c>
      <c r="M2" s="34" t="s">
        <v>50</v>
      </c>
      <c r="N2" s="34" t="s">
        <v>51</v>
      </c>
      <c r="O2" s="34" t="s">
        <v>52</v>
      </c>
      <c r="P2" s="34" t="s">
        <v>54</v>
      </c>
      <c r="Q2" s="34" t="s">
        <v>59</v>
      </c>
      <c r="R2" s="34" t="s">
        <v>110</v>
      </c>
      <c r="S2" s="34" t="s">
        <v>61</v>
      </c>
      <c r="T2" s="34" t="s">
        <v>62</v>
      </c>
      <c r="U2" s="34" t="s">
        <v>64</v>
      </c>
      <c r="V2" s="34" t="s">
        <v>67</v>
      </c>
      <c r="W2" s="34" t="s">
        <v>68</v>
      </c>
      <c r="X2" s="34" t="s">
        <v>70</v>
      </c>
      <c r="Y2" s="34" t="s">
        <v>76</v>
      </c>
      <c r="Z2" s="34" t="s">
        <v>77</v>
      </c>
      <c r="AA2" s="34" t="s">
        <v>78</v>
      </c>
      <c r="AB2" s="34" t="s">
        <v>106</v>
      </c>
      <c r="AC2" s="34" t="s">
        <v>107</v>
      </c>
      <c r="AD2" s="34" t="s">
        <v>113</v>
      </c>
    </row>
    <row r="3" spans="2:30" x14ac:dyDescent="0.2">
      <c r="B3" s="34" t="s">
        <v>5</v>
      </c>
      <c r="C3" s="34">
        <f>'CoRe_cell number'!C105</f>
        <v>20.18505288829094</v>
      </c>
      <c r="D3" s="34">
        <f>'CoRe_cell number'!D105</f>
        <v>0.12205461489096021</v>
      </c>
      <c r="E3" s="34">
        <f>'CoRe_cell number'!E105</f>
        <v>8.3647544815051461E-2</v>
      </c>
      <c r="F3" s="34">
        <f>'CoRe_cell number'!F105</f>
        <v>-1.0860578916568144</v>
      </c>
      <c r="G3" s="34">
        <f>'CoRe_cell number'!G105</f>
        <v>6.0957166878775615E-3</v>
      </c>
      <c r="H3" s="34">
        <f>'CoRe_cell number'!H105</f>
        <v>1.4490911972807607E-3</v>
      </c>
      <c r="I3" s="34">
        <f>'CoRe_cell number'!I105</f>
        <v>6.9337601903075585E-2</v>
      </c>
      <c r="J3" s="34">
        <f>'CoRe_cell number'!J105</f>
        <v>-3.3994718825040451</v>
      </c>
      <c r="K3" s="34">
        <f>'CoRe_cell number'!K105</f>
        <v>8.3312082191473902E-2</v>
      </c>
      <c r="L3" s="34">
        <f>'CoRe_cell number'!L105</f>
        <v>8.2179540754820229E-3</v>
      </c>
      <c r="M3" s="34">
        <f>'CoRe_cell number'!M105</f>
        <v>0.59545640020198531</v>
      </c>
      <c r="N3" s="34">
        <f>'CoRe_cell number'!N105</f>
        <v>8.2386133143318441E-3</v>
      </c>
      <c r="O3" s="34">
        <f>'CoRe_cell number'!O105</f>
        <v>0.19591855664595009</v>
      </c>
      <c r="P3" s="34">
        <f>'CoRe_cell number'!P105</f>
        <v>3.438707962394958E-2</v>
      </c>
      <c r="Q3" s="34">
        <f>'CoRe_cell number'!Q105</f>
        <v>0.50083290695802751</v>
      </c>
      <c r="R3" s="34">
        <f>'CoRe_cell number'!R105</f>
        <v>0.17764059737361637</v>
      </c>
      <c r="S3" s="34">
        <f>'CoRe_cell number'!S105</f>
        <v>1.7274005706131735E-3</v>
      </c>
      <c r="T3" s="34">
        <f>'CoRe_cell number'!T105</f>
        <v>0.18389423594757948</v>
      </c>
      <c r="U3" s="34">
        <f>'CoRe_cell number'!U105</f>
        <v>-0.2846942146090754</v>
      </c>
      <c r="V3" s="34">
        <f>'CoRe_cell number'!V105</f>
        <v>1.5746437579268291E-3</v>
      </c>
      <c r="W3" s="34">
        <f>'CoRe_cell number'!W105</f>
        <v>-8.6554317228108801E-2</v>
      </c>
      <c r="X3" s="34">
        <f>'CoRe_cell number'!X105</f>
        <v>9.1885117822355644E-2</v>
      </c>
      <c r="Y3" s="34">
        <f>'CoRe_cell number'!Y105</f>
        <v>1.4000723425894868E-3</v>
      </c>
      <c r="Z3" s="34">
        <f>'CoRe_cell number'!Z105</f>
        <v>-2.0176912924890766E-2</v>
      </c>
      <c r="AA3" s="34">
        <f>'CoRe_cell number'!AA105</f>
        <v>4.5478731283273843E-2</v>
      </c>
      <c r="AB3" s="34">
        <f>'CoRe_cell number'!AB105</f>
        <v>3.8520518318592954E-3</v>
      </c>
      <c r="AC3" s="34">
        <f>'CoRe_cell number'!AC105</f>
        <v>-0.14524687164346467</v>
      </c>
      <c r="AD3" s="34">
        <f>'CoRe_cell number'!AD105</f>
        <v>-6.4297905715043513E-2</v>
      </c>
    </row>
    <row r="4" spans="2:30" x14ac:dyDescent="0.2">
      <c r="B4" s="34" t="s">
        <v>6</v>
      </c>
      <c r="C4" s="34">
        <f>'CoRe_cell number'!C106</f>
        <v>20.083987245500083</v>
      </c>
      <c r="D4" s="34">
        <f>'CoRe_cell number'!D106</f>
        <v>0.12398176885414942</v>
      </c>
      <c r="E4" s="34">
        <f>'CoRe_cell number'!E106</f>
        <v>7.4296828487238148E-2</v>
      </c>
      <c r="F4" s="34">
        <f>'CoRe_cell number'!F106</f>
        <v>-1.0624650949932537</v>
      </c>
      <c r="G4" s="34">
        <f>'CoRe_cell number'!G106</f>
        <v>1.0106285920986585E-2</v>
      </c>
      <c r="H4" s="34">
        <f>'CoRe_cell number'!H106</f>
        <v>3.6564532408195349E-4</v>
      </c>
      <c r="I4" s="34">
        <f>'CoRe_cell number'!I106</f>
        <v>0.12118927184946449</v>
      </c>
      <c r="J4" s="34">
        <f>'CoRe_cell number'!J106</f>
        <v>-1.840845488108144</v>
      </c>
      <c r="K4" s="34">
        <f>'CoRe_cell number'!K106</f>
        <v>2.0081341410672193E-2</v>
      </c>
      <c r="L4" s="34">
        <f>'CoRe_cell number'!L106</f>
        <v>7.9563103473019731E-3</v>
      </c>
      <c r="M4" s="34">
        <f>'CoRe_cell number'!M106</f>
        <v>0.56340240515379092</v>
      </c>
      <c r="N4" s="34">
        <f>'CoRe_cell number'!N106</f>
        <v>-5.8853760135737787E-3</v>
      </c>
      <c r="O4" s="34">
        <f>'CoRe_cell number'!O106</f>
        <v>0.14707476433307171</v>
      </c>
      <c r="P4" s="34">
        <f>'CoRe_cell number'!P106</f>
        <v>2.3468626160679448E-2</v>
      </c>
      <c r="Q4" s="34">
        <f>'CoRe_cell number'!Q106</f>
        <v>0.47389793685474457</v>
      </c>
      <c r="R4" s="34">
        <f>'CoRe_cell number'!R106</f>
        <v>0.16884106982589825</v>
      </c>
      <c r="S4" s="34">
        <f>'CoRe_cell number'!S106</f>
        <v>8.1984425595674031E-4</v>
      </c>
      <c r="T4" s="34">
        <f>'CoRe_cell number'!T106</f>
        <v>0.15078224694399078</v>
      </c>
      <c r="U4" s="34">
        <f>'CoRe_cell number'!U106</f>
        <v>-0.4049146997344133</v>
      </c>
      <c r="V4" s="34">
        <f>'CoRe_cell number'!V106</f>
        <v>8.8150958139471616E-4</v>
      </c>
      <c r="W4" s="34">
        <f>'CoRe_cell number'!W106</f>
        <v>-0.16853277267991995</v>
      </c>
      <c r="X4" s="34">
        <f>'CoRe_cell number'!X106</f>
        <v>6.1641304940346142E-2</v>
      </c>
      <c r="Y4" s="34">
        <f>'CoRe_cell number'!Y106</f>
        <v>1.3975004361706622E-2</v>
      </c>
      <c r="Z4" s="34">
        <f>'CoRe_cell number'!Z106</f>
        <v>4.0393324975242506E-2</v>
      </c>
      <c r="AA4" s="34">
        <f>'CoRe_cell number'!AA106</f>
        <v>0.12421177030907726</v>
      </c>
      <c r="AB4" s="34">
        <f>'CoRe_cell number'!AB106</f>
        <v>4.690869927528752E-3</v>
      </c>
      <c r="AC4" s="34">
        <f>'CoRe_cell number'!AC106</f>
        <v>-0.13848132354032766</v>
      </c>
      <c r="AD4" s="34">
        <f>'CoRe_cell number'!AD106</f>
        <v>5.4048277878549156E-2</v>
      </c>
    </row>
    <row r="5" spans="2:30" x14ac:dyDescent="0.2">
      <c r="B5" s="34" t="s">
        <v>7</v>
      </c>
      <c r="C5" s="34">
        <f>'CoRe_cell number'!C107</f>
        <v>22.040187582299474</v>
      </c>
      <c r="D5" s="34">
        <f>'CoRe_cell number'!D107</f>
        <v>0.12949045149817917</v>
      </c>
      <c r="E5" s="34">
        <f>'CoRe_cell number'!E107</f>
        <v>9.6800092253745001E-2</v>
      </c>
      <c r="F5" s="34">
        <f>'CoRe_cell number'!F107</f>
        <v>-0.90353840641292216</v>
      </c>
      <c r="G5" s="34">
        <f>'CoRe_cell number'!G107</f>
        <v>1.19613656037054E-2</v>
      </c>
      <c r="H5" s="34">
        <f>'CoRe_cell number'!H107</f>
        <v>4.9021478456867662E-4</v>
      </c>
      <c r="I5" s="34">
        <f>'CoRe_cell number'!I107</f>
        <v>0.22894295445958623</v>
      </c>
      <c r="J5" s="34">
        <f>'CoRe_cell number'!J107</f>
        <v>-0.33048095625657936</v>
      </c>
      <c r="K5" s="34">
        <f>'CoRe_cell number'!K107</f>
        <v>0.14090996394527799</v>
      </c>
      <c r="L5" s="34">
        <f>'CoRe_cell number'!L107</f>
        <v>3.0529005283221514E-2</v>
      </c>
      <c r="M5" s="34">
        <f>'CoRe_cell number'!M107</f>
        <v>0.60102309263017872</v>
      </c>
      <c r="N5" s="34">
        <f>'CoRe_cell number'!N107</f>
        <v>1.7432854205939374E-2</v>
      </c>
      <c r="O5" s="34">
        <f>'CoRe_cell number'!O107</f>
        <v>0.11895704659906309</v>
      </c>
      <c r="P5" s="34">
        <f>'CoRe_cell number'!P107</f>
        <v>2.2366691157726201E-2</v>
      </c>
      <c r="Q5" s="34">
        <f>'CoRe_cell number'!Q107</f>
        <v>0.48465765222826762</v>
      </c>
      <c r="R5" s="34">
        <f>'CoRe_cell number'!R107</f>
        <v>0.18954757397061817</v>
      </c>
      <c r="S5" s="34">
        <f>'CoRe_cell number'!S107</f>
        <v>2.0047684296100512E-3</v>
      </c>
      <c r="T5" s="34">
        <f>'CoRe_cell number'!T107</f>
        <v>0.19079484617738385</v>
      </c>
      <c r="U5" s="34">
        <f>'CoRe_cell number'!U107</f>
        <v>-0.1049857458057053</v>
      </c>
      <c r="V5" s="34">
        <f>'CoRe_cell number'!V107</f>
        <v>1.1886109637166578E-3</v>
      </c>
      <c r="W5" s="34">
        <f>'CoRe_cell number'!W107</f>
        <v>-7.4517640562516196E-2</v>
      </c>
      <c r="X5" s="34">
        <f>'CoRe_cell number'!X107</f>
        <v>9.3070982425380588E-2</v>
      </c>
      <c r="Y5" s="34">
        <f>'CoRe_cell number'!Y107</f>
        <v>3.5868652889588515E-2</v>
      </c>
      <c r="Z5" s="34">
        <f>'CoRe_cell number'!Z107</f>
        <v>9.7851456441342188E-2</v>
      </c>
      <c r="AA5" s="34">
        <f>'CoRe_cell number'!AA107</f>
        <v>0.24112778900397003</v>
      </c>
      <c r="AB5" s="34">
        <f>'CoRe_cell number'!AB107</f>
        <v>6.0130995541737252E-3</v>
      </c>
      <c r="AC5" s="34">
        <f>'CoRe_cell number'!AC107</f>
        <v>-0.12804627054143444</v>
      </c>
      <c r="AD5" s="34">
        <f>'CoRe_cell number'!AD107</f>
        <v>0.35200526735524351</v>
      </c>
    </row>
    <row r="6" spans="2:30" x14ac:dyDescent="0.2">
      <c r="B6" s="34" t="s">
        <v>8</v>
      </c>
      <c r="C6" s="34">
        <f>'CoRe_cell number'!C108</f>
        <v>20.066939788898171</v>
      </c>
      <c r="D6" s="34">
        <f>'CoRe_cell number'!D108</f>
        <v>0.12740565224579037</v>
      </c>
      <c r="E6" s="34">
        <f>'CoRe_cell number'!E108</f>
        <v>9.5991344702236359E-2</v>
      </c>
      <c r="F6" s="34">
        <f>'CoRe_cell number'!F108</f>
        <v>-1.116077989746878</v>
      </c>
      <c r="G6" s="34">
        <f>'CoRe_cell number'!G108</f>
        <v>1.2314510625831832E-2</v>
      </c>
      <c r="H6" s="34">
        <f>'CoRe_cell number'!H108</f>
        <v>1.1060392238284034E-3</v>
      </c>
      <c r="I6" s="34">
        <f>'CoRe_cell number'!I108</f>
        <v>0.14983425068571266</v>
      </c>
      <c r="J6" s="34">
        <f>'CoRe_cell number'!J108</f>
        <v>-1.1437913806105797</v>
      </c>
      <c r="K6" s="34">
        <f>'CoRe_cell number'!K108</f>
        <v>7.2863812815885609E-2</v>
      </c>
      <c r="L6" s="34">
        <f>'CoRe_cell number'!L108</f>
        <v>1.5866295415338974E-2</v>
      </c>
      <c r="M6" s="34">
        <f>'CoRe_cell number'!M108</f>
        <v>0.52451529041775702</v>
      </c>
      <c r="N6" s="34">
        <f>'CoRe_cell number'!N108</f>
        <v>1.8465816283430025E-2</v>
      </c>
      <c r="O6" s="34">
        <f>'CoRe_cell number'!O108</f>
        <v>0.15276311927537461</v>
      </c>
      <c r="P6" s="34">
        <f>'CoRe_cell number'!P108</f>
        <v>2.4259717488291699E-2</v>
      </c>
      <c r="Q6" s="34">
        <f>'CoRe_cell number'!Q108</f>
        <v>0.45596168185615282</v>
      </c>
      <c r="R6" s="34">
        <f>'CoRe_cell number'!R108</f>
        <v>0.17247033747842072</v>
      </c>
      <c r="S6" s="34">
        <f>'CoRe_cell number'!S108</f>
        <v>1.6246188332995556E-3</v>
      </c>
      <c r="T6" s="34">
        <f>'CoRe_cell number'!T108</f>
        <v>0.11294004280585468</v>
      </c>
      <c r="U6" s="34">
        <f>'CoRe_cell number'!U108</f>
        <v>-0.2892953980911086</v>
      </c>
      <c r="V6" s="34">
        <f>'CoRe_cell number'!V108</f>
        <v>4.8418505757633328E-4</v>
      </c>
      <c r="W6" s="34">
        <f>'CoRe_cell number'!W108</f>
        <v>-0.15248150450185483</v>
      </c>
      <c r="X6" s="34">
        <f>'CoRe_cell number'!X108</f>
        <v>8.045208118260283E-2</v>
      </c>
      <c r="Y6" s="34">
        <f>'CoRe_cell number'!Y108</f>
        <v>1.3423495450404221E-2</v>
      </c>
      <c r="Z6" s="34">
        <f>'CoRe_cell number'!Z108</f>
        <v>4.6654155365662309E-2</v>
      </c>
      <c r="AA6" s="34">
        <f>'CoRe_cell number'!AA108</f>
        <v>0.15802982421874168</v>
      </c>
      <c r="AB6" s="34">
        <f>'CoRe_cell number'!AB108</f>
        <v>5.0796477160267098E-3</v>
      </c>
      <c r="AC6" s="34">
        <f>'CoRe_cell number'!AC108</f>
        <v>-0.13466290657884453</v>
      </c>
      <c r="AD6" s="34">
        <f>'CoRe_cell number'!AD108</f>
        <v>8.5136473895055742E-2</v>
      </c>
    </row>
    <row r="7" spans="2:30" x14ac:dyDescent="0.2">
      <c r="B7" s="34" t="s">
        <v>9</v>
      </c>
      <c r="C7" s="34">
        <f>'CoRe_cell number'!C109</f>
        <v>16.531146207587074</v>
      </c>
      <c r="D7" s="34">
        <f>'CoRe_cell number'!D109</f>
        <v>0.10230964516852341</v>
      </c>
      <c r="E7" s="34">
        <f>'CoRe_cell number'!E109</f>
        <v>4.6356994284504904E-2</v>
      </c>
      <c r="F7" s="34">
        <f>'CoRe_cell number'!F109</f>
        <v>-1.4545715684491505</v>
      </c>
      <c r="G7" s="34">
        <f>'CoRe_cell number'!G109</f>
        <v>-8.9385050531856636E-4</v>
      </c>
      <c r="H7" s="34">
        <f>'CoRe_cell number'!H109</f>
        <v>8.3508068363230548E-4</v>
      </c>
      <c r="I7" s="34">
        <f>'CoRe_cell number'!I109</f>
        <v>-7.3737282811654037E-2</v>
      </c>
      <c r="J7" s="34">
        <f>'CoRe_cell number'!J109</f>
        <v>-9.7135157064098294</v>
      </c>
      <c r="K7" s="34">
        <f>'CoRe_cell number'!K109</f>
        <v>-0.17593502615508094</v>
      </c>
      <c r="L7" s="34">
        <f>'CoRe_cell number'!L109</f>
        <v>-2.1903234115339142E-2</v>
      </c>
      <c r="M7" s="34">
        <f>'CoRe_cell number'!M109</f>
        <v>0.24165024138279412</v>
      </c>
      <c r="N7" s="34">
        <f>'CoRe_cell number'!N109</f>
        <v>-1.7379391025551333E-2</v>
      </c>
      <c r="O7" s="34">
        <f>'CoRe_cell number'!O109</f>
        <v>0.1301028533986725</v>
      </c>
      <c r="P7" s="34">
        <f>'CoRe_cell number'!P109</f>
        <v>3.4182270390513948E-2</v>
      </c>
      <c r="Q7" s="34">
        <f>'CoRe_cell number'!Q109</f>
        <v>0.43399609356433444</v>
      </c>
      <c r="R7" s="34">
        <f>'CoRe_cell number'!R109</f>
        <v>0.15028754223627006</v>
      </c>
      <c r="S7" s="34">
        <f>'CoRe_cell number'!S109</f>
        <v>3.847143691040715E-5</v>
      </c>
      <c r="T7" s="34">
        <f>'CoRe_cell number'!T109</f>
        <v>2.5685374326383181E-2</v>
      </c>
      <c r="U7" s="34">
        <f>'CoRe_cell number'!U109</f>
        <v>-0.59566636835944564</v>
      </c>
      <c r="V7" s="34">
        <f>'CoRe_cell number'!V109</f>
        <v>2.9387529991287435E-4</v>
      </c>
      <c r="W7" s="34">
        <f>'CoRe_cell number'!W109</f>
        <v>-0.25858593718179412</v>
      </c>
      <c r="X7" s="34">
        <f>'CoRe_cell number'!X109</f>
        <v>1.5707368303143787E-2</v>
      </c>
      <c r="Y7" s="34">
        <f>'CoRe_cell number'!Y109</f>
        <v>-9.4187322652728445E-3</v>
      </c>
      <c r="Z7" s="34">
        <f>'CoRe_cell number'!Z109</f>
        <v>-6.5270195145723187E-2</v>
      </c>
      <c r="AA7" s="34">
        <f>'CoRe_cell number'!AA109</f>
        <v>-9.6923600673972876E-2</v>
      </c>
      <c r="AB7" s="34">
        <f>'CoRe_cell number'!AB109</f>
        <v>5.7909401264988683E-4</v>
      </c>
      <c r="AC7" s="34">
        <f>'CoRe_cell number'!AC109</f>
        <v>-0.14076859756071208</v>
      </c>
      <c r="AD7" s="34">
        <f>'CoRe_cell number'!AD109</f>
        <v>-0.37642854279327148</v>
      </c>
    </row>
    <row r="8" spans="2:30" x14ac:dyDescent="0.2">
      <c r="B8" s="34" t="s">
        <v>14</v>
      </c>
      <c r="C8" s="34">
        <f>'CoRe_cell number'!C115</f>
        <v>13.856319317232675</v>
      </c>
      <c r="D8" s="34">
        <f>'CoRe_cell number'!D115</f>
        <v>1.6807813129961907E-2</v>
      </c>
      <c r="E8" s="34">
        <f>'CoRe_cell number'!E115</f>
        <v>2.1057723258636557E-2</v>
      </c>
      <c r="F8" s="34">
        <f>'CoRe_cell number'!F115</f>
        <v>-2.2574461195098245</v>
      </c>
      <c r="G8" s="34">
        <f>'CoRe_cell number'!G115</f>
        <v>9.6929219371392691E-3</v>
      </c>
      <c r="H8" s="34">
        <f>'CoRe_cell number'!H115</f>
        <v>1.3075073091935452E-3</v>
      </c>
      <c r="I8" s="34">
        <f>'CoRe_cell number'!I115</f>
        <v>1.6460140466129536E-2</v>
      </c>
      <c r="J8" s="34">
        <f>'CoRe_cell number'!J115</f>
        <v>-11.475065544290374</v>
      </c>
      <c r="K8" s="34">
        <f>'CoRe_cell number'!K115</f>
        <v>0.10886211681352709</v>
      </c>
      <c r="L8" s="34">
        <f>'CoRe_cell number'!L115</f>
        <v>1.5934034105952816E-2</v>
      </c>
      <c r="M8" s="34">
        <f>'CoRe_cell number'!M115</f>
        <v>-0.23511647299258676</v>
      </c>
      <c r="N8" s="34">
        <f>'CoRe_cell number'!N115</f>
        <v>8.3716837921626874E-4</v>
      </c>
      <c r="O8" s="34">
        <f>'CoRe_cell number'!O115</f>
        <v>-4.5876305746282708E-2</v>
      </c>
      <c r="P8" s="34">
        <f>'CoRe_cell number'!P115</f>
        <v>1.8417032681264642E-2</v>
      </c>
      <c r="Q8" s="34">
        <f>'CoRe_cell number'!Q115</f>
        <v>0.30434087562333256</v>
      </c>
      <c r="R8" s="34">
        <f>'CoRe_cell number'!R115</f>
        <v>0.21579142077749425</v>
      </c>
      <c r="S8" s="34">
        <f>'CoRe_cell number'!S115</f>
        <v>1.1647036465324818E-2</v>
      </c>
      <c r="T8" s="34">
        <f>'CoRe_cell number'!T115</f>
        <v>0.18887582423103622</v>
      </c>
      <c r="U8" s="34">
        <f>'CoRe_cell number'!U115</f>
        <v>-0.81841627347681589</v>
      </c>
      <c r="V8" s="34">
        <f>'CoRe_cell number'!V115</f>
        <v>1.0638927885680625E-2</v>
      </c>
      <c r="W8" s="34">
        <f>'CoRe_cell number'!W115</f>
        <v>-0.14019147654979258</v>
      </c>
      <c r="X8" s="34">
        <f>'CoRe_cell number'!X115</f>
        <v>7.2323568369377367E-2</v>
      </c>
      <c r="Y8" s="34">
        <f>'CoRe_cell number'!Y115</f>
        <v>1.7478154704385962E-2</v>
      </c>
      <c r="Z8" s="34">
        <f>'CoRe_cell number'!Z115</f>
        <v>6.6926115894204941E-2</v>
      </c>
      <c r="AA8" s="34">
        <f>'CoRe_cell number'!AA115</f>
        <v>0.11554548017204147</v>
      </c>
      <c r="AB8" s="34">
        <f>'CoRe_cell number'!AB115</f>
        <v>-3.0616710216906859E-3</v>
      </c>
      <c r="AC8" s="34">
        <f>'CoRe_cell number'!AC115</f>
        <v>-0.15219811912342252</v>
      </c>
      <c r="AD8" s="34">
        <f>'CoRe_cell number'!AD115</f>
        <v>0.16428046728795709</v>
      </c>
    </row>
    <row r="9" spans="2:30" x14ac:dyDescent="0.2">
      <c r="B9" s="34" t="s">
        <v>15</v>
      </c>
      <c r="C9" s="34">
        <f>'CoRe_cell number'!C116</f>
        <v>1.1409615045123442</v>
      </c>
      <c r="D9" s="34">
        <f>'CoRe_cell number'!D116</f>
        <v>1.224790037910807E-2</v>
      </c>
      <c r="E9" s="34">
        <f>'CoRe_cell number'!E116</f>
        <v>-1.7511175828649875E-2</v>
      </c>
      <c r="F9" s="34">
        <f>'CoRe_cell number'!F116</f>
        <v>-4.8747054163321089</v>
      </c>
      <c r="G9" s="34">
        <f>'CoRe_cell number'!G116</f>
        <v>2.2716475619688689E-3</v>
      </c>
      <c r="H9" s="34">
        <f>'CoRe_cell number'!H116</f>
        <v>3.2064308239510009E-4</v>
      </c>
      <c r="I9" s="34">
        <f>'CoRe_cell number'!I116</f>
        <v>-0.21470292971018978</v>
      </c>
      <c r="J9" s="34">
        <f>'CoRe_cell number'!J116</f>
        <v>-2.021971616868484</v>
      </c>
      <c r="K9" s="34">
        <f>'CoRe_cell number'!K116</f>
        <v>-0.2382350789280292</v>
      </c>
      <c r="L9" s="34">
        <f>'CoRe_cell number'!L116</f>
        <v>-2.6257087813933377E-2</v>
      </c>
      <c r="M9" s="34">
        <f>'CoRe_cell number'!M116</f>
        <v>-1.3708191336318096</v>
      </c>
      <c r="N9" s="34">
        <f>'CoRe_cell number'!N116</f>
        <v>-6.3435277931586348E-2</v>
      </c>
      <c r="O9" s="34">
        <f>'CoRe_cell number'!O116</f>
        <v>-0.38887826491559857</v>
      </c>
      <c r="P9" s="34">
        <f>'CoRe_cell number'!P116</f>
        <v>1.0355511420309653E-2</v>
      </c>
      <c r="Q9" s="34">
        <f>'CoRe_cell number'!Q116</f>
        <v>0.1873845001357807</v>
      </c>
      <c r="R9" s="34">
        <f>'CoRe_cell number'!R116</f>
        <v>0.10733563301251894</v>
      </c>
      <c r="S9" s="34">
        <f>'CoRe_cell number'!S116</f>
        <v>6.1976777496513969E-3</v>
      </c>
      <c r="T9" s="34">
        <f>'CoRe_cell number'!T116</f>
        <v>-0.20890976894861102</v>
      </c>
      <c r="U9" s="34">
        <f>'CoRe_cell number'!U116</f>
        <v>-0.1473318306295921</v>
      </c>
      <c r="V9" s="34">
        <f>'CoRe_cell number'!V116</f>
        <v>7.0089294199223891E-3</v>
      </c>
      <c r="W9" s="34">
        <f>'CoRe_cell number'!W116</f>
        <v>-0.40901906634194118</v>
      </c>
      <c r="X9" s="34">
        <f>'CoRe_cell number'!X116</f>
        <v>-8.46869136976246E-2</v>
      </c>
      <c r="Y9" s="34">
        <f>'CoRe_cell number'!Y116</f>
        <v>-5.1922928179058803E-2</v>
      </c>
      <c r="Z9" s="34">
        <f>'CoRe_cell number'!Z116</f>
        <v>-0.152607763322684</v>
      </c>
      <c r="AA9" s="34">
        <f>'CoRe_cell number'!AA116</f>
        <v>-0.31774089154700258</v>
      </c>
      <c r="AB9" s="34">
        <f>'CoRe_cell number'!AB116</f>
        <v>4.1659805373661443E-3</v>
      </c>
      <c r="AC9" s="34">
        <f>'CoRe_cell number'!AC116</f>
        <v>-0.14720634863098422</v>
      </c>
      <c r="AD9" s="34">
        <f>'CoRe_cell number'!AD116</f>
        <v>-0.10008512586130869</v>
      </c>
    </row>
    <row r="10" spans="2:30" x14ac:dyDescent="0.2">
      <c r="B10" s="34" t="s">
        <v>16</v>
      </c>
      <c r="C10" s="34">
        <f>'CoRe_cell number'!C117</f>
        <v>3.443340788253038</v>
      </c>
      <c r="D10" s="34">
        <f>'CoRe_cell number'!D117</f>
        <v>1.7361772142622457E-2</v>
      </c>
      <c r="E10" s="34">
        <f>'CoRe_cell number'!E117</f>
        <v>1.9357517134167779E-2</v>
      </c>
      <c r="F10" s="34">
        <f>'CoRe_cell number'!F117</f>
        <v>-4.4022951159658943</v>
      </c>
      <c r="G10" s="34">
        <f>'CoRe_cell number'!G117</f>
        <v>1.1891310141344556E-2</v>
      </c>
      <c r="H10" s="34">
        <f>'CoRe_cell number'!H117</f>
        <v>1.5674560577216279E-3</v>
      </c>
      <c r="I10" s="34">
        <f>'CoRe_cell number'!I117</f>
        <v>0.17610981797773684</v>
      </c>
      <c r="J10" s="34">
        <f>'CoRe_cell number'!J117</f>
        <v>-15.23055380273491</v>
      </c>
      <c r="K10" s="34">
        <f>'CoRe_cell number'!K117</f>
        <v>0.16263097460384879</v>
      </c>
      <c r="L10" s="34">
        <f>'CoRe_cell number'!L117</f>
        <v>1.4573512659054183E-2</v>
      </c>
      <c r="M10" s="34">
        <f>'CoRe_cell number'!M117</f>
        <v>-1.1501561298772269</v>
      </c>
      <c r="N10" s="34">
        <f>'CoRe_cell number'!N117</f>
        <v>1.94683447427349E-2</v>
      </c>
      <c r="O10" s="34">
        <f>'CoRe_cell number'!O117</f>
        <v>-0.30667505846436904</v>
      </c>
      <c r="P10" s="34">
        <f>'CoRe_cell number'!P117</f>
        <v>1.1933553616002283E-2</v>
      </c>
      <c r="Q10" s="34">
        <f>'CoRe_cell number'!Q117</f>
        <v>0.31345420715570815</v>
      </c>
      <c r="R10" s="34">
        <f>'CoRe_cell number'!R117</f>
        <v>0.20466697375022291</v>
      </c>
      <c r="S10" s="34">
        <f>'CoRe_cell number'!S117</f>
        <v>1.3251104125664976E-2</v>
      </c>
      <c r="T10" s="34">
        <f>'CoRe_cell number'!T117</f>
        <v>0.16889016186114891</v>
      </c>
      <c r="U10" s="34">
        <f>'CoRe_cell number'!U117</f>
        <v>-1.0725932583950666</v>
      </c>
      <c r="V10" s="34">
        <f>'CoRe_cell number'!V117</f>
        <v>9.9849648234847932E-3</v>
      </c>
      <c r="W10" s="34">
        <f>'CoRe_cell number'!W117</f>
        <v>-0.12946220961024091</v>
      </c>
      <c r="X10" s="34">
        <f>'CoRe_cell number'!X117</f>
        <v>9.4416016215090881E-2</v>
      </c>
      <c r="Y10" s="34">
        <f>'CoRe_cell number'!Y117</f>
        <v>1.0656256678319154E-3</v>
      </c>
      <c r="Z10" s="34">
        <f>'CoRe_cell number'!Z117</f>
        <v>3.7987095264651494E-2</v>
      </c>
      <c r="AA10" s="34">
        <f>'CoRe_cell number'!AA117</f>
        <v>0.18110015248196798</v>
      </c>
      <c r="AB10" s="34">
        <f>'CoRe_cell number'!AB117</f>
        <v>-2.6674127375387567E-3</v>
      </c>
      <c r="AC10" s="34">
        <f>'CoRe_cell number'!AC117</f>
        <v>-0.15901210743997349</v>
      </c>
      <c r="AD10" s="34">
        <f>'CoRe_cell number'!AD117</f>
        <v>0.16649728647684159</v>
      </c>
    </row>
    <row r="11" spans="2:30" x14ac:dyDescent="0.2">
      <c r="B11" s="34" t="s">
        <v>17</v>
      </c>
      <c r="C11" s="34">
        <f>'CoRe_cell number'!C118</f>
        <v>21.963007166299072</v>
      </c>
      <c r="D11" s="34">
        <f>'CoRe_cell number'!D118</f>
        <v>1.0836188087529178E-2</v>
      </c>
      <c r="E11" s="34">
        <f>'CoRe_cell number'!E118</f>
        <v>-3.3678372114760338E-2</v>
      </c>
      <c r="F11" s="34">
        <f>'CoRe_cell number'!F118</f>
        <v>-1.7028081704732716</v>
      </c>
      <c r="G11" s="34">
        <f>'CoRe_cell number'!G118</f>
        <v>-3.6982046262629131E-4</v>
      </c>
      <c r="H11" s="34">
        <f>'CoRe_cell number'!H118</f>
        <v>5.0804957824185371E-4</v>
      </c>
      <c r="I11" s="34">
        <f>'CoRe_cell number'!I118</f>
        <v>-0.1976370215363098</v>
      </c>
      <c r="J11" s="34">
        <f>'CoRe_cell number'!J118</f>
        <v>-7.7000792726676934</v>
      </c>
      <c r="K11" s="34">
        <f>'CoRe_cell number'!K118</f>
        <v>-0.34707780989417669</v>
      </c>
      <c r="L11" s="34">
        <f>'CoRe_cell number'!L118</f>
        <v>-6.1503804400996259E-2</v>
      </c>
      <c r="M11" s="34">
        <f>'CoRe_cell number'!M118</f>
        <v>0.15244300001145783</v>
      </c>
      <c r="N11" s="34">
        <f>'CoRe_cell number'!N118</f>
        <v>-6.6248568068957708E-2</v>
      </c>
      <c r="O11" s="34">
        <f>'CoRe_cell number'!O118</f>
        <v>4.4234953624587792E-2</v>
      </c>
      <c r="P11" s="34">
        <f>'CoRe_cell number'!P118</f>
        <v>1.2694837373549185E-2</v>
      </c>
      <c r="Q11" s="34">
        <f>'CoRe_cell number'!Q118</f>
        <v>0.19867255613029447</v>
      </c>
      <c r="R11" s="34">
        <f>'CoRe_cell number'!R118</f>
        <v>8.4142193081346434E-2</v>
      </c>
      <c r="S11" s="34">
        <f>'CoRe_cell number'!S118</f>
        <v>5.8429920300058173E-3</v>
      </c>
      <c r="T11" s="34">
        <f>'CoRe_cell number'!T118</f>
        <v>-0.26993549988094245</v>
      </c>
      <c r="U11" s="34">
        <f>'CoRe_cell number'!U118</f>
        <v>-0.56194652488039987</v>
      </c>
      <c r="V11" s="34">
        <f>'CoRe_cell number'!V118</f>
        <v>7.6574103599145963E-3</v>
      </c>
      <c r="W11" s="34">
        <f>'CoRe_cell number'!W118</f>
        <v>-0.45604318369885721</v>
      </c>
      <c r="X11" s="34">
        <f>'CoRe_cell number'!X118</f>
        <v>-0.10685054445900311</v>
      </c>
      <c r="Y11" s="34">
        <f>'CoRe_cell number'!Y118</f>
        <v>-5.7255392278444145E-2</v>
      </c>
      <c r="Z11" s="34">
        <f>'CoRe_cell number'!Z118</f>
        <v>-0.2147192812224914</v>
      </c>
      <c r="AA11" s="34">
        <f>'CoRe_cell number'!AA118</f>
        <v>-0.38343891997935065</v>
      </c>
      <c r="AB11" s="34">
        <f>'CoRe_cell number'!AB118</f>
        <v>1.8162714889250545E-3</v>
      </c>
      <c r="AC11" s="34">
        <f>'CoRe_cell number'!AC118</f>
        <v>-0.15372889449044969</v>
      </c>
      <c r="AD11" s="34">
        <f>'CoRe_cell number'!AD118</f>
        <v>0.10530992115363358</v>
      </c>
    </row>
    <row r="12" spans="2:30" x14ac:dyDescent="0.2">
      <c r="B12" s="34" t="s">
        <v>18</v>
      </c>
      <c r="C12" s="34">
        <f>'CoRe_cell number'!C119</f>
        <v>8.235539548462345</v>
      </c>
      <c r="D12" s="34">
        <f>'CoRe_cell number'!D119</f>
        <v>1.7111772829164856E-2</v>
      </c>
      <c r="E12" s="34">
        <f>'CoRe_cell number'!E119</f>
        <v>1.1452584791623269E-2</v>
      </c>
      <c r="F12" s="34">
        <f>'CoRe_cell number'!F119</f>
        <v>-0.52835665577100421</v>
      </c>
      <c r="G12" s="34">
        <f>'CoRe_cell number'!G119</f>
        <v>1.1783813857704648E-2</v>
      </c>
      <c r="H12" s="34">
        <f>'CoRe_cell number'!H119</f>
        <v>1.3629240338539628E-3</v>
      </c>
      <c r="I12" s="34">
        <f>'CoRe_cell number'!I119</f>
        <v>2.2947602082428187E-3</v>
      </c>
      <c r="J12" s="34">
        <f>'CoRe_cell number'!J119</f>
        <v>-5.6257323961953603</v>
      </c>
      <c r="K12" s="34">
        <f>'CoRe_cell number'!K119</f>
        <v>-0.10090594133086572</v>
      </c>
      <c r="L12" s="34">
        <f>'CoRe_cell number'!L119</f>
        <v>-1.323037832108534E-2</v>
      </c>
      <c r="M12" s="34">
        <f>'CoRe_cell number'!M119</f>
        <v>0.42410580518035701</v>
      </c>
      <c r="N12" s="34">
        <f>'CoRe_cell number'!N119</f>
        <v>-9.9745250756984594E-3</v>
      </c>
      <c r="O12" s="34">
        <f>'CoRe_cell number'!O119</f>
        <v>0.15424525923856752</v>
      </c>
      <c r="P12" s="34">
        <f>'CoRe_cell number'!P119</f>
        <v>1.9010114876362123E-2</v>
      </c>
      <c r="Q12" s="34">
        <f>'CoRe_cell number'!Q119</f>
        <v>0.29165662983898888</v>
      </c>
      <c r="R12" s="34">
        <f>'CoRe_cell number'!R119</f>
        <v>0.1821211904149499</v>
      </c>
      <c r="S12" s="34">
        <f>'CoRe_cell number'!S119</f>
        <v>1.0086408141130146E-2</v>
      </c>
      <c r="T12" s="34">
        <f>'CoRe_cell number'!T119</f>
        <v>6.3761254623814878E-2</v>
      </c>
      <c r="U12" s="34">
        <f>'CoRe_cell number'!U119</f>
        <v>-0.10618262083261776</v>
      </c>
      <c r="V12" s="34">
        <f>'CoRe_cell number'!V119</f>
        <v>8.947260811903484E-3</v>
      </c>
      <c r="W12" s="34">
        <f>'CoRe_cell number'!W119</f>
        <v>-0.2720395237646418</v>
      </c>
      <c r="X12" s="34">
        <f>'CoRe_cell number'!X119</f>
        <v>-1.4117706189893275E-2</v>
      </c>
      <c r="Y12" s="34">
        <f>'CoRe_cell number'!Y119</f>
        <v>-3.0778745288284615E-5</v>
      </c>
      <c r="Z12" s="34">
        <f>'CoRe_cell number'!Z119</f>
        <v>-1.3713737103867252E-2</v>
      </c>
      <c r="AA12" s="34">
        <f>'CoRe_cell number'!AA119</f>
        <v>-6.3199307179889752E-2</v>
      </c>
      <c r="AB12" s="34">
        <f>'CoRe_cell number'!AB119</f>
        <v>1.5215436514342436E-3</v>
      </c>
      <c r="AC12" s="34">
        <f>'CoRe_cell number'!AC119</f>
        <v>-0.10964872697083172</v>
      </c>
      <c r="AD12" s="34">
        <f>'CoRe_cell number'!AD119</f>
        <v>0.35420927064051844</v>
      </c>
    </row>
    <row r="15" spans="2:30" x14ac:dyDescent="0.2">
      <c r="B15" s="12" t="s">
        <v>145</v>
      </c>
      <c r="C15" s="13">
        <f t="shared" ref="C15:AD15" si="0">AVERAGE(C3:C7)</f>
        <v>19.781462742515149</v>
      </c>
      <c r="D15" s="13">
        <f t="shared" si="0"/>
        <v>0.12104842653152051</v>
      </c>
      <c r="E15" s="13">
        <f t="shared" si="0"/>
        <v>7.9418560908555175E-2</v>
      </c>
      <c r="F15" s="13">
        <f t="shared" si="0"/>
        <v>-1.1245421902518038</v>
      </c>
      <c r="G15" s="13">
        <f t="shared" si="0"/>
        <v>7.916805666616563E-3</v>
      </c>
      <c r="H15" s="13">
        <f t="shared" si="0"/>
        <v>8.4921424267841994E-4</v>
      </c>
      <c r="I15" s="13">
        <f t="shared" si="0"/>
        <v>9.911335921723699E-2</v>
      </c>
      <c r="J15" s="13">
        <f t="shared" si="0"/>
        <v>-3.2856210827778356</v>
      </c>
      <c r="K15" s="13">
        <f t="shared" si="0"/>
        <v>2.824643484164575E-2</v>
      </c>
      <c r="L15" s="13">
        <f t="shared" si="0"/>
        <v>8.1332662012010681E-3</v>
      </c>
      <c r="M15" s="13">
        <f t="shared" si="0"/>
        <v>0.5052094859573012</v>
      </c>
      <c r="N15" s="13">
        <f t="shared" si="0"/>
        <v>4.1745033529152261E-3</v>
      </c>
      <c r="O15" s="13">
        <f t="shared" si="0"/>
        <v>0.1489632680504264</v>
      </c>
      <c r="P15" s="13">
        <f t="shared" si="0"/>
        <v>2.7732876964232173E-2</v>
      </c>
      <c r="Q15" s="13">
        <f t="shared" si="0"/>
        <v>0.46986925429230542</v>
      </c>
      <c r="R15" s="13">
        <f t="shared" si="0"/>
        <v>0.17175742417696471</v>
      </c>
      <c r="S15" s="13">
        <f t="shared" si="0"/>
        <v>1.2430207052779856E-3</v>
      </c>
      <c r="T15" s="13">
        <f t="shared" si="0"/>
        <v>0.13281934924023839</v>
      </c>
      <c r="U15" s="13">
        <f t="shared" si="0"/>
        <v>-0.33591128531994963</v>
      </c>
      <c r="V15" s="13">
        <f t="shared" si="0"/>
        <v>8.8456493210548222E-4</v>
      </c>
      <c r="W15" s="13">
        <f t="shared" si="0"/>
        <v>-0.14813443443083879</v>
      </c>
      <c r="X15" s="13">
        <f t="shared" si="0"/>
        <v>6.8551370934765793E-2</v>
      </c>
      <c r="Y15" s="13">
        <f t="shared" si="0"/>
        <v>1.10496985558032E-2</v>
      </c>
      <c r="Z15" s="13">
        <f t="shared" si="0"/>
        <v>1.989036574232661E-2</v>
      </c>
      <c r="AA15" s="13">
        <f t="shared" si="0"/>
        <v>9.4384902828217987E-2</v>
      </c>
      <c r="AB15" s="13">
        <f t="shared" si="0"/>
        <v>4.042952608447674E-3</v>
      </c>
      <c r="AC15" s="13">
        <f t="shared" si="0"/>
        <v>-0.13744119397295668</v>
      </c>
      <c r="AD15" s="13">
        <f t="shared" si="0"/>
        <v>1.0092714124106682E-2</v>
      </c>
    </row>
    <row r="16" spans="2:30" x14ac:dyDescent="0.2">
      <c r="B16" s="12" t="s">
        <v>147</v>
      </c>
      <c r="C16" s="13">
        <f>AVERAGE(C8:C12)</f>
        <v>9.7278336649518931</v>
      </c>
      <c r="D16" s="13">
        <f t="shared" ref="D16:AD16" si="1">AVERAGE(D8:D12)</f>
        <v>1.4873089313677293E-2</v>
      </c>
      <c r="E16" s="13">
        <f t="shared" si="1"/>
        <v>1.3565544820347831E-4</v>
      </c>
      <c r="F16" s="13">
        <f t="shared" si="1"/>
        <v>-2.7531222956104204</v>
      </c>
      <c r="G16" s="13">
        <f t="shared" si="1"/>
        <v>7.0539746071062101E-3</v>
      </c>
      <c r="H16" s="13">
        <f t="shared" si="1"/>
        <v>1.0133160122812179E-3</v>
      </c>
      <c r="I16" s="13">
        <f t="shared" si="1"/>
        <v>-4.3495046518878075E-2</v>
      </c>
      <c r="J16" s="13">
        <f t="shared" si="1"/>
        <v>-8.4106805265513636</v>
      </c>
      <c r="K16" s="13">
        <f t="shared" si="1"/>
        <v>-8.2945147747139153E-2</v>
      </c>
      <c r="L16" s="13">
        <f t="shared" si="1"/>
        <v>-1.4096744754201595E-2</v>
      </c>
      <c r="M16" s="13">
        <f t="shared" si="1"/>
        <v>-0.43590858626196172</v>
      </c>
      <c r="N16" s="13">
        <f t="shared" si="1"/>
        <v>-2.3870571590858269E-2</v>
      </c>
      <c r="O16" s="13">
        <f t="shared" si="1"/>
        <v>-0.10858988325261901</v>
      </c>
      <c r="P16" s="13">
        <f t="shared" si="1"/>
        <v>1.4482209993497577E-2</v>
      </c>
      <c r="Q16" s="13">
        <f t="shared" si="1"/>
        <v>0.25910175377682093</v>
      </c>
      <c r="R16" s="13">
        <f t="shared" si="1"/>
        <v>0.15881148220730648</v>
      </c>
      <c r="S16" s="13">
        <f t="shared" si="1"/>
        <v>9.4050437023554308E-3</v>
      </c>
      <c r="T16" s="13">
        <f t="shared" si="1"/>
        <v>-1.1463605622710694E-2</v>
      </c>
      <c r="U16" s="13">
        <f t="shared" si="1"/>
        <v>-0.54129410164289848</v>
      </c>
      <c r="V16" s="13">
        <f t="shared" si="1"/>
        <v>8.8474986601811776E-3</v>
      </c>
      <c r="W16" s="13">
        <f t="shared" si="1"/>
        <v>-0.28135109199309472</v>
      </c>
      <c r="X16" s="13">
        <f t="shared" si="1"/>
        <v>-7.7831159524105464E-3</v>
      </c>
      <c r="Y16" s="13">
        <f t="shared" si="1"/>
        <v>-1.813306376611467E-2</v>
      </c>
      <c r="Z16" s="13">
        <f t="shared" si="1"/>
        <v>-5.5225514098037241E-2</v>
      </c>
      <c r="AA16" s="13">
        <f t="shared" si="1"/>
        <v>-9.35466972104467E-2</v>
      </c>
      <c r="AB16" s="13">
        <f t="shared" si="1"/>
        <v>3.5494238369919993E-4</v>
      </c>
      <c r="AC16" s="13">
        <f t="shared" si="1"/>
        <v>-0.14435883933113233</v>
      </c>
      <c r="AD16" s="13">
        <f t="shared" si="1"/>
        <v>0.1380423639395284</v>
      </c>
    </row>
    <row r="20" spans="2:30" x14ac:dyDescent="0.2">
      <c r="B20" s="12"/>
      <c r="C20" s="90" t="s">
        <v>158</v>
      </c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</row>
    <row r="21" spans="2:30" ht="12.75" thickBot="1" x14ac:dyDescent="0.25">
      <c r="B21" s="4" t="s">
        <v>114</v>
      </c>
      <c r="C21" s="31" t="s">
        <v>28</v>
      </c>
      <c r="D21" s="31" t="s">
        <v>30</v>
      </c>
      <c r="E21" s="31" t="s">
        <v>31</v>
      </c>
      <c r="F21" s="31" t="s">
        <v>34</v>
      </c>
      <c r="G21" s="31" t="s">
        <v>36</v>
      </c>
      <c r="H21" s="31" t="s">
        <v>42</v>
      </c>
      <c r="I21" s="31" t="s">
        <v>43</v>
      </c>
      <c r="J21" s="31" t="s">
        <v>46</v>
      </c>
      <c r="K21" s="31" t="s">
        <v>47</v>
      </c>
      <c r="L21" s="31" t="s">
        <v>48</v>
      </c>
      <c r="M21" s="31" t="s">
        <v>50</v>
      </c>
      <c r="N21" s="31" t="s">
        <v>51</v>
      </c>
      <c r="O21" s="31" t="s">
        <v>52</v>
      </c>
      <c r="P21" s="31" t="s">
        <v>54</v>
      </c>
      <c r="Q21" s="31" t="s">
        <v>59</v>
      </c>
      <c r="R21" s="31" t="s">
        <v>110</v>
      </c>
      <c r="S21" s="31" t="s">
        <v>61</v>
      </c>
      <c r="T21" s="31" t="s">
        <v>62</v>
      </c>
      <c r="U21" s="31" t="s">
        <v>64</v>
      </c>
      <c r="V21" s="31" t="s">
        <v>67</v>
      </c>
      <c r="W21" s="31" t="s">
        <v>68</v>
      </c>
      <c r="X21" s="31" t="s">
        <v>70</v>
      </c>
      <c r="Y21" s="31" t="s">
        <v>76</v>
      </c>
      <c r="Z21" s="31" t="s">
        <v>77</v>
      </c>
      <c r="AA21" s="31" t="s">
        <v>78</v>
      </c>
      <c r="AB21" s="31" t="s">
        <v>106</v>
      </c>
      <c r="AC21" s="31" t="s">
        <v>107</v>
      </c>
      <c r="AD21" s="31" t="s">
        <v>113</v>
      </c>
    </row>
    <row r="22" spans="2:30" ht="12.75" thickTop="1" x14ac:dyDescent="0.2">
      <c r="B22" s="34" t="s">
        <v>5</v>
      </c>
      <c r="C22" s="34">
        <f t="shared" ref="C22:AD22" si="2">1000000000*C3/$C$49</f>
        <v>0.50869266904501442</v>
      </c>
      <c r="D22" s="34">
        <f t="shared" si="2"/>
        <v>3.0759536852222194E-3</v>
      </c>
      <c r="E22" s="34">
        <f t="shared" si="2"/>
        <v>2.1080396997975744E-3</v>
      </c>
      <c r="F22" s="34">
        <f t="shared" si="2"/>
        <v>-2.7370237308854701E-2</v>
      </c>
      <c r="G22" s="34">
        <f t="shared" si="2"/>
        <v>1.5362091983902747E-4</v>
      </c>
      <c r="H22" s="34">
        <f t="shared" si="2"/>
        <v>3.6519204230670679E-5</v>
      </c>
      <c r="I22" s="34">
        <f t="shared" si="2"/>
        <v>1.7474083408380221E-3</v>
      </c>
      <c r="J22" s="34">
        <f t="shared" si="2"/>
        <v>-8.567163211435512E-2</v>
      </c>
      <c r="K22" s="34">
        <f t="shared" si="2"/>
        <v>2.0995855541336059E-3</v>
      </c>
      <c r="L22" s="34">
        <f t="shared" si="2"/>
        <v>2.0710438639332486E-4</v>
      </c>
      <c r="M22" s="34">
        <f t="shared" si="2"/>
        <v>1.5006366700896518E-2</v>
      </c>
      <c r="N22" s="34">
        <f t="shared" si="2"/>
        <v>2.0762502923776598E-4</v>
      </c>
      <c r="O22" s="34">
        <f t="shared" si="2"/>
        <v>4.9374323687547978E-3</v>
      </c>
      <c r="P22" s="34">
        <f t="shared" si="2"/>
        <v>8.666043835197215E-4</v>
      </c>
      <c r="Q22" s="34">
        <f t="shared" si="2"/>
        <v>1.2621717148625401E-2</v>
      </c>
      <c r="R22" s="34">
        <f t="shared" si="2"/>
        <v>4.4768012305360285E-3</v>
      </c>
      <c r="S22" s="34">
        <f t="shared" si="2"/>
        <v>4.3533004923897266E-5</v>
      </c>
      <c r="T22" s="34">
        <f t="shared" si="2"/>
        <v>4.6344020114226373E-3</v>
      </c>
      <c r="U22" s="34">
        <f t="shared" si="2"/>
        <v>-7.1747079729067159E-3</v>
      </c>
      <c r="V22" s="34">
        <f t="shared" si="2"/>
        <v>3.9683311232715408E-5</v>
      </c>
      <c r="W22" s="34">
        <f t="shared" si="2"/>
        <v>-2.1812945892094471E-3</v>
      </c>
      <c r="X22" s="34">
        <f t="shared" si="2"/>
        <v>2.3156385117862966E-3</v>
      </c>
      <c r="Y22" s="34">
        <f t="shared" si="2"/>
        <v>3.5283857850136861E-5</v>
      </c>
      <c r="Z22" s="34">
        <f t="shared" si="2"/>
        <v>-5.0848753013698798E-4</v>
      </c>
      <c r="AA22" s="34">
        <f t="shared" si="2"/>
        <v>1.1461301255588821E-3</v>
      </c>
      <c r="AB22" s="34">
        <f t="shared" si="2"/>
        <v>9.707730460220524E-5</v>
      </c>
      <c r="AC22" s="34">
        <f t="shared" si="2"/>
        <v>-3.660432262211852E-3</v>
      </c>
      <c r="AD22" s="34">
        <f t="shared" si="2"/>
        <v>-1.620400672378894E-3</v>
      </c>
    </row>
    <row r="23" spans="2:30" x14ac:dyDescent="0.2">
      <c r="B23" s="34" t="s">
        <v>6</v>
      </c>
      <c r="C23" s="34">
        <f t="shared" ref="C23:AD23" si="3">1000000000*C4/$C$49</f>
        <v>0.5061456679613634</v>
      </c>
      <c r="D23" s="34">
        <f t="shared" si="3"/>
        <v>3.1245207659537284E-3</v>
      </c>
      <c r="E23" s="34">
        <f t="shared" si="3"/>
        <v>1.87238805832789E-3</v>
      </c>
      <c r="F23" s="34">
        <f t="shared" si="3"/>
        <v>-2.6775664543975553E-2</v>
      </c>
      <c r="G23" s="34">
        <f t="shared" si="3"/>
        <v>2.5469309333645267E-4</v>
      </c>
      <c r="H23" s="34">
        <f t="shared" si="3"/>
        <v>9.2147935831753413E-6</v>
      </c>
      <c r="I23" s="34">
        <f t="shared" si="3"/>
        <v>3.0541457829167794E-3</v>
      </c>
      <c r="J23" s="34">
        <f t="shared" si="3"/>
        <v>-4.6391981721703134E-2</v>
      </c>
      <c r="K23" s="34">
        <f t="shared" si="3"/>
        <v>5.0607898907833538E-4</v>
      </c>
      <c r="L23" s="34">
        <f t="shared" si="3"/>
        <v>2.0051058417921199E-4</v>
      </c>
      <c r="M23" s="34">
        <f t="shared" si="3"/>
        <v>1.4198559439510526E-2</v>
      </c>
      <c r="N23" s="34">
        <f t="shared" si="3"/>
        <v>-1.4832002914468663E-4</v>
      </c>
      <c r="O23" s="34">
        <f t="shared" si="3"/>
        <v>3.7064978145861759E-3</v>
      </c>
      <c r="P23" s="34">
        <f t="shared" si="3"/>
        <v>5.9144348774141321E-4</v>
      </c>
      <c r="Q23" s="34">
        <f t="shared" si="3"/>
        <v>1.1942916755665578E-2</v>
      </c>
      <c r="R23" s="34">
        <f t="shared" si="3"/>
        <v>4.2550403474035173E-3</v>
      </c>
      <c r="S23" s="34">
        <f t="shared" si="3"/>
        <v>2.0661266783491177E-5</v>
      </c>
      <c r="T23" s="34">
        <f t="shared" si="3"/>
        <v>3.7999317647087658E-3</v>
      </c>
      <c r="U23" s="34">
        <f t="shared" si="3"/>
        <v>-1.0204438922374274E-2</v>
      </c>
      <c r="V23" s="34">
        <f t="shared" si="3"/>
        <v>2.2215322606786537E-5</v>
      </c>
      <c r="W23" s="34">
        <f t="shared" si="3"/>
        <v>-4.2472708112564189E-3</v>
      </c>
      <c r="X23" s="34">
        <f t="shared" si="3"/>
        <v>1.5534504718445281E-3</v>
      </c>
      <c r="Y23" s="34">
        <f t="shared" si="3"/>
        <v>3.5219042070462343E-4</v>
      </c>
      <c r="Z23" s="34">
        <f t="shared" si="3"/>
        <v>1.0179704956422596E-3</v>
      </c>
      <c r="AA23" s="34">
        <f t="shared" si="3"/>
        <v>3.130317136894096E-3</v>
      </c>
      <c r="AB23" s="34">
        <f t="shared" si="3"/>
        <v>1.1821673972238147E-4</v>
      </c>
      <c r="AC23" s="34">
        <f t="shared" si="3"/>
        <v>-3.4899306171983966E-3</v>
      </c>
      <c r="AD23" s="34">
        <f t="shared" si="3"/>
        <v>1.3620951544434465E-3</v>
      </c>
    </row>
    <row r="24" spans="2:30" x14ac:dyDescent="0.2">
      <c r="B24" s="34" t="s">
        <v>7</v>
      </c>
      <c r="C24" s="34">
        <f t="shared" ref="C24:AD24" si="4">1000000000*C5/$C$49</f>
        <v>0.55544475952284666</v>
      </c>
      <c r="D24" s="34">
        <f t="shared" si="4"/>
        <v>3.2633475747127464E-3</v>
      </c>
      <c r="E24" s="34">
        <f t="shared" si="4"/>
        <v>2.4395030107117266E-3</v>
      </c>
      <c r="F24" s="34">
        <f t="shared" si="4"/>
        <v>-2.2770481013180268E-2</v>
      </c>
      <c r="G24" s="34">
        <f t="shared" si="4"/>
        <v>3.0144379744983255E-4</v>
      </c>
      <c r="H24" s="34">
        <f t="shared" si="4"/>
        <v>1.2354125032400687E-5</v>
      </c>
      <c r="I24" s="34">
        <f t="shared" si="4"/>
        <v>5.7696951901798502E-3</v>
      </c>
      <c r="J24" s="34">
        <f t="shared" si="4"/>
        <v>-8.3286004072958414E-3</v>
      </c>
      <c r="K24" s="34">
        <f t="shared" si="4"/>
        <v>3.551135885105393E-3</v>
      </c>
      <c r="L24" s="34">
        <f t="shared" si="4"/>
        <v>7.6937530294111651E-4</v>
      </c>
      <c r="M24" s="34">
        <f t="shared" si="4"/>
        <v>1.514665544052588E-2</v>
      </c>
      <c r="N24" s="34">
        <f t="shared" si="4"/>
        <v>4.3933326229905924E-4</v>
      </c>
      <c r="O24" s="34">
        <f t="shared" si="4"/>
        <v>2.9978904623674304E-3</v>
      </c>
      <c r="P24" s="34">
        <f t="shared" si="4"/>
        <v>5.6367312415264216E-4</v>
      </c>
      <c r="Q24" s="34">
        <f t="shared" si="4"/>
        <v>1.2214077220877792E-2</v>
      </c>
      <c r="R24" s="34">
        <f t="shared" si="4"/>
        <v>4.7768743459698226E-3</v>
      </c>
      <c r="S24" s="34">
        <f t="shared" si="4"/>
        <v>5.0523078087503895E-5</v>
      </c>
      <c r="T24" s="34">
        <f t="shared" si="4"/>
        <v>4.8083074183227492E-3</v>
      </c>
      <c r="U24" s="34">
        <f t="shared" si="4"/>
        <v>-2.6457933769678363E-3</v>
      </c>
      <c r="V24" s="34">
        <f t="shared" si="4"/>
        <v>2.9954723771862655E-5</v>
      </c>
      <c r="W24" s="34">
        <f t="shared" si="4"/>
        <v>-1.8779528435455555E-3</v>
      </c>
      <c r="X24" s="34">
        <f t="shared" si="4"/>
        <v>2.3455240232772624E-3</v>
      </c>
      <c r="Y24" s="34">
        <f t="shared" si="4"/>
        <v>9.0394218308133668E-4</v>
      </c>
      <c r="Z24" s="34">
        <f t="shared" si="4"/>
        <v>2.4659989162556448E-3</v>
      </c>
      <c r="AA24" s="34">
        <f t="shared" si="4"/>
        <v>6.0767707297168334E-3</v>
      </c>
      <c r="AB24" s="34">
        <f t="shared" si="4"/>
        <v>1.5153884799679648E-4</v>
      </c>
      <c r="AC24" s="34">
        <f t="shared" si="4"/>
        <v>-3.2269521156799582E-3</v>
      </c>
      <c r="AD24" s="34">
        <f t="shared" si="4"/>
        <v>8.8710443296739789E-3</v>
      </c>
    </row>
    <row r="25" spans="2:30" x14ac:dyDescent="0.2">
      <c r="B25" s="34" t="s">
        <v>8</v>
      </c>
      <c r="C25" s="34">
        <f t="shared" ref="C25:AD25" si="5">1000000000*C6/$C$49</f>
        <v>0.50571604727880948</v>
      </c>
      <c r="D25" s="34">
        <f t="shared" si="5"/>
        <v>3.2108076035771787E-3</v>
      </c>
      <c r="E25" s="34">
        <f t="shared" si="5"/>
        <v>2.4191213970078951E-3</v>
      </c>
      <c r="F25" s="34">
        <f t="shared" si="5"/>
        <v>-2.8126787410900068E-2</v>
      </c>
      <c r="G25" s="34">
        <f t="shared" si="5"/>
        <v>3.1034356525622072E-4</v>
      </c>
      <c r="H25" s="34">
        <f t="shared" si="5"/>
        <v>2.787379591975816E-5</v>
      </c>
      <c r="I25" s="34">
        <f t="shared" si="5"/>
        <v>3.7760408812150727E-3</v>
      </c>
      <c r="J25" s="34">
        <f t="shared" si="5"/>
        <v>-2.8825205138352343E-2</v>
      </c>
      <c r="K25" s="34">
        <f t="shared" si="5"/>
        <v>1.8362739807142256E-3</v>
      </c>
      <c r="L25" s="34">
        <f t="shared" si="5"/>
        <v>3.9985370399338267E-4</v>
      </c>
      <c r="M25" s="34">
        <f t="shared" si="5"/>
        <v>1.3218547630970365E-2</v>
      </c>
      <c r="N25" s="34">
        <f t="shared" si="5"/>
        <v>4.6536540792330053E-4</v>
      </c>
      <c r="O25" s="34">
        <f t="shared" si="5"/>
        <v>3.8498526263912032E-3</v>
      </c>
      <c r="P25" s="34">
        <f t="shared" si="5"/>
        <v>6.1138013894210827E-4</v>
      </c>
      <c r="Q25" s="34">
        <f t="shared" si="5"/>
        <v>1.1490897061766321E-2</v>
      </c>
      <c r="R25" s="34">
        <f t="shared" si="5"/>
        <v>4.3465031668995877E-3</v>
      </c>
      <c r="S25" s="34">
        <f t="shared" si="5"/>
        <v>4.0942755764160003E-5</v>
      </c>
      <c r="T25" s="34">
        <f t="shared" si="5"/>
        <v>2.8462532218726734E-3</v>
      </c>
      <c r="U25" s="34">
        <f t="shared" si="5"/>
        <v>-7.2906644838554207E-3</v>
      </c>
      <c r="V25" s="34">
        <f t="shared" si="5"/>
        <v>1.2202167148796272E-5</v>
      </c>
      <c r="W25" s="34">
        <f t="shared" si="5"/>
        <v>-3.8427555248093E-3</v>
      </c>
      <c r="X25" s="34">
        <f t="shared" si="5"/>
        <v>2.027509372083174E-3</v>
      </c>
      <c r="Y25" s="34">
        <f t="shared" si="5"/>
        <v>3.3829159459576195E-4</v>
      </c>
      <c r="Z25" s="34">
        <f t="shared" si="5"/>
        <v>1.1757525207559153E-3</v>
      </c>
      <c r="AA25" s="34">
        <f t="shared" si="5"/>
        <v>3.9825812454114731E-3</v>
      </c>
      <c r="AB25" s="34">
        <f t="shared" si="5"/>
        <v>1.2801450502876653E-4</v>
      </c>
      <c r="AC25" s="34">
        <f t="shared" si="5"/>
        <v>-3.3937009602134313E-3</v>
      </c>
      <c r="AD25" s="34">
        <f t="shared" si="5"/>
        <v>2.145562876571883E-3</v>
      </c>
    </row>
    <row r="26" spans="2:30" x14ac:dyDescent="0.2">
      <c r="B26" s="34" t="s">
        <v>9</v>
      </c>
      <c r="C26" s="34">
        <f t="shared" ref="C26:AD26" si="6">1000000000*C7/$C$49</f>
        <v>0.41660891022925861</v>
      </c>
      <c r="D26" s="34">
        <f t="shared" si="6"/>
        <v>2.5783517515584322E-3</v>
      </c>
      <c r="E26" s="34">
        <f t="shared" si="6"/>
        <v>1.1682636296270767E-3</v>
      </c>
      <c r="F26" s="34">
        <f t="shared" si="6"/>
        <v>-3.6657317549096645E-2</v>
      </c>
      <c r="G26" s="34">
        <f t="shared" si="6"/>
        <v>-2.2526331825540997E-5</v>
      </c>
      <c r="H26" s="34">
        <f t="shared" si="6"/>
        <v>2.1045246905014198E-5</v>
      </c>
      <c r="I26" s="34">
        <f t="shared" si="6"/>
        <v>-1.858286694078773E-3</v>
      </c>
      <c r="J26" s="34">
        <f t="shared" si="6"/>
        <v>-0.24479471309042752</v>
      </c>
      <c r="K26" s="34">
        <f t="shared" si="6"/>
        <v>-4.4338183570105183E-3</v>
      </c>
      <c r="L26" s="34">
        <f t="shared" si="6"/>
        <v>-5.5199333311199835E-4</v>
      </c>
      <c r="M26" s="34">
        <f t="shared" si="6"/>
        <v>6.0899372889774784E-3</v>
      </c>
      <c r="N26" s="34">
        <f t="shared" si="6"/>
        <v>-4.3798591245173716E-4</v>
      </c>
      <c r="O26" s="34">
        <f t="shared" si="6"/>
        <v>3.278780992648991E-3</v>
      </c>
      <c r="P26" s="34">
        <f t="shared" si="6"/>
        <v>8.6144289317446367E-4</v>
      </c>
      <c r="Q26" s="34">
        <f t="shared" si="6"/>
        <v>1.0937332312783635E-2</v>
      </c>
      <c r="R26" s="34">
        <f t="shared" si="6"/>
        <v>3.7874644870874337E-3</v>
      </c>
      <c r="S26" s="34">
        <f t="shared" si="6"/>
        <v>9.6953612320254342E-7</v>
      </c>
      <c r="T26" s="34">
        <f t="shared" si="6"/>
        <v>6.4730876326251924E-4</v>
      </c>
      <c r="U26" s="34">
        <f t="shared" si="6"/>
        <v>-1.5011658203625001E-2</v>
      </c>
      <c r="V26" s="34">
        <f t="shared" si="6"/>
        <v>7.4060846660353545E-6</v>
      </c>
      <c r="W26" s="34">
        <f t="shared" si="6"/>
        <v>-6.516741436868775E-3</v>
      </c>
      <c r="X26" s="34">
        <f t="shared" si="6"/>
        <v>3.9584850978687734E-4</v>
      </c>
      <c r="Y26" s="34">
        <f t="shared" si="6"/>
        <v>-2.373657419456834E-4</v>
      </c>
      <c r="Z26" s="34">
        <f t="shared" si="6"/>
        <v>-1.6449037791239653E-3</v>
      </c>
      <c r="AA26" s="34">
        <f t="shared" si="6"/>
        <v>-2.4426156024043495E-3</v>
      </c>
      <c r="AB26" s="34">
        <f t="shared" si="6"/>
        <v>1.4594010754053582E-5</v>
      </c>
      <c r="AC26" s="34">
        <f t="shared" si="6"/>
        <v>-3.5475732467573017E-3</v>
      </c>
      <c r="AD26" s="34">
        <f t="shared" si="6"/>
        <v>-9.4865463666589291E-3</v>
      </c>
    </row>
    <row r="27" spans="2:30" x14ac:dyDescent="0.2">
      <c r="B27" s="34" t="s">
        <v>14</v>
      </c>
      <c r="C27" s="34">
        <f t="shared" ref="C27:AD27" si="7">1000000000*C8/$C$50</f>
        <v>0.290232262282486</v>
      </c>
      <c r="D27" s="34">
        <f t="shared" si="7"/>
        <v>3.5205378261334437E-4</v>
      </c>
      <c r="E27" s="34">
        <f t="shared" si="7"/>
        <v>4.4107172474524062E-4</v>
      </c>
      <c r="F27" s="34">
        <f t="shared" si="7"/>
        <v>-4.7284107651252238E-2</v>
      </c>
      <c r="G27" s="34">
        <f t="shared" si="7"/>
        <v>2.0302640243320452E-4</v>
      </c>
      <c r="H27" s="34">
        <f t="shared" si="7"/>
        <v>2.7386840300813508E-5</v>
      </c>
      <c r="I27" s="34">
        <f t="shared" si="7"/>
        <v>3.4477148625110954E-4</v>
      </c>
      <c r="J27" s="34">
        <f t="shared" si="7"/>
        <v>-0.24035489919875358</v>
      </c>
      <c r="K27" s="34">
        <f t="shared" si="7"/>
        <v>2.2802085977014206E-3</v>
      </c>
      <c r="L27" s="34">
        <f t="shared" si="7"/>
        <v>3.3375174604308806E-4</v>
      </c>
      <c r="M27" s="34">
        <f t="shared" si="7"/>
        <v>-4.9247122770656356E-3</v>
      </c>
      <c r="N27" s="34">
        <f t="shared" si="7"/>
        <v>1.7535195822827315E-5</v>
      </c>
      <c r="O27" s="34">
        <f t="shared" si="7"/>
        <v>-9.6091780920113897E-4</v>
      </c>
      <c r="P27" s="34">
        <f t="shared" si="7"/>
        <v>3.857602395873077E-4</v>
      </c>
      <c r="Q27" s="34">
        <f t="shared" si="7"/>
        <v>6.3746756129775244E-3</v>
      </c>
      <c r="R27" s="34">
        <f t="shared" si="7"/>
        <v>4.5199328046311316E-3</v>
      </c>
      <c r="S27" s="34">
        <f t="shared" si="7"/>
        <v>2.4395697478000526E-4</v>
      </c>
      <c r="T27" s="34">
        <f t="shared" si="7"/>
        <v>3.956162996970455E-3</v>
      </c>
      <c r="U27" s="34">
        <f t="shared" si="7"/>
        <v>-1.7142417196215183E-2</v>
      </c>
      <c r="V27" s="34">
        <f t="shared" si="7"/>
        <v>2.2284129268594163E-4</v>
      </c>
      <c r="W27" s="34">
        <f t="shared" si="7"/>
        <v>-2.9364283876718886E-3</v>
      </c>
      <c r="X27" s="34">
        <f t="shared" si="7"/>
        <v>1.5148779689337154E-3</v>
      </c>
      <c r="Y27" s="34">
        <f t="shared" si="7"/>
        <v>3.660946506961934E-4</v>
      </c>
      <c r="Z27" s="34">
        <f t="shared" si="7"/>
        <v>1.4018237871869601E-3</v>
      </c>
      <c r="AA27" s="34">
        <f t="shared" si="7"/>
        <v>2.4201972644453465E-3</v>
      </c>
      <c r="AB27" s="34">
        <f t="shared" si="7"/>
        <v>-6.4129274639687262E-5</v>
      </c>
      <c r="AC27" s="34">
        <f t="shared" si="7"/>
        <v>-3.1879176148455141E-3</v>
      </c>
      <c r="AD27" s="34">
        <f t="shared" si="7"/>
        <v>3.4409925592946045E-3</v>
      </c>
    </row>
    <row r="28" spans="2:30" x14ac:dyDescent="0.2">
      <c r="B28" s="34" t="s">
        <v>15</v>
      </c>
      <c r="C28" s="34">
        <f t="shared" ref="C28:AD28" si="8">1000000000*C9/$C$50</f>
        <v>2.389839834450215E-2</v>
      </c>
      <c r="D28" s="34">
        <f t="shared" si="8"/>
        <v>2.5654257482491316E-4</v>
      </c>
      <c r="E28" s="34">
        <f t="shared" si="8"/>
        <v>-3.6678630591709376E-4</v>
      </c>
      <c r="F28" s="34">
        <f t="shared" si="8"/>
        <v>-0.10210480493064394</v>
      </c>
      <c r="G28" s="34">
        <f t="shared" si="8"/>
        <v>4.7581568808013898E-5</v>
      </c>
      <c r="H28" s="34">
        <f t="shared" si="8"/>
        <v>6.7161390451663759E-6</v>
      </c>
      <c r="I28" s="34">
        <f t="shared" si="8"/>
        <v>-4.4971334437254431E-3</v>
      </c>
      <c r="J28" s="34">
        <f t="shared" si="8"/>
        <v>-4.2351896142064201E-2</v>
      </c>
      <c r="K28" s="34">
        <f t="shared" si="8"/>
        <v>-4.9900341013603012E-3</v>
      </c>
      <c r="L28" s="34">
        <f t="shared" si="8"/>
        <v>-5.4997678840370027E-4</v>
      </c>
      <c r="M28" s="34">
        <f t="shared" si="8"/>
        <v>-2.8712959713571014E-2</v>
      </c>
      <c r="N28" s="34">
        <f t="shared" si="8"/>
        <v>-1.3287052500085949E-3</v>
      </c>
      <c r="O28" s="34">
        <f t="shared" si="8"/>
        <v>-8.1453823338623089E-3</v>
      </c>
      <c r="P28" s="34">
        <f t="shared" si="8"/>
        <v>2.1690489644466687E-4</v>
      </c>
      <c r="Q28" s="34">
        <f t="shared" si="8"/>
        <v>3.9249259594821449E-3</v>
      </c>
      <c r="R28" s="34">
        <f t="shared" si="8"/>
        <v>2.2482351106042249E-3</v>
      </c>
      <c r="S28" s="34">
        <f t="shared" si="8"/>
        <v>1.2981557316899317E-4</v>
      </c>
      <c r="T28" s="34">
        <f t="shared" si="8"/>
        <v>-4.3757908191001523E-3</v>
      </c>
      <c r="U28" s="34">
        <f t="shared" si="8"/>
        <v>-3.0859891094359186E-3</v>
      </c>
      <c r="V28" s="34">
        <f t="shared" si="8"/>
        <v>1.4680792172510446E-4</v>
      </c>
      <c r="W28" s="34">
        <f t="shared" si="8"/>
        <v>-8.5672483596314943E-3</v>
      </c>
      <c r="X28" s="34">
        <f t="shared" si="8"/>
        <v>-1.7738386353160361E-3</v>
      </c>
      <c r="Y28" s="34">
        <f t="shared" si="8"/>
        <v>-1.0875694017095541E-3</v>
      </c>
      <c r="Z28" s="34">
        <f t="shared" si="8"/>
        <v>-3.196497957139928E-3</v>
      </c>
      <c r="AA28" s="34">
        <f t="shared" si="8"/>
        <v>-6.6553502168971452E-3</v>
      </c>
      <c r="AB28" s="34">
        <f t="shared" si="8"/>
        <v>8.7259966250984145E-5</v>
      </c>
      <c r="AC28" s="34">
        <f t="shared" si="8"/>
        <v>-3.0833607834354925E-3</v>
      </c>
      <c r="AD28" s="34">
        <f t="shared" si="8"/>
        <v>-2.0963671401126672E-3</v>
      </c>
    </row>
    <row r="29" spans="2:30" x14ac:dyDescent="0.2">
      <c r="B29" s="34" t="s">
        <v>16</v>
      </c>
      <c r="C29" s="34">
        <f t="shared" ref="C29:AD29" si="9">1000000000*C10/$C$50</f>
        <v>7.2123668912663849E-2</v>
      </c>
      <c r="D29" s="34">
        <f t="shared" si="9"/>
        <v>3.6365692005376767E-4</v>
      </c>
      <c r="E29" s="34">
        <f t="shared" si="9"/>
        <v>4.0545947746991863E-4</v>
      </c>
      <c r="F29" s="34">
        <f t="shared" si="9"/>
        <v>-9.2209773857686694E-2</v>
      </c>
      <c r="G29" s="34">
        <f t="shared" si="9"/>
        <v>2.4907349237635545E-4</v>
      </c>
      <c r="H29" s="34">
        <f t="shared" si="9"/>
        <v>3.2831685474739116E-5</v>
      </c>
      <c r="I29" s="34">
        <f t="shared" si="9"/>
        <v>3.6887682588454818E-3</v>
      </c>
      <c r="J29" s="34">
        <f t="shared" si="9"/>
        <v>-0.31901675941354507</v>
      </c>
      <c r="K29" s="34">
        <f t="shared" si="9"/>
        <v>3.4064425476813633E-3</v>
      </c>
      <c r="L29" s="34">
        <f t="shared" si="9"/>
        <v>3.052544800392549E-4</v>
      </c>
      <c r="M29" s="34">
        <f t="shared" si="9"/>
        <v>-2.4090987506125396E-2</v>
      </c>
      <c r="N29" s="34">
        <f t="shared" si="9"/>
        <v>4.0778085494552215E-4</v>
      </c>
      <c r="O29" s="34">
        <f t="shared" si="9"/>
        <v>-6.4235670358023756E-3</v>
      </c>
      <c r="P29" s="34">
        <f t="shared" si="9"/>
        <v>2.4995831748292883E-4</v>
      </c>
      <c r="Q29" s="34">
        <f t="shared" si="9"/>
        <v>6.5655620069048201E-3</v>
      </c>
      <c r="R29" s="34">
        <f t="shared" si="9"/>
        <v>4.2869219051672866E-3</v>
      </c>
      <c r="S29" s="34">
        <f t="shared" si="9"/>
        <v>2.775555210646384E-4</v>
      </c>
      <c r="T29" s="34">
        <f t="shared" si="9"/>
        <v>3.5375464892220764E-3</v>
      </c>
      <c r="U29" s="34">
        <f t="shared" si="9"/>
        <v>-2.2466367926855413E-2</v>
      </c>
      <c r="V29" s="34">
        <f t="shared" si="9"/>
        <v>2.0914348631724541E-4</v>
      </c>
      <c r="W29" s="34">
        <f t="shared" si="9"/>
        <v>-2.7116948675208331E-3</v>
      </c>
      <c r="X29" s="34">
        <f t="shared" si="9"/>
        <v>1.9776228704347179E-3</v>
      </c>
      <c r="Y29" s="34">
        <f t="shared" si="9"/>
        <v>2.2320425882254399E-5</v>
      </c>
      <c r="Z29" s="34">
        <f t="shared" si="9"/>
        <v>7.9567166025746553E-4</v>
      </c>
      <c r="AA29" s="34">
        <f t="shared" si="9"/>
        <v>3.7932950122747332E-3</v>
      </c>
      <c r="AB29" s="34">
        <f t="shared" si="9"/>
        <v>-5.5871203277928372E-5</v>
      </c>
      <c r="AC29" s="34">
        <f t="shared" si="9"/>
        <v>-3.330642331200707E-3</v>
      </c>
      <c r="AD29" s="34">
        <f t="shared" si="9"/>
        <v>3.4874257017136743E-3</v>
      </c>
    </row>
    <row r="30" spans="2:30" x14ac:dyDescent="0.2">
      <c r="B30" s="34" t="s">
        <v>17</v>
      </c>
      <c r="C30" s="34">
        <f t="shared" ref="C30:AD30" si="10">1000000000*C11/$C$50</f>
        <v>0.4600336576015408</v>
      </c>
      <c r="D30" s="34">
        <f t="shared" si="10"/>
        <v>2.2697307352398887E-4</v>
      </c>
      <c r="E30" s="34">
        <f t="shared" si="10"/>
        <v>-7.0542182993011575E-4</v>
      </c>
      <c r="F30" s="34">
        <f t="shared" si="10"/>
        <v>-3.5666749317398105E-2</v>
      </c>
      <c r="G30" s="34">
        <f t="shared" si="10"/>
        <v>-7.7462006359002092E-6</v>
      </c>
      <c r="H30" s="34">
        <f t="shared" si="10"/>
        <v>1.0641525723314857E-5</v>
      </c>
      <c r="I30" s="34">
        <f t="shared" si="10"/>
        <v>-4.1396736433403315E-3</v>
      </c>
      <c r="J30" s="34">
        <f t="shared" si="10"/>
        <v>-0.16128463669868362</v>
      </c>
      <c r="K30" s="34">
        <f t="shared" si="10"/>
        <v>-7.269836646183434E-3</v>
      </c>
      <c r="L30" s="34">
        <f t="shared" si="10"/>
        <v>-1.2882489123991743E-3</v>
      </c>
      <c r="M30" s="34">
        <f t="shared" si="10"/>
        <v>3.1930468510082406E-3</v>
      </c>
      <c r="N30" s="34">
        <f t="shared" si="10"/>
        <v>-1.3876319781196331E-3</v>
      </c>
      <c r="O30" s="34">
        <f t="shared" si="10"/>
        <v>9.2653830851445777E-4</v>
      </c>
      <c r="P30" s="34">
        <f t="shared" si="10"/>
        <v>2.6590404608034654E-4</v>
      </c>
      <c r="Q30" s="34">
        <f t="shared" si="10"/>
        <v>4.1613637863720503E-3</v>
      </c>
      <c r="R30" s="34">
        <f t="shared" si="10"/>
        <v>1.7624290038580125E-3</v>
      </c>
      <c r="S30" s="34">
        <f t="shared" si="10"/>
        <v>1.2238638245425529E-4</v>
      </c>
      <c r="T30" s="34">
        <f t="shared" si="10"/>
        <v>-5.6540260806032137E-3</v>
      </c>
      <c r="U30" s="34">
        <f t="shared" si="10"/>
        <v>-1.1770442601952999E-2</v>
      </c>
      <c r="V30" s="34">
        <f t="shared" si="10"/>
        <v>1.6039090043337803E-4</v>
      </c>
      <c r="W30" s="34">
        <f t="shared" si="10"/>
        <v>-9.5522080484112815E-3</v>
      </c>
      <c r="X30" s="34">
        <f t="shared" si="10"/>
        <v>-2.2380745228557063E-3</v>
      </c>
      <c r="Y30" s="34">
        <f t="shared" si="10"/>
        <v>-1.1992623472654479E-3</v>
      </c>
      <c r="Z30" s="34">
        <f t="shared" si="10"/>
        <v>-4.4974759399034241E-3</v>
      </c>
      <c r="AA30" s="34">
        <f t="shared" si="10"/>
        <v>-8.0314506792836873E-3</v>
      </c>
      <c r="AB30" s="34">
        <f t="shared" si="10"/>
        <v>3.8043333953361582E-5</v>
      </c>
      <c r="AC30" s="34">
        <f t="shared" si="10"/>
        <v>-3.2199809924025012E-3</v>
      </c>
      <c r="AD30" s="34">
        <f t="shared" si="10"/>
        <v>2.2058048719472987E-3</v>
      </c>
    </row>
    <row r="31" spans="2:30" x14ac:dyDescent="0.2">
      <c r="B31" s="34" t="s">
        <v>18</v>
      </c>
      <c r="C31" s="34">
        <f t="shared" ref="C31:AD31" si="11">1000000000*C12/$C$50</f>
        <v>0.1725003025366533</v>
      </c>
      <c r="D31" s="34">
        <f t="shared" si="11"/>
        <v>3.5842047416559955E-4</v>
      </c>
      <c r="E31" s="34">
        <f t="shared" si="11"/>
        <v>2.3988402092617564E-4</v>
      </c>
      <c r="F31" s="34">
        <f t="shared" si="11"/>
        <v>-1.1066874541907778E-2</v>
      </c>
      <c r="G31" s="34">
        <f t="shared" si="11"/>
        <v>2.4682189230324154E-4</v>
      </c>
      <c r="H31" s="34">
        <f t="shared" si="11"/>
        <v>2.8547590208364772E-5</v>
      </c>
      <c r="I31" s="34">
        <f t="shared" si="11"/>
        <v>4.8065682623656177E-5</v>
      </c>
      <c r="J31" s="34">
        <f t="shared" si="11"/>
        <v>-0.11783569669277368</v>
      </c>
      <c r="K31" s="34">
        <f t="shared" si="11"/>
        <v>-2.1135598104886828E-3</v>
      </c>
      <c r="L31" s="34">
        <f t="shared" si="11"/>
        <v>-2.7712140165579285E-4</v>
      </c>
      <c r="M31" s="34">
        <f t="shared" si="11"/>
        <v>8.8832527936584214E-3</v>
      </c>
      <c r="N31" s="34">
        <f t="shared" si="11"/>
        <v>-2.089248170192654E-4</v>
      </c>
      <c r="O31" s="34">
        <f t="shared" si="11"/>
        <v>3.2307966863525375E-3</v>
      </c>
      <c r="P31" s="34">
        <f t="shared" si="11"/>
        <v>3.9818284498934468E-4</v>
      </c>
      <c r="Q31" s="34">
        <f t="shared" si="11"/>
        <v>6.1089934166413925E-3</v>
      </c>
      <c r="R31" s="34">
        <f t="shared" si="11"/>
        <v>3.8146815105489919E-3</v>
      </c>
      <c r="S31" s="34">
        <f t="shared" si="11"/>
        <v>2.11268301926614E-4</v>
      </c>
      <c r="T31" s="34">
        <f t="shared" si="11"/>
        <v>1.3355331059976805E-3</v>
      </c>
      <c r="U31" s="34">
        <f t="shared" si="11"/>
        <v>-2.2240843007281996E-3</v>
      </c>
      <c r="V31" s="34">
        <f t="shared" si="11"/>
        <v>1.8740790300932522E-4</v>
      </c>
      <c r="W31" s="34">
        <f t="shared" si="11"/>
        <v>-5.698096630486039E-3</v>
      </c>
      <c r="X31" s="34">
        <f t="shared" si="11"/>
        <v>-2.9570723017593531E-4</v>
      </c>
      <c r="Y31" s="34">
        <f t="shared" si="11"/>
        <v>-6.44686707250285E-7</v>
      </c>
      <c r="Z31" s="34">
        <f t="shared" si="11"/>
        <v>-2.8724575790142537E-4</v>
      </c>
      <c r="AA31" s="34">
        <f t="shared" si="11"/>
        <v>-1.3237626441455627E-3</v>
      </c>
      <c r="AB31" s="34">
        <f t="shared" si="11"/>
        <v>3.1870011509341397E-5</v>
      </c>
      <c r="AC31" s="34">
        <f t="shared" si="11"/>
        <v>-2.2966848090431279E-3</v>
      </c>
      <c r="AD31" s="34">
        <f t="shared" si="11"/>
        <v>7.4192110895982431E-3</v>
      </c>
    </row>
    <row r="33" spans="1:30" s="12" customFormat="1" x14ac:dyDescent="0.25">
      <c r="A33" s="89" t="s">
        <v>115</v>
      </c>
      <c r="B33" s="24" t="s">
        <v>145</v>
      </c>
      <c r="C33" s="21">
        <f>AVERAGE(C22:C26)</f>
        <v>0.49852161080745849</v>
      </c>
      <c r="D33" s="21">
        <f t="shared" ref="D33:AD33" si="12">AVERAGE(D22:D26)</f>
        <v>3.0505962762048611E-3</v>
      </c>
      <c r="E33" s="21">
        <f t="shared" si="12"/>
        <v>2.0014631590944327E-3</v>
      </c>
      <c r="F33" s="21">
        <f t="shared" si="12"/>
        <v>-2.8340097565201443E-2</v>
      </c>
      <c r="G33" s="21">
        <f t="shared" si="12"/>
        <v>1.9951500881119851E-4</v>
      </c>
      <c r="H33" s="21">
        <f t="shared" si="12"/>
        <v>2.140143313420381E-5</v>
      </c>
      <c r="I33" s="21">
        <f t="shared" si="12"/>
        <v>2.4978007002141901E-3</v>
      </c>
      <c r="J33" s="21">
        <f t="shared" si="12"/>
        <v>-8.280242649442679E-2</v>
      </c>
      <c r="K33" s="21">
        <f t="shared" si="12"/>
        <v>7.1185121040420827E-4</v>
      </c>
      <c r="L33" s="21">
        <f t="shared" si="12"/>
        <v>2.0497012887900752E-4</v>
      </c>
      <c r="M33" s="21">
        <f t="shared" si="12"/>
        <v>1.2732013300176153E-2</v>
      </c>
      <c r="N33" s="21">
        <f t="shared" si="12"/>
        <v>1.0520355157274042E-4</v>
      </c>
      <c r="O33" s="21">
        <f t="shared" si="12"/>
        <v>3.7540908529497194E-3</v>
      </c>
      <c r="P33" s="21">
        <f t="shared" si="12"/>
        <v>6.9890880550606976E-4</v>
      </c>
      <c r="Q33" s="21">
        <f t="shared" si="12"/>
        <v>1.1841388099943746E-2</v>
      </c>
      <c r="R33" s="21">
        <f t="shared" si="12"/>
        <v>4.3285367155792781E-3</v>
      </c>
      <c r="S33" s="21">
        <f t="shared" si="12"/>
        <v>3.1325928336450981E-5</v>
      </c>
      <c r="T33" s="21">
        <f t="shared" si="12"/>
        <v>3.3472406359178692E-3</v>
      </c>
      <c r="U33" s="21">
        <f t="shared" si="12"/>
        <v>-8.4654525919458483E-3</v>
      </c>
      <c r="V33" s="21">
        <f t="shared" si="12"/>
        <v>2.2292321885239243E-5</v>
      </c>
      <c r="W33" s="21">
        <f t="shared" si="12"/>
        <v>-3.7332030411378987E-3</v>
      </c>
      <c r="X33" s="21">
        <f t="shared" si="12"/>
        <v>1.7275941777556275E-3</v>
      </c>
      <c r="Y33" s="21">
        <f t="shared" si="12"/>
        <v>2.784684628572351E-4</v>
      </c>
      <c r="Z33" s="21">
        <f t="shared" si="12"/>
        <v>5.0126612467857323E-4</v>
      </c>
      <c r="AA33" s="21">
        <f t="shared" si="12"/>
        <v>2.3786367270353871E-3</v>
      </c>
      <c r="AB33" s="21">
        <f t="shared" si="12"/>
        <v>1.0188828162084067E-4</v>
      </c>
      <c r="AC33" s="21">
        <f t="shared" si="12"/>
        <v>-3.463717840412188E-3</v>
      </c>
      <c r="AD33" s="21">
        <f t="shared" si="12"/>
        <v>2.5435106433029721E-4</v>
      </c>
    </row>
    <row r="34" spans="1:30" s="12" customFormat="1" x14ac:dyDescent="0.25">
      <c r="A34" s="89"/>
      <c r="B34" s="24" t="s">
        <v>147</v>
      </c>
      <c r="C34" s="21">
        <f>AVERAGE(C27:C31)</f>
        <v>0.20375765793556924</v>
      </c>
      <c r="D34" s="21">
        <f t="shared" ref="D34:AD34" si="13">AVERAGE(D27:D31)</f>
        <v>3.1152936503632273E-4</v>
      </c>
      <c r="E34" s="21">
        <f t="shared" si="13"/>
        <v>2.8414174588250745E-6</v>
      </c>
      <c r="F34" s="21">
        <f t="shared" si="13"/>
        <v>-5.7666462059777754E-2</v>
      </c>
      <c r="G34" s="21">
        <f t="shared" si="13"/>
        <v>1.4775143105698302E-4</v>
      </c>
      <c r="H34" s="21">
        <f t="shared" si="13"/>
        <v>2.1224756150479726E-5</v>
      </c>
      <c r="I34" s="21">
        <f t="shared" si="13"/>
        <v>-9.1104033186910544E-4</v>
      </c>
      <c r="J34" s="21">
        <f t="shared" si="13"/>
        <v>-0.17616877762916405</v>
      </c>
      <c r="K34" s="21">
        <f t="shared" si="13"/>
        <v>-1.7373558825299266E-3</v>
      </c>
      <c r="L34" s="21">
        <f t="shared" si="13"/>
        <v>-2.952681752752649E-4</v>
      </c>
      <c r="M34" s="21">
        <f t="shared" si="13"/>
        <v>-9.1304719704190761E-3</v>
      </c>
      <c r="N34" s="21">
        <f t="shared" si="13"/>
        <v>-4.9998919887582873E-4</v>
      </c>
      <c r="O34" s="21">
        <f t="shared" si="13"/>
        <v>-2.2745064367997656E-3</v>
      </c>
      <c r="P34" s="21">
        <f t="shared" si="13"/>
        <v>3.0334206891691895E-4</v>
      </c>
      <c r="Q34" s="21">
        <f t="shared" si="13"/>
        <v>5.4271041564755863E-3</v>
      </c>
      <c r="R34" s="21">
        <f t="shared" si="13"/>
        <v>3.326440066961929E-3</v>
      </c>
      <c r="S34" s="21">
        <f t="shared" si="13"/>
        <v>1.9699655067890125E-4</v>
      </c>
      <c r="T34" s="21">
        <f t="shared" si="13"/>
        <v>-2.4011486150263083E-4</v>
      </c>
      <c r="U34" s="21">
        <f t="shared" si="13"/>
        <v>-1.1337860227037543E-2</v>
      </c>
      <c r="V34" s="21">
        <f t="shared" si="13"/>
        <v>1.8531830083419893E-4</v>
      </c>
      <c r="W34" s="21">
        <f t="shared" si="13"/>
        <v>-5.8931352587443071E-3</v>
      </c>
      <c r="X34" s="21">
        <f t="shared" si="13"/>
        <v>-1.6302390979584889E-4</v>
      </c>
      <c r="Y34" s="21">
        <f t="shared" si="13"/>
        <v>-3.7981227182076087E-4</v>
      </c>
      <c r="Z34" s="21">
        <f t="shared" si="13"/>
        <v>-1.1567448415000703E-3</v>
      </c>
      <c r="AA34" s="21">
        <f t="shared" si="13"/>
        <v>-1.9594142527212628E-3</v>
      </c>
      <c r="AB34" s="21">
        <f t="shared" si="13"/>
        <v>7.4345667592142978E-6</v>
      </c>
      <c r="AC34" s="21">
        <f t="shared" si="13"/>
        <v>-3.0237173061854689E-3</v>
      </c>
      <c r="AD34" s="21">
        <f t="shared" si="13"/>
        <v>2.8914134164882309E-3</v>
      </c>
    </row>
    <row r="35" spans="1:30" s="12" customFormat="1" x14ac:dyDescent="0.2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s="12" customFormat="1" x14ac:dyDescent="0.25">
      <c r="A36" s="89" t="s">
        <v>159</v>
      </c>
      <c r="B36" s="24" t="s">
        <v>145</v>
      </c>
      <c r="C36" s="21">
        <f>STDEV(C22:C26)</f>
        <v>5.0406527268266783E-2</v>
      </c>
      <c r="D36" s="21">
        <f t="shared" ref="D36:AD36" si="14">STDEV(D22:D26)</f>
        <v>2.7388569872778442E-4</v>
      </c>
      <c r="E36" s="21">
        <f t="shared" si="14"/>
        <v>5.2166984575319382E-4</v>
      </c>
      <c r="F36" s="21">
        <f t="shared" si="14"/>
        <v>5.0899498429190088E-3</v>
      </c>
      <c r="G36" s="21">
        <f t="shared" si="14"/>
        <v>1.3885756393085778E-4</v>
      </c>
      <c r="H36" s="21">
        <f t="shared" si="14"/>
        <v>1.1190769846379046E-5</v>
      </c>
      <c r="I36" s="21">
        <f t="shared" si="14"/>
        <v>2.8366925038047549E-3</v>
      </c>
      <c r="J36" s="21">
        <f t="shared" si="14"/>
        <v>9.4914889431817695E-2</v>
      </c>
      <c r="K36" s="21">
        <f t="shared" si="14"/>
        <v>3.0729435458220745E-3</v>
      </c>
      <c r="L36" s="21">
        <f t="shared" si="14"/>
        <v>4.8206610898841347E-4</v>
      </c>
      <c r="M36" s="21">
        <f t="shared" si="14"/>
        <v>3.7916957627722376E-3</v>
      </c>
      <c r="N36" s="21">
        <f t="shared" si="14"/>
        <v>3.9088949373640349E-4</v>
      </c>
      <c r="O36" s="21">
        <f t="shared" si="14"/>
        <v>7.4321784350167097E-4</v>
      </c>
      <c r="P36" s="21">
        <f t="shared" si="14"/>
        <v>1.5168873396150705E-4</v>
      </c>
      <c r="Q36" s="21">
        <f t="shared" si="14"/>
        <v>6.5159026756698654E-4</v>
      </c>
      <c r="R36" s="21">
        <f t="shared" si="14"/>
        <v>3.6106532067368768E-4</v>
      </c>
      <c r="S36" s="21">
        <f t="shared" si="14"/>
        <v>2.028097754913589E-5</v>
      </c>
      <c r="T36" s="21">
        <f t="shared" si="14"/>
        <v>1.6983116846839516E-3</v>
      </c>
      <c r="U36" s="21">
        <f t="shared" si="14"/>
        <v>4.5494907274541245E-3</v>
      </c>
      <c r="V36" s="21">
        <f t="shared" si="14"/>
        <v>1.3082202826710945E-5</v>
      </c>
      <c r="W36" s="21">
        <f t="shared" si="14"/>
        <v>1.8624397009228658E-3</v>
      </c>
      <c r="X36" s="21">
        <f t="shared" si="14"/>
        <v>8.0954541426384453E-4</v>
      </c>
      <c r="Y36" s="21">
        <f t="shared" si="14"/>
        <v>4.2586816851226174E-4</v>
      </c>
      <c r="Z36" s="21">
        <f t="shared" si="14"/>
        <v>1.5974775387439563E-3</v>
      </c>
      <c r="AA36" s="21">
        <f t="shared" si="14"/>
        <v>3.2240271053914074E-3</v>
      </c>
      <c r="AB36" s="21">
        <f t="shared" si="14"/>
        <v>5.2578065913995091E-5</v>
      </c>
      <c r="AC36" s="21">
        <f t="shared" si="14"/>
        <v>1.6384121467511535E-4</v>
      </c>
      <c r="AD36" s="21">
        <f t="shared" si="14"/>
        <v>6.6605359910503542E-3</v>
      </c>
    </row>
    <row r="37" spans="1:30" s="12" customFormat="1" x14ac:dyDescent="0.25">
      <c r="A37" s="89"/>
      <c r="B37" s="24" t="s">
        <v>147</v>
      </c>
      <c r="C37" s="21">
        <f>STDEV(C27:C31)</f>
        <v>0.17593260626942653</v>
      </c>
      <c r="D37" s="21">
        <f t="shared" ref="D37:AD37" si="15">STDEV(D27:D31)</f>
        <v>6.4675343175548105E-5</v>
      </c>
      <c r="E37" s="21">
        <f t="shared" si="15"/>
        <v>5.1200531779953598E-4</v>
      </c>
      <c r="F37" s="21">
        <f t="shared" si="15"/>
        <v>3.8507495723960332E-2</v>
      </c>
      <c r="G37" s="21">
        <f t="shared" si="15"/>
        <v>1.1973925173817085E-4</v>
      </c>
      <c r="H37" s="21">
        <f t="shared" si="15"/>
        <v>1.1713461536161373E-5</v>
      </c>
      <c r="I37" s="21">
        <f t="shared" si="15"/>
        <v>3.4256139452521293E-3</v>
      </c>
      <c r="J37" s="21">
        <f t="shared" si="15"/>
        <v>0.10730406312870838</v>
      </c>
      <c r="K37" s="21">
        <f t="shared" si="15"/>
        <v>4.5806461071098347E-3</v>
      </c>
      <c r="L37" s="21">
        <f t="shared" si="15"/>
        <v>6.7221835147798119E-4</v>
      </c>
      <c r="M37" s="21">
        <f t="shared" si="15"/>
        <v>1.6593241560354133E-2</v>
      </c>
      <c r="N37" s="21">
        <f t="shared" si="15"/>
        <v>8.1413703408230408E-4</v>
      </c>
      <c r="O37" s="21">
        <f t="shared" si="15"/>
        <v>4.8467115829899706E-3</v>
      </c>
      <c r="P37" s="21">
        <f t="shared" si="15"/>
        <v>8.2931210829742711E-5</v>
      </c>
      <c r="Q37" s="21">
        <f t="shared" si="15"/>
        <v>1.2764784492445347E-3</v>
      </c>
      <c r="R37" s="21">
        <f t="shared" si="15"/>
        <v>1.2443860451095163E-3</v>
      </c>
      <c r="S37" s="21">
        <f t="shared" si="15"/>
        <v>6.888155225954725E-5</v>
      </c>
      <c r="T37" s="21">
        <f t="shared" si="15"/>
        <v>4.4937843177635904E-3</v>
      </c>
      <c r="U37" s="21">
        <f t="shared" si="15"/>
        <v>8.7874623942425095E-3</v>
      </c>
      <c r="V37" s="21">
        <f t="shared" si="15"/>
        <v>3.1954676527571187E-5</v>
      </c>
      <c r="W37" s="21">
        <f t="shared" si="15"/>
        <v>3.1401199462475012E-3</v>
      </c>
      <c r="X37" s="21">
        <f t="shared" si="15"/>
        <v>1.8918170724580869E-3</v>
      </c>
      <c r="Y37" s="21">
        <f t="shared" si="15"/>
        <v>7.131399726344322E-4</v>
      </c>
      <c r="Z37" s="21">
        <f t="shared" si="15"/>
        <v>2.5707639586812145E-3</v>
      </c>
      <c r="AA37" s="21">
        <f t="shared" si="15"/>
        <v>5.2820487228322577E-3</v>
      </c>
      <c r="AB37" s="21">
        <f t="shared" si="15"/>
        <v>6.5259263536040233E-5</v>
      </c>
      <c r="AC37" s="21">
        <f t="shared" si="15"/>
        <v>4.1587790971379408E-4</v>
      </c>
      <c r="AD37" s="21">
        <f t="shared" si="15"/>
        <v>3.4097739516030013E-3</v>
      </c>
    </row>
    <row r="38" spans="1:30" s="12" customFormat="1" x14ac:dyDescent="0.2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s="12" customFormat="1" x14ac:dyDescent="0.25">
      <c r="A39" s="89" t="s">
        <v>160</v>
      </c>
      <c r="B39" s="24" t="s">
        <v>145</v>
      </c>
      <c r="C39" s="21">
        <f>PERCENTILE(C22:C26, 0.75)</f>
        <v>0.50869266904501442</v>
      </c>
      <c r="D39" s="21">
        <f t="shared" ref="D39:AD39" si="16">PERCENTILE(D22:D26, 0.75)</f>
        <v>3.2108076035771787E-3</v>
      </c>
      <c r="E39" s="21">
        <f t="shared" si="16"/>
        <v>2.4191213970078951E-3</v>
      </c>
      <c r="F39" s="21">
        <f t="shared" si="16"/>
        <v>-2.6775664543975553E-2</v>
      </c>
      <c r="G39" s="21">
        <f t="shared" si="16"/>
        <v>3.0144379744983255E-4</v>
      </c>
      <c r="H39" s="21">
        <f t="shared" si="16"/>
        <v>2.787379591975816E-5</v>
      </c>
      <c r="I39" s="21">
        <f t="shared" si="16"/>
        <v>3.7760408812150727E-3</v>
      </c>
      <c r="J39" s="21">
        <f t="shared" si="16"/>
        <v>-2.8825205138352343E-2</v>
      </c>
      <c r="K39" s="21">
        <f t="shared" si="16"/>
        <v>2.0995855541336059E-3</v>
      </c>
      <c r="L39" s="21">
        <f t="shared" si="16"/>
        <v>3.9985370399338267E-4</v>
      </c>
      <c r="M39" s="21">
        <f t="shared" si="16"/>
        <v>1.5006366700896518E-2</v>
      </c>
      <c r="N39" s="21">
        <f t="shared" si="16"/>
        <v>4.3933326229905924E-4</v>
      </c>
      <c r="O39" s="21">
        <f t="shared" si="16"/>
        <v>3.8498526263912032E-3</v>
      </c>
      <c r="P39" s="21">
        <f t="shared" si="16"/>
        <v>8.6144289317446367E-4</v>
      </c>
      <c r="Q39" s="21">
        <f t="shared" si="16"/>
        <v>1.2214077220877792E-2</v>
      </c>
      <c r="R39" s="21">
        <f t="shared" si="16"/>
        <v>4.4768012305360285E-3</v>
      </c>
      <c r="S39" s="21">
        <f t="shared" si="16"/>
        <v>4.3533004923897266E-5</v>
      </c>
      <c r="T39" s="21">
        <f t="shared" si="16"/>
        <v>4.6344020114226373E-3</v>
      </c>
      <c r="U39" s="21">
        <f t="shared" si="16"/>
        <v>-7.1747079729067159E-3</v>
      </c>
      <c r="V39" s="21">
        <f t="shared" si="16"/>
        <v>2.9954723771862655E-5</v>
      </c>
      <c r="W39" s="21">
        <f t="shared" si="16"/>
        <v>-2.1812945892094471E-3</v>
      </c>
      <c r="X39" s="21">
        <f t="shared" si="16"/>
        <v>2.3156385117862966E-3</v>
      </c>
      <c r="Y39" s="21">
        <f t="shared" si="16"/>
        <v>3.5219042070462343E-4</v>
      </c>
      <c r="Z39" s="21">
        <f t="shared" si="16"/>
        <v>1.1757525207559153E-3</v>
      </c>
      <c r="AA39" s="21">
        <f t="shared" si="16"/>
        <v>3.9825812454114731E-3</v>
      </c>
      <c r="AB39" s="21">
        <f t="shared" si="16"/>
        <v>1.2801450502876653E-4</v>
      </c>
      <c r="AC39" s="21">
        <f t="shared" si="16"/>
        <v>-3.3937009602134313E-3</v>
      </c>
      <c r="AD39" s="21">
        <f t="shared" si="16"/>
        <v>2.145562876571883E-3</v>
      </c>
    </row>
    <row r="40" spans="1:30" s="12" customFormat="1" x14ac:dyDescent="0.25">
      <c r="A40" s="89"/>
      <c r="B40" s="24" t="s">
        <v>147</v>
      </c>
      <c r="C40" s="21">
        <f>PERCENTILE(C27:C31, 0.75)</f>
        <v>0.290232262282486</v>
      </c>
      <c r="D40" s="21">
        <f t="shared" ref="D40:AD40" si="17">PERCENTILE(D27:D31, 0.75)</f>
        <v>3.5842047416559955E-4</v>
      </c>
      <c r="E40" s="21">
        <f t="shared" si="17"/>
        <v>4.0545947746991863E-4</v>
      </c>
      <c r="F40" s="21">
        <f t="shared" si="17"/>
        <v>-3.5666749317398105E-2</v>
      </c>
      <c r="G40" s="21">
        <f t="shared" si="17"/>
        <v>2.4682189230324154E-4</v>
      </c>
      <c r="H40" s="21">
        <f t="shared" si="17"/>
        <v>2.8547590208364772E-5</v>
      </c>
      <c r="I40" s="21">
        <f t="shared" si="17"/>
        <v>3.4477148625110954E-4</v>
      </c>
      <c r="J40" s="21">
        <f t="shared" si="17"/>
        <v>-0.11783569669277368</v>
      </c>
      <c r="K40" s="21">
        <f t="shared" si="17"/>
        <v>2.2802085977014206E-3</v>
      </c>
      <c r="L40" s="21">
        <f t="shared" si="17"/>
        <v>3.052544800392549E-4</v>
      </c>
      <c r="M40" s="21">
        <f t="shared" si="17"/>
        <v>3.1930468510082406E-3</v>
      </c>
      <c r="N40" s="21">
        <f t="shared" si="17"/>
        <v>1.7535195822827315E-5</v>
      </c>
      <c r="O40" s="21">
        <f t="shared" si="17"/>
        <v>9.2653830851445777E-4</v>
      </c>
      <c r="P40" s="21">
        <f t="shared" si="17"/>
        <v>3.857602395873077E-4</v>
      </c>
      <c r="Q40" s="21">
        <f t="shared" si="17"/>
        <v>6.3746756129775244E-3</v>
      </c>
      <c r="R40" s="21">
        <f t="shared" si="17"/>
        <v>4.2869219051672866E-3</v>
      </c>
      <c r="S40" s="21">
        <f t="shared" si="17"/>
        <v>2.4395697478000526E-4</v>
      </c>
      <c r="T40" s="21">
        <f t="shared" si="17"/>
        <v>3.5375464892220764E-3</v>
      </c>
      <c r="U40" s="21">
        <f t="shared" si="17"/>
        <v>-3.0859891094359186E-3</v>
      </c>
      <c r="V40" s="21">
        <f t="shared" si="17"/>
        <v>2.0914348631724541E-4</v>
      </c>
      <c r="W40" s="21">
        <f t="shared" si="17"/>
        <v>-2.9364283876718886E-3</v>
      </c>
      <c r="X40" s="21">
        <f t="shared" si="17"/>
        <v>1.5148779689337154E-3</v>
      </c>
      <c r="Y40" s="21">
        <f t="shared" si="17"/>
        <v>2.2320425882254399E-5</v>
      </c>
      <c r="Z40" s="21">
        <f t="shared" si="17"/>
        <v>7.9567166025746553E-4</v>
      </c>
      <c r="AA40" s="21">
        <f t="shared" si="17"/>
        <v>2.4201972644453465E-3</v>
      </c>
      <c r="AB40" s="21">
        <f t="shared" si="17"/>
        <v>3.8043333953361582E-5</v>
      </c>
      <c r="AC40" s="21">
        <f t="shared" si="17"/>
        <v>-3.0833607834354925E-3</v>
      </c>
      <c r="AD40" s="21">
        <f t="shared" si="17"/>
        <v>3.4874257017136743E-3</v>
      </c>
    </row>
    <row r="41" spans="1:30" s="12" customFormat="1" x14ac:dyDescent="0.2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s="12" customFormat="1" x14ac:dyDescent="0.25">
      <c r="A42" s="89" t="s">
        <v>161</v>
      </c>
      <c r="B42" s="24" t="s">
        <v>145</v>
      </c>
      <c r="C42" s="21">
        <f>PERCENTILE(C22:C26, 0.25)</f>
        <v>0.50571604727880948</v>
      </c>
      <c r="D42" s="21">
        <f t="shared" ref="D42:AD42" si="18">PERCENTILE(D22:D26, 0.25)</f>
        <v>3.0759536852222194E-3</v>
      </c>
      <c r="E42" s="21">
        <f t="shared" si="18"/>
        <v>1.87238805832789E-3</v>
      </c>
      <c r="F42" s="21">
        <f t="shared" si="18"/>
        <v>-2.8126787410900068E-2</v>
      </c>
      <c r="G42" s="21">
        <f t="shared" si="18"/>
        <v>1.5362091983902747E-4</v>
      </c>
      <c r="H42" s="21">
        <f t="shared" si="18"/>
        <v>1.2354125032400687E-5</v>
      </c>
      <c r="I42" s="21">
        <f t="shared" si="18"/>
        <v>1.7474083408380221E-3</v>
      </c>
      <c r="J42" s="21">
        <f t="shared" si="18"/>
        <v>-8.567163211435512E-2</v>
      </c>
      <c r="K42" s="21">
        <f t="shared" si="18"/>
        <v>5.0607898907833538E-4</v>
      </c>
      <c r="L42" s="21">
        <f t="shared" si="18"/>
        <v>2.0051058417921199E-4</v>
      </c>
      <c r="M42" s="21">
        <f t="shared" si="18"/>
        <v>1.3218547630970365E-2</v>
      </c>
      <c r="N42" s="21">
        <f t="shared" si="18"/>
        <v>-1.4832002914468663E-4</v>
      </c>
      <c r="O42" s="21">
        <f t="shared" si="18"/>
        <v>3.278780992648991E-3</v>
      </c>
      <c r="P42" s="21">
        <f t="shared" si="18"/>
        <v>5.9144348774141321E-4</v>
      </c>
      <c r="Q42" s="21">
        <f t="shared" si="18"/>
        <v>1.1490897061766321E-2</v>
      </c>
      <c r="R42" s="21">
        <f t="shared" si="18"/>
        <v>4.2550403474035173E-3</v>
      </c>
      <c r="S42" s="21">
        <f t="shared" si="18"/>
        <v>2.0661266783491177E-5</v>
      </c>
      <c r="T42" s="21">
        <f t="shared" si="18"/>
        <v>2.8462532218726734E-3</v>
      </c>
      <c r="U42" s="21">
        <f t="shared" si="18"/>
        <v>-1.0204438922374274E-2</v>
      </c>
      <c r="V42" s="21">
        <f t="shared" si="18"/>
        <v>1.2202167148796272E-5</v>
      </c>
      <c r="W42" s="21">
        <f t="shared" si="18"/>
        <v>-4.2472708112564189E-3</v>
      </c>
      <c r="X42" s="21">
        <f t="shared" si="18"/>
        <v>1.5534504718445281E-3</v>
      </c>
      <c r="Y42" s="21">
        <f t="shared" si="18"/>
        <v>3.5283857850136861E-5</v>
      </c>
      <c r="Z42" s="21">
        <f t="shared" si="18"/>
        <v>-5.0848753013698798E-4</v>
      </c>
      <c r="AA42" s="21">
        <f t="shared" si="18"/>
        <v>1.1461301255588821E-3</v>
      </c>
      <c r="AB42" s="21">
        <f t="shared" si="18"/>
        <v>9.707730460220524E-5</v>
      </c>
      <c r="AC42" s="21">
        <f t="shared" si="18"/>
        <v>-3.5475732467573017E-3</v>
      </c>
      <c r="AD42" s="21">
        <f t="shared" si="18"/>
        <v>-1.620400672378894E-3</v>
      </c>
    </row>
    <row r="43" spans="1:30" s="12" customFormat="1" x14ac:dyDescent="0.25">
      <c r="A43" s="89"/>
      <c r="B43" s="24" t="s">
        <v>147</v>
      </c>
      <c r="C43" s="21">
        <f>PERCENTILE(C27:C31, 0.25)</f>
        <v>7.2123668912663849E-2</v>
      </c>
      <c r="D43" s="21">
        <f t="shared" ref="D43:AD43" si="19">PERCENTILE(D27:D31, 0.25)</f>
        <v>2.5654257482491316E-4</v>
      </c>
      <c r="E43" s="21">
        <f t="shared" si="19"/>
        <v>-3.6678630591709376E-4</v>
      </c>
      <c r="F43" s="21">
        <f t="shared" si="19"/>
        <v>-9.2209773857686694E-2</v>
      </c>
      <c r="G43" s="21">
        <f t="shared" si="19"/>
        <v>4.7581568808013898E-5</v>
      </c>
      <c r="H43" s="21">
        <f t="shared" si="19"/>
        <v>1.0641525723314857E-5</v>
      </c>
      <c r="I43" s="21">
        <f t="shared" si="19"/>
        <v>-4.1396736433403315E-3</v>
      </c>
      <c r="J43" s="21">
        <f t="shared" si="19"/>
        <v>-0.24035489919875358</v>
      </c>
      <c r="K43" s="21">
        <f t="shared" si="19"/>
        <v>-4.9900341013603012E-3</v>
      </c>
      <c r="L43" s="21">
        <f t="shared" si="19"/>
        <v>-5.4997678840370027E-4</v>
      </c>
      <c r="M43" s="21">
        <f t="shared" si="19"/>
        <v>-2.4090987506125396E-2</v>
      </c>
      <c r="N43" s="21">
        <f t="shared" si="19"/>
        <v>-1.3287052500085949E-3</v>
      </c>
      <c r="O43" s="21">
        <f t="shared" si="19"/>
        <v>-6.4235670358023756E-3</v>
      </c>
      <c r="P43" s="21">
        <f t="shared" si="19"/>
        <v>2.4995831748292883E-4</v>
      </c>
      <c r="Q43" s="21">
        <f t="shared" si="19"/>
        <v>4.1613637863720503E-3</v>
      </c>
      <c r="R43" s="21">
        <f t="shared" si="19"/>
        <v>2.2482351106042249E-3</v>
      </c>
      <c r="S43" s="21">
        <f t="shared" si="19"/>
        <v>1.2981557316899317E-4</v>
      </c>
      <c r="T43" s="21">
        <f t="shared" si="19"/>
        <v>-4.3757908191001523E-3</v>
      </c>
      <c r="U43" s="21">
        <f t="shared" si="19"/>
        <v>-1.7142417196215183E-2</v>
      </c>
      <c r="V43" s="21">
        <f t="shared" si="19"/>
        <v>1.6039090043337803E-4</v>
      </c>
      <c r="W43" s="21">
        <f t="shared" si="19"/>
        <v>-8.5672483596314943E-3</v>
      </c>
      <c r="X43" s="21">
        <f t="shared" si="19"/>
        <v>-1.7738386353160361E-3</v>
      </c>
      <c r="Y43" s="21">
        <f t="shared" si="19"/>
        <v>-1.0875694017095541E-3</v>
      </c>
      <c r="Z43" s="21">
        <f t="shared" si="19"/>
        <v>-3.196497957139928E-3</v>
      </c>
      <c r="AA43" s="21">
        <f t="shared" si="19"/>
        <v>-6.6553502168971452E-3</v>
      </c>
      <c r="AB43" s="21">
        <f t="shared" si="19"/>
        <v>-5.5871203277928372E-5</v>
      </c>
      <c r="AC43" s="21">
        <f t="shared" si="19"/>
        <v>-3.2199809924025012E-3</v>
      </c>
      <c r="AD43" s="21">
        <f t="shared" si="19"/>
        <v>2.2058048719472987E-3</v>
      </c>
    </row>
    <row r="44" spans="1:30" x14ac:dyDescent="0.2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</row>
    <row r="48" spans="1:30" x14ac:dyDescent="0.2">
      <c r="C48" s="33" t="s">
        <v>103</v>
      </c>
    </row>
    <row r="49" spans="2:3" x14ac:dyDescent="0.2">
      <c r="B49" s="12">
        <v>262</v>
      </c>
      <c r="C49" s="35">
        <f>'cel growth'!L33</f>
        <v>39680251194.0756</v>
      </c>
    </row>
    <row r="50" spans="2:3" x14ac:dyDescent="0.2">
      <c r="B50" s="12" t="s">
        <v>101</v>
      </c>
      <c r="C50" s="35">
        <f>'cel growth'!L34</f>
        <v>47742174520.026924</v>
      </c>
    </row>
  </sheetData>
  <mergeCells count="6">
    <mergeCell ref="A42:A43"/>
    <mergeCell ref="C20:AD20"/>
    <mergeCell ref="C1:AD1"/>
    <mergeCell ref="A33:A34"/>
    <mergeCell ref="A36:A37"/>
    <mergeCell ref="A39:A4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workbookViewId="0">
      <selection activeCell="M37" sqref="M37"/>
    </sheetView>
  </sheetViews>
  <sheetFormatPr defaultRowHeight="15" x14ac:dyDescent="0.25"/>
  <cols>
    <col min="1" max="1" width="10.42578125" bestFit="1" customWidth="1"/>
    <col min="2" max="2" width="10" bestFit="1" customWidth="1"/>
    <col min="9" max="9" width="11.5703125" bestFit="1" customWidth="1"/>
  </cols>
  <sheetData>
    <row r="1" spans="2:30" x14ac:dyDescent="0.25">
      <c r="B1" s="12"/>
      <c r="C1" s="90" t="s">
        <v>143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spans="2:30" ht="15.75" thickBot="1" x14ac:dyDescent="0.3">
      <c r="B2" s="4" t="s">
        <v>114</v>
      </c>
      <c r="C2" s="31" t="s">
        <v>28</v>
      </c>
      <c r="D2" s="31" t="s">
        <v>30</v>
      </c>
      <c r="E2" s="31" t="s">
        <v>31</v>
      </c>
      <c r="F2" s="31" t="s">
        <v>34</v>
      </c>
      <c r="G2" s="31" t="s">
        <v>36</v>
      </c>
      <c r="H2" s="31" t="s">
        <v>42</v>
      </c>
      <c r="I2" s="31" t="s">
        <v>43</v>
      </c>
      <c r="J2" s="31" t="s">
        <v>46</v>
      </c>
      <c r="K2" s="31" t="s">
        <v>47</v>
      </c>
      <c r="L2" s="31" t="s">
        <v>48</v>
      </c>
      <c r="M2" s="31" t="s">
        <v>50</v>
      </c>
      <c r="N2" s="31" t="s">
        <v>51</v>
      </c>
      <c r="O2" s="31" t="s">
        <v>52</v>
      </c>
      <c r="P2" s="31" t="s">
        <v>54</v>
      </c>
      <c r="Q2" s="31" t="s">
        <v>59</v>
      </c>
      <c r="R2" s="31" t="s">
        <v>110</v>
      </c>
      <c r="S2" s="31" t="s">
        <v>61</v>
      </c>
      <c r="T2" s="31" t="s">
        <v>62</v>
      </c>
      <c r="U2" s="31" t="s">
        <v>64</v>
      </c>
      <c r="V2" s="31" t="s">
        <v>67</v>
      </c>
      <c r="W2" s="31" t="s">
        <v>68</v>
      </c>
      <c r="X2" s="31" t="s">
        <v>70</v>
      </c>
      <c r="Y2" s="31" t="s">
        <v>76</v>
      </c>
      <c r="Z2" s="31" t="s">
        <v>77</v>
      </c>
      <c r="AA2" s="31" t="s">
        <v>78</v>
      </c>
      <c r="AB2" s="31" t="s">
        <v>106</v>
      </c>
      <c r="AC2" s="31" t="s">
        <v>107</v>
      </c>
      <c r="AD2" s="31" t="s">
        <v>113</v>
      </c>
    </row>
    <row r="3" spans="2:30" ht="15.75" thickTop="1" x14ac:dyDescent="0.25">
      <c r="B3" s="12" t="s">
        <v>5</v>
      </c>
      <c r="C3" s="12">
        <f>'CoRe_cell number'!C105</f>
        <v>20.18505288829094</v>
      </c>
      <c r="D3" s="12">
        <f>'CoRe_cell number'!D105</f>
        <v>0.12205461489096021</v>
      </c>
      <c r="E3" s="12">
        <f>'CoRe_cell number'!E105</f>
        <v>8.3647544815051461E-2</v>
      </c>
      <c r="F3" s="12">
        <f>'CoRe_cell number'!F105</f>
        <v>-1.0860578916568144</v>
      </c>
      <c r="G3" s="12">
        <f>'CoRe_cell number'!G105</f>
        <v>6.0957166878775615E-3</v>
      </c>
      <c r="H3" s="12">
        <f>'CoRe_cell number'!H105</f>
        <v>1.4490911972807607E-3</v>
      </c>
      <c r="I3" s="12">
        <f>'CoRe_cell number'!I105</f>
        <v>6.9337601903075585E-2</v>
      </c>
      <c r="J3" s="12">
        <f>'CoRe_cell number'!J105</f>
        <v>-3.3994718825040451</v>
      </c>
      <c r="K3" s="12">
        <f>'CoRe_cell number'!K105</f>
        <v>8.3312082191473902E-2</v>
      </c>
      <c r="L3" s="12">
        <f>'CoRe_cell number'!L105</f>
        <v>8.2179540754820229E-3</v>
      </c>
      <c r="M3" s="12">
        <f>'CoRe_cell number'!M105</f>
        <v>0.59545640020198531</v>
      </c>
      <c r="N3" s="12">
        <f>'CoRe_cell number'!N105</f>
        <v>8.2386133143318441E-3</v>
      </c>
      <c r="O3" s="12">
        <f>'CoRe_cell number'!O105</f>
        <v>0.19591855664595009</v>
      </c>
      <c r="P3" s="12">
        <f>'CoRe_cell number'!P105</f>
        <v>3.438707962394958E-2</v>
      </c>
      <c r="Q3" s="12">
        <f>'CoRe_cell number'!Q105</f>
        <v>0.50083290695802751</v>
      </c>
      <c r="R3" s="12">
        <f>'CoRe_cell number'!R105</f>
        <v>0.17764059737361637</v>
      </c>
      <c r="S3" s="12">
        <f>'CoRe_cell number'!S105</f>
        <v>1.7274005706131735E-3</v>
      </c>
      <c r="T3" s="12">
        <f>'CoRe_cell number'!T105</f>
        <v>0.18389423594757948</v>
      </c>
      <c r="U3" s="12">
        <f>'CoRe_cell number'!U105</f>
        <v>-0.2846942146090754</v>
      </c>
      <c r="V3" s="12">
        <f>'CoRe_cell number'!V105</f>
        <v>1.5746437579268291E-3</v>
      </c>
      <c r="W3" s="12">
        <f>'CoRe_cell number'!W105</f>
        <v>-8.6554317228108801E-2</v>
      </c>
      <c r="X3" s="12">
        <f>'CoRe_cell number'!X105</f>
        <v>9.1885117822355644E-2</v>
      </c>
      <c r="Y3" s="12">
        <f>'CoRe_cell number'!Y105</f>
        <v>1.4000723425894868E-3</v>
      </c>
      <c r="Z3" s="12">
        <f>'CoRe_cell number'!Z105</f>
        <v>-2.0176912924890766E-2</v>
      </c>
      <c r="AA3" s="12">
        <f>'CoRe_cell number'!AA105</f>
        <v>4.5478731283273843E-2</v>
      </c>
      <c r="AB3" s="12">
        <f>'CoRe_cell number'!AB105</f>
        <v>3.8520518318592954E-3</v>
      </c>
      <c r="AC3" s="12">
        <f>'CoRe_cell number'!AC105</f>
        <v>-0.14524687164346467</v>
      </c>
      <c r="AD3" s="12">
        <f>'CoRe_cell number'!AD105</f>
        <v>-6.4297905715043513E-2</v>
      </c>
    </row>
    <row r="4" spans="2:30" x14ac:dyDescent="0.25">
      <c r="B4" s="12" t="s">
        <v>6</v>
      </c>
      <c r="C4" s="12">
        <f>'CoRe_cell number'!C106</f>
        <v>20.083987245500083</v>
      </c>
      <c r="D4" s="12">
        <f>'CoRe_cell number'!D106</f>
        <v>0.12398176885414942</v>
      </c>
      <c r="E4" s="12">
        <f>'CoRe_cell number'!E106</f>
        <v>7.4296828487238148E-2</v>
      </c>
      <c r="F4" s="12">
        <f>'CoRe_cell number'!F106</f>
        <v>-1.0624650949932537</v>
      </c>
      <c r="G4" s="12">
        <f>'CoRe_cell number'!G106</f>
        <v>1.0106285920986585E-2</v>
      </c>
      <c r="H4" s="12">
        <f>'CoRe_cell number'!H106</f>
        <v>3.6564532408195349E-4</v>
      </c>
      <c r="I4" s="12">
        <f>'CoRe_cell number'!I106</f>
        <v>0.12118927184946449</v>
      </c>
      <c r="J4" s="12">
        <f>'CoRe_cell number'!J106</f>
        <v>-1.840845488108144</v>
      </c>
      <c r="K4" s="12">
        <f>'CoRe_cell number'!K106</f>
        <v>2.0081341410672193E-2</v>
      </c>
      <c r="L4" s="12">
        <f>'CoRe_cell number'!L106</f>
        <v>7.9563103473019731E-3</v>
      </c>
      <c r="M4" s="12">
        <f>'CoRe_cell number'!M106</f>
        <v>0.56340240515379092</v>
      </c>
      <c r="N4" s="12">
        <f>'CoRe_cell number'!N106</f>
        <v>-5.8853760135737787E-3</v>
      </c>
      <c r="O4" s="12">
        <f>'CoRe_cell number'!O106</f>
        <v>0.14707476433307171</v>
      </c>
      <c r="P4" s="12">
        <f>'CoRe_cell number'!P106</f>
        <v>2.3468626160679448E-2</v>
      </c>
      <c r="Q4" s="12">
        <f>'CoRe_cell number'!Q106</f>
        <v>0.47389793685474457</v>
      </c>
      <c r="R4" s="12">
        <f>'CoRe_cell number'!R106</f>
        <v>0.16884106982589825</v>
      </c>
      <c r="S4" s="12">
        <f>'CoRe_cell number'!S106</f>
        <v>8.1984425595674031E-4</v>
      </c>
      <c r="T4" s="12">
        <f>'CoRe_cell number'!T106</f>
        <v>0.15078224694399078</v>
      </c>
      <c r="U4" s="12">
        <f>'CoRe_cell number'!U106</f>
        <v>-0.4049146997344133</v>
      </c>
      <c r="V4" s="12">
        <f>'CoRe_cell number'!V106</f>
        <v>8.8150958139471616E-4</v>
      </c>
      <c r="W4" s="12">
        <f>'CoRe_cell number'!W106</f>
        <v>-0.16853277267991995</v>
      </c>
      <c r="X4" s="12">
        <f>'CoRe_cell number'!X106</f>
        <v>6.1641304940346142E-2</v>
      </c>
      <c r="Y4" s="12">
        <f>'CoRe_cell number'!Y106</f>
        <v>1.3975004361706622E-2</v>
      </c>
      <c r="Z4" s="12">
        <f>'CoRe_cell number'!Z106</f>
        <v>4.0393324975242506E-2</v>
      </c>
      <c r="AA4" s="12">
        <f>'CoRe_cell number'!AA106</f>
        <v>0.12421177030907726</v>
      </c>
      <c r="AB4" s="12">
        <f>'CoRe_cell number'!AB106</f>
        <v>4.690869927528752E-3</v>
      </c>
      <c r="AC4" s="12">
        <f>'CoRe_cell number'!AC106</f>
        <v>-0.13848132354032766</v>
      </c>
      <c r="AD4" s="12">
        <f>'CoRe_cell number'!AD106</f>
        <v>5.4048277878549156E-2</v>
      </c>
    </row>
    <row r="5" spans="2:30" x14ac:dyDescent="0.25">
      <c r="B5" s="12" t="s">
        <v>7</v>
      </c>
      <c r="C5" s="12">
        <f>'CoRe_cell number'!C107</f>
        <v>22.040187582299474</v>
      </c>
      <c r="D5" s="12">
        <f>'CoRe_cell number'!D107</f>
        <v>0.12949045149817917</v>
      </c>
      <c r="E5" s="12">
        <f>'CoRe_cell number'!E107</f>
        <v>9.6800092253745001E-2</v>
      </c>
      <c r="F5" s="12">
        <f>'CoRe_cell number'!F107</f>
        <v>-0.90353840641292216</v>
      </c>
      <c r="G5" s="12">
        <f>'CoRe_cell number'!G107</f>
        <v>1.19613656037054E-2</v>
      </c>
      <c r="H5" s="12">
        <f>'CoRe_cell number'!H107</f>
        <v>4.9021478456867662E-4</v>
      </c>
      <c r="I5" s="12">
        <f>'CoRe_cell number'!I107</f>
        <v>0.22894295445958623</v>
      </c>
      <c r="J5" s="12">
        <f>'CoRe_cell number'!J107</f>
        <v>-0.33048095625657936</v>
      </c>
      <c r="K5" s="12">
        <f>'CoRe_cell number'!K107</f>
        <v>0.14090996394527799</v>
      </c>
      <c r="L5" s="12">
        <f>'CoRe_cell number'!L107</f>
        <v>3.0529005283221514E-2</v>
      </c>
      <c r="M5" s="12">
        <f>'CoRe_cell number'!M107</f>
        <v>0.60102309263017872</v>
      </c>
      <c r="N5" s="12">
        <f>'CoRe_cell number'!N107</f>
        <v>1.7432854205939374E-2</v>
      </c>
      <c r="O5" s="12">
        <f>'CoRe_cell number'!O107</f>
        <v>0.11895704659906309</v>
      </c>
      <c r="P5" s="12">
        <f>'CoRe_cell number'!P107</f>
        <v>2.2366691157726201E-2</v>
      </c>
      <c r="Q5" s="12">
        <f>'CoRe_cell number'!Q107</f>
        <v>0.48465765222826762</v>
      </c>
      <c r="R5" s="12">
        <f>'CoRe_cell number'!R107</f>
        <v>0.18954757397061817</v>
      </c>
      <c r="S5" s="12">
        <f>'CoRe_cell number'!S107</f>
        <v>2.0047684296100512E-3</v>
      </c>
      <c r="T5" s="12">
        <f>'CoRe_cell number'!T107</f>
        <v>0.19079484617738385</v>
      </c>
      <c r="U5" s="12">
        <f>'CoRe_cell number'!U107</f>
        <v>-0.1049857458057053</v>
      </c>
      <c r="V5" s="12">
        <f>'CoRe_cell number'!V107</f>
        <v>1.1886109637166578E-3</v>
      </c>
      <c r="W5" s="12">
        <f>'CoRe_cell number'!W107</f>
        <v>-7.4517640562516196E-2</v>
      </c>
      <c r="X5" s="12">
        <f>'CoRe_cell number'!X107</f>
        <v>9.3070982425380588E-2</v>
      </c>
      <c r="Y5" s="12">
        <f>'CoRe_cell number'!Y107</f>
        <v>3.5868652889588515E-2</v>
      </c>
      <c r="Z5" s="12">
        <f>'CoRe_cell number'!Z107</f>
        <v>9.7851456441342188E-2</v>
      </c>
      <c r="AA5" s="12">
        <f>'CoRe_cell number'!AA107</f>
        <v>0.24112778900397003</v>
      </c>
      <c r="AB5" s="12">
        <f>'CoRe_cell number'!AB107</f>
        <v>6.0130995541737252E-3</v>
      </c>
      <c r="AC5" s="12">
        <f>'CoRe_cell number'!AC107</f>
        <v>-0.12804627054143444</v>
      </c>
      <c r="AD5" s="12">
        <f>'CoRe_cell number'!AD107</f>
        <v>0.35200526735524351</v>
      </c>
    </row>
    <row r="6" spans="2:30" x14ac:dyDescent="0.25">
      <c r="B6" s="12" t="s">
        <v>8</v>
      </c>
      <c r="C6" s="3">
        <f>'CoRe_cell number'!C108</f>
        <v>20.066939788898171</v>
      </c>
      <c r="D6" s="3">
        <f>'CoRe_cell number'!D108</f>
        <v>0.12740565224579037</v>
      </c>
      <c r="E6" s="3">
        <f>'CoRe_cell number'!E108</f>
        <v>9.5991344702236359E-2</v>
      </c>
      <c r="F6" s="3">
        <f>'CoRe_cell number'!F108</f>
        <v>-1.116077989746878</v>
      </c>
      <c r="G6" s="3">
        <f>'CoRe_cell number'!G108</f>
        <v>1.2314510625831832E-2</v>
      </c>
      <c r="H6" s="3">
        <f>'CoRe_cell number'!H108</f>
        <v>1.1060392238284034E-3</v>
      </c>
      <c r="I6" s="3">
        <f>'CoRe_cell number'!I108</f>
        <v>0.14983425068571266</v>
      </c>
      <c r="J6" s="3">
        <f>'CoRe_cell number'!J108</f>
        <v>-1.1437913806105797</v>
      </c>
      <c r="K6" s="3">
        <f>'CoRe_cell number'!K108</f>
        <v>7.2863812815885609E-2</v>
      </c>
      <c r="L6" s="3">
        <f>'CoRe_cell number'!L108</f>
        <v>1.5866295415338974E-2</v>
      </c>
      <c r="M6" s="3">
        <f>'CoRe_cell number'!M108</f>
        <v>0.52451529041775702</v>
      </c>
      <c r="N6" s="3">
        <f>'CoRe_cell number'!N108</f>
        <v>1.8465816283430025E-2</v>
      </c>
      <c r="O6" s="3">
        <f>'CoRe_cell number'!O108</f>
        <v>0.15276311927537461</v>
      </c>
      <c r="P6" s="3">
        <f>'CoRe_cell number'!P108</f>
        <v>2.4259717488291699E-2</v>
      </c>
      <c r="Q6" s="3">
        <f>'CoRe_cell number'!Q108</f>
        <v>0.45596168185615282</v>
      </c>
      <c r="R6" s="3">
        <f>'CoRe_cell number'!R108</f>
        <v>0.17247033747842072</v>
      </c>
      <c r="S6" s="3">
        <f>'CoRe_cell number'!S108</f>
        <v>1.6246188332995556E-3</v>
      </c>
      <c r="T6" s="3">
        <f>'CoRe_cell number'!T108</f>
        <v>0.11294004280585468</v>
      </c>
      <c r="U6" s="3">
        <f>'CoRe_cell number'!U108</f>
        <v>-0.2892953980911086</v>
      </c>
      <c r="V6" s="3">
        <f>'CoRe_cell number'!V108</f>
        <v>4.8418505757633328E-4</v>
      </c>
      <c r="W6" s="3">
        <f>'CoRe_cell number'!W108</f>
        <v>-0.15248150450185483</v>
      </c>
      <c r="X6" s="3">
        <f>'CoRe_cell number'!X108</f>
        <v>8.045208118260283E-2</v>
      </c>
      <c r="Y6" s="3">
        <f>'CoRe_cell number'!Y108</f>
        <v>1.3423495450404221E-2</v>
      </c>
      <c r="Z6" s="3">
        <f>'CoRe_cell number'!Z108</f>
        <v>4.6654155365662309E-2</v>
      </c>
      <c r="AA6" s="3">
        <f>'CoRe_cell number'!AA108</f>
        <v>0.15802982421874168</v>
      </c>
      <c r="AB6" s="3">
        <f>'CoRe_cell number'!AB108</f>
        <v>5.0796477160267098E-3</v>
      </c>
      <c r="AC6" s="3">
        <f>'CoRe_cell number'!AC108</f>
        <v>-0.13466290657884453</v>
      </c>
      <c r="AD6" s="3">
        <f>'CoRe_cell number'!AD108</f>
        <v>8.5136473895055742E-2</v>
      </c>
    </row>
    <row r="7" spans="2:30" x14ac:dyDescent="0.25">
      <c r="B7" s="16" t="s">
        <v>9</v>
      </c>
      <c r="C7" s="16">
        <f>'CoRe_cell number'!C109</f>
        <v>16.531146207587074</v>
      </c>
      <c r="D7" s="16">
        <f>'CoRe_cell number'!D109</f>
        <v>0.10230964516852341</v>
      </c>
      <c r="E7" s="16">
        <f>'CoRe_cell number'!E109</f>
        <v>4.6356994284504904E-2</v>
      </c>
      <c r="F7" s="16">
        <f>'CoRe_cell number'!F109</f>
        <v>-1.4545715684491505</v>
      </c>
      <c r="G7" s="16">
        <f>'CoRe_cell number'!G109</f>
        <v>-8.9385050531856636E-4</v>
      </c>
      <c r="H7" s="16">
        <f>'CoRe_cell number'!H109</f>
        <v>8.3508068363230548E-4</v>
      </c>
      <c r="I7" s="16">
        <f>'CoRe_cell number'!I109</f>
        <v>-7.3737282811654037E-2</v>
      </c>
      <c r="J7" s="16">
        <f>'CoRe_cell number'!J109</f>
        <v>-9.7135157064098294</v>
      </c>
      <c r="K7" s="16">
        <f>'CoRe_cell number'!K109</f>
        <v>-0.17593502615508094</v>
      </c>
      <c r="L7" s="16">
        <f>'CoRe_cell number'!L109</f>
        <v>-2.1903234115339142E-2</v>
      </c>
      <c r="M7" s="16">
        <f>'CoRe_cell number'!M109</f>
        <v>0.24165024138279412</v>
      </c>
      <c r="N7" s="16">
        <f>'CoRe_cell number'!N109</f>
        <v>-1.7379391025551333E-2</v>
      </c>
      <c r="O7" s="16">
        <f>'CoRe_cell number'!O109</f>
        <v>0.1301028533986725</v>
      </c>
      <c r="P7" s="16">
        <f>'CoRe_cell number'!P109</f>
        <v>3.4182270390513948E-2</v>
      </c>
      <c r="Q7" s="16">
        <f>'CoRe_cell number'!Q109</f>
        <v>0.43399609356433444</v>
      </c>
      <c r="R7" s="16">
        <f>'CoRe_cell number'!R109</f>
        <v>0.15028754223627006</v>
      </c>
      <c r="S7" s="16">
        <f>'CoRe_cell number'!S109</f>
        <v>3.847143691040715E-5</v>
      </c>
      <c r="T7" s="16">
        <f>'CoRe_cell number'!T109</f>
        <v>2.5685374326383181E-2</v>
      </c>
      <c r="U7" s="16">
        <f>'CoRe_cell number'!U109</f>
        <v>-0.59566636835944564</v>
      </c>
      <c r="V7" s="16">
        <f>'CoRe_cell number'!V109</f>
        <v>2.9387529991287435E-4</v>
      </c>
      <c r="W7" s="16">
        <f>'CoRe_cell number'!W109</f>
        <v>-0.25858593718179412</v>
      </c>
      <c r="X7" s="16">
        <f>'CoRe_cell number'!X109</f>
        <v>1.5707368303143787E-2</v>
      </c>
      <c r="Y7" s="16">
        <f>'CoRe_cell number'!Y109</f>
        <v>-9.4187322652728445E-3</v>
      </c>
      <c r="Z7" s="16">
        <f>'CoRe_cell number'!Z109</f>
        <v>-6.5270195145723187E-2</v>
      </c>
      <c r="AA7" s="16">
        <f>'CoRe_cell number'!AA109</f>
        <v>-9.6923600673972876E-2</v>
      </c>
      <c r="AB7" s="16">
        <f>'CoRe_cell number'!AB109</f>
        <v>5.7909401264988683E-4</v>
      </c>
      <c r="AC7" s="16">
        <f>'CoRe_cell number'!AC109</f>
        <v>-0.14076859756071208</v>
      </c>
      <c r="AD7" s="16">
        <f>'CoRe_cell number'!AD109</f>
        <v>-0.37642854279327148</v>
      </c>
    </row>
    <row r="8" spans="2:30" x14ac:dyDescent="0.25">
      <c r="B8" s="12" t="s">
        <v>14</v>
      </c>
      <c r="C8" s="12">
        <f>'CoRe_cell number'!C115</f>
        <v>13.856319317232675</v>
      </c>
      <c r="D8" s="12">
        <f>'CoRe_cell number'!D115</f>
        <v>1.6807813129961907E-2</v>
      </c>
      <c r="E8" s="12">
        <f>'CoRe_cell number'!E115</f>
        <v>2.1057723258636557E-2</v>
      </c>
      <c r="F8" s="12">
        <f>'CoRe_cell number'!F115</f>
        <v>-2.2574461195098245</v>
      </c>
      <c r="G8" s="12">
        <f>'CoRe_cell number'!G115</f>
        <v>9.6929219371392691E-3</v>
      </c>
      <c r="H8" s="12">
        <f>'CoRe_cell number'!H115</f>
        <v>1.3075073091935452E-3</v>
      </c>
      <c r="I8" s="12">
        <f>'CoRe_cell number'!I115</f>
        <v>1.6460140466129536E-2</v>
      </c>
      <c r="J8" s="12">
        <f>'CoRe_cell number'!J115</f>
        <v>-11.475065544290374</v>
      </c>
      <c r="K8" s="12">
        <f>'CoRe_cell number'!K115</f>
        <v>0.10886211681352709</v>
      </c>
      <c r="L8" s="12">
        <f>'CoRe_cell number'!L115</f>
        <v>1.5934034105952816E-2</v>
      </c>
      <c r="M8" s="12">
        <f>'CoRe_cell number'!M115</f>
        <v>-0.23511647299258676</v>
      </c>
      <c r="N8" s="12">
        <f>'CoRe_cell number'!N115</f>
        <v>8.3716837921626874E-4</v>
      </c>
      <c r="O8" s="12">
        <f>'CoRe_cell number'!O115</f>
        <v>-4.5876305746282708E-2</v>
      </c>
      <c r="P8" s="12">
        <f>'CoRe_cell number'!P115</f>
        <v>1.8417032681264642E-2</v>
      </c>
      <c r="Q8" s="12">
        <f>'CoRe_cell number'!Q115</f>
        <v>0.30434087562333256</v>
      </c>
      <c r="R8" s="12">
        <f>'CoRe_cell number'!R115</f>
        <v>0.21579142077749425</v>
      </c>
      <c r="S8" s="12">
        <f>'CoRe_cell number'!S115</f>
        <v>1.1647036465324818E-2</v>
      </c>
      <c r="T8" s="12">
        <f>'CoRe_cell number'!T115</f>
        <v>0.18887582423103622</v>
      </c>
      <c r="U8" s="12">
        <f>'CoRe_cell number'!U115</f>
        <v>-0.81841627347681589</v>
      </c>
      <c r="V8" s="12">
        <f>'CoRe_cell number'!V115</f>
        <v>1.0638927885680625E-2</v>
      </c>
      <c r="W8" s="12">
        <f>'CoRe_cell number'!W115</f>
        <v>-0.14019147654979258</v>
      </c>
      <c r="X8" s="12">
        <f>'CoRe_cell number'!X115</f>
        <v>7.2323568369377367E-2</v>
      </c>
      <c r="Y8" s="12">
        <f>'CoRe_cell number'!Y115</f>
        <v>1.7478154704385962E-2</v>
      </c>
      <c r="Z8" s="12">
        <f>'CoRe_cell number'!Z115</f>
        <v>6.6926115894204941E-2</v>
      </c>
      <c r="AA8" s="12">
        <f>'CoRe_cell number'!AA115</f>
        <v>0.11554548017204147</v>
      </c>
      <c r="AB8" s="12">
        <f>'CoRe_cell number'!AB115</f>
        <v>-3.0616710216906859E-3</v>
      </c>
      <c r="AC8" s="12">
        <f>'CoRe_cell number'!AC115</f>
        <v>-0.15219811912342252</v>
      </c>
      <c r="AD8" s="12">
        <f>'CoRe_cell number'!AD115</f>
        <v>0.16428046728795709</v>
      </c>
    </row>
    <row r="9" spans="2:30" x14ac:dyDescent="0.25">
      <c r="B9" s="12" t="s">
        <v>15</v>
      </c>
      <c r="C9" s="12">
        <f>'CoRe_cell number'!C116</f>
        <v>1.1409615045123442</v>
      </c>
      <c r="D9" s="12">
        <f>'CoRe_cell number'!D116</f>
        <v>1.224790037910807E-2</v>
      </c>
      <c r="E9" s="12">
        <f>'CoRe_cell number'!E116</f>
        <v>-1.7511175828649875E-2</v>
      </c>
      <c r="F9" s="12">
        <f>'CoRe_cell number'!F116</f>
        <v>-4.8747054163321089</v>
      </c>
      <c r="G9" s="12">
        <f>'CoRe_cell number'!G116</f>
        <v>2.2716475619688689E-3</v>
      </c>
      <c r="H9" s="12">
        <f>'CoRe_cell number'!H116</f>
        <v>3.2064308239510009E-4</v>
      </c>
      <c r="I9" s="12">
        <f>'CoRe_cell number'!I116</f>
        <v>-0.21470292971018978</v>
      </c>
      <c r="J9" s="12">
        <f>'CoRe_cell number'!J116</f>
        <v>-2.021971616868484</v>
      </c>
      <c r="K9" s="12">
        <f>'CoRe_cell number'!K116</f>
        <v>-0.2382350789280292</v>
      </c>
      <c r="L9" s="12">
        <f>'CoRe_cell number'!L116</f>
        <v>-2.6257087813933377E-2</v>
      </c>
      <c r="M9" s="12">
        <f>'CoRe_cell number'!M116</f>
        <v>-1.3708191336318096</v>
      </c>
      <c r="N9" s="12">
        <f>'CoRe_cell number'!N116</f>
        <v>-6.3435277931586348E-2</v>
      </c>
      <c r="O9" s="12">
        <f>'CoRe_cell number'!O116</f>
        <v>-0.38887826491559857</v>
      </c>
      <c r="P9" s="12">
        <f>'CoRe_cell number'!P116</f>
        <v>1.0355511420309653E-2</v>
      </c>
      <c r="Q9" s="12">
        <f>'CoRe_cell number'!Q116</f>
        <v>0.1873845001357807</v>
      </c>
      <c r="R9" s="12">
        <f>'CoRe_cell number'!R116</f>
        <v>0.10733563301251894</v>
      </c>
      <c r="S9" s="12">
        <f>'CoRe_cell number'!S116</f>
        <v>6.1976777496513969E-3</v>
      </c>
      <c r="T9" s="12">
        <f>'CoRe_cell number'!T116</f>
        <v>-0.20890976894861102</v>
      </c>
      <c r="U9" s="12">
        <f>'CoRe_cell number'!U116</f>
        <v>-0.1473318306295921</v>
      </c>
      <c r="V9" s="12">
        <f>'CoRe_cell number'!V116</f>
        <v>7.0089294199223891E-3</v>
      </c>
      <c r="W9" s="12">
        <f>'CoRe_cell number'!W116</f>
        <v>-0.40901906634194118</v>
      </c>
      <c r="X9" s="12">
        <f>'CoRe_cell number'!X116</f>
        <v>-8.46869136976246E-2</v>
      </c>
      <c r="Y9" s="12">
        <f>'CoRe_cell number'!Y116</f>
        <v>-5.1922928179058803E-2</v>
      </c>
      <c r="Z9" s="12">
        <f>'CoRe_cell number'!Z116</f>
        <v>-0.152607763322684</v>
      </c>
      <c r="AA9" s="12">
        <f>'CoRe_cell number'!AA116</f>
        <v>-0.31774089154700258</v>
      </c>
      <c r="AB9" s="12">
        <f>'CoRe_cell number'!AB116</f>
        <v>4.1659805373661443E-3</v>
      </c>
      <c r="AC9" s="12">
        <f>'CoRe_cell number'!AC116</f>
        <v>-0.14720634863098422</v>
      </c>
      <c r="AD9" s="12">
        <f>'CoRe_cell number'!AD116</f>
        <v>-0.10008512586130869</v>
      </c>
    </row>
    <row r="10" spans="2:30" x14ac:dyDescent="0.25">
      <c r="B10" s="12" t="s">
        <v>16</v>
      </c>
      <c r="C10" s="12">
        <f>'CoRe_cell number'!C117</f>
        <v>3.443340788253038</v>
      </c>
      <c r="D10" s="12">
        <f>'CoRe_cell number'!D117</f>
        <v>1.7361772142622457E-2</v>
      </c>
      <c r="E10" s="12">
        <f>'CoRe_cell number'!E117</f>
        <v>1.9357517134167779E-2</v>
      </c>
      <c r="F10" s="12">
        <f>'CoRe_cell number'!F117</f>
        <v>-4.4022951159658943</v>
      </c>
      <c r="G10" s="12">
        <f>'CoRe_cell number'!G117</f>
        <v>1.1891310141344556E-2</v>
      </c>
      <c r="H10" s="12">
        <f>'CoRe_cell number'!H117</f>
        <v>1.5674560577216279E-3</v>
      </c>
      <c r="I10" s="12">
        <f>'CoRe_cell number'!I117</f>
        <v>0.17610981797773684</v>
      </c>
      <c r="J10" s="12">
        <f>'CoRe_cell number'!J117</f>
        <v>-15.23055380273491</v>
      </c>
      <c r="K10" s="12">
        <f>'CoRe_cell number'!K117</f>
        <v>0.16263097460384879</v>
      </c>
      <c r="L10" s="12">
        <f>'CoRe_cell number'!L117</f>
        <v>1.4573512659054183E-2</v>
      </c>
      <c r="M10" s="12">
        <f>'CoRe_cell number'!M117</f>
        <v>-1.1501561298772269</v>
      </c>
      <c r="N10" s="12">
        <f>'CoRe_cell number'!N117</f>
        <v>1.94683447427349E-2</v>
      </c>
      <c r="O10" s="12">
        <f>'CoRe_cell number'!O117</f>
        <v>-0.30667505846436904</v>
      </c>
      <c r="P10" s="12">
        <f>'CoRe_cell number'!P117</f>
        <v>1.1933553616002283E-2</v>
      </c>
      <c r="Q10" s="12">
        <f>'CoRe_cell number'!Q117</f>
        <v>0.31345420715570815</v>
      </c>
      <c r="R10" s="12">
        <f>'CoRe_cell number'!R117</f>
        <v>0.20466697375022291</v>
      </c>
      <c r="S10" s="12">
        <f>'CoRe_cell number'!S117</f>
        <v>1.3251104125664976E-2</v>
      </c>
      <c r="T10" s="12">
        <f>'CoRe_cell number'!T117</f>
        <v>0.16889016186114891</v>
      </c>
      <c r="U10" s="12">
        <f>'CoRe_cell number'!U117</f>
        <v>-1.0725932583950666</v>
      </c>
      <c r="V10" s="12">
        <f>'CoRe_cell number'!V117</f>
        <v>9.9849648234847932E-3</v>
      </c>
      <c r="W10" s="12">
        <f>'CoRe_cell number'!W117</f>
        <v>-0.12946220961024091</v>
      </c>
      <c r="X10" s="12">
        <f>'CoRe_cell number'!X117</f>
        <v>9.4416016215090881E-2</v>
      </c>
      <c r="Y10" s="12">
        <f>'CoRe_cell number'!Y117</f>
        <v>1.0656256678319154E-3</v>
      </c>
      <c r="Z10" s="12">
        <f>'CoRe_cell number'!Z117</f>
        <v>3.7987095264651494E-2</v>
      </c>
      <c r="AA10" s="12">
        <f>'CoRe_cell number'!AA117</f>
        <v>0.18110015248196798</v>
      </c>
      <c r="AB10" s="12">
        <f>'CoRe_cell number'!AB117</f>
        <v>-2.6674127375387567E-3</v>
      </c>
      <c r="AC10" s="12">
        <f>'CoRe_cell number'!AC117</f>
        <v>-0.15901210743997349</v>
      </c>
      <c r="AD10" s="12">
        <f>'CoRe_cell number'!AD117</f>
        <v>0.16649728647684159</v>
      </c>
    </row>
    <row r="11" spans="2:30" x14ac:dyDescent="0.25">
      <c r="B11" s="3" t="s">
        <v>17</v>
      </c>
      <c r="C11" s="3">
        <f>'CoRe_cell number'!C118</f>
        <v>21.963007166299072</v>
      </c>
      <c r="D11" s="3">
        <f>'CoRe_cell number'!D118</f>
        <v>1.0836188087529178E-2</v>
      </c>
      <c r="E11" s="3">
        <f>'CoRe_cell number'!E118</f>
        <v>-3.3678372114760338E-2</v>
      </c>
      <c r="F11" s="3">
        <f>'CoRe_cell number'!F118</f>
        <v>-1.7028081704732716</v>
      </c>
      <c r="G11" s="3">
        <f>'CoRe_cell number'!G118</f>
        <v>-3.6982046262629131E-4</v>
      </c>
      <c r="H11" s="3">
        <f>'CoRe_cell number'!H118</f>
        <v>5.0804957824185371E-4</v>
      </c>
      <c r="I11" s="3">
        <f>'CoRe_cell number'!I118</f>
        <v>-0.1976370215363098</v>
      </c>
      <c r="J11" s="3">
        <f>'CoRe_cell number'!J118</f>
        <v>-7.7000792726676934</v>
      </c>
      <c r="K11" s="3">
        <f>'CoRe_cell number'!K118</f>
        <v>-0.34707780989417669</v>
      </c>
      <c r="L11" s="3">
        <f>'CoRe_cell number'!L118</f>
        <v>-6.1503804400996259E-2</v>
      </c>
      <c r="M11" s="3">
        <f>'CoRe_cell number'!M118</f>
        <v>0.15244300001145783</v>
      </c>
      <c r="N11" s="3">
        <f>'CoRe_cell number'!N118</f>
        <v>-6.6248568068957708E-2</v>
      </c>
      <c r="O11" s="3">
        <f>'CoRe_cell number'!O118</f>
        <v>4.4234953624587792E-2</v>
      </c>
      <c r="P11" s="3">
        <f>'CoRe_cell number'!P118</f>
        <v>1.2694837373549185E-2</v>
      </c>
      <c r="Q11" s="3">
        <f>'CoRe_cell number'!Q118</f>
        <v>0.19867255613029447</v>
      </c>
      <c r="R11" s="3">
        <f>'CoRe_cell number'!R118</f>
        <v>8.4142193081346434E-2</v>
      </c>
      <c r="S11" s="3">
        <f>'CoRe_cell number'!S118</f>
        <v>5.8429920300058173E-3</v>
      </c>
      <c r="T11" s="3">
        <f>'CoRe_cell number'!T118</f>
        <v>-0.26993549988094245</v>
      </c>
      <c r="U11" s="3">
        <f>'CoRe_cell number'!U118</f>
        <v>-0.56194652488039987</v>
      </c>
      <c r="V11" s="3">
        <f>'CoRe_cell number'!V118</f>
        <v>7.6574103599145963E-3</v>
      </c>
      <c r="W11" s="3">
        <f>'CoRe_cell number'!W118</f>
        <v>-0.45604318369885721</v>
      </c>
      <c r="X11" s="3">
        <f>'CoRe_cell number'!X118</f>
        <v>-0.10685054445900311</v>
      </c>
      <c r="Y11" s="3">
        <f>'CoRe_cell number'!Y118</f>
        <v>-5.7255392278444145E-2</v>
      </c>
      <c r="Z11" s="3">
        <f>'CoRe_cell number'!Z118</f>
        <v>-0.2147192812224914</v>
      </c>
      <c r="AA11" s="3">
        <f>'CoRe_cell number'!AA118</f>
        <v>-0.38343891997935065</v>
      </c>
      <c r="AB11" s="3">
        <f>'CoRe_cell number'!AB118</f>
        <v>1.8162714889250545E-3</v>
      </c>
      <c r="AC11" s="3">
        <f>'CoRe_cell number'!AC118</f>
        <v>-0.15372889449044969</v>
      </c>
      <c r="AD11" s="3">
        <f>'CoRe_cell number'!AD118</f>
        <v>0.10530992115363358</v>
      </c>
    </row>
    <row r="12" spans="2:30" x14ac:dyDescent="0.25">
      <c r="B12" s="16" t="s">
        <v>18</v>
      </c>
      <c r="C12" s="16">
        <f>'CoRe_cell number'!C119</f>
        <v>8.235539548462345</v>
      </c>
      <c r="D12" s="16">
        <f>'CoRe_cell number'!D119</f>
        <v>1.7111772829164856E-2</v>
      </c>
      <c r="E12" s="16">
        <f>'CoRe_cell number'!E119</f>
        <v>1.1452584791623269E-2</v>
      </c>
      <c r="F12" s="16">
        <f>'CoRe_cell number'!F119</f>
        <v>-0.52835665577100421</v>
      </c>
      <c r="G12" s="16">
        <f>'CoRe_cell number'!G119</f>
        <v>1.1783813857704648E-2</v>
      </c>
      <c r="H12" s="16">
        <f>'CoRe_cell number'!H119</f>
        <v>1.3629240338539628E-3</v>
      </c>
      <c r="I12" s="16">
        <f>'CoRe_cell number'!I119</f>
        <v>2.2947602082428187E-3</v>
      </c>
      <c r="J12" s="16">
        <f>'CoRe_cell number'!J119</f>
        <v>-5.6257323961953603</v>
      </c>
      <c r="K12" s="16">
        <f>'CoRe_cell number'!K119</f>
        <v>-0.10090594133086572</v>
      </c>
      <c r="L12" s="16">
        <f>'CoRe_cell number'!L119</f>
        <v>-1.323037832108534E-2</v>
      </c>
      <c r="M12" s="16">
        <f>'CoRe_cell number'!M119</f>
        <v>0.42410580518035701</v>
      </c>
      <c r="N12" s="16">
        <f>'CoRe_cell number'!N119</f>
        <v>-9.9745250756984594E-3</v>
      </c>
      <c r="O12" s="16">
        <f>'CoRe_cell number'!O119</f>
        <v>0.15424525923856752</v>
      </c>
      <c r="P12" s="16">
        <f>'CoRe_cell number'!P119</f>
        <v>1.9010114876362123E-2</v>
      </c>
      <c r="Q12" s="16">
        <f>'CoRe_cell number'!Q119</f>
        <v>0.29165662983898888</v>
      </c>
      <c r="R12" s="16">
        <f>'CoRe_cell number'!R119</f>
        <v>0.1821211904149499</v>
      </c>
      <c r="S12" s="16">
        <f>'CoRe_cell number'!S119</f>
        <v>1.0086408141130146E-2</v>
      </c>
      <c r="T12" s="16">
        <f>'CoRe_cell number'!T119</f>
        <v>6.3761254623814878E-2</v>
      </c>
      <c r="U12" s="16">
        <f>'CoRe_cell number'!U119</f>
        <v>-0.10618262083261776</v>
      </c>
      <c r="V12" s="16">
        <f>'CoRe_cell number'!V119</f>
        <v>8.947260811903484E-3</v>
      </c>
      <c r="W12" s="16">
        <f>'CoRe_cell number'!W119</f>
        <v>-0.2720395237646418</v>
      </c>
      <c r="X12" s="16">
        <f>'CoRe_cell number'!X119</f>
        <v>-1.4117706189893275E-2</v>
      </c>
      <c r="Y12" s="16">
        <f>'CoRe_cell number'!Y119</f>
        <v>-3.0778745288284615E-5</v>
      </c>
      <c r="Z12" s="16">
        <f>'CoRe_cell number'!Z119</f>
        <v>-1.3713737103867252E-2</v>
      </c>
      <c r="AA12" s="16">
        <f>'CoRe_cell number'!AA119</f>
        <v>-6.3199307179889752E-2</v>
      </c>
      <c r="AB12" s="16">
        <f>'CoRe_cell number'!AB119</f>
        <v>1.5215436514342436E-3</v>
      </c>
      <c r="AC12" s="16">
        <f>'CoRe_cell number'!AC119</f>
        <v>-0.10964872697083172</v>
      </c>
      <c r="AD12" s="16">
        <f>'CoRe_cell number'!AD119</f>
        <v>0.35420927064051844</v>
      </c>
    </row>
    <row r="13" spans="2:30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5" spans="2:30" x14ac:dyDescent="0.25">
      <c r="C15" s="90" t="s">
        <v>242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spans="2:30" ht="15.75" thickBot="1" x14ac:dyDescent="0.3">
      <c r="B16" s="4" t="s">
        <v>114</v>
      </c>
      <c r="C16" s="31" t="s">
        <v>28</v>
      </c>
      <c r="D16" s="31" t="s">
        <v>30</v>
      </c>
      <c r="E16" s="31" t="s">
        <v>31</v>
      </c>
      <c r="F16" s="31" t="s">
        <v>34</v>
      </c>
      <c r="G16" s="31" t="s">
        <v>36</v>
      </c>
      <c r="H16" s="31" t="s">
        <v>42</v>
      </c>
      <c r="I16" s="31" t="s">
        <v>43</v>
      </c>
      <c r="J16" s="31" t="s">
        <v>46</v>
      </c>
      <c r="K16" s="31" t="s">
        <v>47</v>
      </c>
      <c r="L16" s="31" t="s">
        <v>48</v>
      </c>
      <c r="M16" s="31" t="s">
        <v>50</v>
      </c>
      <c r="N16" s="31" t="s">
        <v>51</v>
      </c>
      <c r="O16" s="31" t="s">
        <v>52</v>
      </c>
      <c r="P16" s="31" t="s">
        <v>54</v>
      </c>
      <c r="Q16" s="31" t="s">
        <v>59</v>
      </c>
      <c r="R16" s="31" t="s">
        <v>110</v>
      </c>
      <c r="S16" s="31" t="s">
        <v>61</v>
      </c>
      <c r="T16" s="31" t="s">
        <v>62</v>
      </c>
      <c r="U16" s="31" t="s">
        <v>64</v>
      </c>
      <c r="V16" s="31" t="s">
        <v>67</v>
      </c>
      <c r="W16" s="31" t="s">
        <v>68</v>
      </c>
      <c r="X16" s="31" t="s">
        <v>70</v>
      </c>
      <c r="Y16" s="31" t="s">
        <v>76</v>
      </c>
      <c r="Z16" s="31" t="s">
        <v>77</v>
      </c>
      <c r="AA16" s="31" t="s">
        <v>78</v>
      </c>
      <c r="AB16" s="31" t="s">
        <v>106</v>
      </c>
      <c r="AC16" s="31" t="s">
        <v>107</v>
      </c>
      <c r="AD16" s="31" t="s">
        <v>113</v>
      </c>
    </row>
    <row r="17" spans="1:30" ht="15.75" thickTop="1" x14ac:dyDescent="0.25">
      <c r="B17" s="12" t="s">
        <v>5</v>
      </c>
      <c r="C17" s="35">
        <f>C3/$C$45/24</f>
        <v>6.9320538192419933E-3</v>
      </c>
      <c r="D17" s="35">
        <f t="shared" ref="D17:AD21" si="0">D3/$C$45/24</f>
        <v>4.1916618400430123E-5</v>
      </c>
      <c r="E17" s="35">
        <f t="shared" si="0"/>
        <v>2.8726666494976365E-5</v>
      </c>
      <c r="F17" s="35">
        <f t="shared" si="0"/>
        <v>-3.7297954072465007E-4</v>
      </c>
      <c r="G17" s="35">
        <f t="shared" si="0"/>
        <v>2.093422116903682E-6</v>
      </c>
      <c r="H17" s="35">
        <f t="shared" si="0"/>
        <v>4.9765429023805597E-7</v>
      </c>
      <c r="I17" s="35">
        <f t="shared" si="0"/>
        <v>2.3812272910521593E-5</v>
      </c>
      <c r="J17" s="35">
        <f t="shared" si="0"/>
        <v>-1.1674639733140278E-3</v>
      </c>
      <c r="K17" s="35">
        <f t="shared" si="0"/>
        <v>2.8611460209718984E-5</v>
      </c>
      <c r="L17" s="35">
        <f t="shared" si="0"/>
        <v>2.8222517052876474E-6</v>
      </c>
      <c r="M17" s="35">
        <f t="shared" si="0"/>
        <v>2.0449467415597911E-4</v>
      </c>
      <c r="N17" s="35">
        <f t="shared" si="0"/>
        <v>2.8293466064684419E-6</v>
      </c>
      <c r="O17" s="35">
        <f t="shared" si="0"/>
        <v>6.7283350030049297E-5</v>
      </c>
      <c r="P17" s="35">
        <f t="shared" si="0"/>
        <v>1.1809386279986167E-5</v>
      </c>
      <c r="Q17" s="35">
        <f t="shared" si="0"/>
        <v>1.7199859146737269E-4</v>
      </c>
      <c r="R17" s="35">
        <f t="shared" si="0"/>
        <v>6.1006240027764915E-5</v>
      </c>
      <c r="S17" s="35">
        <f t="shared" si="0"/>
        <v>5.932327147790653E-7</v>
      </c>
      <c r="T17" s="35">
        <f t="shared" si="0"/>
        <v>6.3153896484288087E-5</v>
      </c>
      <c r="U17" s="35">
        <f t="shared" si="0"/>
        <v>-9.7771139298909087E-5</v>
      </c>
      <c r="V17" s="35">
        <f t="shared" si="0"/>
        <v>5.4077219101140794E-7</v>
      </c>
      <c r="W17" s="35">
        <f t="shared" si="0"/>
        <v>-2.9724925103418758E-5</v>
      </c>
      <c r="X17" s="35">
        <f t="shared" si="0"/>
        <v>3.1555655833899149E-5</v>
      </c>
      <c r="Y17" s="35">
        <f t="shared" si="0"/>
        <v>4.8081998513328073E-7</v>
      </c>
      <c r="Z17" s="35">
        <f t="shared" si="0"/>
        <v>-6.9292583514922211E-6</v>
      </c>
      <c r="AA17" s="35">
        <f t="shared" si="0"/>
        <v>1.5618537867164922E-5</v>
      </c>
      <c r="AB17" s="35">
        <f t="shared" si="0"/>
        <v>1.3228912879613093E-6</v>
      </c>
      <c r="AC17" s="35">
        <f t="shared" si="0"/>
        <v>-4.9881421509333539E-5</v>
      </c>
      <c r="AD17" s="35">
        <f t="shared" si="0"/>
        <v>-2.2081514740037304E-5</v>
      </c>
    </row>
    <row r="18" spans="1:30" x14ac:dyDescent="0.25">
      <c r="B18" s="12" t="s">
        <v>6</v>
      </c>
      <c r="C18" s="35">
        <f t="shared" ref="C18:R26" si="1">C4/$C$45/24</f>
        <v>6.897345340697014E-3</v>
      </c>
      <c r="D18" s="35">
        <f t="shared" si="1"/>
        <v>4.2578451444154403E-5</v>
      </c>
      <c r="E18" s="35">
        <f t="shared" si="1"/>
        <v>2.5515395799199898E-5</v>
      </c>
      <c r="F18" s="35">
        <f t="shared" si="1"/>
        <v>-3.6487718215648867E-4</v>
      </c>
      <c r="G18" s="35">
        <f t="shared" si="1"/>
        <v>3.4707522593396763E-6</v>
      </c>
      <c r="H18" s="35">
        <f t="shared" si="1"/>
        <v>1.2557178221517613E-7</v>
      </c>
      <c r="I18" s="35">
        <f t="shared" si="1"/>
        <v>4.1619437879331036E-5</v>
      </c>
      <c r="J18" s="35">
        <f t="shared" si="1"/>
        <v>-6.3219254698494395E-4</v>
      </c>
      <c r="K18" s="35">
        <f t="shared" si="1"/>
        <v>6.8964366946050137E-6</v>
      </c>
      <c r="L18" s="35">
        <f t="shared" si="1"/>
        <v>2.7323966816100357E-6</v>
      </c>
      <c r="M18" s="35">
        <f t="shared" si="1"/>
        <v>1.9348652768118364E-4</v>
      </c>
      <c r="N18" s="35">
        <f t="shared" si="1"/>
        <v>-2.0211858496657946E-6</v>
      </c>
      <c r="O18" s="35">
        <f t="shared" si="1"/>
        <v>5.050916574018989E-5</v>
      </c>
      <c r="P18" s="35">
        <f t="shared" si="1"/>
        <v>8.0597153007150255E-6</v>
      </c>
      <c r="Q18" s="35">
        <f t="shared" si="1"/>
        <v>1.6274844664937511E-4</v>
      </c>
      <c r="R18" s="35">
        <f t="shared" si="1"/>
        <v>5.7984261394254914E-5</v>
      </c>
      <c r="S18" s="35">
        <f t="shared" si="0"/>
        <v>2.8155509609713614E-7</v>
      </c>
      <c r="T18" s="35">
        <f t="shared" si="0"/>
        <v>5.1782408328902815E-5</v>
      </c>
      <c r="U18" s="35">
        <f t="shared" si="0"/>
        <v>-1.3905787150002473E-4</v>
      </c>
      <c r="V18" s="35">
        <f t="shared" si="0"/>
        <v>3.0273251669062337E-7</v>
      </c>
      <c r="W18" s="35">
        <f t="shared" si="0"/>
        <v>-5.7878384415875526E-5</v>
      </c>
      <c r="X18" s="35">
        <f t="shared" si="0"/>
        <v>2.1169171351671706E-5</v>
      </c>
      <c r="Y18" s="35">
        <f t="shared" si="0"/>
        <v>4.7993672791260298E-6</v>
      </c>
      <c r="Z18" s="35">
        <f t="shared" si="0"/>
        <v>1.3872081694120395E-5</v>
      </c>
      <c r="AA18" s="35">
        <f t="shared" si="0"/>
        <v>4.2657439716956438E-5</v>
      </c>
      <c r="AB18" s="35">
        <f t="shared" si="0"/>
        <v>1.6109624768709895E-6</v>
      </c>
      <c r="AC18" s="35">
        <f t="shared" si="0"/>
        <v>-4.7557962471243924E-5</v>
      </c>
      <c r="AD18" s="35">
        <f t="shared" si="0"/>
        <v>1.8561535268940876E-5</v>
      </c>
    </row>
    <row r="19" spans="1:30" x14ac:dyDescent="0.25">
      <c r="B19" s="12" t="s">
        <v>7</v>
      </c>
      <c r="C19" s="35">
        <f t="shared" si="1"/>
        <v>7.5691536382011008E-3</v>
      </c>
      <c r="D19" s="35">
        <f t="shared" si="0"/>
        <v>4.4470271335480525E-5</v>
      </c>
      <c r="E19" s="35">
        <f t="shared" si="0"/>
        <v>3.3243581422558536E-5</v>
      </c>
      <c r="F19" s="35">
        <f t="shared" si="0"/>
        <v>-3.1029776813910735E-4</v>
      </c>
      <c r="G19" s="35">
        <f t="shared" si="0"/>
        <v>4.1078331860410775E-6</v>
      </c>
      <c r="H19" s="35">
        <f t="shared" si="0"/>
        <v>1.6835206171738247E-7</v>
      </c>
      <c r="I19" s="35">
        <f t="shared" si="0"/>
        <v>7.8624757172211443E-5</v>
      </c>
      <c r="J19" s="35">
        <f t="shared" si="0"/>
        <v>-1.1349545565640266E-4</v>
      </c>
      <c r="K19" s="35">
        <f t="shared" si="0"/>
        <v>4.8392018546691093E-5</v>
      </c>
      <c r="L19" s="35">
        <f t="shared" si="0"/>
        <v>1.0484426711310598E-5</v>
      </c>
      <c r="M19" s="35">
        <f t="shared" si="0"/>
        <v>2.0640641606326873E-4</v>
      </c>
      <c r="N19" s="35">
        <f t="shared" si="0"/>
        <v>5.9868797098209047E-6</v>
      </c>
      <c r="O19" s="35">
        <f t="shared" si="0"/>
        <v>4.0852835698098723E-5</v>
      </c>
      <c r="P19" s="35">
        <f t="shared" si="0"/>
        <v>7.6812831614457967E-6</v>
      </c>
      <c r="Q19" s="35">
        <f t="shared" si="0"/>
        <v>1.6644360298420215E-4</v>
      </c>
      <c r="R19" s="35">
        <f t="shared" si="0"/>
        <v>6.5095394663706012E-5</v>
      </c>
      <c r="S19" s="35">
        <f t="shared" si="0"/>
        <v>6.8848779966465548E-7</v>
      </c>
      <c r="T19" s="35">
        <f t="shared" si="0"/>
        <v>6.5523739246818805E-5</v>
      </c>
      <c r="U19" s="35">
        <f t="shared" si="0"/>
        <v>-3.6054740317305564E-5</v>
      </c>
      <c r="V19" s="35">
        <f t="shared" si="0"/>
        <v>4.0819883981600008E-7</v>
      </c>
      <c r="W19" s="35">
        <f t="shared" si="0"/>
        <v>-2.559122820837104E-5</v>
      </c>
      <c r="X19" s="35">
        <f t="shared" si="0"/>
        <v>3.196291150451825E-5</v>
      </c>
      <c r="Y19" s="35">
        <f t="shared" si="0"/>
        <v>1.2318195727818574E-5</v>
      </c>
      <c r="Z19" s="35">
        <f t="shared" si="0"/>
        <v>3.3604646274475523E-5</v>
      </c>
      <c r="AA19" s="35">
        <f t="shared" si="0"/>
        <v>8.2809335201691111E-5</v>
      </c>
      <c r="AB19" s="35">
        <f t="shared" si="0"/>
        <v>2.0650493194482579E-6</v>
      </c>
      <c r="AC19" s="35">
        <f t="shared" si="0"/>
        <v>-4.3974303345092632E-5</v>
      </c>
      <c r="AD19" s="35">
        <f t="shared" si="0"/>
        <v>1.2088744436130227E-4</v>
      </c>
    </row>
    <row r="20" spans="1:30" x14ac:dyDescent="0.25">
      <c r="B20" s="12" t="s">
        <v>8</v>
      </c>
      <c r="C20" s="35">
        <f>C6/$C$45/24</f>
        <v>6.8914908161981361E-3</v>
      </c>
      <c r="D20" s="35">
        <f t="shared" si="0"/>
        <v>4.3754298942450135E-5</v>
      </c>
      <c r="E20" s="35">
        <f t="shared" si="0"/>
        <v>3.2965837213303072E-5</v>
      </c>
      <c r="F20" s="35">
        <f t="shared" si="0"/>
        <v>-3.8328919593194269E-4</v>
      </c>
      <c r="G20" s="35">
        <f t="shared" si="0"/>
        <v>4.2291120507993604E-6</v>
      </c>
      <c r="H20" s="35">
        <f t="shared" si="0"/>
        <v>3.798416317362597E-7</v>
      </c>
      <c r="I20" s="35">
        <f t="shared" si="0"/>
        <v>5.1456842618513419E-5</v>
      </c>
      <c r="J20" s="35">
        <f t="shared" si="0"/>
        <v>-3.9280666997791412E-4</v>
      </c>
      <c r="K20" s="35">
        <f t="shared" si="0"/>
        <v>2.5023262248071313E-5</v>
      </c>
      <c r="L20" s="35">
        <f t="shared" si="0"/>
        <v>5.4488840995271099E-6</v>
      </c>
      <c r="M20" s="35">
        <f t="shared" si="0"/>
        <v>1.8013171639002287E-4</v>
      </c>
      <c r="N20" s="35">
        <f t="shared" si="0"/>
        <v>6.3416248152228793E-6</v>
      </c>
      <c r="O20" s="35">
        <f t="shared" si="0"/>
        <v>5.2462689608629634E-5</v>
      </c>
      <c r="P20" s="35">
        <f t="shared" si="0"/>
        <v>8.3313959195022496E-6</v>
      </c>
      <c r="Q20" s="35">
        <f t="shared" si="0"/>
        <v>1.5658868647168384E-4</v>
      </c>
      <c r="R20" s="35">
        <f t="shared" si="0"/>
        <v>5.923064300301026E-5</v>
      </c>
      <c r="S20" s="35">
        <f t="shared" si="0"/>
        <v>5.5793488629992876E-7</v>
      </c>
      <c r="T20" s="35">
        <f t="shared" si="0"/>
        <v>3.8786445564967129E-5</v>
      </c>
      <c r="U20" s="35">
        <f t="shared" si="0"/>
        <v>-9.9351301199211248E-5</v>
      </c>
      <c r="V20" s="35">
        <f t="shared" si="0"/>
        <v>1.662813021183077E-7</v>
      </c>
      <c r="W20" s="35">
        <f t="shared" si="0"/>
        <v>-5.2365976026696677E-5</v>
      </c>
      <c r="X20" s="35">
        <f t="shared" si="0"/>
        <v>2.7629264075465541E-5</v>
      </c>
      <c r="Y20" s="35">
        <f t="shared" si="0"/>
        <v>4.6099652757675188E-6</v>
      </c>
      <c r="Z20" s="35">
        <f t="shared" si="0"/>
        <v>1.6022208000933887E-5</v>
      </c>
      <c r="AA20" s="35">
        <f t="shared" si="0"/>
        <v>5.4271408283757141E-5</v>
      </c>
      <c r="AB20" s="35">
        <f t="shared" si="0"/>
        <v>1.7444785280058901E-6</v>
      </c>
      <c r="AC20" s="35">
        <f t="shared" si="0"/>
        <v>-4.6246622242025996E-5</v>
      </c>
      <c r="AD20" s="35">
        <f t="shared" si="0"/>
        <v>2.9238002114097353E-5</v>
      </c>
    </row>
    <row r="21" spans="1:30" x14ac:dyDescent="0.25">
      <c r="B21" s="16" t="s">
        <v>9</v>
      </c>
      <c r="C21" s="35">
        <f>C7/$C$45/24</f>
        <v>5.6772105497541981E-3</v>
      </c>
      <c r="D21" s="35">
        <f t="shared" si="0"/>
        <v>3.5135700186704083E-5</v>
      </c>
      <c r="E21" s="35">
        <f t="shared" si="0"/>
        <v>1.5920155426736162E-5</v>
      </c>
      <c r="F21" s="35">
        <f t="shared" si="0"/>
        <v>-4.9953638725801165E-4</v>
      </c>
      <c r="G21" s="35">
        <f t="shared" si="0"/>
        <v>-3.0697069973095248E-7</v>
      </c>
      <c r="H21" s="35">
        <f t="shared" si="0"/>
        <v>2.8678766780475229E-7</v>
      </c>
      <c r="I21" s="35">
        <f t="shared" si="0"/>
        <v>-2.5323233769259258E-5</v>
      </c>
      <c r="J21" s="35">
        <f t="shared" si="0"/>
        <v>-3.3358651088769343E-3</v>
      </c>
      <c r="K21" s="35">
        <f t="shared" si="0"/>
        <v>-6.042050406041968E-5</v>
      </c>
      <c r="L21" s="35">
        <f t="shared" si="0"/>
        <v>-7.5221203800295794E-6</v>
      </c>
      <c r="M21" s="35">
        <f t="shared" si="0"/>
        <v>8.2988758462459504E-5</v>
      </c>
      <c r="N21" s="35">
        <f t="shared" si="0"/>
        <v>-5.9685191117165154E-6</v>
      </c>
      <c r="O21" s="35">
        <f t="shared" si="0"/>
        <v>4.4680585519779165E-5</v>
      </c>
      <c r="P21" s="35">
        <f t="shared" si="0"/>
        <v>1.1739049648385015E-5</v>
      </c>
      <c r="Q21" s="35">
        <f t="shared" si="0"/>
        <v>1.4904515210232262E-4</v>
      </c>
      <c r="R21" s="35">
        <f t="shared" si="0"/>
        <v>5.1612514314875146E-5</v>
      </c>
      <c r="S21" s="35">
        <f t="shared" si="0"/>
        <v>1.3212057092068161E-8</v>
      </c>
      <c r="T21" s="35">
        <f t="shared" si="0"/>
        <v>8.8210022625776924E-6</v>
      </c>
      <c r="U21" s="35">
        <f t="shared" si="0"/>
        <v>-2.0456678249158256E-4</v>
      </c>
      <c r="V21" s="35">
        <f t="shared" si="0"/>
        <v>1.0092415444319464E-7</v>
      </c>
      <c r="W21" s="35">
        <f t="shared" si="0"/>
        <v>-8.8804901496351688E-5</v>
      </c>
      <c r="X21" s="35">
        <f t="shared" si="0"/>
        <v>5.3943045400297539E-6</v>
      </c>
      <c r="Y21" s="35">
        <f t="shared" si="0"/>
        <v>-3.2346290759424703E-6</v>
      </c>
      <c r="Z21" s="35">
        <f t="shared" si="0"/>
        <v>-2.2415423335603153E-5</v>
      </c>
      <c r="AA21" s="35">
        <f t="shared" si="0"/>
        <v>-3.3285997314203089E-5</v>
      </c>
      <c r="AB21" s="35">
        <f t="shared" si="0"/>
        <v>1.9887541956446709E-7</v>
      </c>
      <c r="AC21" s="35">
        <f t="shared" si="0"/>
        <v>-4.8343469781846834E-5</v>
      </c>
      <c r="AD21" s="35">
        <f t="shared" si="0"/>
        <v>-1.2927501018615038E-4</v>
      </c>
    </row>
    <row r="22" spans="1:30" x14ac:dyDescent="0.25">
      <c r="B22" s="12" t="s">
        <v>14</v>
      </c>
      <c r="C22" s="35">
        <f>C8/$C$46/24</f>
        <v>5.2653420586940202E-3</v>
      </c>
      <c r="D22" s="35">
        <f t="shared" ref="D22:AD26" si="2">D8/$C$46/24</f>
        <v>6.386897080077729E-6</v>
      </c>
      <c r="E22" s="35">
        <f t="shared" si="2"/>
        <v>8.0018447464721138E-6</v>
      </c>
      <c r="F22" s="35">
        <f t="shared" si="2"/>
        <v>-8.5781986732278565E-4</v>
      </c>
      <c r="G22" s="35">
        <f t="shared" si="2"/>
        <v>3.6832688666307455E-6</v>
      </c>
      <c r="H22" s="35">
        <f t="shared" si="2"/>
        <v>4.9684718355072929E-7</v>
      </c>
      <c r="I22" s="35">
        <f t="shared" si="2"/>
        <v>6.2547829552785044E-6</v>
      </c>
      <c r="J22" s="35">
        <f t="shared" si="2"/>
        <v>-4.3604758127564237E-3</v>
      </c>
      <c r="K22" s="35">
        <f t="shared" si="2"/>
        <v>4.1367138641490397E-5</v>
      </c>
      <c r="L22" s="35">
        <f t="shared" si="2"/>
        <v>6.0548647892659924E-6</v>
      </c>
      <c r="M22" s="35">
        <f t="shared" si="2"/>
        <v>-8.9343253832209281E-5</v>
      </c>
      <c r="N22" s="35">
        <f t="shared" si="2"/>
        <v>3.1812040242274575E-7</v>
      </c>
      <c r="O22" s="35">
        <f t="shared" si="2"/>
        <v>-1.7432799909785184E-5</v>
      </c>
      <c r="P22" s="35">
        <f t="shared" si="2"/>
        <v>6.9983936248065502E-6</v>
      </c>
      <c r="Q22" s="35">
        <f t="shared" si="2"/>
        <v>1.156482306673151E-4</v>
      </c>
      <c r="R22" s="35">
        <f t="shared" si="2"/>
        <v>8.1999816669351921E-5</v>
      </c>
      <c r="S22" s="35">
        <f t="shared" si="2"/>
        <v>4.4258240270018102E-6</v>
      </c>
      <c r="T22" s="35">
        <f t="shared" si="2"/>
        <v>7.1772005135400585E-5</v>
      </c>
      <c r="U22" s="35">
        <f t="shared" si="2"/>
        <v>-3.1099468246937955E-4</v>
      </c>
      <c r="V22" s="35">
        <f t="shared" si="2"/>
        <v>4.0427470797543968E-6</v>
      </c>
      <c r="W22" s="35">
        <f t="shared" si="2"/>
        <v>-5.3272161304049722E-5</v>
      </c>
      <c r="X22" s="35">
        <f t="shared" si="2"/>
        <v>2.7482646556543743E-5</v>
      </c>
      <c r="Y22" s="35">
        <f t="shared" si="2"/>
        <v>6.6416240104189278E-6</v>
      </c>
      <c r="Z22" s="35">
        <f t="shared" si="2"/>
        <v>2.5431637708040723E-5</v>
      </c>
      <c r="AA22" s="35">
        <f t="shared" si="2"/>
        <v>4.3906788124117091E-5</v>
      </c>
      <c r="AB22" s="35">
        <f t="shared" si="2"/>
        <v>-1.1634218894150185E-6</v>
      </c>
      <c r="AC22" s="35">
        <f t="shared" si="2"/>
        <v>-5.7834634113695237E-5</v>
      </c>
      <c r="AD22" s="35">
        <f t="shared" si="2"/>
        <v>6.2425874723991292E-5</v>
      </c>
    </row>
    <row r="23" spans="1:30" x14ac:dyDescent="0.25">
      <c r="B23" s="12" t="s">
        <v>15</v>
      </c>
      <c r="C23" s="35">
        <f t="shared" ref="C23:R26" si="3">C9/$C$46/24</f>
        <v>4.3356049030915774E-4</v>
      </c>
      <c r="D23" s="35">
        <f t="shared" si="3"/>
        <v>4.6541497435476032E-6</v>
      </c>
      <c r="E23" s="35">
        <f t="shared" si="3"/>
        <v>-6.6541718963640728E-6</v>
      </c>
      <c r="F23" s="35">
        <f t="shared" si="3"/>
        <v>-1.8523672026261515E-3</v>
      </c>
      <c r="G23" s="35">
        <f t="shared" si="3"/>
        <v>8.6321635469881868E-7</v>
      </c>
      <c r="H23" s="35">
        <f t="shared" si="3"/>
        <v>1.2184299949442789E-7</v>
      </c>
      <c r="I23" s="35">
        <f t="shared" si="3"/>
        <v>-8.1586194720696125E-5</v>
      </c>
      <c r="J23" s="35">
        <f t="shared" si="3"/>
        <v>-7.6834056375581748E-4</v>
      </c>
      <c r="K23" s="35">
        <f t="shared" si="3"/>
        <v>-9.0528310745263828E-5</v>
      </c>
      <c r="L23" s="35">
        <f t="shared" si="3"/>
        <v>-9.9775810329071458E-6</v>
      </c>
      <c r="M23" s="35">
        <f t="shared" si="3"/>
        <v>-5.2090540596863057E-4</v>
      </c>
      <c r="N23" s="35">
        <f t="shared" si="3"/>
        <v>-2.410513421718928E-5</v>
      </c>
      <c r="O23" s="35">
        <f t="shared" si="3"/>
        <v>-1.4777207691984607E-4</v>
      </c>
      <c r="P23" s="35">
        <f t="shared" si="3"/>
        <v>3.9350500354615253E-6</v>
      </c>
      <c r="Q23" s="35">
        <f t="shared" si="3"/>
        <v>7.1205308359574494E-5</v>
      </c>
      <c r="R23" s="35">
        <f t="shared" si="3"/>
        <v>4.0787081327902984E-5</v>
      </c>
      <c r="S23" s="35">
        <f t="shared" si="2"/>
        <v>2.3550910291802445E-6</v>
      </c>
      <c r="T23" s="35">
        <f t="shared" si="2"/>
        <v>-7.9384818416327829E-5</v>
      </c>
      <c r="U23" s="35">
        <f t="shared" si="2"/>
        <v>-5.5985465305609385E-5</v>
      </c>
      <c r="V23" s="35">
        <f t="shared" si="2"/>
        <v>2.663363193083921E-6</v>
      </c>
      <c r="W23" s="35">
        <f t="shared" si="2"/>
        <v>-1.5542549529293722E-4</v>
      </c>
      <c r="X23" s="35">
        <f t="shared" si="2"/>
        <v>-3.2180664886853067E-5</v>
      </c>
      <c r="Y23" s="35">
        <f t="shared" si="2"/>
        <v>-1.9730490564816737E-5</v>
      </c>
      <c r="Z23" s="35">
        <f t="shared" si="2"/>
        <v>-5.7990297156823073E-5</v>
      </c>
      <c r="AA23" s="35">
        <f t="shared" si="2"/>
        <v>-1.2074017938867008E-4</v>
      </c>
      <c r="AB23" s="35">
        <f t="shared" si="2"/>
        <v>1.5830547807753248E-6</v>
      </c>
      <c r="AC23" s="35">
        <f t="shared" si="2"/>
        <v>-5.5937782682991318E-5</v>
      </c>
      <c r="AD23" s="35">
        <f t="shared" si="2"/>
        <v>-3.803191963047802E-5</v>
      </c>
    </row>
    <row r="24" spans="1:30" x14ac:dyDescent="0.25">
      <c r="B24" s="12" t="s">
        <v>16</v>
      </c>
      <c r="C24" s="35">
        <f>C10/$C$46/24</f>
        <v>1.3084547678009386E-3</v>
      </c>
      <c r="D24" s="35">
        <f t="shared" si="2"/>
        <v>6.5973991348713625E-6</v>
      </c>
      <c r="E24" s="35">
        <f t="shared" si="2"/>
        <v>7.3557736932104378E-6</v>
      </c>
      <c r="F24" s="35">
        <f t="shared" si="2"/>
        <v>-1.6728533096123696E-3</v>
      </c>
      <c r="G24" s="35">
        <f t="shared" si="2"/>
        <v>4.5186469788068355E-6</v>
      </c>
      <c r="H24" s="35">
        <f t="shared" si="2"/>
        <v>5.9562659584585121E-7</v>
      </c>
      <c r="I24" s="35">
        <f t="shared" si="2"/>
        <v>6.6920977376286244E-5</v>
      </c>
      <c r="J24" s="35">
        <f t="shared" si="2"/>
        <v>-5.7875452837614222E-3</v>
      </c>
      <c r="K24" s="35">
        <f t="shared" si="2"/>
        <v>6.1799074561097946E-5</v>
      </c>
      <c r="L24" s="35">
        <f t="shared" si="2"/>
        <v>5.5378724601991057E-6</v>
      </c>
      <c r="M24" s="35">
        <f t="shared" si="2"/>
        <v>-4.3705440861020631E-4</v>
      </c>
      <c r="N24" s="35">
        <f t="shared" si="2"/>
        <v>7.3978877103092793E-6</v>
      </c>
      <c r="O24" s="35">
        <f t="shared" si="2"/>
        <v>-1.1653521016051327E-4</v>
      </c>
      <c r="P24" s="35">
        <f t="shared" si="2"/>
        <v>4.5346993184454057E-6</v>
      </c>
      <c r="Q24" s="35">
        <f t="shared" si="2"/>
        <v>1.1911125765981248E-4</v>
      </c>
      <c r="R24" s="35">
        <f t="shared" si="2"/>
        <v>7.7772574393002332E-5</v>
      </c>
      <c r="S24" s="35">
        <f t="shared" si="2"/>
        <v>5.035362875206323E-6</v>
      </c>
      <c r="T24" s="35">
        <f t="shared" si="2"/>
        <v>6.4177538940026971E-5</v>
      </c>
      <c r="U24" s="35">
        <f t="shared" si="2"/>
        <v>-4.0758084928625292E-4</v>
      </c>
      <c r="V24" s="35">
        <f t="shared" si="2"/>
        <v>3.7942439139873033E-6</v>
      </c>
      <c r="W24" s="35">
        <f t="shared" si="2"/>
        <v>-4.9195085770324273E-5</v>
      </c>
      <c r="X24" s="35">
        <f t="shared" si="2"/>
        <v>3.587768221921576E-5</v>
      </c>
      <c r="Y24" s="35">
        <f t="shared" si="2"/>
        <v>4.049331946818809E-7</v>
      </c>
      <c r="Z24" s="35">
        <f t="shared" si="2"/>
        <v>1.4434933679381466E-5</v>
      </c>
      <c r="AA24" s="35">
        <f t="shared" si="2"/>
        <v>6.8817283137615067E-5</v>
      </c>
      <c r="AB24" s="35">
        <f t="shared" si="2"/>
        <v>-1.0136054282028442E-6</v>
      </c>
      <c r="AC24" s="35">
        <f t="shared" si="2"/>
        <v>-6.0423920521519653E-5</v>
      </c>
      <c r="AD24" s="35">
        <f t="shared" si="2"/>
        <v>6.3268256531491719E-5</v>
      </c>
    </row>
    <row r="25" spans="1:30" x14ac:dyDescent="0.25">
      <c r="B25" s="3" t="s">
        <v>17</v>
      </c>
      <c r="C25" s="35">
        <f t="shared" si="3"/>
        <v>8.3458487582839802E-3</v>
      </c>
      <c r="D25" s="35">
        <f t="shared" si="2"/>
        <v>4.1177051125133514E-6</v>
      </c>
      <c r="E25" s="35">
        <f t="shared" si="2"/>
        <v>-1.2797637316546099E-5</v>
      </c>
      <c r="F25" s="35">
        <f t="shared" si="2"/>
        <v>-6.4705981961098147E-4</v>
      </c>
      <c r="G25" s="35">
        <f t="shared" si="2"/>
        <v>-1.4053019358540476E-7</v>
      </c>
      <c r="H25" s="35">
        <f t="shared" si="2"/>
        <v>1.9305666613006727E-7</v>
      </c>
      <c r="I25" s="35">
        <f t="shared" si="2"/>
        <v>-7.5101222628144311E-5</v>
      </c>
      <c r="J25" s="35">
        <f t="shared" si="2"/>
        <v>-2.9259971801625924E-3</v>
      </c>
      <c r="K25" s="35">
        <f t="shared" si="2"/>
        <v>-1.3188808284768895E-4</v>
      </c>
      <c r="L25" s="35">
        <f t="shared" si="2"/>
        <v>-2.3371182539038915E-5</v>
      </c>
      <c r="M25" s="35">
        <f t="shared" si="2"/>
        <v>5.7927687803468331E-5</v>
      </c>
      <c r="N25" s="35">
        <f t="shared" si="2"/>
        <v>-2.5174172433217407E-5</v>
      </c>
      <c r="O25" s="35">
        <f t="shared" si="2"/>
        <v>1.6809093125780949E-5</v>
      </c>
      <c r="P25" s="35">
        <f t="shared" si="2"/>
        <v>4.8239838892929593E-6</v>
      </c>
      <c r="Q25" s="35">
        <f t="shared" si="2"/>
        <v>7.5494721343503666E-5</v>
      </c>
      <c r="R25" s="35">
        <f t="shared" si="2"/>
        <v>3.1973673383159868E-5</v>
      </c>
      <c r="S25" s="35">
        <f t="shared" si="2"/>
        <v>2.2203119731761425E-6</v>
      </c>
      <c r="T25" s="35">
        <f t="shared" si="2"/>
        <v>-1.0257433508262838E-4</v>
      </c>
      <c r="U25" s="35">
        <f t="shared" si="2"/>
        <v>-2.1353727526399427E-4</v>
      </c>
      <c r="V25" s="35">
        <f t="shared" si="2"/>
        <v>2.9097831758679438E-6</v>
      </c>
      <c r="W25" s="35">
        <f t="shared" si="2"/>
        <v>-1.7329445870405057E-4</v>
      </c>
      <c r="X25" s="35">
        <f t="shared" si="2"/>
        <v>-4.0602749752934049E-5</v>
      </c>
      <c r="Y25" s="35">
        <f t="shared" si="2"/>
        <v>-2.1756804108562138E-5</v>
      </c>
      <c r="Z25" s="35">
        <f t="shared" si="2"/>
        <v>-8.1592408225413624E-5</v>
      </c>
      <c r="AA25" s="35">
        <f t="shared" si="2"/>
        <v>-1.4570514911536401E-4</v>
      </c>
      <c r="AB25" s="35">
        <f t="shared" si="2"/>
        <v>6.9017539518956732E-7</v>
      </c>
      <c r="AC25" s="35">
        <f t="shared" si="2"/>
        <v>-5.8416322204009151E-5</v>
      </c>
      <c r="AD25" s="35">
        <f t="shared" si="2"/>
        <v>4.0017319488182722E-5</v>
      </c>
    </row>
    <row r="26" spans="1:30" x14ac:dyDescent="0.25">
      <c r="B26" s="16" t="s">
        <v>18</v>
      </c>
      <c r="C26" s="35">
        <f t="shared" si="3"/>
        <v>3.1294697940908163E-3</v>
      </c>
      <c r="D26" s="35">
        <f t="shared" si="2"/>
        <v>6.5024004653360943E-6</v>
      </c>
      <c r="E26" s="35">
        <f t="shared" si="2"/>
        <v>4.351933222922918E-6</v>
      </c>
      <c r="F26" s="35">
        <f t="shared" si="2"/>
        <v>-2.00773268710842E-4</v>
      </c>
      <c r="G26" s="35">
        <f t="shared" si="2"/>
        <v>4.4777988509278403E-6</v>
      </c>
      <c r="H26" s="35">
        <f t="shared" si="2"/>
        <v>5.179053018308613E-7</v>
      </c>
      <c r="I26" s="35">
        <f t="shared" si="2"/>
        <v>8.719990613994788E-7</v>
      </c>
      <c r="J26" s="35">
        <f t="shared" si="2"/>
        <v>-2.1377542418357588E-3</v>
      </c>
      <c r="K26" s="35">
        <f t="shared" si="2"/>
        <v>-3.8343825997193334E-5</v>
      </c>
      <c r="L26" s="35">
        <f t="shared" si="2"/>
        <v>-5.0274871581378147E-6</v>
      </c>
      <c r="M26" s="35">
        <f t="shared" si="2"/>
        <v>1.6115839150554473E-4</v>
      </c>
      <c r="N26" s="35">
        <f t="shared" si="2"/>
        <v>-3.7902768544931435E-6</v>
      </c>
      <c r="O26" s="35">
        <f t="shared" si="2"/>
        <v>5.8612538599117082E-5</v>
      </c>
      <c r="P26" s="35">
        <f t="shared" si="2"/>
        <v>7.2237623215444806E-6</v>
      </c>
      <c r="Q26" s="35">
        <f t="shared" si="2"/>
        <v>1.1082827153660595E-4</v>
      </c>
      <c r="R26" s="35">
        <f t="shared" si="2"/>
        <v>6.9205273183814829E-5</v>
      </c>
      <c r="S26" s="35">
        <f t="shared" si="2"/>
        <v>3.8327919406849311E-6</v>
      </c>
      <c r="T26" s="35">
        <f t="shared" si="2"/>
        <v>2.4229003965601489E-5</v>
      </c>
      <c r="U26" s="35">
        <f t="shared" si="2"/>
        <v>-4.0348941632502786E-5</v>
      </c>
      <c r="V26" s="35">
        <f t="shared" si="2"/>
        <v>3.3999208292226984E-6</v>
      </c>
      <c r="W26" s="35">
        <f t="shared" si="2"/>
        <v>-1.0337385515673355E-4</v>
      </c>
      <c r="X26" s="35">
        <f t="shared" si="2"/>
        <v>-5.3646679520067333E-6</v>
      </c>
      <c r="Y26" s="35">
        <f t="shared" si="2"/>
        <v>-1.1695791528034836E-8</v>
      </c>
      <c r="Z26" s="35">
        <f t="shared" si="2"/>
        <v>-5.2111614276283825E-6</v>
      </c>
      <c r="AA26" s="35">
        <f t="shared" si="2"/>
        <v>-2.4015466341104428E-5</v>
      </c>
      <c r="AB26" s="35">
        <f t="shared" si="2"/>
        <v>5.7818007788489741E-7</v>
      </c>
      <c r="AC26" s="35">
        <f t="shared" si="2"/>
        <v>-4.1666047135891284E-5</v>
      </c>
      <c r="AD26" s="35">
        <f t="shared" si="2"/>
        <v>1.3459800742058323E-4</v>
      </c>
    </row>
    <row r="28" spans="1:30" s="12" customFormat="1" ht="12" x14ac:dyDescent="0.25">
      <c r="A28" s="89" t="s">
        <v>115</v>
      </c>
      <c r="B28" s="24" t="s">
        <v>145</v>
      </c>
      <c r="C28" s="21">
        <f>AVERAGE(C17:C21)</f>
        <v>6.793450832818489E-3</v>
      </c>
      <c r="D28" s="21">
        <f t="shared" ref="D28:AD28" si="4">AVERAGE(D17:D21)</f>
        <v>4.1571068061843852E-5</v>
      </c>
      <c r="E28" s="21">
        <f t="shared" si="4"/>
        <v>2.7274327271354809E-5</v>
      </c>
      <c r="F28" s="21">
        <f t="shared" si="4"/>
        <v>-3.8619601484204014E-4</v>
      </c>
      <c r="G28" s="21">
        <f t="shared" si="4"/>
        <v>2.7188297826705684E-6</v>
      </c>
      <c r="H28" s="21">
        <f t="shared" si="4"/>
        <v>2.916414867423253E-7</v>
      </c>
      <c r="I28" s="21">
        <f t="shared" si="4"/>
        <v>3.4038015362263641E-5</v>
      </c>
      <c r="J28" s="21">
        <f t="shared" si="4"/>
        <v>-1.1283647509620445E-3</v>
      </c>
      <c r="K28" s="21">
        <f t="shared" si="4"/>
        <v>9.700534727733345E-6</v>
      </c>
      <c r="L28" s="21">
        <f t="shared" si="4"/>
        <v>2.7931677635411624E-6</v>
      </c>
      <c r="M28" s="21">
        <f t="shared" si="4"/>
        <v>1.7350161855058277E-4</v>
      </c>
      <c r="N28" s="21">
        <f t="shared" si="4"/>
        <v>1.4336292340259832E-6</v>
      </c>
      <c r="O28" s="21">
        <f t="shared" si="4"/>
        <v>5.1157725319349346E-5</v>
      </c>
      <c r="P28" s="21">
        <f t="shared" si="4"/>
        <v>9.5241660620068501E-6</v>
      </c>
      <c r="Q28" s="21">
        <f t="shared" si="4"/>
        <v>1.6136489593499128E-4</v>
      </c>
      <c r="R28" s="21">
        <f t="shared" si="4"/>
        <v>5.8985810680722251E-5</v>
      </c>
      <c r="S28" s="21">
        <f t="shared" si="4"/>
        <v>4.2688451078657075E-7</v>
      </c>
      <c r="T28" s="21">
        <f t="shared" si="4"/>
        <v>4.561349837751091E-5</v>
      </c>
      <c r="U28" s="21">
        <f t="shared" si="4"/>
        <v>-1.1536036696140665E-4</v>
      </c>
      <c r="V28" s="21">
        <f t="shared" si="4"/>
        <v>3.0378180081590677E-7</v>
      </c>
      <c r="W28" s="21">
        <f t="shared" si="4"/>
        <v>-5.0873083050142737E-5</v>
      </c>
      <c r="X28" s="21">
        <f t="shared" si="4"/>
        <v>2.3542261461116883E-5</v>
      </c>
      <c r="Y28" s="21">
        <f t="shared" si="4"/>
        <v>3.7947438383805866E-6</v>
      </c>
      <c r="Z28" s="21">
        <f t="shared" si="4"/>
        <v>6.830850856486887E-6</v>
      </c>
      <c r="AA28" s="21">
        <f t="shared" si="4"/>
        <v>3.2414144751073302E-5</v>
      </c>
      <c r="AB28" s="21">
        <f t="shared" si="4"/>
        <v>1.3884514063701827E-6</v>
      </c>
      <c r="AC28" s="21">
        <f t="shared" si="4"/>
        <v>-4.7200755869908591E-5</v>
      </c>
      <c r="AD28" s="21">
        <f t="shared" si="4"/>
        <v>3.4660913636305604E-6</v>
      </c>
    </row>
    <row r="29" spans="1:30" s="12" customFormat="1" ht="12" x14ac:dyDescent="0.25">
      <c r="A29" s="89"/>
      <c r="B29" s="24" t="s">
        <v>147</v>
      </c>
      <c r="C29" s="21">
        <f>AVERAGE(C22:C26)</f>
        <v>3.6965351738357825E-3</v>
      </c>
      <c r="D29" s="21">
        <f t="shared" ref="D29:AD29" si="5">AVERAGE(D22:D26)</f>
        <v>5.6517103072692276E-6</v>
      </c>
      <c r="E29" s="21">
        <f t="shared" si="5"/>
        <v>5.1548489939059477E-8</v>
      </c>
      <c r="F29" s="21">
        <f t="shared" si="5"/>
        <v>-1.046174693576626E-3</v>
      </c>
      <c r="G29" s="21">
        <f t="shared" si="5"/>
        <v>2.6804801714957669E-6</v>
      </c>
      <c r="H29" s="21">
        <f t="shared" si="5"/>
        <v>3.8505574937038741E-7</v>
      </c>
      <c r="I29" s="21">
        <f t="shared" si="5"/>
        <v>-1.6527931591175241E-5</v>
      </c>
      <c r="J29" s="21">
        <f t="shared" si="5"/>
        <v>-3.1960226164544033E-3</v>
      </c>
      <c r="K29" s="21">
        <f t="shared" si="5"/>
        <v>-3.1518801277511551E-5</v>
      </c>
      <c r="L29" s="21">
        <f t="shared" si="5"/>
        <v>-5.3567026961237553E-6</v>
      </c>
      <c r="M29" s="21">
        <f t="shared" si="5"/>
        <v>-1.6564339782040659E-4</v>
      </c>
      <c r="N29" s="21">
        <f t="shared" si="5"/>
        <v>-9.0707150784335624E-6</v>
      </c>
      <c r="O29" s="21">
        <f>AVERAGE(O22:O26)</f>
        <v>-4.1263691053049292E-5</v>
      </c>
      <c r="P29" s="21">
        <f t="shared" si="5"/>
        <v>5.5031778379101836E-6</v>
      </c>
      <c r="Q29" s="21">
        <f t="shared" si="5"/>
        <v>9.8457557913362328E-5</v>
      </c>
      <c r="R29" s="21">
        <f t="shared" si="5"/>
        <v>6.0347683791446388E-5</v>
      </c>
      <c r="S29" s="21">
        <f t="shared" si="5"/>
        <v>3.5738763690498902E-6</v>
      </c>
      <c r="T29" s="21">
        <f t="shared" si="5"/>
        <v>-4.356121091585432E-6</v>
      </c>
      <c r="U29" s="21">
        <f t="shared" si="5"/>
        <v>-2.0568944279154779E-4</v>
      </c>
      <c r="V29" s="21">
        <f t="shared" si="5"/>
        <v>3.362011638383253E-6</v>
      </c>
      <c r="W29" s="21">
        <f t="shared" si="5"/>
        <v>-1.0691221124561907E-4</v>
      </c>
      <c r="X29" s="21">
        <f t="shared" si="5"/>
        <v>-2.9575507632068692E-6</v>
      </c>
      <c r="Y29" s="21">
        <f t="shared" si="5"/>
        <v>-6.8904866519612209E-6</v>
      </c>
      <c r="Z29" s="21">
        <f t="shared" si="5"/>
        <v>-2.0985459084488577E-5</v>
      </c>
      <c r="AA29" s="21">
        <f t="shared" si="5"/>
        <v>-3.554734471668127E-5</v>
      </c>
      <c r="AB29" s="21">
        <f t="shared" si="5"/>
        <v>1.3487658724638538E-7</v>
      </c>
      <c r="AC29" s="21">
        <f t="shared" si="5"/>
        <v>-5.4855741331621323E-5</v>
      </c>
      <c r="AD29" s="21">
        <f t="shared" si="5"/>
        <v>5.2455507706754193E-5</v>
      </c>
    </row>
    <row r="30" spans="1:30" s="12" customFormat="1" ht="12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s="12" customFormat="1" ht="12" x14ac:dyDescent="0.25">
      <c r="A31" s="89" t="s">
        <v>159</v>
      </c>
      <c r="B31" s="24" t="s">
        <v>145</v>
      </c>
      <c r="C31" s="21">
        <f>STDEV(C17:C21)</f>
        <v>6.868995390098574E-4</v>
      </c>
      <c r="D31" s="21">
        <f t="shared" ref="D31:AD31" si="6">STDEV(D17:D21)</f>
        <v>3.7322936213450561E-6</v>
      </c>
      <c r="E31" s="21">
        <f t="shared" si="6"/>
        <v>7.1088963271786491E-6</v>
      </c>
      <c r="F31" s="21">
        <f t="shared" si="6"/>
        <v>6.9361735278387901E-5</v>
      </c>
      <c r="G31" s="21">
        <f t="shared" si="6"/>
        <v>1.8922389980272426E-6</v>
      </c>
      <c r="H31" s="21">
        <f t="shared" si="6"/>
        <v>1.5249879460516726E-7</v>
      </c>
      <c r="I31" s="21">
        <f t="shared" si="6"/>
        <v>3.865615980259938E-5</v>
      </c>
      <c r="J31" s="21">
        <f t="shared" si="6"/>
        <v>1.2934236363656743E-3</v>
      </c>
      <c r="K31" s="21">
        <f t="shared" si="6"/>
        <v>4.1875598646077474E-5</v>
      </c>
      <c r="L31" s="21">
        <f t="shared" si="6"/>
        <v>6.5692085128998566E-6</v>
      </c>
      <c r="M31" s="21">
        <f t="shared" si="6"/>
        <v>5.1670174730595686E-5</v>
      </c>
      <c r="N31" s="21">
        <f t="shared" si="6"/>
        <v>5.3267270649760921E-6</v>
      </c>
      <c r="O31" s="21">
        <f t="shared" si="6"/>
        <v>1.0127973930205489E-5</v>
      </c>
      <c r="P31" s="21">
        <f t="shared" si="6"/>
        <v>2.0670918446060764E-6</v>
      </c>
      <c r="Q31" s="21">
        <f t="shared" si="6"/>
        <v>8.8793471534557326E-6</v>
      </c>
      <c r="R31" s="21">
        <f t="shared" si="6"/>
        <v>4.9203072650343003E-6</v>
      </c>
      <c r="S31" s="21">
        <f t="shared" si="6"/>
        <v>2.7637282082594309E-7</v>
      </c>
      <c r="T31" s="21">
        <f t="shared" si="6"/>
        <v>2.3143223239639236E-5</v>
      </c>
      <c r="U31" s="21">
        <f t="shared" si="6"/>
        <v>6.1996793922861962E-5</v>
      </c>
      <c r="V31" s="21">
        <f t="shared" si="6"/>
        <v>1.7827371925616467E-7</v>
      </c>
      <c r="W31" s="21">
        <f t="shared" si="6"/>
        <v>2.5379827600282961E-5</v>
      </c>
      <c r="X31" s="21">
        <f t="shared" si="6"/>
        <v>1.1031832621713941E-5</v>
      </c>
      <c r="Y31" s="21">
        <f t="shared" si="6"/>
        <v>5.8033882610715987E-6</v>
      </c>
      <c r="Z31" s="21">
        <f t="shared" si="6"/>
        <v>2.1769136744967347E-5</v>
      </c>
      <c r="AA31" s="21">
        <f t="shared" si="6"/>
        <v>4.3934443661680775E-5</v>
      </c>
      <c r="AB31" s="21">
        <f t="shared" si="6"/>
        <v>7.1649151797627819E-7</v>
      </c>
      <c r="AC31" s="21">
        <f t="shared" si="6"/>
        <v>2.2326960600200373E-6</v>
      </c>
      <c r="AD31" s="21">
        <f t="shared" si="6"/>
        <v>9.0764417819580665E-5</v>
      </c>
    </row>
    <row r="32" spans="1:30" s="12" customFormat="1" ht="12" x14ac:dyDescent="0.25">
      <c r="A32" s="89"/>
      <c r="B32" s="24" t="s">
        <v>147</v>
      </c>
      <c r="C32" s="21">
        <f>STDEV(C22:C26)</f>
        <v>3.1917380376701378E-3</v>
      </c>
      <c r="D32" s="21">
        <f t="shared" ref="D32:AD32" si="7">STDEV(D22:D26)</f>
        <v>1.1733285676257236E-6</v>
      </c>
      <c r="E32" s="21">
        <f t="shared" si="7"/>
        <v>9.2887093698114229E-6</v>
      </c>
      <c r="F32" s="21">
        <f t="shared" si="7"/>
        <v>6.9859613543929455E-4</v>
      </c>
      <c r="G32" s="21">
        <f t="shared" si="7"/>
        <v>2.1722881987526973E-6</v>
      </c>
      <c r="H32" s="21">
        <f t="shared" si="7"/>
        <v>2.1250353490755574E-7</v>
      </c>
      <c r="I32" s="21">
        <f t="shared" si="7"/>
        <v>6.2146878644487731E-5</v>
      </c>
      <c r="J32" s="21">
        <f t="shared" si="7"/>
        <v>1.9466912197046978E-3</v>
      </c>
      <c r="K32" s="21">
        <f t="shared" si="7"/>
        <v>8.3101266599656986E-5</v>
      </c>
      <c r="L32" s="21">
        <f t="shared" si="7"/>
        <v>1.2195265718660805E-5</v>
      </c>
      <c r="M32" s="21">
        <f t="shared" si="7"/>
        <v>3.0103163580334487E-4</v>
      </c>
      <c r="N32" s="21">
        <f t="shared" si="7"/>
        <v>1.4769929205601764E-5</v>
      </c>
      <c r="O32" s="21">
        <f t="shared" si="7"/>
        <v>8.7928179119653059E-5</v>
      </c>
      <c r="P32" s="21">
        <f t="shared" si="7"/>
        <v>1.5045232701775191E-6</v>
      </c>
      <c r="Q32" s="21">
        <f t="shared" si="7"/>
        <v>2.3157644890911738E-5</v>
      </c>
      <c r="R32" s="21">
        <f t="shared" si="7"/>
        <v>2.2575430205584125E-5</v>
      </c>
      <c r="S32" s="21">
        <f t="shared" si="7"/>
        <v>1.2496368643790512E-6</v>
      </c>
      <c r="T32" s="21">
        <f t="shared" si="7"/>
        <v>8.1525435473436258E-5</v>
      </c>
      <c r="U32" s="21">
        <f t="shared" si="7"/>
        <v>1.5942057912418802E-4</v>
      </c>
      <c r="V32" s="21">
        <f t="shared" si="7"/>
        <v>5.7971605558041455E-7</v>
      </c>
      <c r="W32" s="21">
        <f t="shared" si="7"/>
        <v>5.6967497315058836E-5</v>
      </c>
      <c r="X32" s="21">
        <f t="shared" si="7"/>
        <v>3.4321008700520521E-5</v>
      </c>
      <c r="Y32" s="21">
        <f t="shared" si="7"/>
        <v>1.2937658488129312E-5</v>
      </c>
      <c r="Z32" s="21">
        <f t="shared" si="7"/>
        <v>4.6638342299259117E-5</v>
      </c>
      <c r="AA32" s="21">
        <f t="shared" si="7"/>
        <v>9.582598804722204E-5</v>
      </c>
      <c r="AB32" s="21">
        <f t="shared" si="7"/>
        <v>1.1839219469035741E-6</v>
      </c>
      <c r="AC32" s="21">
        <f t="shared" si="7"/>
        <v>7.5447830371335436E-6</v>
      </c>
      <c r="AD32" s="21">
        <f t="shared" si="7"/>
        <v>6.1859512298257667E-5</v>
      </c>
    </row>
    <row r="33" spans="1:30" s="12" customFormat="1" ht="12" x14ac:dyDescent="0.2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s="12" customFormat="1" ht="12" x14ac:dyDescent="0.25">
      <c r="A34" s="89" t="s">
        <v>160</v>
      </c>
      <c r="B34" s="24" t="s">
        <v>145</v>
      </c>
      <c r="C34" s="21">
        <f>PERCENTILE(C17:C21, 0.75)</f>
        <v>6.9320538192419933E-3</v>
      </c>
      <c r="D34" s="21">
        <f t="shared" ref="D34:AD34" si="8">PERCENTILE(D17:D21, 0.75)</f>
        <v>4.3754298942450135E-5</v>
      </c>
      <c r="E34" s="21">
        <f t="shared" si="8"/>
        <v>3.2965837213303072E-5</v>
      </c>
      <c r="F34" s="21">
        <f t="shared" si="8"/>
        <v>-3.6487718215648867E-4</v>
      </c>
      <c r="G34" s="21">
        <f t="shared" si="8"/>
        <v>4.1078331860410775E-6</v>
      </c>
      <c r="H34" s="21">
        <f t="shared" si="8"/>
        <v>3.798416317362597E-7</v>
      </c>
      <c r="I34" s="21">
        <f t="shared" si="8"/>
        <v>5.1456842618513419E-5</v>
      </c>
      <c r="J34" s="21">
        <f t="shared" si="8"/>
        <v>-3.9280666997791412E-4</v>
      </c>
      <c r="K34" s="21">
        <f t="shared" si="8"/>
        <v>2.8611460209718984E-5</v>
      </c>
      <c r="L34" s="21">
        <f t="shared" si="8"/>
        <v>5.4488840995271099E-6</v>
      </c>
      <c r="M34" s="21">
        <f t="shared" si="8"/>
        <v>2.0449467415597911E-4</v>
      </c>
      <c r="N34" s="21">
        <f t="shared" si="8"/>
        <v>5.9868797098209047E-6</v>
      </c>
      <c r="O34" s="21">
        <f t="shared" si="8"/>
        <v>5.2462689608629634E-5</v>
      </c>
      <c r="P34" s="21">
        <f t="shared" si="8"/>
        <v>1.1739049648385015E-5</v>
      </c>
      <c r="Q34" s="21">
        <f t="shared" si="8"/>
        <v>1.6644360298420215E-4</v>
      </c>
      <c r="R34" s="21">
        <f t="shared" si="8"/>
        <v>6.1006240027764915E-5</v>
      </c>
      <c r="S34" s="21">
        <f t="shared" si="8"/>
        <v>5.932327147790653E-7</v>
      </c>
      <c r="T34" s="21">
        <f t="shared" si="8"/>
        <v>6.3153896484288087E-5</v>
      </c>
      <c r="U34" s="21">
        <f t="shared" si="8"/>
        <v>-9.7771139298909087E-5</v>
      </c>
      <c r="V34" s="21">
        <f t="shared" si="8"/>
        <v>4.0819883981600008E-7</v>
      </c>
      <c r="W34" s="21">
        <f t="shared" si="8"/>
        <v>-2.9724925103418758E-5</v>
      </c>
      <c r="X34" s="21">
        <f t="shared" si="8"/>
        <v>3.1555655833899149E-5</v>
      </c>
      <c r="Y34" s="21">
        <f t="shared" si="8"/>
        <v>4.7993672791260298E-6</v>
      </c>
      <c r="Z34" s="21">
        <f t="shared" si="8"/>
        <v>1.6022208000933887E-5</v>
      </c>
      <c r="AA34" s="21">
        <f t="shared" si="8"/>
        <v>5.4271408283757141E-5</v>
      </c>
      <c r="AB34" s="21">
        <f t="shared" si="8"/>
        <v>1.7444785280058901E-6</v>
      </c>
      <c r="AC34" s="21">
        <f t="shared" si="8"/>
        <v>-4.6246622242025996E-5</v>
      </c>
      <c r="AD34" s="21">
        <f t="shared" si="8"/>
        <v>2.9238002114097353E-5</v>
      </c>
    </row>
    <row r="35" spans="1:30" s="12" customFormat="1" ht="12" x14ac:dyDescent="0.25">
      <c r="A35" s="89"/>
      <c r="B35" s="24" t="s">
        <v>147</v>
      </c>
      <c r="C35" s="21">
        <f>PERCENTILE(C22:C26, 0.75)</f>
        <v>5.2653420586940202E-3</v>
      </c>
      <c r="D35" s="21">
        <f t="shared" ref="D35:AD35" si="9">PERCENTILE(D22:D26, 0.75)</f>
        <v>6.5024004653360943E-6</v>
      </c>
      <c r="E35" s="21">
        <f t="shared" si="9"/>
        <v>7.3557736932104378E-6</v>
      </c>
      <c r="F35" s="21">
        <f t="shared" si="9"/>
        <v>-6.4705981961098147E-4</v>
      </c>
      <c r="G35" s="21">
        <f t="shared" si="9"/>
        <v>4.4777988509278403E-6</v>
      </c>
      <c r="H35" s="21">
        <f t="shared" si="9"/>
        <v>5.179053018308613E-7</v>
      </c>
      <c r="I35" s="21">
        <f t="shared" si="9"/>
        <v>6.2547829552785044E-6</v>
      </c>
      <c r="J35" s="21">
        <f t="shared" si="9"/>
        <v>-2.1377542418357588E-3</v>
      </c>
      <c r="K35" s="21">
        <f t="shared" si="9"/>
        <v>4.1367138641490397E-5</v>
      </c>
      <c r="L35" s="21">
        <f t="shared" si="9"/>
        <v>5.5378724601991057E-6</v>
      </c>
      <c r="M35" s="21">
        <f t="shared" si="9"/>
        <v>5.7927687803468331E-5</v>
      </c>
      <c r="N35" s="21">
        <f t="shared" si="9"/>
        <v>3.1812040242274575E-7</v>
      </c>
      <c r="O35" s="21">
        <f t="shared" si="9"/>
        <v>1.6809093125780949E-5</v>
      </c>
      <c r="P35" s="21">
        <f t="shared" si="9"/>
        <v>6.9983936248065502E-6</v>
      </c>
      <c r="Q35" s="21">
        <f t="shared" si="9"/>
        <v>1.156482306673151E-4</v>
      </c>
      <c r="R35" s="21">
        <f t="shared" si="9"/>
        <v>7.7772574393002332E-5</v>
      </c>
      <c r="S35" s="21">
        <f t="shared" si="9"/>
        <v>4.4258240270018102E-6</v>
      </c>
      <c r="T35" s="21">
        <f t="shared" si="9"/>
        <v>6.4177538940026971E-5</v>
      </c>
      <c r="U35" s="21">
        <f t="shared" si="9"/>
        <v>-5.5985465305609385E-5</v>
      </c>
      <c r="V35" s="21">
        <f t="shared" si="9"/>
        <v>3.7942439139873033E-6</v>
      </c>
      <c r="W35" s="21">
        <f t="shared" si="9"/>
        <v>-5.3272161304049722E-5</v>
      </c>
      <c r="X35" s="21">
        <f t="shared" si="9"/>
        <v>2.7482646556543743E-5</v>
      </c>
      <c r="Y35" s="21">
        <f t="shared" si="9"/>
        <v>4.049331946818809E-7</v>
      </c>
      <c r="Z35" s="21">
        <f t="shared" si="9"/>
        <v>1.4434933679381466E-5</v>
      </c>
      <c r="AA35" s="21">
        <f t="shared" si="9"/>
        <v>4.3906788124117091E-5</v>
      </c>
      <c r="AB35" s="21">
        <f t="shared" si="9"/>
        <v>6.9017539518956732E-7</v>
      </c>
      <c r="AC35" s="21">
        <f t="shared" si="9"/>
        <v>-5.5937782682991318E-5</v>
      </c>
      <c r="AD35" s="21">
        <f t="shared" si="9"/>
        <v>6.3268256531491719E-5</v>
      </c>
    </row>
    <row r="36" spans="1:30" s="12" customFormat="1" ht="12" x14ac:dyDescent="0.2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s="12" customFormat="1" ht="12" x14ac:dyDescent="0.25">
      <c r="A37" s="89" t="s">
        <v>161</v>
      </c>
      <c r="B37" s="24" t="s">
        <v>145</v>
      </c>
      <c r="C37" s="21">
        <f>PERCENTILE(C17:C21, 0.25)</f>
        <v>6.8914908161981361E-3</v>
      </c>
      <c r="D37" s="21">
        <f t="shared" ref="D37:AD37" si="10">PERCENTILE(D17:D21, 0.25)</f>
        <v>4.1916618400430123E-5</v>
      </c>
      <c r="E37" s="21">
        <f t="shared" si="10"/>
        <v>2.5515395799199898E-5</v>
      </c>
      <c r="F37" s="21">
        <f t="shared" si="10"/>
        <v>-3.8328919593194269E-4</v>
      </c>
      <c r="G37" s="21">
        <f t="shared" si="10"/>
        <v>2.093422116903682E-6</v>
      </c>
      <c r="H37" s="21">
        <f t="shared" si="10"/>
        <v>1.6835206171738247E-7</v>
      </c>
      <c r="I37" s="21">
        <f t="shared" si="10"/>
        <v>2.3812272910521593E-5</v>
      </c>
      <c r="J37" s="21">
        <f t="shared" si="10"/>
        <v>-1.1674639733140278E-3</v>
      </c>
      <c r="K37" s="21">
        <f t="shared" si="10"/>
        <v>6.8964366946050137E-6</v>
      </c>
      <c r="L37" s="21">
        <f t="shared" si="10"/>
        <v>2.7323966816100357E-6</v>
      </c>
      <c r="M37" s="21">
        <f t="shared" si="10"/>
        <v>1.8013171639002287E-4</v>
      </c>
      <c r="N37" s="21">
        <f t="shared" si="10"/>
        <v>-2.0211858496657946E-6</v>
      </c>
      <c r="O37" s="21">
        <f t="shared" si="10"/>
        <v>4.4680585519779165E-5</v>
      </c>
      <c r="P37" s="21">
        <f t="shared" si="10"/>
        <v>8.0597153007150255E-6</v>
      </c>
      <c r="Q37" s="21">
        <f t="shared" si="10"/>
        <v>1.5658868647168384E-4</v>
      </c>
      <c r="R37" s="21">
        <f t="shared" si="10"/>
        <v>5.7984261394254914E-5</v>
      </c>
      <c r="S37" s="21">
        <f t="shared" si="10"/>
        <v>2.8155509609713614E-7</v>
      </c>
      <c r="T37" s="21">
        <f t="shared" si="10"/>
        <v>3.8786445564967129E-5</v>
      </c>
      <c r="U37" s="21">
        <f t="shared" si="10"/>
        <v>-1.3905787150002473E-4</v>
      </c>
      <c r="V37" s="21">
        <f t="shared" si="10"/>
        <v>1.662813021183077E-7</v>
      </c>
      <c r="W37" s="21">
        <f t="shared" si="10"/>
        <v>-5.7878384415875526E-5</v>
      </c>
      <c r="X37" s="21">
        <f t="shared" si="10"/>
        <v>2.1169171351671706E-5</v>
      </c>
      <c r="Y37" s="21">
        <f t="shared" si="10"/>
        <v>4.8081998513328073E-7</v>
      </c>
      <c r="Z37" s="21">
        <f t="shared" si="10"/>
        <v>-6.9292583514922211E-6</v>
      </c>
      <c r="AA37" s="21">
        <f t="shared" si="10"/>
        <v>1.5618537867164922E-5</v>
      </c>
      <c r="AB37" s="21">
        <f t="shared" si="10"/>
        <v>1.3228912879613093E-6</v>
      </c>
      <c r="AC37" s="21">
        <f t="shared" si="10"/>
        <v>-4.8343469781846834E-5</v>
      </c>
      <c r="AD37" s="21">
        <f t="shared" si="10"/>
        <v>-2.2081514740037304E-5</v>
      </c>
    </row>
    <row r="38" spans="1:30" s="12" customFormat="1" ht="12" x14ac:dyDescent="0.25">
      <c r="A38" s="89"/>
      <c r="B38" s="24" t="s">
        <v>147</v>
      </c>
      <c r="C38" s="21">
        <f>PERCENTILE(C22:C26, 0.25)</f>
        <v>1.3084547678009386E-3</v>
      </c>
      <c r="D38" s="21">
        <f t="shared" ref="D38:AD38" si="11">PERCENTILE(D22:D26, 0.25)</f>
        <v>4.6541497435476032E-6</v>
      </c>
      <c r="E38" s="21">
        <f t="shared" si="11"/>
        <v>-6.6541718963640728E-6</v>
      </c>
      <c r="F38" s="21">
        <f t="shared" si="11"/>
        <v>-1.6728533096123696E-3</v>
      </c>
      <c r="G38" s="21">
        <f t="shared" si="11"/>
        <v>8.6321635469881868E-7</v>
      </c>
      <c r="H38" s="21">
        <f t="shared" si="11"/>
        <v>1.9305666613006727E-7</v>
      </c>
      <c r="I38" s="21">
        <f t="shared" si="11"/>
        <v>-7.5101222628144311E-5</v>
      </c>
      <c r="J38" s="21">
        <f t="shared" si="11"/>
        <v>-4.3604758127564237E-3</v>
      </c>
      <c r="K38" s="21">
        <f t="shared" si="11"/>
        <v>-9.0528310745263828E-5</v>
      </c>
      <c r="L38" s="21">
        <f t="shared" si="11"/>
        <v>-9.9775810329071458E-6</v>
      </c>
      <c r="M38" s="21">
        <f t="shared" si="11"/>
        <v>-4.3705440861020631E-4</v>
      </c>
      <c r="N38" s="21">
        <f t="shared" si="11"/>
        <v>-2.410513421718928E-5</v>
      </c>
      <c r="O38" s="21">
        <f t="shared" si="11"/>
        <v>-1.1653521016051327E-4</v>
      </c>
      <c r="P38" s="21">
        <f t="shared" si="11"/>
        <v>4.5346993184454057E-6</v>
      </c>
      <c r="Q38" s="21">
        <f t="shared" si="11"/>
        <v>7.5494721343503666E-5</v>
      </c>
      <c r="R38" s="21">
        <f t="shared" si="11"/>
        <v>4.0787081327902984E-5</v>
      </c>
      <c r="S38" s="21">
        <f t="shared" si="11"/>
        <v>2.3550910291802445E-6</v>
      </c>
      <c r="T38" s="21">
        <f t="shared" si="11"/>
        <v>-7.9384818416327829E-5</v>
      </c>
      <c r="U38" s="21">
        <f t="shared" si="11"/>
        <v>-3.1099468246937955E-4</v>
      </c>
      <c r="V38" s="21">
        <f t="shared" si="11"/>
        <v>2.9097831758679438E-6</v>
      </c>
      <c r="W38" s="21">
        <f t="shared" si="11"/>
        <v>-1.5542549529293722E-4</v>
      </c>
      <c r="X38" s="21">
        <f t="shared" si="11"/>
        <v>-3.2180664886853067E-5</v>
      </c>
      <c r="Y38" s="21">
        <f t="shared" si="11"/>
        <v>-1.9730490564816737E-5</v>
      </c>
      <c r="Z38" s="21">
        <f t="shared" si="11"/>
        <v>-5.7990297156823073E-5</v>
      </c>
      <c r="AA38" s="21">
        <f t="shared" si="11"/>
        <v>-1.2074017938867008E-4</v>
      </c>
      <c r="AB38" s="21">
        <f t="shared" si="11"/>
        <v>-1.0136054282028442E-6</v>
      </c>
      <c r="AC38" s="21">
        <f t="shared" si="11"/>
        <v>-5.8416322204009151E-5</v>
      </c>
      <c r="AD38" s="21">
        <f t="shared" si="11"/>
        <v>4.0017319488182722E-5</v>
      </c>
    </row>
    <row r="44" spans="1:30" x14ac:dyDescent="0.25">
      <c r="B44" s="34"/>
      <c r="C44" s="33" t="s">
        <v>235</v>
      </c>
    </row>
    <row r="45" spans="1:30" x14ac:dyDescent="0.25">
      <c r="B45" s="12">
        <v>262</v>
      </c>
      <c r="C45" s="113">
        <v>121.32679466666669</v>
      </c>
    </row>
    <row r="46" spans="1:30" x14ac:dyDescent="0.25">
      <c r="B46" s="12" t="s">
        <v>101</v>
      </c>
      <c r="C46" s="113">
        <v>109.65035733333332</v>
      </c>
    </row>
  </sheetData>
  <mergeCells count="6">
    <mergeCell ref="A37:A38"/>
    <mergeCell ref="C1:AD1"/>
    <mergeCell ref="C15:AD15"/>
    <mergeCell ref="A28:A29"/>
    <mergeCell ref="A31:A32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 HILIC</vt:lpstr>
      <vt:lpstr>raw data pHILIC</vt:lpstr>
      <vt:lpstr>cel growth</vt:lpstr>
      <vt:lpstr>std curves HILIC</vt:lpstr>
      <vt:lpstr>std curves pHILIC</vt:lpstr>
      <vt:lpstr>CoRe_cell number</vt:lpstr>
      <vt:lpstr>CoRe_cell volume</vt:lpstr>
      <vt:lpstr>CoRe_biomass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Henriques da Costa</dc:creator>
  <cp:lastModifiedBy>Sofia Henriques da Costa</cp:lastModifiedBy>
  <dcterms:created xsi:type="dcterms:W3CDTF">2015-05-19T15:30:16Z</dcterms:created>
  <dcterms:modified xsi:type="dcterms:W3CDTF">2015-07-01T16:45:14Z</dcterms:modified>
</cp:coreProperties>
</file>