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27555" windowHeight="12060" activeTab="6"/>
  </bookViews>
  <sheets>
    <sheet name="info" sheetId="1" r:id="rId1"/>
    <sheet name="ion intensity" sheetId="8" r:id="rId2"/>
    <sheet name="standards" sheetId="4" r:id="rId3"/>
    <sheet name="std curves" sheetId="5" r:id="rId4"/>
    <sheet name="normalisedToVol" sheetId="2" r:id="rId5"/>
    <sheet name="normalisedToNumber" sheetId="3" r:id="rId6"/>
    <sheet name="normalised to DW" sheetId="6" r:id="rId7"/>
    <sheet name="linear growth rate" sheetId="7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H18" i="6" l="1"/>
  <c r="H24" i="6"/>
  <c r="Q18" i="6"/>
  <c r="C9" i="6"/>
  <c r="C10" i="6"/>
  <c r="I37" i="1"/>
  <c r="R61" i="1"/>
  <c r="R60" i="1"/>
  <c r="H32" i="1"/>
  <c r="G32" i="1"/>
  <c r="G37" i="1"/>
  <c r="I32" i="1"/>
  <c r="R54" i="1"/>
  <c r="AC27" i="2" l="1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A28" i="2"/>
  <c r="AA27" i="2"/>
  <c r="AB24" i="2"/>
  <c r="AB28" i="2"/>
  <c r="AB27" i="2"/>
  <c r="AX8" i="2"/>
  <c r="AA30" i="7" l="1"/>
  <c r="AA29" i="7"/>
  <c r="AA28" i="7"/>
  <c r="AA27" i="7"/>
  <c r="AA26" i="7"/>
  <c r="AA25" i="7"/>
  <c r="AA24" i="7"/>
  <c r="AA23" i="7"/>
  <c r="AA22" i="7"/>
  <c r="AA21" i="7"/>
  <c r="AC37" i="6"/>
  <c r="AC27" i="6"/>
  <c r="AC26" i="6"/>
  <c r="AC25" i="6"/>
  <c r="AC24" i="6"/>
  <c r="AC23" i="6"/>
  <c r="AC39" i="6" s="1"/>
  <c r="AC22" i="6"/>
  <c r="AC43" i="6" s="1"/>
  <c r="AC21" i="6"/>
  <c r="AC20" i="6"/>
  <c r="AC31" i="6" s="1"/>
  <c r="AC19" i="6"/>
  <c r="AC18" i="6"/>
  <c r="AB51" i="3"/>
  <c r="AB50" i="3"/>
  <c r="AB48" i="3"/>
  <c r="AB47" i="3"/>
  <c r="AB42" i="3"/>
  <c r="AB40" i="3"/>
  <c r="AB36" i="3"/>
  <c r="AB34" i="3"/>
  <c r="AB29" i="3"/>
  <c r="AB28" i="3"/>
  <c r="AB27" i="3"/>
  <c r="AB26" i="3"/>
  <c r="AB25" i="3"/>
  <c r="AB24" i="3"/>
  <c r="AB23" i="3"/>
  <c r="AB22" i="3"/>
  <c r="AB21" i="3"/>
  <c r="AB20" i="3"/>
  <c r="BS89" i="2"/>
  <c r="BS88" i="2"/>
  <c r="BS86" i="2"/>
  <c r="BS85" i="2"/>
  <c r="BS80" i="2"/>
  <c r="BS78" i="2"/>
  <c r="BS74" i="2"/>
  <c r="BS72" i="2"/>
  <c r="BS69" i="2"/>
  <c r="BS68" i="2"/>
  <c r="BS67" i="2"/>
  <c r="BS66" i="2"/>
  <c r="BS65" i="2"/>
  <c r="BS64" i="2"/>
  <c r="BS63" i="2"/>
  <c r="BS62" i="2"/>
  <c r="BS61" i="2"/>
  <c r="BS60" i="2"/>
  <c r="AC33" i="6" l="1"/>
  <c r="AC44" i="6"/>
  <c r="AC47" i="6"/>
  <c r="AC46" i="6"/>
  <c r="AA51" i="3"/>
  <c r="Z30" i="7" l="1"/>
  <c r="Z29" i="7"/>
  <c r="Z28" i="7"/>
  <c r="Z27" i="7"/>
  <c r="Z26" i="7"/>
  <c r="Z25" i="7"/>
  <c r="Z24" i="7"/>
  <c r="Z23" i="7"/>
  <c r="Z22" i="7"/>
  <c r="Z21" i="7"/>
  <c r="AB27" i="6"/>
  <c r="AB26" i="6"/>
  <c r="AB25" i="6"/>
  <c r="AB24" i="6"/>
  <c r="AB44" i="6" s="1"/>
  <c r="AB23" i="6"/>
  <c r="AB22" i="6"/>
  <c r="AB21" i="6"/>
  <c r="AB20" i="6"/>
  <c r="AB19" i="6"/>
  <c r="AB43" i="6" s="1"/>
  <c r="AB18" i="6"/>
  <c r="AA50" i="3"/>
  <c r="AA48" i="3"/>
  <c r="AA47" i="3"/>
  <c r="AA42" i="3"/>
  <c r="AA40" i="3"/>
  <c r="AA36" i="3"/>
  <c r="AA34" i="3"/>
  <c r="AA21" i="3"/>
  <c r="AA22" i="3"/>
  <c r="AA23" i="3"/>
  <c r="AA24" i="3"/>
  <c r="AA25" i="3"/>
  <c r="AA26" i="3"/>
  <c r="AA27" i="3"/>
  <c r="AA28" i="3"/>
  <c r="AA29" i="3"/>
  <c r="AA20" i="3"/>
  <c r="BR89" i="2"/>
  <c r="BR88" i="2"/>
  <c r="BR86" i="2"/>
  <c r="BR85" i="2"/>
  <c r="BR80" i="2"/>
  <c r="BR78" i="2"/>
  <c r="BR74" i="2"/>
  <c r="BR72" i="2"/>
  <c r="BR61" i="2"/>
  <c r="BR62" i="2"/>
  <c r="BR63" i="2"/>
  <c r="BR64" i="2"/>
  <c r="BR65" i="2"/>
  <c r="BR66" i="2"/>
  <c r="BR67" i="2"/>
  <c r="BR68" i="2"/>
  <c r="BR69" i="2"/>
  <c r="BR60" i="2"/>
  <c r="AC41" i="5"/>
  <c r="AC40" i="5"/>
  <c r="AC39" i="5"/>
  <c r="AC38" i="5"/>
  <c r="AC37" i="5"/>
  <c r="Y37" i="5"/>
  <c r="Y38" i="5" s="1"/>
  <c r="AC36" i="5"/>
  <c r="AB36" i="5"/>
  <c r="AB46" i="6" l="1"/>
  <c r="AB33" i="6"/>
  <c r="AB39" i="6"/>
  <c r="AB47" i="6"/>
  <c r="AB31" i="6"/>
  <c r="AB37" i="6"/>
  <c r="AB38" i="5"/>
  <c r="Y39" i="5"/>
  <c r="AB37" i="5"/>
  <c r="BQ39" i="2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F26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F21" i="7"/>
  <c r="C28" i="1"/>
  <c r="C29" i="1"/>
  <c r="C30" i="1"/>
  <c r="C31" i="1"/>
  <c r="C32" i="1"/>
  <c r="D32" i="1"/>
  <c r="C11" i="1"/>
  <c r="C12" i="1"/>
  <c r="C13" i="1"/>
  <c r="C14" i="1"/>
  <c r="C15" i="1"/>
  <c r="C16" i="1"/>
  <c r="D16" i="1"/>
  <c r="W14" i="1"/>
  <c r="C33" i="1"/>
  <c r="C34" i="1"/>
  <c r="C35" i="1"/>
  <c r="C36" i="1"/>
  <c r="C37" i="1"/>
  <c r="D37" i="1"/>
  <c r="C17" i="1"/>
  <c r="C18" i="1"/>
  <c r="C19" i="1"/>
  <c r="C20" i="1"/>
  <c r="C21" i="1"/>
  <c r="C22" i="1"/>
  <c r="D22" i="1"/>
  <c r="W15" i="1"/>
  <c r="R8" i="1"/>
  <c r="R42" i="1"/>
  <c r="R7" i="1"/>
  <c r="R41" i="1"/>
  <c r="AZ39" i="2"/>
  <c r="AY44" i="2"/>
  <c r="AX28" i="2"/>
  <c r="AX39" i="2"/>
  <c r="AX7" i="2"/>
  <c r="G20" i="3"/>
  <c r="AX60" i="2"/>
  <c r="AX61" i="2"/>
  <c r="AX62" i="2"/>
  <c r="AX63" i="2"/>
  <c r="AX64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AX66" i="2"/>
  <c r="AX67" i="2"/>
  <c r="AX68" i="2"/>
  <c r="AX69" i="2"/>
  <c r="AX65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AB17" i="2"/>
  <c r="AY17" i="2"/>
  <c r="AB18" i="2"/>
  <c r="AY18" i="2"/>
  <c r="AB19" i="2"/>
  <c r="AY19" i="2"/>
  <c r="AB20" i="2"/>
  <c r="AY20" i="2"/>
  <c r="AB21" i="2"/>
  <c r="AY21" i="2"/>
  <c r="AB22" i="2"/>
  <c r="AY22" i="2"/>
  <c r="AY28" i="2"/>
  <c r="AY30" i="2"/>
  <c r="AY31" i="2"/>
  <c r="AC17" i="2"/>
  <c r="AZ17" i="2"/>
  <c r="AC18" i="2"/>
  <c r="AZ18" i="2"/>
  <c r="AC19" i="2"/>
  <c r="AZ19" i="2"/>
  <c r="AC20" i="2"/>
  <c r="AZ20" i="2"/>
  <c r="AC21" i="2"/>
  <c r="AZ21" i="2"/>
  <c r="AC22" i="2"/>
  <c r="AZ22" i="2"/>
  <c r="AZ28" i="2"/>
  <c r="AZ30" i="2"/>
  <c r="AZ31" i="2"/>
  <c r="AD17" i="2"/>
  <c r="BA17" i="2"/>
  <c r="AD18" i="2"/>
  <c r="BA18" i="2"/>
  <c r="AD19" i="2"/>
  <c r="BA19" i="2"/>
  <c r="AD20" i="2"/>
  <c r="BA20" i="2"/>
  <c r="AD21" i="2"/>
  <c r="BA21" i="2"/>
  <c r="AD22" i="2"/>
  <c r="BA22" i="2"/>
  <c r="BA28" i="2"/>
  <c r="BA30" i="2"/>
  <c r="BA31" i="2"/>
  <c r="AE17" i="2"/>
  <c r="BB17" i="2"/>
  <c r="AE18" i="2"/>
  <c r="BB18" i="2"/>
  <c r="AE19" i="2"/>
  <c r="BB19" i="2"/>
  <c r="AE20" i="2"/>
  <c r="BB20" i="2"/>
  <c r="AE21" i="2"/>
  <c r="BB21" i="2"/>
  <c r="AE22" i="2"/>
  <c r="BB22" i="2"/>
  <c r="BB28" i="2"/>
  <c r="BB30" i="2"/>
  <c r="BB31" i="2"/>
  <c r="AF17" i="2"/>
  <c r="BC17" i="2"/>
  <c r="AF18" i="2"/>
  <c r="BC18" i="2"/>
  <c r="AF19" i="2"/>
  <c r="BC19" i="2"/>
  <c r="AF20" i="2"/>
  <c r="BC20" i="2"/>
  <c r="AF21" i="2"/>
  <c r="BC21" i="2"/>
  <c r="AF22" i="2"/>
  <c r="BC22" i="2"/>
  <c r="BC28" i="2"/>
  <c r="BC30" i="2"/>
  <c r="BC31" i="2"/>
  <c r="AG17" i="2"/>
  <c r="BD17" i="2"/>
  <c r="AG18" i="2"/>
  <c r="BD18" i="2"/>
  <c r="AG19" i="2"/>
  <c r="BD19" i="2"/>
  <c r="AG20" i="2"/>
  <c r="BD20" i="2"/>
  <c r="AG21" i="2"/>
  <c r="BD21" i="2"/>
  <c r="AG22" i="2"/>
  <c r="BD22" i="2"/>
  <c r="BD28" i="2"/>
  <c r="BD30" i="2"/>
  <c r="BD31" i="2"/>
  <c r="AH17" i="2"/>
  <c r="BE17" i="2"/>
  <c r="AH18" i="2"/>
  <c r="BE18" i="2"/>
  <c r="AH19" i="2"/>
  <c r="BE19" i="2"/>
  <c r="AH20" i="2"/>
  <c r="BE20" i="2"/>
  <c r="AH21" i="2"/>
  <c r="BE21" i="2"/>
  <c r="AH22" i="2"/>
  <c r="BE22" i="2"/>
  <c r="BE28" i="2"/>
  <c r="BE30" i="2"/>
  <c r="BE31" i="2"/>
  <c r="AI17" i="2"/>
  <c r="BF17" i="2"/>
  <c r="AI18" i="2"/>
  <c r="BF18" i="2"/>
  <c r="AI19" i="2"/>
  <c r="BF19" i="2"/>
  <c r="AI20" i="2"/>
  <c r="BF20" i="2"/>
  <c r="AI21" i="2"/>
  <c r="BF21" i="2"/>
  <c r="AI22" i="2"/>
  <c r="BF22" i="2"/>
  <c r="BF28" i="2"/>
  <c r="BF30" i="2"/>
  <c r="BF31" i="2"/>
  <c r="AJ17" i="2"/>
  <c r="BG17" i="2"/>
  <c r="AJ18" i="2"/>
  <c r="BG18" i="2"/>
  <c r="AJ19" i="2"/>
  <c r="BG19" i="2"/>
  <c r="AJ20" i="2"/>
  <c r="BG20" i="2"/>
  <c r="AJ21" i="2"/>
  <c r="BG21" i="2"/>
  <c r="AJ22" i="2"/>
  <c r="BG22" i="2"/>
  <c r="BG28" i="2"/>
  <c r="BG30" i="2"/>
  <c r="BG31" i="2"/>
  <c r="AK17" i="2"/>
  <c r="BH17" i="2"/>
  <c r="AK18" i="2"/>
  <c r="BH18" i="2"/>
  <c r="AK19" i="2"/>
  <c r="BH19" i="2"/>
  <c r="AK20" i="2"/>
  <c r="BH20" i="2"/>
  <c r="AK21" i="2"/>
  <c r="BH21" i="2"/>
  <c r="AK22" i="2"/>
  <c r="BH22" i="2"/>
  <c r="BH28" i="2"/>
  <c r="BH30" i="2"/>
  <c r="BH31" i="2"/>
  <c r="AL17" i="2"/>
  <c r="BI17" i="2"/>
  <c r="AL18" i="2"/>
  <c r="BI18" i="2"/>
  <c r="AL19" i="2"/>
  <c r="BI19" i="2"/>
  <c r="AL20" i="2"/>
  <c r="BI20" i="2"/>
  <c r="AL21" i="2"/>
  <c r="BI21" i="2"/>
  <c r="AL22" i="2"/>
  <c r="BI22" i="2"/>
  <c r="BI28" i="2"/>
  <c r="BI30" i="2"/>
  <c r="BI31" i="2"/>
  <c r="AM17" i="2"/>
  <c r="BJ17" i="2"/>
  <c r="AM18" i="2"/>
  <c r="BJ18" i="2"/>
  <c r="AM19" i="2"/>
  <c r="BJ19" i="2"/>
  <c r="AM20" i="2"/>
  <c r="BJ20" i="2"/>
  <c r="AM21" i="2"/>
  <c r="BJ21" i="2"/>
  <c r="AM22" i="2"/>
  <c r="BJ22" i="2"/>
  <c r="BJ28" i="2"/>
  <c r="BJ30" i="2"/>
  <c r="BJ31" i="2"/>
  <c r="AN17" i="2"/>
  <c r="BK17" i="2"/>
  <c r="AN18" i="2"/>
  <c r="BK18" i="2"/>
  <c r="AN19" i="2"/>
  <c r="BK19" i="2"/>
  <c r="AN20" i="2"/>
  <c r="BK20" i="2"/>
  <c r="AN21" i="2"/>
  <c r="BK21" i="2"/>
  <c r="AN22" i="2"/>
  <c r="BK22" i="2"/>
  <c r="BK28" i="2"/>
  <c r="BK30" i="2"/>
  <c r="BK31" i="2"/>
  <c r="AO17" i="2"/>
  <c r="BL17" i="2"/>
  <c r="AO18" i="2"/>
  <c r="BL18" i="2"/>
  <c r="AO19" i="2"/>
  <c r="BL19" i="2"/>
  <c r="AO20" i="2"/>
  <c r="BL20" i="2"/>
  <c r="AO21" i="2"/>
  <c r="BL21" i="2"/>
  <c r="AO22" i="2"/>
  <c r="BL22" i="2"/>
  <c r="BL28" i="2"/>
  <c r="BL30" i="2"/>
  <c r="BL31" i="2"/>
  <c r="AP17" i="2"/>
  <c r="BM17" i="2"/>
  <c r="AP18" i="2"/>
  <c r="BM18" i="2"/>
  <c r="AP19" i="2"/>
  <c r="BM19" i="2"/>
  <c r="AP20" i="2"/>
  <c r="BM20" i="2"/>
  <c r="AP21" i="2"/>
  <c r="BM21" i="2"/>
  <c r="AP22" i="2"/>
  <c r="BM22" i="2"/>
  <c r="BM28" i="2"/>
  <c r="BM30" i="2"/>
  <c r="BM31" i="2"/>
  <c r="AQ17" i="2"/>
  <c r="BN17" i="2"/>
  <c r="AQ18" i="2"/>
  <c r="BN18" i="2"/>
  <c r="AQ19" i="2"/>
  <c r="BN19" i="2"/>
  <c r="AQ20" i="2"/>
  <c r="BN20" i="2"/>
  <c r="AQ21" i="2"/>
  <c r="BN21" i="2"/>
  <c r="AQ22" i="2"/>
  <c r="BN22" i="2"/>
  <c r="BN28" i="2"/>
  <c r="BN30" i="2"/>
  <c r="BN31" i="2"/>
  <c r="T29" i="2"/>
  <c r="AR17" i="2"/>
  <c r="BO17" i="2"/>
  <c r="AR18" i="2"/>
  <c r="BO18" i="2"/>
  <c r="AR19" i="2"/>
  <c r="BO19" i="2"/>
  <c r="AR20" i="2"/>
  <c r="BO20" i="2"/>
  <c r="AR21" i="2"/>
  <c r="BO21" i="2"/>
  <c r="AR22" i="2"/>
  <c r="BO22" i="2"/>
  <c r="BO28" i="2"/>
  <c r="BO30" i="2"/>
  <c r="BO31" i="2"/>
  <c r="AS17" i="2"/>
  <c r="BP17" i="2"/>
  <c r="AS18" i="2"/>
  <c r="BP18" i="2"/>
  <c r="AS19" i="2"/>
  <c r="BP19" i="2"/>
  <c r="AS20" i="2"/>
  <c r="BP20" i="2"/>
  <c r="AS21" i="2"/>
  <c r="BP21" i="2"/>
  <c r="AS22" i="2"/>
  <c r="BP22" i="2"/>
  <c r="BP28" i="2"/>
  <c r="BP30" i="2"/>
  <c r="BP31" i="2"/>
  <c r="AT17" i="2"/>
  <c r="BQ17" i="2"/>
  <c r="AT18" i="2"/>
  <c r="BQ18" i="2"/>
  <c r="AT19" i="2"/>
  <c r="BQ19" i="2"/>
  <c r="AT20" i="2"/>
  <c r="BQ20" i="2"/>
  <c r="AT21" i="2"/>
  <c r="BQ21" i="2"/>
  <c r="AT22" i="2"/>
  <c r="BQ22" i="2"/>
  <c r="BQ28" i="2"/>
  <c r="BQ30" i="2"/>
  <c r="BQ31" i="2"/>
  <c r="AA17" i="2"/>
  <c r="AX17" i="2"/>
  <c r="AA18" i="2"/>
  <c r="AX18" i="2"/>
  <c r="AA19" i="2"/>
  <c r="AX19" i="2"/>
  <c r="AA20" i="2"/>
  <c r="AX20" i="2"/>
  <c r="AA21" i="2"/>
  <c r="AX21" i="2"/>
  <c r="AA22" i="2"/>
  <c r="AX22" i="2"/>
  <c r="AX30" i="2"/>
  <c r="AX31" i="2"/>
  <c r="AS16" i="2"/>
  <c r="AS15" i="2"/>
  <c r="AS14" i="2"/>
  <c r="AS13" i="2"/>
  <c r="AS12" i="2"/>
  <c r="AS11" i="2"/>
  <c r="AS10" i="2"/>
  <c r="AS9" i="2"/>
  <c r="AS8" i="2"/>
  <c r="AS7" i="2"/>
  <c r="AA24" i="2"/>
  <c r="Y18" i="6"/>
  <c r="Y46" i="6" s="1"/>
  <c r="Y20" i="3"/>
  <c r="L32" i="1"/>
  <c r="H37" i="6"/>
  <c r="AA24" i="6"/>
  <c r="AA25" i="6"/>
  <c r="AA26" i="6"/>
  <c r="AA27" i="6"/>
  <c r="Z24" i="6"/>
  <c r="Z25" i="6"/>
  <c r="Z26" i="6"/>
  <c r="Z27" i="6"/>
  <c r="Y24" i="6"/>
  <c r="Y33" i="6" s="1"/>
  <c r="Y25" i="6"/>
  <c r="Y39" i="6" s="1"/>
  <c r="Y26" i="6"/>
  <c r="Y44" i="6" s="1"/>
  <c r="Y27" i="6"/>
  <c r="X24" i="6"/>
  <c r="X25" i="6"/>
  <c r="X26" i="6"/>
  <c r="X27" i="6"/>
  <c r="W24" i="6"/>
  <c r="W25" i="6"/>
  <c r="W26" i="6"/>
  <c r="W27" i="6"/>
  <c r="V24" i="6"/>
  <c r="V25" i="6"/>
  <c r="V26" i="6"/>
  <c r="V27" i="6"/>
  <c r="U24" i="6"/>
  <c r="U25" i="6"/>
  <c r="U33" i="6" s="1"/>
  <c r="U26" i="6"/>
  <c r="U44" i="6" s="1"/>
  <c r="U27" i="6"/>
  <c r="T24" i="6"/>
  <c r="T25" i="6"/>
  <c r="T26" i="6"/>
  <c r="T27" i="6"/>
  <c r="S24" i="6"/>
  <c r="S25" i="6"/>
  <c r="S26" i="6"/>
  <c r="S27" i="6"/>
  <c r="R24" i="6"/>
  <c r="R25" i="6"/>
  <c r="R26" i="6"/>
  <c r="R27" i="6"/>
  <c r="Q24" i="6"/>
  <c r="Q33" i="6" s="1"/>
  <c r="Q25" i="6"/>
  <c r="Q26" i="6"/>
  <c r="Q47" i="6" s="1"/>
  <c r="Q27" i="6"/>
  <c r="P24" i="6"/>
  <c r="P25" i="6"/>
  <c r="P26" i="6"/>
  <c r="P27" i="6"/>
  <c r="O24" i="6"/>
  <c r="O39" i="6" s="1"/>
  <c r="O25" i="6"/>
  <c r="O26" i="6"/>
  <c r="O27" i="6"/>
  <c r="N24" i="6"/>
  <c r="N25" i="6"/>
  <c r="N26" i="6"/>
  <c r="N27" i="6"/>
  <c r="M24" i="6"/>
  <c r="M25" i="6"/>
  <c r="M26" i="6"/>
  <c r="M27" i="6"/>
  <c r="L24" i="6"/>
  <c r="L25" i="6"/>
  <c r="L26" i="6"/>
  <c r="L27" i="6"/>
  <c r="K24" i="6"/>
  <c r="K25" i="6"/>
  <c r="K26" i="6"/>
  <c r="K39" i="6" s="1"/>
  <c r="K27" i="6"/>
  <c r="J24" i="6"/>
  <c r="J25" i="6"/>
  <c r="J26" i="6"/>
  <c r="J27" i="6"/>
  <c r="I24" i="6"/>
  <c r="I47" i="6" s="1"/>
  <c r="I25" i="6"/>
  <c r="I26" i="6"/>
  <c r="I27" i="6"/>
  <c r="H25" i="6"/>
  <c r="H26" i="6"/>
  <c r="H27" i="6"/>
  <c r="U23" i="6"/>
  <c r="V23" i="6"/>
  <c r="V47" i="6" s="1"/>
  <c r="W23" i="6"/>
  <c r="W33" i="6" s="1"/>
  <c r="X23" i="6"/>
  <c r="Y23" i="6"/>
  <c r="Z23" i="6"/>
  <c r="AA23" i="6"/>
  <c r="I23" i="6"/>
  <c r="I39" i="6" s="1"/>
  <c r="J23" i="6"/>
  <c r="J33" i="6" s="1"/>
  <c r="K23" i="6"/>
  <c r="L23" i="6"/>
  <c r="L47" i="6" s="1"/>
  <c r="M23" i="6"/>
  <c r="N23" i="6"/>
  <c r="N39" i="6" s="1"/>
  <c r="O23" i="6"/>
  <c r="P23" i="6"/>
  <c r="Q23" i="6"/>
  <c r="R23" i="6"/>
  <c r="R33" i="6" s="1"/>
  <c r="S23" i="6"/>
  <c r="S33" i="6" s="1"/>
  <c r="T23" i="6"/>
  <c r="T44" i="6" s="1"/>
  <c r="H23" i="6"/>
  <c r="AA21" i="6"/>
  <c r="I18" i="6"/>
  <c r="J18" i="6"/>
  <c r="K18" i="6"/>
  <c r="K46" i="6" s="1"/>
  <c r="L18" i="6"/>
  <c r="L46" i="6" s="1"/>
  <c r="M18" i="6"/>
  <c r="N18" i="6"/>
  <c r="N43" i="6" s="1"/>
  <c r="O18" i="6"/>
  <c r="P18" i="6"/>
  <c r="P43" i="6" s="1"/>
  <c r="R18" i="6"/>
  <c r="S18" i="6"/>
  <c r="S37" i="6" s="1"/>
  <c r="T18" i="6"/>
  <c r="T46" i="6" s="1"/>
  <c r="U18" i="6"/>
  <c r="U46" i="6" s="1"/>
  <c r="V18" i="6"/>
  <c r="V31" i="6" s="1"/>
  <c r="W18" i="6"/>
  <c r="X18" i="6"/>
  <c r="X43" i="6" s="1"/>
  <c r="Z18" i="6"/>
  <c r="AA18" i="6"/>
  <c r="I19" i="6"/>
  <c r="I43" i="6" s="1"/>
  <c r="J19" i="6"/>
  <c r="K19" i="6"/>
  <c r="K37" i="6" s="1"/>
  <c r="L19" i="6"/>
  <c r="M19" i="6"/>
  <c r="N19" i="6"/>
  <c r="O19" i="6"/>
  <c r="P19" i="6"/>
  <c r="Q19" i="6"/>
  <c r="R19" i="6"/>
  <c r="S19" i="6"/>
  <c r="S43" i="6" s="1"/>
  <c r="T19" i="6"/>
  <c r="U19" i="6"/>
  <c r="V19" i="6"/>
  <c r="W19" i="6"/>
  <c r="X19" i="6"/>
  <c r="Y19" i="6"/>
  <c r="Z19" i="6"/>
  <c r="Z43" i="6" s="1"/>
  <c r="AA19" i="6"/>
  <c r="I20" i="6"/>
  <c r="I46" i="6" s="1"/>
  <c r="J20" i="6"/>
  <c r="K20" i="6"/>
  <c r="L20" i="6"/>
  <c r="M20" i="6"/>
  <c r="N20" i="6"/>
  <c r="O20" i="6"/>
  <c r="O37" i="6" s="1"/>
  <c r="P20" i="6"/>
  <c r="P46" i="6" s="1"/>
  <c r="Q20" i="6"/>
  <c r="Q37" i="6" s="1"/>
  <c r="R20" i="6"/>
  <c r="S20" i="6"/>
  <c r="T20" i="6"/>
  <c r="U20" i="6"/>
  <c r="V20" i="6"/>
  <c r="W20" i="6"/>
  <c r="W31" i="6" s="1"/>
  <c r="X20" i="6"/>
  <c r="X31" i="6" s="1"/>
  <c r="Y20" i="6"/>
  <c r="Y37" i="6" s="1"/>
  <c r="Z20" i="6"/>
  <c r="AA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19" i="6"/>
  <c r="H46" i="6" s="1"/>
  <c r="H20" i="6"/>
  <c r="H21" i="6"/>
  <c r="H22" i="6"/>
  <c r="L37" i="1"/>
  <c r="L22" i="1"/>
  <c r="L16" i="1"/>
  <c r="X47" i="6"/>
  <c r="AA43" i="6"/>
  <c r="K47" i="6"/>
  <c r="H44" i="6"/>
  <c r="O47" i="6"/>
  <c r="X46" i="6"/>
  <c r="N44" i="6"/>
  <c r="N47" i="6"/>
  <c r="U47" i="6"/>
  <c r="Z44" i="6"/>
  <c r="Q44" i="6"/>
  <c r="Y47" i="6"/>
  <c r="Z39" i="6"/>
  <c r="Z37" i="6"/>
  <c r="V39" i="6"/>
  <c r="X37" i="6"/>
  <c r="T37" i="6"/>
  <c r="O31" i="6"/>
  <c r="I33" i="6"/>
  <c r="H39" i="6"/>
  <c r="M37" i="6"/>
  <c r="S31" i="6"/>
  <c r="H33" i="6"/>
  <c r="L33" i="6"/>
  <c r="Z33" i="6"/>
  <c r="V33" i="6"/>
  <c r="N33" i="6"/>
  <c r="Z29" i="3"/>
  <c r="Z20" i="3"/>
  <c r="AT8" i="2"/>
  <c r="AT9" i="2"/>
  <c r="AT10" i="2"/>
  <c r="AT11" i="2"/>
  <c r="AT12" i="2"/>
  <c r="AT13" i="2"/>
  <c r="AT14" i="2"/>
  <c r="AT15" i="2"/>
  <c r="AT16" i="2"/>
  <c r="AT7" i="2"/>
  <c r="AT24" i="2"/>
  <c r="AA7" i="2"/>
  <c r="V25" i="2"/>
  <c r="V27" i="2"/>
  <c r="V29" i="2"/>
  <c r="U29" i="2"/>
  <c r="U27" i="2"/>
  <c r="U25" i="2"/>
  <c r="T25" i="2"/>
  <c r="S29" i="2"/>
  <c r="S27" i="2"/>
  <c r="S25" i="2"/>
  <c r="R29" i="2"/>
  <c r="R27" i="2"/>
  <c r="R25" i="2"/>
  <c r="Q29" i="2"/>
  <c r="Q27" i="2"/>
  <c r="Q25" i="2"/>
  <c r="P25" i="2"/>
  <c r="P27" i="2"/>
  <c r="P29" i="2"/>
  <c r="O29" i="2"/>
  <c r="O27" i="2"/>
  <c r="O25" i="2"/>
  <c r="N25" i="2"/>
  <c r="N27" i="2"/>
  <c r="N29" i="2"/>
  <c r="M29" i="2"/>
  <c r="M27" i="2"/>
  <c r="M25" i="2"/>
  <c r="L25" i="2"/>
  <c r="L27" i="2"/>
  <c r="L29" i="2"/>
  <c r="K29" i="2"/>
  <c r="K27" i="2"/>
  <c r="K25" i="2"/>
  <c r="J25" i="2"/>
  <c r="J27" i="2"/>
  <c r="J29" i="2"/>
  <c r="I29" i="2"/>
  <c r="I27" i="2"/>
  <c r="I25" i="2"/>
  <c r="H25" i="2"/>
  <c r="H27" i="2"/>
  <c r="H29" i="2"/>
  <c r="G29" i="2"/>
  <c r="G27" i="2"/>
  <c r="G25" i="2"/>
  <c r="F25" i="2"/>
  <c r="F27" i="2"/>
  <c r="F29" i="2"/>
  <c r="E29" i="2"/>
  <c r="E27" i="2"/>
  <c r="E25" i="2"/>
  <c r="D25" i="2"/>
  <c r="D27" i="2"/>
  <c r="D29" i="2"/>
  <c r="C29" i="2"/>
  <c r="C27" i="2"/>
  <c r="C25" i="2"/>
  <c r="AR8" i="2"/>
  <c r="AR9" i="2"/>
  <c r="AR10" i="2"/>
  <c r="AR11" i="2"/>
  <c r="AR12" i="2"/>
  <c r="AR13" i="2"/>
  <c r="AR14" i="2"/>
  <c r="AR15" i="2"/>
  <c r="AR16" i="2"/>
  <c r="AR7" i="2"/>
  <c r="AQ8" i="2"/>
  <c r="AQ9" i="2"/>
  <c r="AQ10" i="2"/>
  <c r="AQ11" i="2"/>
  <c r="AQ12" i="2"/>
  <c r="AQ13" i="2"/>
  <c r="AQ14" i="2"/>
  <c r="AQ15" i="2"/>
  <c r="AQ16" i="2"/>
  <c r="AQ7" i="2"/>
  <c r="AP8" i="2"/>
  <c r="AP9" i="2"/>
  <c r="AP10" i="2"/>
  <c r="AP11" i="2"/>
  <c r="AP12" i="2"/>
  <c r="AP13" i="2"/>
  <c r="AP14" i="2"/>
  <c r="AP15" i="2"/>
  <c r="AP16" i="2"/>
  <c r="AP7" i="2"/>
  <c r="AO8" i="2"/>
  <c r="AO9" i="2"/>
  <c r="AO10" i="2"/>
  <c r="AO11" i="2"/>
  <c r="AO12" i="2"/>
  <c r="AO13" i="2"/>
  <c r="AO14" i="2"/>
  <c r="AO15" i="2"/>
  <c r="AO16" i="2"/>
  <c r="AO7" i="2"/>
  <c r="AN8" i="2"/>
  <c r="AN9" i="2"/>
  <c r="AN10" i="2"/>
  <c r="AN11" i="2"/>
  <c r="AN12" i="2"/>
  <c r="AN13" i="2"/>
  <c r="AN14" i="2"/>
  <c r="AN15" i="2"/>
  <c r="AN16" i="2"/>
  <c r="AN7" i="2"/>
  <c r="AM8" i="2"/>
  <c r="AM9" i="2"/>
  <c r="AM10" i="2"/>
  <c r="AM11" i="2"/>
  <c r="AM12" i="2"/>
  <c r="AM13" i="2"/>
  <c r="AM14" i="2"/>
  <c r="AM15" i="2"/>
  <c r="AM16" i="2"/>
  <c r="AM7" i="2"/>
  <c r="AL8" i="2"/>
  <c r="AL9" i="2"/>
  <c r="AL10" i="2"/>
  <c r="AL11" i="2"/>
  <c r="AL12" i="2"/>
  <c r="AL13" i="2"/>
  <c r="AL14" i="2"/>
  <c r="AL15" i="2"/>
  <c r="AL16" i="2"/>
  <c r="AL7" i="2"/>
  <c r="AK7" i="2"/>
  <c r="AJ8" i="2"/>
  <c r="AJ9" i="2"/>
  <c r="AJ10" i="2"/>
  <c r="AJ11" i="2"/>
  <c r="AJ12" i="2"/>
  <c r="AJ13" i="2"/>
  <c r="AJ14" i="2"/>
  <c r="AJ15" i="2"/>
  <c r="AJ16" i="2"/>
  <c r="AJ7" i="2"/>
  <c r="AI8" i="2"/>
  <c r="AI9" i="2"/>
  <c r="AI10" i="2"/>
  <c r="AI11" i="2"/>
  <c r="AI12" i="2"/>
  <c r="AI13" i="2"/>
  <c r="AI14" i="2"/>
  <c r="AI15" i="2"/>
  <c r="AI16" i="2"/>
  <c r="AI7" i="2"/>
  <c r="AH8" i="2"/>
  <c r="AH9" i="2"/>
  <c r="AH10" i="2"/>
  <c r="AH11" i="2"/>
  <c r="AH12" i="2"/>
  <c r="AH13" i="2"/>
  <c r="AH14" i="2"/>
  <c r="AH15" i="2"/>
  <c r="AH16" i="2"/>
  <c r="AH7" i="2"/>
  <c r="AG8" i="2"/>
  <c r="AG9" i="2"/>
  <c r="AG10" i="2"/>
  <c r="AG11" i="2"/>
  <c r="AG12" i="2"/>
  <c r="AG13" i="2"/>
  <c r="AG14" i="2"/>
  <c r="AG15" i="2"/>
  <c r="AG16" i="2"/>
  <c r="AG7" i="2"/>
  <c r="AF8" i="2"/>
  <c r="AF9" i="2"/>
  <c r="AF10" i="2"/>
  <c r="AF11" i="2"/>
  <c r="AF12" i="2"/>
  <c r="AF13" i="2"/>
  <c r="AF14" i="2"/>
  <c r="AF15" i="2"/>
  <c r="AF16" i="2"/>
  <c r="AF7" i="2"/>
  <c r="AE8" i="2"/>
  <c r="AE9" i="2"/>
  <c r="AE10" i="2"/>
  <c r="AE11" i="2"/>
  <c r="AE12" i="2"/>
  <c r="AE13" i="2"/>
  <c r="AE14" i="2"/>
  <c r="AE15" i="2"/>
  <c r="AE16" i="2"/>
  <c r="AE7" i="2"/>
  <c r="AD8" i="2"/>
  <c r="AD9" i="2"/>
  <c r="AD10" i="2"/>
  <c r="AD11" i="2"/>
  <c r="AD12" i="2"/>
  <c r="AD13" i="2"/>
  <c r="AD14" i="2"/>
  <c r="AD15" i="2"/>
  <c r="AD16" i="2"/>
  <c r="AD7" i="2"/>
  <c r="AC8" i="2"/>
  <c r="AC9" i="2"/>
  <c r="AC10" i="2"/>
  <c r="AC11" i="2"/>
  <c r="AC12" i="2"/>
  <c r="AC13" i="2"/>
  <c r="AC14" i="2"/>
  <c r="AC15" i="2"/>
  <c r="AC16" i="2"/>
  <c r="AC7" i="2"/>
  <c r="AG24" i="2"/>
  <c r="AE24" i="2"/>
  <c r="AH24" i="2"/>
  <c r="AJ24" i="2"/>
  <c r="AL24" i="2"/>
  <c r="AQ24" i="2"/>
  <c r="AR24" i="2"/>
  <c r="AC24" i="2"/>
  <c r="AD24" i="2"/>
  <c r="AF24" i="2"/>
  <c r="AI24" i="2"/>
  <c r="AM24" i="2"/>
  <c r="AN24" i="2"/>
  <c r="AO24" i="2"/>
  <c r="AP24" i="2"/>
  <c r="AB8" i="2"/>
  <c r="AB9" i="2"/>
  <c r="AB10" i="2"/>
  <c r="AB11" i="2"/>
  <c r="AB12" i="2"/>
  <c r="AB13" i="2"/>
  <c r="AB14" i="2"/>
  <c r="AB15" i="2"/>
  <c r="AB16" i="2"/>
  <c r="AB7" i="2"/>
  <c r="AA8" i="2"/>
  <c r="AA9" i="2"/>
  <c r="AX9" i="2"/>
  <c r="AA10" i="2"/>
  <c r="AX10" i="2"/>
  <c r="AA11" i="2"/>
  <c r="AX11" i="2"/>
  <c r="AA12" i="2"/>
  <c r="AX12" i="2"/>
  <c r="AA13" i="2"/>
  <c r="AX13" i="2"/>
  <c r="AA14" i="2"/>
  <c r="AX14" i="2"/>
  <c r="AA15" i="2"/>
  <c r="AX15" i="2"/>
  <c r="AA16" i="2"/>
  <c r="AX16" i="2"/>
  <c r="AX26" i="2"/>
  <c r="AX40" i="2"/>
  <c r="AX24" i="2"/>
  <c r="AX44" i="2"/>
  <c r="F11" i="1"/>
  <c r="H11" i="1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G25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Z40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P47" i="3"/>
  <c r="P50" i="3"/>
  <c r="Z48" i="3"/>
  <c r="Z51" i="3"/>
  <c r="I47" i="3"/>
  <c r="I50" i="3"/>
  <c r="Y51" i="3"/>
  <c r="Y48" i="3"/>
  <c r="S51" i="3"/>
  <c r="S48" i="3"/>
  <c r="M51" i="3"/>
  <c r="M48" i="3"/>
  <c r="J34" i="3"/>
  <c r="J47" i="3"/>
  <c r="J50" i="3"/>
  <c r="N48" i="3"/>
  <c r="N51" i="3"/>
  <c r="N50" i="3"/>
  <c r="N47" i="3"/>
  <c r="X51" i="3"/>
  <c r="X48" i="3"/>
  <c r="R51" i="3"/>
  <c r="R48" i="3"/>
  <c r="L51" i="3"/>
  <c r="L48" i="3"/>
  <c r="T48" i="3"/>
  <c r="T51" i="3"/>
  <c r="O47" i="3"/>
  <c r="O50" i="3"/>
  <c r="H47" i="3"/>
  <c r="H50" i="3"/>
  <c r="M47" i="3"/>
  <c r="M50" i="3"/>
  <c r="Z47" i="3"/>
  <c r="Z50" i="3"/>
  <c r="W48" i="3"/>
  <c r="W51" i="3"/>
  <c r="Q48" i="3"/>
  <c r="Q51" i="3"/>
  <c r="K48" i="3"/>
  <c r="K51" i="3"/>
  <c r="X47" i="3"/>
  <c r="X50" i="3"/>
  <c r="L47" i="3"/>
  <c r="L50" i="3"/>
  <c r="Y34" i="3"/>
  <c r="Y47" i="3"/>
  <c r="Y50" i="3"/>
  <c r="G47" i="3"/>
  <c r="G50" i="3"/>
  <c r="V42" i="3"/>
  <c r="V48" i="3"/>
  <c r="V51" i="3"/>
  <c r="P48" i="3"/>
  <c r="P51" i="3"/>
  <c r="J48" i="3"/>
  <c r="J51" i="3"/>
  <c r="V47" i="3"/>
  <c r="V50" i="3"/>
  <c r="H48" i="3"/>
  <c r="H51" i="3"/>
  <c r="U47" i="3"/>
  <c r="U50" i="3"/>
  <c r="T50" i="3"/>
  <c r="T47" i="3"/>
  <c r="S47" i="3"/>
  <c r="S50" i="3"/>
  <c r="R34" i="3"/>
  <c r="R47" i="3"/>
  <c r="R50" i="3"/>
  <c r="W50" i="3"/>
  <c r="W47" i="3"/>
  <c r="Q50" i="3"/>
  <c r="Q47" i="3"/>
  <c r="K50" i="3"/>
  <c r="K47" i="3"/>
  <c r="G48" i="3"/>
  <c r="G51" i="3"/>
  <c r="U51" i="3"/>
  <c r="U48" i="3"/>
  <c r="O48" i="3"/>
  <c r="O51" i="3"/>
  <c r="I48" i="3"/>
  <c r="I51" i="3"/>
  <c r="Z36" i="3"/>
  <c r="Z42" i="3"/>
  <c r="N36" i="3"/>
  <c r="Z34" i="3"/>
  <c r="Q34" i="3"/>
  <c r="U42" i="3"/>
  <c r="X34" i="3"/>
  <c r="P34" i="3"/>
  <c r="T36" i="3"/>
  <c r="W34" i="3"/>
  <c r="S36" i="3"/>
  <c r="V34" i="3"/>
  <c r="N40" i="3"/>
  <c r="R36" i="3"/>
  <c r="J42" i="3"/>
  <c r="Y40" i="3"/>
  <c r="M36" i="3"/>
  <c r="H40" i="3"/>
  <c r="L36" i="3"/>
  <c r="O34" i="3"/>
  <c r="G42" i="3"/>
  <c r="K36" i="3"/>
  <c r="U34" i="3"/>
  <c r="M40" i="3"/>
  <c r="Y36" i="3"/>
  <c r="Q36" i="3"/>
  <c r="I42" i="3"/>
  <c r="I34" i="3"/>
  <c r="L34" i="3"/>
  <c r="X36" i="3"/>
  <c r="H36" i="3"/>
  <c r="T40" i="3"/>
  <c r="P42" i="3"/>
  <c r="G34" i="3"/>
  <c r="S40" i="3"/>
  <c r="K34" i="3"/>
  <c r="W36" i="3"/>
  <c r="O42" i="3"/>
  <c r="T34" i="3"/>
  <c r="N34" i="3"/>
  <c r="H34" i="3"/>
  <c r="V36" i="3"/>
  <c r="P36" i="3"/>
  <c r="J36" i="3"/>
  <c r="X40" i="3"/>
  <c r="R40" i="3"/>
  <c r="L40" i="3"/>
  <c r="T42" i="3"/>
  <c r="N42" i="3"/>
  <c r="H42" i="3"/>
  <c r="S34" i="3"/>
  <c r="M34" i="3"/>
  <c r="G36" i="3"/>
  <c r="U36" i="3"/>
  <c r="O36" i="3"/>
  <c r="I36" i="3"/>
  <c r="W40" i="3"/>
  <c r="Q40" i="3"/>
  <c r="K40" i="3"/>
  <c r="Y42" i="3"/>
  <c r="S42" i="3"/>
  <c r="M42" i="3"/>
  <c r="V40" i="3"/>
  <c r="P40" i="3"/>
  <c r="J40" i="3"/>
  <c r="X42" i="3"/>
  <c r="R42" i="3"/>
  <c r="L42" i="3"/>
  <c r="G40" i="3"/>
  <c r="U40" i="3"/>
  <c r="O40" i="3"/>
  <c r="I40" i="3"/>
  <c r="W42" i="3"/>
  <c r="Q42" i="3"/>
  <c r="K42" i="3"/>
  <c r="AK8" i="2"/>
  <c r="AK9" i="2"/>
  <c r="AK10" i="2"/>
  <c r="AK11" i="2"/>
  <c r="AK12" i="2"/>
  <c r="AK13" i="2"/>
  <c r="AK14" i="2"/>
  <c r="AK15" i="2"/>
  <c r="AK16" i="2"/>
  <c r="M11" i="1"/>
  <c r="F37" i="1"/>
  <c r="H37" i="1"/>
  <c r="F36" i="1"/>
  <c r="H36" i="1"/>
  <c r="F35" i="1"/>
  <c r="H35" i="1"/>
  <c r="F34" i="1"/>
  <c r="H34" i="1"/>
  <c r="F33" i="1"/>
  <c r="F32" i="1"/>
  <c r="F17" i="1"/>
  <c r="H17" i="1"/>
  <c r="H33" i="1"/>
  <c r="F28" i="1"/>
  <c r="H28" i="1"/>
  <c r="M28" i="1"/>
  <c r="M19" i="1"/>
  <c r="F19" i="1"/>
  <c r="H19" i="1"/>
  <c r="M31" i="1"/>
  <c r="F31" i="1"/>
  <c r="H31" i="1"/>
  <c r="M37" i="1"/>
  <c r="M29" i="1"/>
  <c r="F29" i="1"/>
  <c r="H29" i="1"/>
  <c r="M20" i="1"/>
  <c r="F20" i="1"/>
  <c r="H20" i="1"/>
  <c r="M15" i="1"/>
  <c r="F15" i="1"/>
  <c r="H15" i="1"/>
  <c r="M33" i="1"/>
  <c r="M34" i="1"/>
  <c r="M13" i="1"/>
  <c r="F13" i="1"/>
  <c r="H13" i="1"/>
  <c r="M16" i="1"/>
  <c r="F16" i="1"/>
  <c r="H16" i="1"/>
  <c r="M22" i="1"/>
  <c r="F22" i="1"/>
  <c r="H22" i="1"/>
  <c r="M35" i="1"/>
  <c r="M14" i="1"/>
  <c r="F14" i="1"/>
  <c r="H14" i="1"/>
  <c r="M32" i="1"/>
  <c r="M21" i="1"/>
  <c r="F21" i="1"/>
  <c r="H21" i="1"/>
  <c r="M17" i="1"/>
  <c r="M12" i="1"/>
  <c r="F12" i="1"/>
  <c r="H12" i="1"/>
  <c r="I16" i="1"/>
  <c r="M18" i="1"/>
  <c r="F18" i="1"/>
  <c r="M30" i="1"/>
  <c r="F30" i="1"/>
  <c r="H30" i="1"/>
  <c r="M36" i="1"/>
  <c r="AK24" i="2"/>
  <c r="BL8" i="2"/>
  <c r="BL9" i="2"/>
  <c r="BL10" i="2"/>
  <c r="BL11" i="2"/>
  <c r="BL12" i="2"/>
  <c r="BL13" i="2"/>
  <c r="BL14" i="2"/>
  <c r="BL15" i="2"/>
  <c r="BL16" i="2"/>
  <c r="BL7" i="2"/>
  <c r="BK8" i="2"/>
  <c r="BK9" i="2"/>
  <c r="BK10" i="2"/>
  <c r="BK11" i="2"/>
  <c r="BK12" i="2"/>
  <c r="BK13" i="2"/>
  <c r="BK14" i="2"/>
  <c r="BK15" i="2"/>
  <c r="BK16" i="2"/>
  <c r="BK7" i="2"/>
  <c r="BI8" i="2"/>
  <c r="BI9" i="2"/>
  <c r="BI10" i="2"/>
  <c r="BI11" i="2"/>
  <c r="BI12" i="2"/>
  <c r="BI13" i="2"/>
  <c r="BI14" i="2"/>
  <c r="BI15" i="2"/>
  <c r="BI16" i="2"/>
  <c r="BI7" i="2"/>
  <c r="BH8" i="2"/>
  <c r="BH9" i="2"/>
  <c r="BH10" i="2"/>
  <c r="BH11" i="2"/>
  <c r="BH12" i="2"/>
  <c r="BH13" i="2"/>
  <c r="BH14" i="2"/>
  <c r="BH15" i="2"/>
  <c r="BH16" i="2"/>
  <c r="BH7" i="2"/>
  <c r="H18" i="1"/>
  <c r="I22" i="1"/>
  <c r="R22" i="1"/>
  <c r="N32" i="1"/>
  <c r="N16" i="1"/>
  <c r="N22" i="1"/>
  <c r="G16" i="1"/>
  <c r="R14" i="1"/>
  <c r="N37" i="1"/>
  <c r="G22" i="1"/>
  <c r="BK26" i="2"/>
  <c r="BH26" i="2"/>
  <c r="BH41" i="2"/>
  <c r="BI47" i="2"/>
  <c r="BL48" i="2"/>
  <c r="BI26" i="2"/>
  <c r="BL26" i="2"/>
  <c r="BH24" i="2"/>
  <c r="BI24" i="2"/>
  <c r="BK24" i="2"/>
  <c r="BL24" i="2"/>
  <c r="BL41" i="2"/>
  <c r="BK47" i="2"/>
  <c r="BH47" i="2"/>
  <c r="BH42" i="2"/>
  <c r="BH46" i="2"/>
  <c r="BH45" i="2"/>
  <c r="AY7" i="2"/>
  <c r="BQ7" i="2"/>
  <c r="BQ8" i="2"/>
  <c r="BQ9" i="2"/>
  <c r="BQ10" i="2"/>
  <c r="BQ11" i="2"/>
  <c r="BQ12" i="2"/>
  <c r="BQ13" i="2"/>
  <c r="BQ14" i="2"/>
  <c r="BQ15" i="2"/>
  <c r="BQ16" i="2"/>
  <c r="BP8" i="2"/>
  <c r="BP9" i="2"/>
  <c r="BP10" i="2"/>
  <c r="BP11" i="2"/>
  <c r="BP12" i="2"/>
  <c r="BP13" i="2"/>
  <c r="BP14" i="2"/>
  <c r="BP15" i="2"/>
  <c r="BP16" i="2"/>
  <c r="BP7" i="2"/>
  <c r="BN8" i="2"/>
  <c r="BN9" i="2"/>
  <c r="BN10" i="2"/>
  <c r="BN11" i="2"/>
  <c r="BN12" i="2"/>
  <c r="BN13" i="2"/>
  <c r="BN14" i="2"/>
  <c r="BN15" i="2"/>
  <c r="BN16" i="2"/>
  <c r="BN7" i="2"/>
  <c r="BM8" i="2"/>
  <c r="BM9" i="2"/>
  <c r="BM10" i="2"/>
  <c r="BM11" i="2"/>
  <c r="BM12" i="2"/>
  <c r="BM13" i="2"/>
  <c r="BM14" i="2"/>
  <c r="BM15" i="2"/>
  <c r="BM16" i="2"/>
  <c r="BM7" i="2"/>
  <c r="BJ8" i="2"/>
  <c r="BJ9" i="2"/>
  <c r="BJ10" i="2"/>
  <c r="BJ11" i="2"/>
  <c r="BJ12" i="2"/>
  <c r="BJ13" i="2"/>
  <c r="BJ14" i="2"/>
  <c r="BJ15" i="2"/>
  <c r="BJ16" i="2"/>
  <c r="BJ7" i="2"/>
  <c r="BG8" i="2"/>
  <c r="BG9" i="2"/>
  <c r="BG10" i="2"/>
  <c r="BG11" i="2"/>
  <c r="BG12" i="2"/>
  <c r="BG13" i="2"/>
  <c r="BG14" i="2"/>
  <c r="BG15" i="2"/>
  <c r="BG16" i="2"/>
  <c r="BG7" i="2"/>
  <c r="BF8" i="2"/>
  <c r="BF9" i="2"/>
  <c r="BF10" i="2"/>
  <c r="BF11" i="2"/>
  <c r="BF12" i="2"/>
  <c r="BF13" i="2"/>
  <c r="BF14" i="2"/>
  <c r="BF15" i="2"/>
  <c r="BF16" i="2"/>
  <c r="BF7" i="2"/>
  <c r="BE8" i="2"/>
  <c r="BE9" i="2"/>
  <c r="BE10" i="2"/>
  <c r="BE11" i="2"/>
  <c r="BE12" i="2"/>
  <c r="BE13" i="2"/>
  <c r="BE14" i="2"/>
  <c r="BE15" i="2"/>
  <c r="BE16" i="2"/>
  <c r="BE7" i="2"/>
  <c r="BD8" i="2"/>
  <c r="BD9" i="2"/>
  <c r="BD10" i="2"/>
  <c r="BD11" i="2"/>
  <c r="BD12" i="2"/>
  <c r="BD13" i="2"/>
  <c r="BD14" i="2"/>
  <c r="BD15" i="2"/>
  <c r="BD16" i="2"/>
  <c r="BD7" i="2"/>
  <c r="BC8" i="2"/>
  <c r="BC9" i="2"/>
  <c r="BC10" i="2"/>
  <c r="BC11" i="2"/>
  <c r="BC12" i="2"/>
  <c r="BC13" i="2"/>
  <c r="BC14" i="2"/>
  <c r="BC15" i="2"/>
  <c r="BC16" i="2"/>
  <c r="BC7" i="2"/>
  <c r="BB8" i="2"/>
  <c r="BB9" i="2"/>
  <c r="BB10" i="2"/>
  <c r="BB11" i="2"/>
  <c r="BB12" i="2"/>
  <c r="BB13" i="2"/>
  <c r="BB14" i="2"/>
  <c r="BB15" i="2"/>
  <c r="BB16" i="2"/>
  <c r="BB7" i="2"/>
  <c r="BA8" i="2"/>
  <c r="BA9" i="2"/>
  <c r="BA10" i="2"/>
  <c r="BA11" i="2"/>
  <c r="BA12" i="2"/>
  <c r="BA13" i="2"/>
  <c r="BA14" i="2"/>
  <c r="BA15" i="2"/>
  <c r="BA16" i="2"/>
  <c r="BA7" i="2"/>
  <c r="AZ8" i="2"/>
  <c r="AZ9" i="2"/>
  <c r="AZ10" i="2"/>
  <c r="AZ11" i="2"/>
  <c r="AZ12" i="2"/>
  <c r="AZ13" i="2"/>
  <c r="AZ14" i="2"/>
  <c r="AZ15" i="2"/>
  <c r="AZ16" i="2"/>
  <c r="AZ7" i="2"/>
  <c r="AY8" i="2"/>
  <c r="AY9" i="2"/>
  <c r="AY10" i="2"/>
  <c r="AY11" i="2"/>
  <c r="AY12" i="2"/>
  <c r="AY13" i="2"/>
  <c r="AY14" i="2"/>
  <c r="AY15" i="2"/>
  <c r="AY16" i="2"/>
  <c r="BL42" i="2"/>
  <c r="AS24" i="2"/>
  <c r="R48" i="1"/>
  <c r="R55" i="1"/>
  <c r="BL47" i="2"/>
  <c r="R49" i="1"/>
  <c r="R21" i="1"/>
  <c r="BI40" i="2"/>
  <c r="BI41" i="2"/>
  <c r="BH39" i="2"/>
  <c r="BH40" i="2"/>
  <c r="BH43" i="2"/>
  <c r="BH78" i="2"/>
  <c r="BI43" i="2"/>
  <c r="BH44" i="2"/>
  <c r="BI45" i="2"/>
  <c r="BH48" i="2"/>
  <c r="BI44" i="2"/>
  <c r="BI48" i="2"/>
  <c r="BI39" i="2"/>
  <c r="BI42" i="2"/>
  <c r="R15" i="1"/>
  <c r="BQ44" i="2"/>
  <c r="BM39" i="2"/>
  <c r="BB24" i="2"/>
  <c r="BD24" i="2"/>
  <c r="BJ24" i="2"/>
  <c r="BN24" i="2"/>
  <c r="BP24" i="2"/>
  <c r="AY24" i="2"/>
  <c r="BL46" i="2"/>
  <c r="BL44" i="2"/>
  <c r="BC41" i="2"/>
  <c r="BJ42" i="2"/>
  <c r="BN42" i="2"/>
  <c r="AZ24" i="2"/>
  <c r="BC24" i="2"/>
  <c r="BF24" i="2"/>
  <c r="BM24" i="2"/>
  <c r="BQ26" i="2"/>
  <c r="BI46" i="2"/>
  <c r="BL45" i="2"/>
  <c r="AY45" i="2"/>
  <c r="BE46" i="2"/>
  <c r="BG45" i="2"/>
  <c r="BG24" i="2"/>
  <c r="AY26" i="2"/>
  <c r="AZ26" i="2"/>
  <c r="BA26" i="2"/>
  <c r="BB26" i="2"/>
  <c r="BC26" i="2"/>
  <c r="BD26" i="2"/>
  <c r="BE26" i="2"/>
  <c r="BF26" i="2"/>
  <c r="BG26" i="2"/>
  <c r="BJ26" i="2"/>
  <c r="BM26" i="2"/>
  <c r="BN26" i="2"/>
  <c r="BP26" i="2"/>
  <c r="BL40" i="2"/>
  <c r="BB39" i="2"/>
  <c r="BP47" i="2"/>
  <c r="BQ24" i="2"/>
  <c r="BL43" i="2"/>
  <c r="BA24" i="2"/>
  <c r="BE24" i="2"/>
  <c r="BL39" i="2"/>
  <c r="BN43" i="2"/>
  <c r="BM44" i="2"/>
  <c r="BK41" i="2"/>
  <c r="BG43" i="2"/>
  <c r="BG42" i="2"/>
  <c r="BG47" i="2"/>
  <c r="BF48" i="2"/>
  <c r="BF45" i="2"/>
  <c r="BF40" i="2"/>
  <c r="BF39" i="2"/>
  <c r="BE44" i="2"/>
  <c r="BD43" i="2"/>
  <c r="BB45" i="2"/>
  <c r="BB44" i="2"/>
  <c r="BB42" i="2"/>
  <c r="BA43" i="2"/>
  <c r="BA45" i="2"/>
  <c r="BA44" i="2"/>
  <c r="BA39" i="2"/>
  <c r="AZ45" i="2"/>
  <c r="AY39" i="2"/>
  <c r="AX45" i="2"/>
  <c r="BK43" i="2"/>
  <c r="BK40" i="2"/>
  <c r="BK42" i="2"/>
  <c r="BK44" i="2"/>
  <c r="BK46" i="2"/>
  <c r="BK45" i="2"/>
  <c r="BK39" i="2"/>
  <c r="BK48" i="2"/>
  <c r="T27" i="2"/>
  <c r="AY42" i="2"/>
  <c r="BL89" i="2"/>
  <c r="BL86" i="2"/>
  <c r="BP48" i="2"/>
  <c r="BC47" i="2"/>
  <c r="BB40" i="2"/>
  <c r="BB41" i="2"/>
  <c r="BB43" i="2"/>
  <c r="BB85" i="2"/>
  <c r="AY40" i="2"/>
  <c r="BK89" i="2"/>
  <c r="BK86" i="2"/>
  <c r="BE45" i="2"/>
  <c r="BE47" i="2"/>
  <c r="BE48" i="2"/>
  <c r="BE86" i="2"/>
  <c r="AY47" i="2"/>
  <c r="BC43" i="2"/>
  <c r="BM45" i="2"/>
  <c r="BM46" i="2"/>
  <c r="BM47" i="2"/>
  <c r="BM48" i="2"/>
  <c r="BM86" i="2"/>
  <c r="BP41" i="2"/>
  <c r="BI85" i="2"/>
  <c r="BI88" i="2"/>
  <c r="BH86" i="2"/>
  <c r="BH89" i="2"/>
  <c r="BA40" i="2"/>
  <c r="BA41" i="2"/>
  <c r="BA42" i="2"/>
  <c r="BA85" i="2"/>
  <c r="BL72" i="2"/>
  <c r="BP45" i="2"/>
  <c r="BP39" i="2"/>
  <c r="AY41" i="2"/>
  <c r="AY43" i="2"/>
  <c r="AY85" i="2"/>
  <c r="BL88" i="2"/>
  <c r="BH85" i="2"/>
  <c r="BH88" i="2"/>
  <c r="BK88" i="2"/>
  <c r="BK85" i="2"/>
  <c r="BH72" i="2"/>
  <c r="BC44" i="2"/>
  <c r="BB47" i="2"/>
  <c r="BP43" i="2"/>
  <c r="BP40" i="2"/>
  <c r="BP44" i="2"/>
  <c r="BI86" i="2"/>
  <c r="BI89" i="2"/>
  <c r="BL74" i="2"/>
  <c r="BQ42" i="2"/>
  <c r="BQ47" i="2"/>
  <c r="BL78" i="2"/>
  <c r="BC45" i="2"/>
  <c r="BN39" i="2"/>
  <c r="BC39" i="2"/>
  <c r="BC48" i="2"/>
  <c r="BN44" i="2"/>
  <c r="BP46" i="2"/>
  <c r="BC40" i="2"/>
  <c r="BG39" i="2"/>
  <c r="BJ39" i="2"/>
  <c r="BN45" i="2"/>
  <c r="BP42" i="2"/>
  <c r="BC46" i="2"/>
  <c r="BE39" i="2"/>
  <c r="BG44" i="2"/>
  <c r="BN47" i="2"/>
  <c r="BQ48" i="2"/>
  <c r="BQ43" i="2"/>
  <c r="BQ46" i="2"/>
  <c r="BQ45" i="2"/>
  <c r="BQ89" i="2"/>
  <c r="BQ41" i="2"/>
  <c r="BQ40" i="2"/>
  <c r="AX47" i="2"/>
  <c r="BN40" i="2"/>
  <c r="BN48" i="2"/>
  <c r="BN46" i="2"/>
  <c r="BN41" i="2"/>
  <c r="BM41" i="2"/>
  <c r="BM40" i="2"/>
  <c r="BM42" i="2"/>
  <c r="BM43" i="2"/>
  <c r="BM88" i="2"/>
  <c r="BM85" i="2"/>
  <c r="BM89" i="2"/>
  <c r="BJ48" i="2"/>
  <c r="BJ43" i="2"/>
  <c r="BJ44" i="2"/>
  <c r="BJ45" i="2"/>
  <c r="BJ40" i="2"/>
  <c r="BJ46" i="2"/>
  <c r="BJ41" i="2"/>
  <c r="BJ47" i="2"/>
  <c r="BG40" i="2"/>
  <c r="BG48" i="2"/>
  <c r="BG46" i="2"/>
  <c r="BG41" i="2"/>
  <c r="BF46" i="2"/>
  <c r="BF41" i="2"/>
  <c r="BF42" i="2"/>
  <c r="BF43" i="2"/>
  <c r="BF85" i="2"/>
  <c r="BF47" i="2"/>
  <c r="BF44" i="2"/>
  <c r="BE42" i="2"/>
  <c r="BE89" i="2"/>
  <c r="BE41" i="2"/>
  <c r="BE40" i="2"/>
  <c r="BE43" i="2"/>
  <c r="BD47" i="2"/>
  <c r="BD45" i="2"/>
  <c r="BD39" i="2"/>
  <c r="BD40" i="2"/>
  <c r="BD44" i="2"/>
  <c r="BD41" i="2"/>
  <c r="BD46" i="2"/>
  <c r="BD42" i="2"/>
  <c r="BD48" i="2"/>
  <c r="BC42" i="2"/>
  <c r="BB88" i="2"/>
  <c r="BB48" i="2"/>
  <c r="BB46" i="2"/>
  <c r="BB89" i="2"/>
  <c r="BA47" i="2"/>
  <c r="BA88" i="2"/>
  <c r="BA48" i="2"/>
  <c r="BA46" i="2"/>
  <c r="BA86" i="2"/>
  <c r="AZ40" i="2"/>
  <c r="AZ41" i="2"/>
  <c r="AZ42" i="2"/>
  <c r="AZ43" i="2"/>
  <c r="AZ85" i="2"/>
  <c r="AZ48" i="2"/>
  <c r="AZ47" i="2"/>
  <c r="AZ44" i="2"/>
  <c r="AZ46" i="2"/>
  <c r="AY48" i="2"/>
  <c r="AY46" i="2"/>
  <c r="AY88" i="2"/>
  <c r="AX43" i="2"/>
  <c r="AX42" i="2"/>
  <c r="AX48" i="2"/>
  <c r="AX41" i="2"/>
  <c r="AX46" i="2"/>
  <c r="AX86" i="2"/>
  <c r="BL80" i="2"/>
  <c r="BI74" i="2"/>
  <c r="BI80" i="2"/>
  <c r="BH80" i="2"/>
  <c r="BH74" i="2"/>
  <c r="BO16" i="2"/>
  <c r="BO11" i="2"/>
  <c r="BO9" i="2"/>
  <c r="BO12" i="2"/>
  <c r="BO13" i="2"/>
  <c r="BO10" i="2"/>
  <c r="BO14" i="2"/>
  <c r="BO15" i="2"/>
  <c r="BO7" i="2"/>
  <c r="BO8" i="2"/>
  <c r="AZ89" i="2"/>
  <c r="AZ86" i="2"/>
  <c r="BD88" i="2"/>
  <c r="BD85" i="2"/>
  <c r="BJ88" i="2"/>
  <c r="BJ85" i="2"/>
  <c r="BC85" i="2"/>
  <c r="BC88" i="2"/>
  <c r="BF88" i="2"/>
  <c r="BJ86" i="2"/>
  <c r="BJ89" i="2"/>
  <c r="BG86" i="2"/>
  <c r="BG89" i="2"/>
  <c r="BG88" i="2"/>
  <c r="BG85" i="2"/>
  <c r="BN85" i="2"/>
  <c r="BN88" i="2"/>
  <c r="AX89" i="2"/>
  <c r="BP72" i="2"/>
  <c r="BP88" i="2"/>
  <c r="BP85" i="2"/>
  <c r="AY89" i="2"/>
  <c r="AY86" i="2"/>
  <c r="BB86" i="2"/>
  <c r="AX88" i="2"/>
  <c r="AX85" i="2"/>
  <c r="BE88" i="2"/>
  <c r="BE85" i="2"/>
  <c r="AZ88" i="2"/>
  <c r="BA89" i="2"/>
  <c r="BF89" i="2"/>
  <c r="BF86" i="2"/>
  <c r="BP86" i="2"/>
  <c r="BP89" i="2"/>
  <c r="BC86" i="2"/>
  <c r="BC89" i="2"/>
  <c r="BQ86" i="2"/>
  <c r="BQ88" i="2"/>
  <c r="BD86" i="2"/>
  <c r="BD89" i="2"/>
  <c r="BN86" i="2"/>
  <c r="BN89" i="2"/>
  <c r="BL85" i="2"/>
  <c r="BQ74" i="2"/>
  <c r="BQ80" i="2"/>
  <c r="AX72" i="2"/>
  <c r="AX78" i="2"/>
  <c r="BP74" i="2"/>
  <c r="BP80" i="2"/>
  <c r="BO24" i="2"/>
  <c r="BO26" i="2"/>
  <c r="BO44" i="2"/>
  <c r="BP78" i="2"/>
  <c r="BQ78" i="2"/>
  <c r="BN80" i="2"/>
  <c r="BN74" i="2"/>
  <c r="BN72" i="2"/>
  <c r="BN78" i="2"/>
  <c r="BM74" i="2"/>
  <c r="BM80" i="2"/>
  <c r="BM78" i="2"/>
  <c r="BM72" i="2"/>
  <c r="BJ72" i="2"/>
  <c r="BJ78" i="2"/>
  <c r="BI78" i="2"/>
  <c r="BI72" i="2"/>
  <c r="BG80" i="2"/>
  <c r="BG74" i="2"/>
  <c r="BG78" i="2"/>
  <c r="BG72" i="2"/>
  <c r="BF78" i="2"/>
  <c r="BF72" i="2"/>
  <c r="BE74" i="2"/>
  <c r="BE80" i="2"/>
  <c r="BE78" i="2"/>
  <c r="BE72" i="2"/>
  <c r="BD80" i="2"/>
  <c r="BD74" i="2"/>
  <c r="BD72" i="2"/>
  <c r="BD78" i="2"/>
  <c r="BC74" i="2"/>
  <c r="BC80" i="2"/>
  <c r="BC78" i="2"/>
  <c r="BC72" i="2"/>
  <c r="BB74" i="2"/>
  <c r="BB80" i="2"/>
  <c r="BB78" i="2"/>
  <c r="BB72" i="2"/>
  <c r="BA80" i="2"/>
  <c r="BA74" i="2"/>
  <c r="BA72" i="2"/>
  <c r="BA78" i="2"/>
  <c r="AZ72" i="2"/>
  <c r="AZ78" i="2"/>
  <c r="AY80" i="2"/>
  <c r="AY74" i="2"/>
  <c r="AY78" i="2"/>
  <c r="AY72" i="2"/>
  <c r="AX74" i="2"/>
  <c r="BK80" i="2"/>
  <c r="BK74" i="2"/>
  <c r="BK72" i="2"/>
  <c r="BK78" i="2"/>
  <c r="BQ72" i="2"/>
  <c r="BQ85" i="2"/>
  <c r="BO47" i="2"/>
  <c r="BO45" i="2"/>
  <c r="BO46" i="2"/>
  <c r="BO48" i="2"/>
  <c r="BO89" i="2"/>
  <c r="BO39" i="2"/>
  <c r="BO40" i="2"/>
  <c r="BO43" i="2"/>
  <c r="BO41" i="2"/>
  <c r="BO42" i="2"/>
  <c r="BO86" i="2"/>
  <c r="BJ80" i="2"/>
  <c r="BJ74" i="2"/>
  <c r="BF80" i="2"/>
  <c r="BF74" i="2"/>
  <c r="AZ80" i="2"/>
  <c r="AZ74" i="2"/>
  <c r="AX80" i="2"/>
  <c r="BO85" i="2"/>
  <c r="BO88" i="2"/>
  <c r="BO80" i="2"/>
  <c r="BO74" i="2"/>
  <c r="BO78" i="2"/>
  <c r="BO72" i="2"/>
  <c r="M46" i="6" l="1"/>
  <c r="K44" i="6"/>
  <c r="L44" i="6"/>
  <c r="H43" i="6"/>
  <c r="U31" i="6"/>
  <c r="O33" i="6"/>
  <c r="L37" i="6"/>
  <c r="Q39" i="6"/>
  <c r="Q43" i="6"/>
  <c r="L43" i="6"/>
  <c r="Y43" i="6"/>
  <c r="N46" i="6"/>
  <c r="Y31" i="6"/>
  <c r="H31" i="6"/>
  <c r="P37" i="6"/>
  <c r="T39" i="6"/>
  <c r="V43" i="6"/>
  <c r="I44" i="6"/>
  <c r="W46" i="6"/>
  <c r="O46" i="6"/>
  <c r="H47" i="6"/>
  <c r="M44" i="6"/>
  <c r="X44" i="6"/>
  <c r="T33" i="6"/>
  <c r="U43" i="6"/>
  <c r="S39" i="6"/>
  <c r="U37" i="6"/>
  <c r="W44" i="6"/>
  <c r="U39" i="6"/>
  <c r="I31" i="6"/>
  <c r="P31" i="6"/>
  <c r="N37" i="6"/>
  <c r="R47" i="6"/>
  <c r="K43" i="6"/>
  <c r="T47" i="6"/>
  <c r="S46" i="6"/>
  <c r="J44" i="6"/>
  <c r="AA37" i="6"/>
  <c r="R37" i="6"/>
  <c r="J37" i="6"/>
  <c r="P33" i="6"/>
  <c r="AA39" i="6"/>
  <c r="V37" i="6"/>
  <c r="M43" i="6"/>
  <c r="T43" i="6"/>
  <c r="N31" i="6"/>
  <c r="L31" i="6"/>
  <c r="J39" i="6"/>
  <c r="R44" i="6"/>
  <c r="S47" i="6"/>
  <c r="W47" i="6"/>
  <c r="M31" i="6"/>
  <c r="Z31" i="6"/>
  <c r="T31" i="6"/>
  <c r="K31" i="6"/>
  <c r="R39" i="6"/>
  <c r="L39" i="6"/>
  <c r="V44" i="6"/>
  <c r="Z46" i="6"/>
  <c r="Q46" i="6"/>
  <c r="I37" i="6"/>
  <c r="O44" i="6"/>
  <c r="Z47" i="6"/>
  <c r="J46" i="6"/>
  <c r="R46" i="6"/>
  <c r="M33" i="6"/>
  <c r="AA31" i="6"/>
  <c r="M39" i="6"/>
  <c r="K33" i="6"/>
  <c r="X33" i="6"/>
  <c r="X39" i="6"/>
  <c r="W39" i="6"/>
  <c r="P39" i="6"/>
  <c r="V46" i="6"/>
  <c r="S44" i="6"/>
  <c r="J47" i="6"/>
  <c r="AA46" i="6"/>
  <c r="P47" i="6"/>
  <c r="Q31" i="6"/>
  <c r="J31" i="6"/>
  <c r="J43" i="6"/>
  <c r="AA47" i="6"/>
  <c r="R43" i="6"/>
  <c r="P44" i="6"/>
  <c r="AA33" i="6"/>
  <c r="AA44" i="6"/>
  <c r="R31" i="6"/>
  <c r="M47" i="6"/>
  <c r="W43" i="6"/>
  <c r="O43" i="6"/>
  <c r="W37" i="6"/>
  <c r="Y40" i="5"/>
  <c r="AB39" i="5"/>
  <c r="Y41" i="5" l="1"/>
  <c r="AB41" i="5" s="1"/>
  <c r="AB40" i="5"/>
</calcChain>
</file>

<file path=xl/sharedStrings.xml><?xml version="1.0" encoding="utf-8"?>
<sst xmlns="http://schemas.openxmlformats.org/spreadsheetml/2006/main" count="736" uniqueCount="175">
  <si>
    <t>sample</t>
  </si>
  <si>
    <t>class</t>
  </si>
  <si>
    <t>Norepinephrine/Pyridoxine</t>
  </si>
  <si>
    <t>Riboflavin</t>
  </si>
  <si>
    <t>Pyruvate</t>
  </si>
  <si>
    <t>Creatinine</t>
  </si>
  <si>
    <t>Cinnamate</t>
  </si>
  <si>
    <t>Phenylalanine</t>
  </si>
  <si>
    <t>Lactate</t>
  </si>
  <si>
    <t>Hypoxanthine</t>
  </si>
  <si>
    <t>Urea</t>
  </si>
  <si>
    <t>Leucine</t>
  </si>
  <si>
    <t>Valine</t>
  </si>
  <si>
    <t>Methionine</t>
  </si>
  <si>
    <t>N-AcetylAspartate</t>
  </si>
  <si>
    <t>Tryptophan</t>
  </si>
  <si>
    <t>Homocysteine</t>
  </si>
  <si>
    <t>Xanthine</t>
  </si>
  <si>
    <t>Betaine</t>
  </si>
  <si>
    <t>Proline</t>
  </si>
  <si>
    <t>Tyrosine</t>
  </si>
  <si>
    <t>Succinic_Semialdehyde</t>
  </si>
  <si>
    <t>Carnitine</t>
  </si>
  <si>
    <t>AcetylCholine</t>
  </si>
  <si>
    <t>Threonic_acid</t>
  </si>
  <si>
    <t>Mannitol/Sorbitol</t>
  </si>
  <si>
    <t>Threonine</t>
  </si>
  <si>
    <t>Alanine</t>
  </si>
  <si>
    <t>Glycerylphosphorylcholine</t>
  </si>
  <si>
    <t>Taurine</t>
  </si>
  <si>
    <t>Glutamine</t>
  </si>
  <si>
    <t>Asparagine</t>
  </si>
  <si>
    <t>GlucoseNa+</t>
  </si>
  <si>
    <t>Glycine</t>
  </si>
  <si>
    <t>Serine</t>
  </si>
  <si>
    <t>Glutamate</t>
  </si>
  <si>
    <t>Citrulline</t>
  </si>
  <si>
    <t>Aspartate</t>
  </si>
  <si>
    <t>Malate</t>
  </si>
  <si>
    <t>Ascorbic_acid</t>
  </si>
  <si>
    <t>Succinate</t>
  </si>
  <si>
    <t>aKG</t>
  </si>
  <si>
    <t>Fumarate</t>
  </si>
  <si>
    <t>Lysine</t>
  </si>
  <si>
    <t>Arginine</t>
  </si>
  <si>
    <t>wt</t>
  </si>
  <si>
    <t>pFH</t>
  </si>
  <si>
    <t>medium</t>
  </si>
  <si>
    <t xml:space="preserve"> DMEM ref. 41966</t>
  </si>
  <si>
    <t>y = 2E+11x + 3E+07</t>
  </si>
  <si>
    <t>concentration in extract (mg/mL)</t>
  </si>
  <si>
    <t>µmol (well)</t>
  </si>
  <si>
    <t>MW=105.09</t>
  </si>
  <si>
    <t>MW=131.17</t>
  </si>
  <si>
    <t>MW=117.15</t>
  </si>
  <si>
    <t>MW=165.19</t>
  </si>
  <si>
    <t>MW=181.19</t>
  </si>
  <si>
    <t>MW=204.23</t>
  </si>
  <si>
    <t>MW=115.13</t>
  </si>
  <si>
    <t>MW=119.12</t>
  </si>
  <si>
    <t>MW=146.19</t>
  </si>
  <si>
    <t>MW=132.12</t>
  </si>
  <si>
    <t>MW=147.13</t>
  </si>
  <si>
    <t>MW=146.12</t>
  </si>
  <si>
    <t>MW=133.10</t>
  </si>
  <si>
    <t>MW=89.09</t>
  </si>
  <si>
    <t>MW=174.12</t>
  </si>
  <si>
    <t>MW=75.07</t>
  </si>
  <si>
    <t>MW=180.16</t>
  </si>
  <si>
    <t>MW=90.08</t>
  </si>
  <si>
    <t>MW=88.06</t>
  </si>
  <si>
    <t>CORE (µmol/well)</t>
  </si>
  <si>
    <t>control (unconditioned medium)</t>
  </si>
  <si>
    <t>T0</t>
  </si>
  <si>
    <t>T24</t>
  </si>
  <si>
    <t>6-well plates</t>
  </si>
  <si>
    <t>doubling time (hours)</t>
  </si>
  <si>
    <t>counting T0 - 200ul (trypsin+serum)</t>
  </si>
  <si>
    <t>counting T24 - 400ul (trypsin+serum)</t>
  </si>
  <si>
    <t>viable cells/well</t>
  </si>
  <si>
    <t>cell volume (fL)</t>
  </si>
  <si>
    <t>total cell volume (fL)</t>
  </si>
  <si>
    <t>AVERAGE</t>
  </si>
  <si>
    <t>STDEV</t>
  </si>
  <si>
    <t>increase volume (fL)</t>
  </si>
  <si>
    <t>seeded 1E5 cells/well</t>
  </si>
  <si>
    <t>CORE</t>
  </si>
  <si>
    <t>v - molar amounts per cell per unit time</t>
  </si>
  <si>
    <t>A - area under the curve</t>
  </si>
  <si>
    <t>V - volume of the culture</t>
  </si>
  <si>
    <t>Area under the curve</t>
  </si>
  <si>
    <t>Glucose</t>
  </si>
  <si>
    <t>CORE (fmol/cell/hour)</t>
  </si>
  <si>
    <t>MW=149.21 g/mol</t>
  </si>
  <si>
    <t>y = 2E+11x + 3E+08</t>
  </si>
  <si>
    <t>y = 3E+10x + 2E+07</t>
  </si>
  <si>
    <t>y = 2E+11x + 9E+07</t>
  </si>
  <si>
    <t>y = 3E+11x + 1E+08</t>
  </si>
  <si>
    <t>y = 8E+10x + 4E+07</t>
  </si>
  <si>
    <t>y = 2E+12x + 6E+07</t>
  </si>
  <si>
    <t>y = 1E+11x + 7E+07</t>
  </si>
  <si>
    <t>y = 6E+10x + 3E+07</t>
  </si>
  <si>
    <t>y = 3E+10x - 463209</t>
  </si>
  <si>
    <t>y = 1E+11x + 8E+06</t>
  </si>
  <si>
    <t>y = 3E+10x + 1E+07</t>
  </si>
  <si>
    <t>(mg/L)</t>
  </si>
  <si>
    <t>y = 7E+10x - 1E+06</t>
  </si>
  <si>
    <t>y = 1E+11x + 2E+06</t>
  </si>
  <si>
    <t>y = 2E+10x + 3E+07</t>
  </si>
  <si>
    <t>extract=0.28125 mg/mL</t>
  </si>
  <si>
    <t>QCmix1</t>
  </si>
  <si>
    <t>QCmix_2</t>
  </si>
  <si>
    <t>QCmix_3</t>
  </si>
  <si>
    <t>QCmix_4</t>
  </si>
  <si>
    <t>QCmix_5</t>
  </si>
  <si>
    <t>Pyruvate (ug/mL)</t>
  </si>
  <si>
    <t>Lactate (mg/mL)</t>
  </si>
  <si>
    <t>Compound name</t>
  </si>
  <si>
    <t>Std1 (mM)</t>
  </si>
  <si>
    <t>Std2 (mM)</t>
  </si>
  <si>
    <t>Std3 (mM)</t>
  </si>
  <si>
    <t>Std4 (mM)</t>
  </si>
  <si>
    <t>Std5 (mM)</t>
  </si>
  <si>
    <t>Std6 (mM)</t>
  </si>
  <si>
    <t>Isoleucine</t>
  </si>
  <si>
    <t>Histidine</t>
  </si>
  <si>
    <t>Cysteine</t>
  </si>
  <si>
    <t>Std1 (mg/ml)</t>
  </si>
  <si>
    <t>Std2 (mg/ml)</t>
  </si>
  <si>
    <t>Std3 (mg/ml)</t>
  </si>
  <si>
    <t>Std4 (mg/ml)</t>
  </si>
  <si>
    <t>Std5 (mg/ml)</t>
  </si>
  <si>
    <t>Std6 (mg/ml)</t>
  </si>
  <si>
    <t>(mg/ml)</t>
  </si>
  <si>
    <t>concentration</t>
  </si>
  <si>
    <t>peak area</t>
  </si>
  <si>
    <t>UOK262</t>
  </si>
  <si>
    <t xml:space="preserve"> UOK262 pFH</t>
  </si>
  <si>
    <t>UOK262 pFH</t>
  </si>
  <si>
    <t>y = 3E+10x + 162178</t>
  </si>
  <si>
    <r>
      <t xml:space="preserve">protein content (total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g)</t>
    </r>
  </si>
  <si>
    <t>UOK 262</t>
  </si>
  <si>
    <t>UOK 262 pFH</t>
  </si>
  <si>
    <r>
      <t>average protein content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g/cell)</t>
    </r>
  </si>
  <si>
    <r>
      <t>increase dry weight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g)</t>
    </r>
  </si>
  <si>
    <r>
      <t>CORE (µmol/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gDW/h)</t>
    </r>
  </si>
  <si>
    <t>Area under the curve (cell number)</t>
  </si>
  <si>
    <t>Area under the curve (cell volume)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</si>
  <si>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gDW (total)</t>
    </r>
  </si>
  <si>
    <t>Area under the curve (DW)</t>
  </si>
  <si>
    <t>average</t>
  </si>
  <si>
    <t>CORE (fmol/fL/h)</t>
  </si>
  <si>
    <t>v=(V(Cspent-Cfresh))/A</t>
  </si>
  <si>
    <t>PERCENTILES</t>
  </si>
  <si>
    <t>estimated concentration in medium</t>
  </si>
  <si>
    <t>y = 3E+10x + 3E+07</t>
  </si>
  <si>
    <t>(µMol)</t>
  </si>
  <si>
    <t>mM</t>
  </si>
  <si>
    <t>increase cell number</t>
  </si>
  <si>
    <t>CORE (fmol/cell/h)</t>
  </si>
  <si>
    <t>increase cell number in 24h</t>
  </si>
  <si>
    <t>pHILIC</t>
  </si>
  <si>
    <t>HILIC</t>
  </si>
  <si>
    <t>log10</t>
  </si>
  <si>
    <t>Sample ID</t>
  </si>
  <si>
    <t>Concentration (mg/mL)</t>
  </si>
  <si>
    <t>Ion intensity</t>
  </si>
  <si>
    <t>FumarateStd1</t>
  </si>
  <si>
    <t>FumarateStd2</t>
  </si>
  <si>
    <t>FumarateStd3</t>
  </si>
  <si>
    <t>FumarateStd4</t>
  </si>
  <si>
    <t>FumarateStd5</t>
  </si>
  <si>
    <t>FumarateStd6</t>
  </si>
  <si>
    <r>
      <t>biomass increase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gDW)</t>
    </r>
  </si>
  <si>
    <t>delta DW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</si>
</sst>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name val="Times New Roman"/>
      <family val="1"/>
    </font>
    <font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11" fontId="18" fillId="0" borderId="0" xfId="0" applyNumberFormat="1" applyFont="1" applyBorder="1" applyAlignment="1">
      <alignment horizontal="center" vertical="center"/>
    </xf>
    <xf numFmtId="11" fontId="19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1" fontId="18" fillId="0" borderId="10" xfId="0" applyNumberFormat="1" applyFont="1" applyBorder="1" applyAlignment="1">
      <alignment horizontal="center" vertical="center"/>
    </xf>
    <xf numFmtId="11" fontId="19" fillId="0" borderId="11" xfId="0" applyNumberFormat="1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/>
    </xf>
    <xf numFmtId="11" fontId="18" fillId="34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1" fontId="18" fillId="0" borderId="0" xfId="0" applyNumberFormat="1" applyFont="1" applyFill="1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36" borderId="0" xfId="0" applyFont="1" applyFill="1" applyBorder="1" applyAlignment="1">
      <alignment horizontal="left" vertical="center"/>
    </xf>
    <xf numFmtId="0" fontId="0" fillId="36" borderId="0" xfId="0" applyFill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1" fontId="19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36" borderId="0" xfId="0" applyFont="1" applyFill="1" applyBorder="1" applyAlignment="1">
      <alignment horizontal="left" vertical="center"/>
    </xf>
    <xf numFmtId="0" fontId="21" fillId="36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1" fontId="2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1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3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/>
    <xf numFmtId="11" fontId="20" fillId="0" borderId="0" xfId="0" applyNumberFormat="1" applyFont="1" applyFill="1" applyAlignment="1">
      <alignment horizontal="center" vertical="center"/>
    </xf>
    <xf numFmtId="11" fontId="21" fillId="0" borderId="0" xfId="0" applyNumberFormat="1" applyFont="1" applyFill="1" applyAlignment="1">
      <alignment horizontal="center" vertical="center"/>
    </xf>
    <xf numFmtId="11" fontId="21" fillId="37" borderId="0" xfId="0" applyNumberFormat="1" applyFont="1" applyFill="1" applyAlignment="1">
      <alignment horizontal="center" vertical="center"/>
    </xf>
    <xf numFmtId="2" fontId="18" fillId="34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18" fillId="0" borderId="10" xfId="0" applyNumberFormat="1" applyFont="1" applyBorder="1" applyAlignment="1">
      <alignment horizontal="center" vertical="center"/>
    </xf>
    <xf numFmtId="11" fontId="18" fillId="0" borderId="0" xfId="0" applyNumberFormat="1" applyFont="1"/>
    <xf numFmtId="11" fontId="21" fillId="0" borderId="10" xfId="0" applyNumberFormat="1" applyFont="1" applyBorder="1" applyAlignment="1">
      <alignment horizontal="center" vertical="center"/>
    </xf>
    <xf numFmtId="0" fontId="16" fillId="38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8" fillId="34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1" fontId="18" fillId="39" borderId="0" xfId="0" applyNumberFormat="1" applyFont="1" applyFill="1" applyBorder="1" applyAlignment="1">
      <alignment horizontal="left" vertical="center"/>
    </xf>
    <xf numFmtId="11" fontId="18" fillId="39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35" borderId="0" xfId="0" applyFont="1" applyFill="1"/>
    <xf numFmtId="0" fontId="0" fillId="35" borderId="0" xfId="0" applyFill="1"/>
    <xf numFmtId="0" fontId="13" fillId="4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6" fillId="0" borderId="0" xfId="42" applyNumberFormat="1" applyFont="1" applyAlignment="1">
      <alignment horizontal="center" vertical="center"/>
    </xf>
    <xf numFmtId="1" fontId="26" fillId="0" borderId="0" xfId="42" applyNumberFormat="1" applyFont="1" applyAlignment="1">
      <alignment horizontal="center" vertical="center"/>
    </xf>
    <xf numFmtId="49" fontId="26" fillId="0" borderId="0" xfId="42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" fontId="26" fillId="0" borderId="0" xfId="42" applyNumberFormat="1" applyFont="1" applyFill="1" applyAlignment="1">
      <alignment horizontal="center" vertical="center"/>
    </xf>
    <xf numFmtId="0" fontId="16" fillId="38" borderId="0" xfId="0" applyFont="1" applyFill="1" applyAlignment="1"/>
    <xf numFmtId="0" fontId="18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1" fontId="18" fillId="33" borderId="0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19" fillId="33" borderId="0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1" fontId="0" fillId="34" borderId="0" xfId="0" applyNumberForma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curves'!$A$4:$A$8</c:f>
              <c:numCache>
                <c:formatCode>0.00E+00</c:formatCode>
                <c:ptCount val="5"/>
                <c:pt idx="0" formatCode="0.00">
                  <c:v>0.03</c:v>
                </c:pt>
                <c:pt idx="1">
                  <c:v>3.0000000000000001E-3</c:v>
                </c:pt>
                <c:pt idx="2">
                  <c:v>2.9999999999999997E-4</c:v>
                </c:pt>
                <c:pt idx="3">
                  <c:v>3.0000000000000001E-5</c:v>
                </c:pt>
                <c:pt idx="4">
                  <c:v>3.0000000000000001E-6</c:v>
                </c:pt>
              </c:numCache>
            </c:numRef>
          </c:xVal>
          <c:yVal>
            <c:numRef>
              <c:f>'std curves'!$B$4:$B$8</c:f>
              <c:numCache>
                <c:formatCode>General</c:formatCode>
                <c:ptCount val="5"/>
                <c:pt idx="0">
                  <c:v>9325518761</c:v>
                </c:pt>
                <c:pt idx="1">
                  <c:v>1348821334</c:v>
                </c:pt>
                <c:pt idx="2">
                  <c:v>123768283</c:v>
                </c:pt>
                <c:pt idx="3">
                  <c:v>12214364</c:v>
                </c:pt>
                <c:pt idx="4">
                  <c:v>1450306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27200"/>
        <c:axId val="129828736"/>
      </c:scatterChart>
      <c:valAx>
        <c:axId val="129827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9828736"/>
        <c:crosses val="autoZero"/>
        <c:crossBetween val="midCat"/>
      </c:valAx>
      <c:valAx>
        <c:axId val="12982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8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21585184860249"/>
                  <c:y val="0.34167149327891566"/>
                </c:manualLayout>
              </c:layout>
              <c:numFmt formatCode="General" sourceLinked="0"/>
            </c:trendlineLbl>
          </c:trendline>
          <c:xVal>
            <c:numRef>
              <c:f>'std curves'!$L$25:$L$28</c:f>
              <c:numCache>
                <c:formatCode>0.00E+00</c:formatCode>
                <c:ptCount val="4"/>
                <c:pt idx="0" formatCode="0.00">
                  <c:v>6.5000000000000002E-2</c:v>
                </c:pt>
                <c:pt idx="1">
                  <c:v>6.4999999999999997E-3</c:v>
                </c:pt>
                <c:pt idx="2">
                  <c:v>6.4999999999999997E-4</c:v>
                </c:pt>
                <c:pt idx="3">
                  <c:v>6.4999999999999994E-5</c:v>
                </c:pt>
              </c:numCache>
            </c:numRef>
          </c:xVal>
          <c:yVal>
            <c:numRef>
              <c:f>'std curves'!$M$25:$M$28</c:f>
              <c:numCache>
                <c:formatCode>General</c:formatCode>
                <c:ptCount val="4"/>
                <c:pt idx="0">
                  <c:v>1040555903</c:v>
                </c:pt>
                <c:pt idx="1">
                  <c:v>174730115</c:v>
                </c:pt>
                <c:pt idx="2">
                  <c:v>20044437</c:v>
                </c:pt>
                <c:pt idx="3">
                  <c:v>1793578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0704"/>
        <c:axId val="44682240"/>
      </c:scatterChart>
      <c:valAx>
        <c:axId val="44680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4682240"/>
        <c:crosses val="autoZero"/>
        <c:crossBetween val="midCat"/>
      </c:valAx>
      <c:valAx>
        <c:axId val="4468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68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753661015214325"/>
                  <c:y val="0.35798137591197288"/>
                </c:manualLayout>
              </c:layout>
              <c:numFmt formatCode="General" sourceLinked="0"/>
            </c:trendlineLbl>
          </c:trendline>
          <c:xVal>
            <c:numRef>
              <c:f>'std curves'!$L$36:$L$39</c:f>
              <c:numCache>
                <c:formatCode>0.00E+00</c:formatCode>
                <c:ptCount val="4"/>
                <c:pt idx="0" formatCode="0.00">
                  <c:v>3.5000000000000003E-2</c:v>
                </c:pt>
                <c:pt idx="1">
                  <c:v>3.5000000000000001E-3</c:v>
                </c:pt>
                <c:pt idx="2">
                  <c:v>3.5E-4</c:v>
                </c:pt>
                <c:pt idx="3">
                  <c:v>3.4999999999999997E-5</c:v>
                </c:pt>
              </c:numCache>
            </c:numRef>
          </c:xVal>
          <c:yVal>
            <c:numRef>
              <c:f>'std curves'!$M$36:$M$39</c:f>
              <c:numCache>
                <c:formatCode>General</c:formatCode>
                <c:ptCount val="4"/>
                <c:pt idx="0">
                  <c:v>1063519925</c:v>
                </c:pt>
                <c:pt idx="1">
                  <c:v>158854402</c:v>
                </c:pt>
                <c:pt idx="2">
                  <c:v>16928256</c:v>
                </c:pt>
                <c:pt idx="3">
                  <c:v>1221557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0704"/>
        <c:axId val="131334912"/>
      </c:scatterChart>
      <c:valAx>
        <c:axId val="130120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1334912"/>
        <c:crosses val="autoZero"/>
        <c:crossBetween val="midCat"/>
      </c:valAx>
      <c:valAx>
        <c:axId val="13133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12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371964994626369"/>
                  <c:y val="0.34982643459544427"/>
                </c:manualLayout>
              </c:layout>
              <c:numFmt formatCode="General" sourceLinked="0"/>
            </c:trendlineLbl>
          </c:trendline>
          <c:xVal>
            <c:numRef>
              <c:f>'std curves'!$L$47:$L$50</c:f>
              <c:numCache>
                <c:formatCode>0.00E+00</c:formatCode>
                <c:ptCount val="4"/>
                <c:pt idx="0">
                  <c:v>5.4999999999999997E-3</c:v>
                </c:pt>
                <c:pt idx="1">
                  <c:v>5.5000000000000003E-4</c:v>
                </c:pt>
                <c:pt idx="2">
                  <c:v>5.5000000000000002E-5</c:v>
                </c:pt>
                <c:pt idx="3">
                  <c:v>5.4999999999999999E-6</c:v>
                </c:pt>
              </c:numCache>
            </c:numRef>
          </c:xVal>
          <c:yVal>
            <c:numRef>
              <c:f>'std curves'!$M$47:$M$50</c:f>
              <c:numCache>
                <c:formatCode>General</c:formatCode>
                <c:ptCount val="4"/>
                <c:pt idx="0">
                  <c:v>613432142</c:v>
                </c:pt>
                <c:pt idx="1">
                  <c:v>82927188</c:v>
                </c:pt>
                <c:pt idx="2">
                  <c:v>8854750</c:v>
                </c:pt>
                <c:pt idx="3">
                  <c:v>1245772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6288"/>
        <c:axId val="85997824"/>
      </c:scatterChart>
      <c:valAx>
        <c:axId val="859962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5997824"/>
        <c:crosses val="autoZero"/>
        <c:crossBetween val="midCat"/>
      </c:valAx>
      <c:valAx>
        <c:axId val="8599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99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241828058400777"/>
                  <c:y val="0.31649648310129208"/>
                </c:manualLayout>
              </c:layout>
              <c:numFmt formatCode="General" sourceLinked="0"/>
            </c:trendlineLbl>
          </c:trendline>
          <c:xVal>
            <c:numRef>
              <c:f>'std curves'!$L$57:$L$59</c:f>
              <c:numCache>
                <c:formatCode>0.00E+00</c:formatCode>
                <c:ptCount val="3"/>
                <c:pt idx="0">
                  <c:v>3.0000000000000001E-3</c:v>
                </c:pt>
                <c:pt idx="1">
                  <c:v>2.9999999999999997E-4</c:v>
                </c:pt>
                <c:pt idx="2">
                  <c:v>3.0000000000000001E-5</c:v>
                </c:pt>
              </c:numCache>
            </c:numRef>
          </c:xVal>
          <c:yVal>
            <c:numRef>
              <c:f>'std curves'!$M$57:$M$59</c:f>
              <c:numCache>
                <c:formatCode>General</c:formatCode>
                <c:ptCount val="3"/>
                <c:pt idx="0">
                  <c:v>220637639</c:v>
                </c:pt>
                <c:pt idx="1">
                  <c:v>20150037</c:v>
                </c:pt>
                <c:pt idx="2">
                  <c:v>1292463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4208"/>
        <c:axId val="86020096"/>
      </c:scatterChart>
      <c:valAx>
        <c:axId val="860142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6020096"/>
        <c:crosses val="autoZero"/>
        <c:crossBetween val="midCat"/>
      </c:valAx>
      <c:valAx>
        <c:axId val="8602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766287222453739"/>
                  <c:y val="0.31329037113330566"/>
                </c:manualLayout>
              </c:layout>
              <c:numFmt formatCode="General" sourceLinked="0"/>
            </c:trendlineLbl>
          </c:trendline>
          <c:xVal>
            <c:numRef>
              <c:f>'std curves'!$L$67:$L$71</c:f>
              <c:numCache>
                <c:formatCode>0.00E+00</c:formatCode>
                <c:ptCount val="5"/>
                <c:pt idx="0" formatCode="0.00">
                  <c:v>0.05</c:v>
                </c:pt>
                <c:pt idx="1">
                  <c:v>5.0000000000000001E-3</c:v>
                </c:pt>
                <c:pt idx="2">
                  <c:v>5.0000000000000001E-4</c:v>
                </c:pt>
                <c:pt idx="3">
                  <c:v>5.0000000000000002E-5</c:v>
                </c:pt>
                <c:pt idx="4">
                  <c:v>5.0000000000000004E-6</c:v>
                </c:pt>
              </c:numCache>
            </c:numRef>
          </c:xVal>
          <c:yVal>
            <c:numRef>
              <c:f>'std curves'!$M$67:$M$71</c:f>
              <c:numCache>
                <c:formatCode>General</c:formatCode>
                <c:ptCount val="5"/>
                <c:pt idx="0">
                  <c:v>2967284175</c:v>
                </c:pt>
                <c:pt idx="1">
                  <c:v>386448133</c:v>
                </c:pt>
                <c:pt idx="2">
                  <c:v>45996937</c:v>
                </c:pt>
                <c:pt idx="3">
                  <c:v>4350950</c:v>
                </c:pt>
                <c:pt idx="4">
                  <c:v>451727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0576"/>
        <c:axId val="86042112"/>
      </c:scatterChart>
      <c:valAx>
        <c:axId val="86040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6042112"/>
        <c:crosses val="autoZero"/>
        <c:crossBetween val="midCat"/>
      </c:valAx>
      <c:valAx>
        <c:axId val="8604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0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681603170077279"/>
                  <c:y val="0.31101597726376679"/>
                </c:manualLayout>
              </c:layout>
              <c:numFmt formatCode="General" sourceLinked="0"/>
            </c:trendlineLbl>
          </c:trendline>
          <c:xVal>
            <c:numRef>
              <c:f>'std curves'!$L$78:$L$82</c:f>
              <c:numCache>
                <c:formatCode>0.00E+00</c:formatCode>
                <c:ptCount val="5"/>
                <c:pt idx="0" formatCode="0.00">
                  <c:v>2.5000000000000001E-2</c:v>
                </c:pt>
                <c:pt idx="1">
                  <c:v>2.5000000000000001E-3</c:v>
                </c:pt>
                <c:pt idx="2">
                  <c:v>2.5000000000000001E-4</c:v>
                </c:pt>
                <c:pt idx="3">
                  <c:v>2.5000000000000001E-5</c:v>
                </c:pt>
                <c:pt idx="4">
                  <c:v>2.5000000000000002E-6</c:v>
                </c:pt>
              </c:numCache>
            </c:numRef>
          </c:xVal>
          <c:yVal>
            <c:numRef>
              <c:f>'std curves'!$M$78:$M$82</c:f>
              <c:numCache>
                <c:formatCode>General</c:formatCode>
                <c:ptCount val="5"/>
                <c:pt idx="0">
                  <c:v>5856195021</c:v>
                </c:pt>
                <c:pt idx="1">
                  <c:v>1524393686</c:v>
                </c:pt>
                <c:pt idx="2">
                  <c:v>329196527</c:v>
                </c:pt>
                <c:pt idx="3">
                  <c:v>38052346</c:v>
                </c:pt>
                <c:pt idx="4">
                  <c:v>4309611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256"/>
        <c:axId val="93473792"/>
      </c:scatterChart>
      <c:valAx>
        <c:axId val="93472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3473792"/>
        <c:crosses val="autoZero"/>
        <c:crossBetween val="midCat"/>
      </c:valAx>
      <c:valAx>
        <c:axId val="9347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47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curves'!$X$3:$X$7</c:f>
              <c:numCache>
                <c:formatCode>0.00E+00</c:formatCode>
                <c:ptCount val="5"/>
                <c:pt idx="0">
                  <c:v>0.625</c:v>
                </c:pt>
                <c:pt idx="1">
                  <c:v>6.25E-2</c:v>
                </c:pt>
                <c:pt idx="2">
                  <c:v>6.2500000000000003E-3</c:v>
                </c:pt>
                <c:pt idx="3">
                  <c:v>6.2500000000000001E-4</c:v>
                </c:pt>
                <c:pt idx="4">
                  <c:v>6.2500000000000001E-5</c:v>
                </c:pt>
              </c:numCache>
            </c:numRef>
          </c:xVal>
          <c:yVal>
            <c:numRef>
              <c:f>'std curves'!$Y$3:$Y$7</c:f>
              <c:numCache>
                <c:formatCode>General</c:formatCode>
                <c:ptCount val="5"/>
                <c:pt idx="0">
                  <c:v>16983639308</c:v>
                </c:pt>
                <c:pt idx="1">
                  <c:v>1785650488</c:v>
                </c:pt>
                <c:pt idx="2">
                  <c:v>219313252</c:v>
                </c:pt>
                <c:pt idx="3">
                  <c:v>20948404</c:v>
                </c:pt>
                <c:pt idx="4">
                  <c:v>2670002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8368"/>
        <c:axId val="93500160"/>
      </c:scatterChart>
      <c:valAx>
        <c:axId val="934983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3500160"/>
        <c:crosses val="autoZero"/>
        <c:crossBetween val="midCat"/>
      </c:valAx>
      <c:valAx>
        <c:axId val="9350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4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293773166933521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curves'!$A$81:$A$82</c:f>
              <c:numCache>
                <c:formatCode>0.00E+00</c:formatCode>
                <c:ptCount val="2"/>
                <c:pt idx="0">
                  <c:v>2.9999999999999997E-4</c:v>
                </c:pt>
                <c:pt idx="1">
                  <c:v>3.0000000000000001E-5</c:v>
                </c:pt>
              </c:numCache>
            </c:numRef>
          </c:xVal>
          <c:yVal>
            <c:numRef>
              <c:f>'std curves'!$B$81:$B$82</c:f>
              <c:numCache>
                <c:formatCode>0.00E+00</c:formatCode>
                <c:ptCount val="2"/>
                <c:pt idx="0">
                  <c:v>9707342.2058260608</c:v>
                </c:pt>
                <c:pt idx="1">
                  <c:v>553845.74191396602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6160"/>
        <c:axId val="130877696"/>
      </c:scatterChart>
      <c:valAx>
        <c:axId val="1308761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0877696"/>
        <c:crosses val="autoZero"/>
        <c:crossBetween val="midCat"/>
      </c:valAx>
      <c:valAx>
        <c:axId val="13087769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087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curves'!$X$15:$X$19</c:f>
              <c:numCache>
                <c:formatCode>0.00E+00</c:formatCode>
                <c:ptCount val="5"/>
                <c:pt idx="0" formatCode="0.00">
                  <c:v>0.03</c:v>
                </c:pt>
                <c:pt idx="1">
                  <c:v>3.0000000000000001E-3</c:v>
                </c:pt>
                <c:pt idx="2">
                  <c:v>2.9999999999999997E-4</c:v>
                </c:pt>
                <c:pt idx="3">
                  <c:v>3.0000000000000001E-5</c:v>
                </c:pt>
                <c:pt idx="4">
                  <c:v>3.0000000000000001E-6</c:v>
                </c:pt>
              </c:numCache>
            </c:numRef>
          </c:xVal>
          <c:yVal>
            <c:numRef>
              <c:f>'std curves'!$Y$15:$Y$19</c:f>
              <c:numCache>
                <c:formatCode>General</c:formatCode>
                <c:ptCount val="5"/>
                <c:pt idx="0">
                  <c:v>3137064547.5271401</c:v>
                </c:pt>
                <c:pt idx="1">
                  <c:v>559572983.77891302</c:v>
                </c:pt>
                <c:pt idx="2">
                  <c:v>58405483.618919402</c:v>
                </c:pt>
                <c:pt idx="3">
                  <c:v>5136785.78410732</c:v>
                </c:pt>
                <c:pt idx="4">
                  <c:v>512517.37027633301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4560"/>
        <c:axId val="130920448"/>
      </c:scatterChart>
      <c:valAx>
        <c:axId val="130914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0920448"/>
        <c:crosses val="autoZero"/>
        <c:crossBetween val="midCat"/>
      </c:valAx>
      <c:valAx>
        <c:axId val="13092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91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5564304461942"/>
                  <c:y val="0.29024557630654424"/>
                </c:manualLayout>
              </c:layout>
              <c:numFmt formatCode="General" sourceLinked="0"/>
            </c:trendlineLbl>
          </c:trendline>
          <c:xVal>
            <c:numRef>
              <c:f>'std curves'!$X$26:$X$29</c:f>
              <c:numCache>
                <c:formatCode>0.00E+00</c:formatCode>
                <c:ptCount val="4"/>
                <c:pt idx="0">
                  <c:v>1E-3</c:v>
                </c:pt>
                <c:pt idx="1">
                  <c:v>1E-4</c:v>
                </c:pt>
              </c:numCache>
            </c:numRef>
          </c:xVal>
          <c:yVal>
            <c:numRef>
              <c:f>'std curves'!$Y$26:$Y$30</c:f>
              <c:numCache>
                <c:formatCode>General</c:formatCode>
                <c:ptCount val="5"/>
                <c:pt idx="0">
                  <c:v>31531780</c:v>
                </c:pt>
                <c:pt idx="1">
                  <c:v>3299138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5728"/>
        <c:axId val="131147264"/>
      </c:scatterChart>
      <c:valAx>
        <c:axId val="1311457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1147264"/>
        <c:crosses val="autoZero"/>
        <c:crossBetween val="midCat"/>
      </c:valAx>
      <c:valAx>
        <c:axId val="13114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14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curves'!$A$14:$A$18</c:f>
              <c:numCache>
                <c:formatCode>0.00E+00</c:formatCode>
                <c:ptCount val="5"/>
                <c:pt idx="0" formatCode="0.00">
                  <c:v>0.06</c:v>
                </c:pt>
                <c:pt idx="1">
                  <c:v>6.0000000000000001E-3</c:v>
                </c:pt>
                <c:pt idx="2">
                  <c:v>5.9999999999999995E-4</c:v>
                </c:pt>
                <c:pt idx="3">
                  <c:v>6.0000000000000002E-5</c:v>
                </c:pt>
                <c:pt idx="4">
                  <c:v>6.0000000000000002E-6</c:v>
                </c:pt>
              </c:numCache>
            </c:numRef>
          </c:xVal>
          <c:yVal>
            <c:numRef>
              <c:f>'std curves'!$B$14:$B$18</c:f>
              <c:numCache>
                <c:formatCode>General</c:formatCode>
                <c:ptCount val="5"/>
                <c:pt idx="0">
                  <c:v>12041491307</c:v>
                </c:pt>
                <c:pt idx="1">
                  <c:v>2468726453</c:v>
                </c:pt>
                <c:pt idx="2">
                  <c:v>270255346</c:v>
                </c:pt>
                <c:pt idx="3">
                  <c:v>27691391</c:v>
                </c:pt>
                <c:pt idx="4">
                  <c:v>3620981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13984"/>
        <c:axId val="133515520"/>
      </c:scatterChart>
      <c:valAx>
        <c:axId val="133513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3515520"/>
        <c:crosses val="autoZero"/>
        <c:crossBetween val="midCat"/>
      </c:valAx>
      <c:valAx>
        <c:axId val="13351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5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26640419947507"/>
          <c:y val="6.5289442986293383E-2"/>
          <c:w val="0.76876837270341203"/>
          <c:h val="0.698360309128025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352833603380805"/>
                  <c:y val="0.37915500145815106"/>
                </c:manualLayout>
              </c:layout>
              <c:numFmt formatCode="General" sourceLinked="0"/>
            </c:trendlineLbl>
          </c:trendline>
          <c:xVal>
            <c:numRef>
              <c:f>'[1]Std Curve'!$F$4:$F$9</c:f>
              <c:numCache>
                <c:formatCode>General</c:formatCode>
                <c:ptCount val="6"/>
                <c:pt idx="0">
                  <c:v>0.37291200297010657</c:v>
                </c:pt>
                <c:pt idx="1">
                  <c:v>-0.62708799702989348</c:v>
                </c:pt>
                <c:pt idx="2">
                  <c:v>-1.6270879970298935</c:v>
                </c:pt>
                <c:pt idx="3">
                  <c:v>-2.6270879970298933</c:v>
                </c:pt>
                <c:pt idx="4">
                  <c:v>-3.6270879970298933</c:v>
                </c:pt>
                <c:pt idx="5">
                  <c:v>-4.6270879970298937</c:v>
                </c:pt>
              </c:numCache>
            </c:numRef>
          </c:xVal>
          <c:yVal>
            <c:numRef>
              <c:f>'[1]Std Curve'!$G$4:$G$9</c:f>
              <c:numCache>
                <c:formatCode>General</c:formatCode>
                <c:ptCount val="6"/>
                <c:pt idx="0">
                  <c:v>11.045361613848232</c:v>
                </c:pt>
                <c:pt idx="1">
                  <c:v>10.445782827836913</c:v>
                </c:pt>
                <c:pt idx="2">
                  <c:v>9.7053328407528312</c:v>
                </c:pt>
                <c:pt idx="3">
                  <c:v>8.7512568439567691</c:v>
                </c:pt>
                <c:pt idx="4">
                  <c:v>7.7587650670104313</c:v>
                </c:pt>
                <c:pt idx="5">
                  <c:v>6.9749919171188761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3648"/>
        <c:axId val="131165184"/>
      </c:scatterChart>
      <c:valAx>
        <c:axId val="1311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165184"/>
        <c:crosses val="autoZero"/>
        <c:crossBetween val="midCat"/>
      </c:valAx>
      <c:valAx>
        <c:axId val="131165184"/>
        <c:scaling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crossAx val="131163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normalisedToVol!$AX$59:$BB$59</c:f>
              <c:strCache>
                <c:ptCount val="5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</c:strCache>
            </c:strRef>
          </c:cat>
          <c:val>
            <c:numRef>
              <c:f>normalisedToVol!$AX$72:$BB$72</c:f>
              <c:numCache>
                <c:formatCode>0.00E+00</c:formatCode>
                <c:ptCount val="5"/>
                <c:pt idx="0">
                  <c:v>-1.0849897646904274E-2</c:v>
                </c:pt>
                <c:pt idx="1">
                  <c:v>-2.1959841022551406E-2</c:v>
                </c:pt>
                <c:pt idx="2">
                  <c:v>-6.5985360784965905E-2</c:v>
                </c:pt>
                <c:pt idx="3">
                  <c:v>-3.4150041275700205E-2</c:v>
                </c:pt>
                <c:pt idx="4">
                  <c:v>-2.0493760555895604E-2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normalisedToVol!$AX$59:$BB$59</c:f>
              <c:strCache>
                <c:ptCount val="5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</c:strCache>
            </c:strRef>
          </c:cat>
          <c:val>
            <c:numRef>
              <c:f>normalisedToVol!$AX$74:$BB$74</c:f>
              <c:numCache>
                <c:formatCode>0.00E+00</c:formatCode>
                <c:ptCount val="5"/>
                <c:pt idx="0">
                  <c:v>-9.1926243550527337E-3</c:v>
                </c:pt>
                <c:pt idx="1">
                  <c:v>-1.9794108921716215E-2</c:v>
                </c:pt>
                <c:pt idx="2">
                  <c:v>-5.7420587112489652E-2</c:v>
                </c:pt>
                <c:pt idx="3">
                  <c:v>-3.1566429826215138E-2</c:v>
                </c:pt>
                <c:pt idx="4">
                  <c:v>-2.1097962471948183E-2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11584"/>
        <c:axId val="133821568"/>
      </c:barChart>
      <c:catAx>
        <c:axId val="1338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21568"/>
        <c:crosses val="autoZero"/>
        <c:auto val="1"/>
        <c:lblAlgn val="ctr"/>
        <c:lblOffset val="100"/>
        <c:noMultiLvlLbl val="0"/>
      </c:catAx>
      <c:valAx>
        <c:axId val="13382156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38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normalisedToVol!$BC$59:$BG$59</c:f>
              <c:strCache>
                <c:ptCount val="5"/>
                <c:pt idx="0">
                  <c:v>Tyrosine</c:v>
                </c:pt>
                <c:pt idx="1">
                  <c:v>Tryptophan</c:v>
                </c:pt>
                <c:pt idx="2">
                  <c:v>Proline</c:v>
                </c:pt>
                <c:pt idx="3">
                  <c:v>Threonine</c:v>
                </c:pt>
                <c:pt idx="4">
                  <c:v>Lysine</c:v>
                </c:pt>
              </c:strCache>
            </c:strRef>
          </c:cat>
          <c:val>
            <c:numRef>
              <c:f>normalisedToVol!$BC$72:$BG$72</c:f>
              <c:numCache>
                <c:formatCode>0.00E+00</c:formatCode>
                <c:ptCount val="5"/>
                <c:pt idx="0">
                  <c:v>-2.6867417518625841E-2</c:v>
                </c:pt>
                <c:pt idx="1">
                  <c:v>-2.9996541721672354E-3</c:v>
                </c:pt>
                <c:pt idx="2">
                  <c:v>8.1665030702560441E-4</c:v>
                </c:pt>
                <c:pt idx="3">
                  <c:v>-2.6476825429983468E-2</c:v>
                </c:pt>
                <c:pt idx="4">
                  <c:v>-3.1931869932029192E-2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normalisedToVol!$BC$59:$BG$59</c:f>
              <c:strCache>
                <c:ptCount val="5"/>
                <c:pt idx="0">
                  <c:v>Tyrosine</c:v>
                </c:pt>
                <c:pt idx="1">
                  <c:v>Tryptophan</c:v>
                </c:pt>
                <c:pt idx="2">
                  <c:v>Proline</c:v>
                </c:pt>
                <c:pt idx="3">
                  <c:v>Threonine</c:v>
                </c:pt>
                <c:pt idx="4">
                  <c:v>Lysine</c:v>
                </c:pt>
              </c:strCache>
            </c:strRef>
          </c:cat>
          <c:val>
            <c:numRef>
              <c:f>normalisedToVol!$BC$74:$BG$74</c:f>
              <c:numCache>
                <c:formatCode>0.00E+00</c:formatCode>
                <c:ptCount val="5"/>
                <c:pt idx="0">
                  <c:v>-2.5142524914773357E-2</c:v>
                </c:pt>
                <c:pt idx="1">
                  <c:v>-2.8359724392354986E-3</c:v>
                </c:pt>
                <c:pt idx="2">
                  <c:v>4.7675641980301988E-5</c:v>
                </c:pt>
                <c:pt idx="3">
                  <c:v>-2.5132433956400045E-2</c:v>
                </c:pt>
                <c:pt idx="4">
                  <c:v>-2.9661162413464746E-2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20992"/>
        <c:axId val="131222528"/>
      </c:barChart>
      <c:catAx>
        <c:axId val="1312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22528"/>
        <c:crosses val="autoZero"/>
        <c:auto val="1"/>
        <c:lblAlgn val="ctr"/>
        <c:lblOffset val="100"/>
        <c:noMultiLvlLbl val="0"/>
      </c:catAx>
      <c:valAx>
        <c:axId val="1312225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12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normalisedToVol!$BI$59</c:f>
              <c:strCache>
                <c:ptCount val="1"/>
                <c:pt idx="0">
                  <c:v>Glutamate</c:v>
                </c:pt>
              </c:strCache>
            </c:strRef>
          </c:cat>
          <c:val>
            <c:numRef>
              <c:f>normalisedToVol!$BI$72</c:f>
              <c:numCache>
                <c:formatCode>0.00E+00</c:formatCode>
                <c:ptCount val="1"/>
                <c:pt idx="0">
                  <c:v>1.8975400457903958E-2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normalisedToVol!$BI$59</c:f>
              <c:strCache>
                <c:ptCount val="1"/>
                <c:pt idx="0">
                  <c:v>Glutamate</c:v>
                </c:pt>
              </c:strCache>
            </c:strRef>
          </c:cat>
          <c:val>
            <c:numRef>
              <c:f>normalisedToVol!$BI$74</c:f>
              <c:numCache>
                <c:formatCode>0.00E+00</c:formatCode>
                <c:ptCount val="1"/>
                <c:pt idx="0">
                  <c:v>4.3362250471387026E-3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43392"/>
        <c:axId val="131245184"/>
      </c:barChart>
      <c:catAx>
        <c:axId val="1312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45184"/>
        <c:crosses val="autoZero"/>
        <c:auto val="1"/>
        <c:lblAlgn val="ctr"/>
        <c:lblOffset val="100"/>
        <c:noMultiLvlLbl val="0"/>
      </c:catAx>
      <c:valAx>
        <c:axId val="13124518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12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normalisedToVol!$BJ$59:$BN$59</c:f>
              <c:strCache>
                <c:ptCount val="5"/>
                <c:pt idx="0">
                  <c:v>Glutamine</c:v>
                </c:pt>
                <c:pt idx="1">
                  <c:v>Aspartate</c:v>
                </c:pt>
                <c:pt idx="2">
                  <c:v>Alanine</c:v>
                </c:pt>
                <c:pt idx="3">
                  <c:v>Arginine</c:v>
                </c:pt>
                <c:pt idx="4">
                  <c:v>Glycine</c:v>
                </c:pt>
              </c:strCache>
            </c:strRef>
          </c:cat>
          <c:val>
            <c:numRef>
              <c:f>normalisedToVol!$BJ$72:$BN$72</c:f>
              <c:numCache>
                <c:formatCode>0.00E+00</c:formatCode>
                <c:ptCount val="5"/>
                <c:pt idx="0">
                  <c:v>-0.13747844506022708</c:v>
                </c:pt>
                <c:pt idx="1">
                  <c:v>-1.5385386458395675E-4</c:v>
                </c:pt>
                <c:pt idx="2">
                  <c:v>5.8697577372660069E-4</c:v>
                </c:pt>
                <c:pt idx="3">
                  <c:v>-2.4782296755288129E-2</c:v>
                </c:pt>
                <c:pt idx="4">
                  <c:v>-1.3330516632815387E-2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normalisedToVol!$BJ$59:$BN$59</c:f>
              <c:strCache>
                <c:ptCount val="5"/>
                <c:pt idx="0">
                  <c:v>Glutamine</c:v>
                </c:pt>
                <c:pt idx="1">
                  <c:v>Aspartate</c:v>
                </c:pt>
                <c:pt idx="2">
                  <c:v>Alanine</c:v>
                </c:pt>
                <c:pt idx="3">
                  <c:v>Arginine</c:v>
                </c:pt>
                <c:pt idx="4">
                  <c:v>Glycine</c:v>
                </c:pt>
              </c:strCache>
            </c:strRef>
          </c:cat>
          <c:val>
            <c:numRef>
              <c:f>normalisedToVol!$BJ$74:$BN$74</c:f>
              <c:numCache>
                <c:formatCode>0.00E+00</c:formatCode>
                <c:ptCount val="5"/>
                <c:pt idx="0">
                  <c:v>-0.11387035764282354</c:v>
                </c:pt>
                <c:pt idx="1">
                  <c:v>-3.1532580551958438E-5</c:v>
                </c:pt>
                <c:pt idx="2">
                  <c:v>2.4538764718573794E-3</c:v>
                </c:pt>
                <c:pt idx="3">
                  <c:v>-2.1249265696867768E-2</c:v>
                </c:pt>
                <c:pt idx="4">
                  <c:v>-1.271883178980098E-2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62464"/>
        <c:axId val="136064000"/>
      </c:barChart>
      <c:catAx>
        <c:axId val="1360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64000"/>
        <c:crosses val="autoZero"/>
        <c:auto val="1"/>
        <c:lblAlgn val="ctr"/>
        <c:lblOffset val="100"/>
        <c:noMultiLvlLbl val="0"/>
      </c:catAx>
      <c:valAx>
        <c:axId val="13606400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60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normalisedToVol!$BO$59</c:f>
              <c:strCache>
                <c:ptCount val="1"/>
                <c:pt idx="0">
                  <c:v>Glucose</c:v>
                </c:pt>
              </c:strCache>
            </c:strRef>
          </c:cat>
          <c:val>
            <c:numRef>
              <c:f>normalisedToVol!$BO$72</c:f>
              <c:numCache>
                <c:formatCode>0.00E+00</c:formatCode>
                <c:ptCount val="1"/>
                <c:pt idx="0">
                  <c:v>-0.32814894408350753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normalisedToVol!$BO$59</c:f>
              <c:strCache>
                <c:ptCount val="1"/>
                <c:pt idx="0">
                  <c:v>Glucose</c:v>
                </c:pt>
              </c:strCache>
            </c:strRef>
          </c:cat>
          <c:val>
            <c:numRef>
              <c:f>normalisedToVol!$BO$74</c:f>
              <c:numCache>
                <c:formatCode>0.00E+00</c:formatCode>
                <c:ptCount val="1"/>
                <c:pt idx="0">
                  <c:v>-0.1941610270811609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72576"/>
        <c:axId val="136086656"/>
      </c:barChart>
      <c:catAx>
        <c:axId val="136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86656"/>
        <c:crosses val="autoZero"/>
        <c:auto val="1"/>
        <c:lblAlgn val="ctr"/>
        <c:lblOffset val="100"/>
        <c:noMultiLvlLbl val="0"/>
      </c:catAx>
      <c:valAx>
        <c:axId val="1360866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60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normalisedToVol!$BP$59</c:f>
              <c:strCache>
                <c:ptCount val="1"/>
                <c:pt idx="0">
                  <c:v>Lactate</c:v>
                </c:pt>
              </c:strCache>
            </c:strRef>
          </c:cat>
          <c:val>
            <c:numRef>
              <c:f>normalisedToVol!$BP$72</c:f>
              <c:numCache>
                <c:formatCode>0.00E+00</c:formatCode>
                <c:ptCount val="1"/>
                <c:pt idx="0">
                  <c:v>0.4212561378450449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normalisedToVol!$BP$59</c:f>
              <c:strCache>
                <c:ptCount val="1"/>
                <c:pt idx="0">
                  <c:v>Lactate</c:v>
                </c:pt>
              </c:strCache>
            </c:strRef>
          </c:cat>
          <c:val>
            <c:numRef>
              <c:f>normalisedToVol!$BP$74</c:f>
              <c:numCache>
                <c:formatCode>0.00E+00</c:formatCode>
                <c:ptCount val="1"/>
                <c:pt idx="0">
                  <c:v>0.37468234487981872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81408"/>
        <c:axId val="134482944"/>
      </c:barChart>
      <c:catAx>
        <c:axId val="1344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82944"/>
        <c:crosses val="autoZero"/>
        <c:auto val="1"/>
        <c:lblAlgn val="ctr"/>
        <c:lblOffset val="100"/>
        <c:noMultiLvlLbl val="0"/>
      </c:catAx>
      <c:valAx>
        <c:axId val="1344829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4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normalisedToVol!$BQ$59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normalisedToVol!$BQ$72</c:f>
              <c:numCache>
                <c:formatCode>0.00E+00</c:formatCode>
                <c:ptCount val="1"/>
                <c:pt idx="0">
                  <c:v>-4.4727863641366071E-2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normalisedToVol!$BQ$59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normalisedToVol!$BQ$74</c:f>
              <c:numCache>
                <c:formatCode>0.00E+00</c:formatCode>
                <c:ptCount val="1"/>
                <c:pt idx="0">
                  <c:v>-4.6997329647784032E-2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99712"/>
        <c:axId val="134513792"/>
      </c:barChart>
      <c:catAx>
        <c:axId val="1344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13792"/>
        <c:crosses val="autoZero"/>
        <c:auto val="1"/>
        <c:lblAlgn val="ctr"/>
        <c:lblOffset val="100"/>
        <c:noMultiLvlLbl val="0"/>
      </c:catAx>
      <c:valAx>
        <c:axId val="13451379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4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1084864391952"/>
          <c:y val="5.1400554097404488E-2"/>
          <c:w val="0.68433202099737533"/>
          <c:h val="0.8601618547681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normalisedToVol!$BL$59</c:f>
              <c:strCache>
                <c:ptCount val="1"/>
                <c:pt idx="0">
                  <c:v>Alanine</c:v>
                </c:pt>
              </c:strCache>
            </c:strRef>
          </c:cat>
          <c:val>
            <c:numRef>
              <c:f>normalisedToVol!$BL$72</c:f>
              <c:numCache>
                <c:formatCode>0.00E+00</c:formatCode>
                <c:ptCount val="1"/>
                <c:pt idx="0">
                  <c:v>5.8697577372660069E-4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normalisedToVol!$BL$59</c:f>
              <c:strCache>
                <c:ptCount val="1"/>
                <c:pt idx="0">
                  <c:v>Alanine</c:v>
                </c:pt>
              </c:strCache>
            </c:strRef>
          </c:cat>
          <c:val>
            <c:numRef>
              <c:f>normalisedToVol!$BL$74</c:f>
              <c:numCache>
                <c:formatCode>0.00E+00</c:formatCode>
                <c:ptCount val="1"/>
                <c:pt idx="0">
                  <c:v>2.4538764718573794E-3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38752"/>
        <c:axId val="134540288"/>
      </c:barChart>
      <c:catAx>
        <c:axId val="1345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40288"/>
        <c:crosses val="autoZero"/>
        <c:auto val="1"/>
        <c:lblAlgn val="ctr"/>
        <c:lblOffset val="100"/>
        <c:noMultiLvlLbl val="0"/>
      </c:catAx>
      <c:valAx>
        <c:axId val="13454028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5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normalisedToVol!$BH$59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normalisedToVol!$BH$72</c:f>
              <c:numCache>
                <c:formatCode>0.00E+00</c:formatCode>
                <c:ptCount val="1"/>
                <c:pt idx="0">
                  <c:v>8.7933849757435397E-5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normalisedToVol!$BH$59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normalisedToVol!$BH$74</c:f>
              <c:numCache>
                <c:formatCode>0.00E+00</c:formatCode>
                <c:ptCount val="1"/>
                <c:pt idx="0">
                  <c:v>2.6750526021060612E-5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65248"/>
        <c:axId val="134567040"/>
      </c:barChart>
      <c:catAx>
        <c:axId val="1345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67040"/>
        <c:crosses val="autoZero"/>
        <c:auto val="1"/>
        <c:lblAlgn val="ctr"/>
        <c:lblOffset val="100"/>
        <c:noMultiLvlLbl val="0"/>
      </c:catAx>
      <c:valAx>
        <c:axId val="134567040"/>
        <c:scaling>
          <c:orientation val="minMax"/>
        </c:scaling>
        <c:delete val="0"/>
        <c:axPos val="l"/>
        <c:numFmt formatCode="0.000E+00" sourceLinked="0"/>
        <c:majorTickMark val="out"/>
        <c:minorTickMark val="none"/>
        <c:tickLblPos val="nextTo"/>
        <c:crossAx val="1345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72157275605173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curves'!$A$24:$A$28</c:f>
              <c:numCache>
                <c:formatCode>0.00E+00</c:formatCode>
                <c:ptCount val="5"/>
                <c:pt idx="0" formatCode="0.00">
                  <c:v>0.02</c:v>
                </c:pt>
                <c:pt idx="1">
                  <c:v>2E-3</c:v>
                </c:pt>
                <c:pt idx="2">
                  <c:v>2.0000000000000001E-4</c:v>
                </c:pt>
                <c:pt idx="3">
                  <c:v>2.0000000000000002E-5</c:v>
                </c:pt>
                <c:pt idx="4">
                  <c:v>1.9999999999999999E-6</c:v>
                </c:pt>
              </c:numCache>
            </c:numRef>
          </c:xVal>
          <c:yVal>
            <c:numRef>
              <c:f>'std curves'!$B$24:$B$28</c:f>
              <c:numCache>
                <c:formatCode>General</c:formatCode>
                <c:ptCount val="5"/>
                <c:pt idx="0">
                  <c:v>3103317871</c:v>
                </c:pt>
                <c:pt idx="1">
                  <c:v>615394745</c:v>
                </c:pt>
                <c:pt idx="2">
                  <c:v>78027367</c:v>
                </c:pt>
                <c:pt idx="3">
                  <c:v>15730722</c:v>
                </c:pt>
                <c:pt idx="4">
                  <c:v>5301767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6000"/>
        <c:axId val="133545984"/>
      </c:scatterChart>
      <c:valAx>
        <c:axId val="133536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3545984"/>
        <c:crosses val="autoZero"/>
        <c:crossBetween val="midCat"/>
      </c:valAx>
      <c:valAx>
        <c:axId val="13354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53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normalisedToVol!$BR$59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normalisedToVol!$BR$72</c:f>
              <c:numCache>
                <c:formatCode>0.00E+00</c:formatCode>
                <c:ptCount val="1"/>
                <c:pt idx="0">
                  <c:v>5.1798882430801935E-4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normalisedToVol!$BR$59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normalisedToVol!$BR$74</c:f>
              <c:numCache>
                <c:formatCode>0.00E+00</c:formatCode>
                <c:ptCount val="1"/>
                <c:pt idx="0">
                  <c:v>4.1313537774052817E-5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83808"/>
        <c:axId val="134585344"/>
      </c:barChart>
      <c:catAx>
        <c:axId val="134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85344"/>
        <c:crosses val="autoZero"/>
        <c:auto val="1"/>
        <c:lblAlgn val="ctr"/>
        <c:lblOffset val="100"/>
        <c:noMultiLvlLbl val="0"/>
      </c:catAx>
      <c:valAx>
        <c:axId val="13458534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normalisedToVol!$AV$72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normalisedToVol!$BS$59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normalisedToVol!$BS$72</c:f>
              <c:numCache>
                <c:formatCode>0.00E+00</c:formatCode>
                <c:ptCount val="1"/>
                <c:pt idx="0">
                  <c:v>-8.5993462088059797E-6</c:v>
                </c:pt>
              </c:numCache>
            </c:numRef>
          </c:val>
        </c:ser>
        <c:ser>
          <c:idx val="1"/>
          <c:order val="1"/>
          <c:tx>
            <c:strRef>
              <c:f>normalisedToVol!$AV$74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normalisedToVol!$BS$59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normalisedToVol!$BS$74</c:f>
              <c:numCache>
                <c:formatCode>0.00E+00</c:formatCode>
                <c:ptCount val="1"/>
                <c:pt idx="0">
                  <c:v>-2.9004252617873086E-4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0304"/>
        <c:axId val="134681728"/>
      </c:barChart>
      <c:catAx>
        <c:axId val="1346103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4681728"/>
        <c:crosses val="autoZero"/>
        <c:auto val="1"/>
        <c:lblAlgn val="ctr"/>
        <c:lblOffset val="100"/>
        <c:noMultiLvlLbl val="0"/>
      </c:catAx>
      <c:valAx>
        <c:axId val="1346817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6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normalisedToNumber!$G$19:$L$19</c:f>
              <c:strCache>
                <c:ptCount val="6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</c:strCache>
            </c:strRef>
          </c:cat>
          <c:val>
            <c:numRef>
              <c:f>normalisedToNumber!$G$34:$L$34</c:f>
              <c:numCache>
                <c:formatCode>0.00</c:formatCode>
                <c:ptCount val="6"/>
                <c:pt idx="0">
                  <c:v>-48.854792933912947</c:v>
                </c:pt>
                <c:pt idx="1">
                  <c:v>-98.880516750727423</c:v>
                </c:pt>
                <c:pt idx="2">
                  <c:v>-297.11811509473966</c:v>
                </c:pt>
                <c:pt idx="3">
                  <c:v>-153.77040867154585</c:v>
                </c:pt>
                <c:pt idx="4">
                  <c:v>-92.279066676831121</c:v>
                </c:pt>
                <c:pt idx="5">
                  <c:v>-120.97829511930615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normalisedToNumber!$G$19:$L$19</c:f>
              <c:strCache>
                <c:ptCount val="6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</c:strCache>
            </c:strRef>
          </c:cat>
          <c:val>
            <c:numRef>
              <c:f>normalisedToNumber!$G$36:$L$36</c:f>
              <c:numCache>
                <c:formatCode>0.00</c:formatCode>
                <c:ptCount val="6"/>
                <c:pt idx="0">
                  <c:v>-45.722669129007762</c:v>
                </c:pt>
                <c:pt idx="1">
                  <c:v>-98.45278758004676</c:v>
                </c:pt>
                <c:pt idx="2">
                  <c:v>-285.60097795083567</c:v>
                </c:pt>
                <c:pt idx="3">
                  <c:v>-157.00646200502737</c:v>
                </c:pt>
                <c:pt idx="4">
                  <c:v>-104.93795026780204</c:v>
                </c:pt>
                <c:pt idx="5">
                  <c:v>-125.05496834689502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50688"/>
        <c:axId val="137252224"/>
      </c:barChart>
      <c:catAx>
        <c:axId val="1372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2224"/>
        <c:crosses val="autoZero"/>
        <c:auto val="1"/>
        <c:lblAlgn val="ctr"/>
        <c:lblOffset val="100"/>
        <c:noMultiLvlLbl val="0"/>
      </c:catAx>
      <c:valAx>
        <c:axId val="1372522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72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normalisedToNumber!$Z$19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normalisedToNumber!$Z$34</c:f>
              <c:numCache>
                <c:formatCode>0.00</c:formatCode>
                <c:ptCount val="1"/>
                <c:pt idx="0">
                  <c:v>-201.40010419349096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normalisedToNumber!$Z$19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normalisedToNumber!$Z$36</c:f>
              <c:numCache>
                <c:formatCode>0.00</c:formatCode>
                <c:ptCount val="1"/>
                <c:pt idx="0">
                  <c:v>-233.75733310057666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69248"/>
        <c:axId val="137270784"/>
      </c:barChart>
      <c:catAx>
        <c:axId val="1372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70784"/>
        <c:crosses val="autoZero"/>
        <c:auto val="1"/>
        <c:lblAlgn val="ctr"/>
        <c:lblOffset val="100"/>
        <c:noMultiLvlLbl val="0"/>
      </c:catAx>
      <c:valAx>
        <c:axId val="1372707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72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normalisedToNumber!$Y$19</c:f>
              <c:strCache>
                <c:ptCount val="1"/>
                <c:pt idx="0">
                  <c:v>Lactate</c:v>
                </c:pt>
              </c:strCache>
            </c:strRef>
          </c:cat>
          <c:val>
            <c:numRef>
              <c:f>normalisedToNumber!$Y$34</c:f>
              <c:numCache>
                <c:formatCode>0.00</c:formatCode>
                <c:ptCount val="1"/>
                <c:pt idx="0">
                  <c:v>1896.8272380368132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normalisedToNumber!$Y$19</c:f>
              <c:strCache>
                <c:ptCount val="1"/>
                <c:pt idx="0">
                  <c:v>Lactate</c:v>
                </c:pt>
              </c:strCache>
            </c:strRef>
          </c:cat>
          <c:val>
            <c:numRef>
              <c:f>normalisedToNumber!$Y$36</c:f>
              <c:numCache>
                <c:formatCode>0.00</c:formatCode>
                <c:ptCount val="1"/>
                <c:pt idx="0">
                  <c:v>1863.6111105752293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95744"/>
        <c:axId val="137297280"/>
      </c:barChart>
      <c:catAx>
        <c:axId val="1372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7280"/>
        <c:crosses val="autoZero"/>
        <c:auto val="1"/>
        <c:lblAlgn val="ctr"/>
        <c:lblOffset val="100"/>
        <c:noMultiLvlLbl val="0"/>
      </c:catAx>
      <c:valAx>
        <c:axId val="13729728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72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normalisedToNumber!$X$19</c:f>
              <c:strCache>
                <c:ptCount val="1"/>
                <c:pt idx="0">
                  <c:v>Glucose</c:v>
                </c:pt>
              </c:strCache>
            </c:strRef>
          </c:cat>
          <c:val>
            <c:numRef>
              <c:f>normalisedToNumber!$X$34</c:f>
              <c:numCache>
                <c:formatCode>0.00</c:formatCode>
                <c:ptCount val="1"/>
                <c:pt idx="0">
                  <c:v>-1477.5852488577289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normalisedToNumber!$X$19</c:f>
              <c:strCache>
                <c:ptCount val="1"/>
                <c:pt idx="0">
                  <c:v>Glucose</c:v>
                </c:pt>
              </c:strCache>
            </c:strRef>
          </c:cat>
          <c:val>
            <c:numRef>
              <c:f>normalisedToNumber!$X$36</c:f>
              <c:numCache>
                <c:formatCode>0.00</c:formatCode>
                <c:ptCount val="1"/>
                <c:pt idx="0">
                  <c:v>-965.72644068727493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92128"/>
        <c:axId val="137393664"/>
      </c:barChart>
      <c:catAx>
        <c:axId val="1373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93664"/>
        <c:crosses val="autoZero"/>
        <c:auto val="1"/>
        <c:lblAlgn val="ctr"/>
        <c:lblOffset val="100"/>
        <c:noMultiLvlLbl val="0"/>
      </c:catAx>
      <c:valAx>
        <c:axId val="137393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73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normalisedToNumber!$W$19</c:f>
              <c:strCache>
                <c:ptCount val="1"/>
                <c:pt idx="0">
                  <c:v>Glycine</c:v>
                </c:pt>
              </c:strCache>
            </c:strRef>
          </c:cat>
          <c:val>
            <c:numRef>
              <c:f>normalisedToNumber!$W$34</c:f>
              <c:numCache>
                <c:formatCode>0.00</c:formatCode>
                <c:ptCount val="1"/>
                <c:pt idx="0">
                  <c:v>-60.024495252643945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normalisedToNumber!$W$19</c:f>
              <c:strCache>
                <c:ptCount val="1"/>
                <c:pt idx="0">
                  <c:v>Glycine</c:v>
                </c:pt>
              </c:strCache>
            </c:strRef>
          </c:cat>
          <c:val>
            <c:numRef>
              <c:f>normalisedToNumber!$W$36</c:f>
              <c:numCache>
                <c:formatCode>0.00</c:formatCode>
                <c:ptCount val="1"/>
                <c:pt idx="0">
                  <c:v>-63.261470845692976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2720"/>
        <c:axId val="137424256"/>
      </c:barChart>
      <c:catAx>
        <c:axId val="1374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24256"/>
        <c:crosses val="autoZero"/>
        <c:auto val="1"/>
        <c:lblAlgn val="ctr"/>
        <c:lblOffset val="100"/>
        <c:noMultiLvlLbl val="0"/>
      </c:catAx>
      <c:valAx>
        <c:axId val="137424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742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normalisedToNumber!$Q$19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normalisedToNumber!$Q$34</c:f>
              <c:numCache>
                <c:formatCode>0.00</c:formatCode>
                <c:ptCount val="1"/>
                <c:pt idx="0">
                  <c:v>0.39594751596638927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normalisedToNumber!$Q$19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normalisedToNumber!$Q$36</c:f>
              <c:numCache>
                <c:formatCode>0.00</c:formatCode>
                <c:ptCount val="1"/>
                <c:pt idx="0">
                  <c:v>0.13305291318855925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27840"/>
        <c:axId val="139429376"/>
      </c:barChart>
      <c:catAx>
        <c:axId val="1394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29376"/>
        <c:crosses val="autoZero"/>
        <c:auto val="1"/>
        <c:lblAlgn val="ctr"/>
        <c:lblOffset val="100"/>
        <c:noMultiLvlLbl val="0"/>
      </c:catAx>
      <c:valAx>
        <c:axId val="139429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94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normalisedToNumber!$T$19:$W$19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normalisedToNumber!$T$34:$W$34</c:f>
              <c:numCache>
                <c:formatCode>0.00</c:formatCode>
                <c:ptCount val="4"/>
                <c:pt idx="0">
                  <c:v>-0.69277139203945581</c:v>
                </c:pt>
                <c:pt idx="1">
                  <c:v>2.6430276870693348</c:v>
                </c:pt>
                <c:pt idx="2">
                  <c:v>-111.58943759730623</c:v>
                </c:pt>
                <c:pt idx="3">
                  <c:v>-60.024495252643945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normalisedToNumber!$T$19:$W$19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normalisedToNumber!$T$36:$W$36</c:f>
              <c:numCache>
                <c:formatCode>0.00</c:formatCode>
                <c:ptCount val="4"/>
                <c:pt idx="0">
                  <c:v>-0.1568381010335225</c:v>
                </c:pt>
                <c:pt idx="1">
                  <c:v>12.205195999825911</c:v>
                </c:pt>
                <c:pt idx="2">
                  <c:v>-105.69050873467199</c:v>
                </c:pt>
                <c:pt idx="3">
                  <c:v>-63.261470845692976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54336"/>
        <c:axId val="139455872"/>
      </c:barChart>
      <c:catAx>
        <c:axId val="1394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55872"/>
        <c:crosses val="autoZero"/>
        <c:auto val="1"/>
        <c:lblAlgn val="ctr"/>
        <c:lblOffset val="100"/>
        <c:noMultiLvlLbl val="0"/>
      </c:catAx>
      <c:valAx>
        <c:axId val="1394558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94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normalisedToNumber!$R$19</c:f>
              <c:strCache>
                <c:ptCount val="1"/>
                <c:pt idx="0">
                  <c:v>Glutamate</c:v>
                </c:pt>
              </c:strCache>
            </c:strRef>
          </c:cat>
          <c:val>
            <c:numRef>
              <c:f>normalisedToNumber!$R$34</c:f>
              <c:numCache>
                <c:formatCode>0.00</c:formatCode>
                <c:ptCount val="1"/>
                <c:pt idx="0">
                  <c:v>85.442212486998031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normalisedToNumber!$R$19</c:f>
              <c:strCache>
                <c:ptCount val="1"/>
                <c:pt idx="0">
                  <c:v>Glutamate</c:v>
                </c:pt>
              </c:strCache>
            </c:strRef>
          </c:cat>
          <c:val>
            <c:numRef>
              <c:f>normalisedToNumber!$R$36</c:f>
              <c:numCache>
                <c:formatCode>0.00</c:formatCode>
                <c:ptCount val="1"/>
                <c:pt idx="0">
                  <c:v>21.567702044766257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81856"/>
        <c:axId val="139483392"/>
      </c:barChart>
      <c:catAx>
        <c:axId val="1394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83392"/>
        <c:crosses val="autoZero"/>
        <c:auto val="1"/>
        <c:lblAlgn val="ctr"/>
        <c:lblOffset val="100"/>
        <c:noMultiLvlLbl val="0"/>
      </c:catAx>
      <c:valAx>
        <c:axId val="1394833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948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17755067850561"/>
          <c:y val="0.35787591065947366"/>
          <c:w val="0.35418194002345449"/>
          <c:h val="0.284248178681052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64562542495559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curves'!$A$35:$A$39</c:f>
              <c:numCache>
                <c:formatCode>0.00E+00</c:formatCode>
                <c:ptCount val="5"/>
                <c:pt idx="0">
                  <c:v>0.04</c:v>
                </c:pt>
                <c:pt idx="1">
                  <c:v>4.0000000000000001E-3</c:v>
                </c:pt>
                <c:pt idx="2">
                  <c:v>4.0000000000000002E-4</c:v>
                </c:pt>
                <c:pt idx="3">
                  <c:v>4.0000000000000003E-5</c:v>
                </c:pt>
                <c:pt idx="4">
                  <c:v>3.9999999999999998E-6</c:v>
                </c:pt>
              </c:numCache>
            </c:numRef>
          </c:xVal>
          <c:yVal>
            <c:numRef>
              <c:f>'std curves'!$B$35:$B$39</c:f>
              <c:numCache>
                <c:formatCode>0.00E+00</c:formatCode>
                <c:ptCount val="5"/>
                <c:pt idx="0">
                  <c:v>8501446181</c:v>
                </c:pt>
                <c:pt idx="1">
                  <c:v>2066317256</c:v>
                </c:pt>
                <c:pt idx="2">
                  <c:v>239414531</c:v>
                </c:pt>
                <c:pt idx="3">
                  <c:v>23565335</c:v>
                </c:pt>
                <c:pt idx="4">
                  <c:v>2424482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2192"/>
        <c:axId val="134153728"/>
      </c:scatterChart>
      <c:valAx>
        <c:axId val="1341521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4153728"/>
        <c:crosses val="autoZero"/>
        <c:crossBetween val="midCat"/>
      </c:valAx>
      <c:valAx>
        <c:axId val="1341537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415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normalisedToNumber!$AA$19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normalisedToNumber!$AA$34</c:f>
              <c:numCache>
                <c:formatCode>0.00</c:formatCode>
                <c:ptCount val="1"/>
                <c:pt idx="0">
                  <c:v>2.3323940535853578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normalisedToNumber!$AA$19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normalisedToNumber!$AA$36</c:f>
              <c:numCache>
                <c:formatCode>0.00</c:formatCode>
                <c:ptCount val="1"/>
                <c:pt idx="0">
                  <c:v>0.18602611738873195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12448"/>
        <c:axId val="139522432"/>
      </c:barChart>
      <c:catAx>
        <c:axId val="1395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22432"/>
        <c:crosses val="autoZero"/>
        <c:auto val="1"/>
        <c:lblAlgn val="ctr"/>
        <c:lblOffset val="100"/>
        <c:noMultiLvlLbl val="0"/>
      </c:catAx>
      <c:valAx>
        <c:axId val="1395224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395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normalisedToNumber!$E$34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normalisedToNumber!$AB$19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normalisedToNumber!$AB$34</c:f>
              <c:numCache>
                <c:formatCode>0.00</c:formatCode>
                <c:ptCount val="1"/>
                <c:pt idx="0">
                  <c:v>-3.8721036093655223E-2</c:v>
                </c:pt>
              </c:numCache>
            </c:numRef>
          </c:val>
        </c:ser>
        <c:ser>
          <c:idx val="1"/>
          <c:order val="1"/>
          <c:tx>
            <c:strRef>
              <c:f>normalisedToNumber!$E$36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normalisedToNumber!$AB$19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normalisedToNumber!$AB$36</c:f>
              <c:numCache>
                <c:formatCode>0.00</c:formatCode>
                <c:ptCount val="1"/>
                <c:pt idx="0">
                  <c:v>-1.3060001135157198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5888"/>
        <c:axId val="37767424"/>
      </c:barChart>
      <c:catAx>
        <c:axId val="377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67424"/>
        <c:crosses val="autoZero"/>
        <c:auto val="1"/>
        <c:lblAlgn val="ctr"/>
        <c:lblOffset val="100"/>
        <c:noMultiLvlLbl val="0"/>
      </c:catAx>
      <c:valAx>
        <c:axId val="377674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776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DW'!$H$17:$Q$17</c:f>
              <c:strCache>
                <c:ptCount val="10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  <c:pt idx="6">
                  <c:v>Tryptophan</c:v>
                </c:pt>
                <c:pt idx="7">
                  <c:v>Proline</c:v>
                </c:pt>
                <c:pt idx="8">
                  <c:v>Threonine</c:v>
                </c:pt>
                <c:pt idx="9">
                  <c:v>Lysine</c:v>
                </c:pt>
              </c:strCache>
            </c:strRef>
          </c:cat>
          <c:val>
            <c:numRef>
              <c:f>'normalised to DW'!$H$31:$Q$31</c:f>
              <c:numCache>
                <c:formatCode>0.00E+00</c:formatCode>
                <c:ptCount val="10"/>
                <c:pt idx="0">
                  <c:v>-1.0292173756393866E-4</c:v>
                </c:pt>
                <c:pt idx="1">
                  <c:v>-2.0831025952707687E-4</c:v>
                </c:pt>
                <c:pt idx="2">
                  <c:v>-6.2593475134853382E-4</c:v>
                </c:pt>
                <c:pt idx="3">
                  <c:v>-3.2394605924952085E-4</c:v>
                </c:pt>
                <c:pt idx="4">
                  <c:v>-1.9440307312335831E-4</c:v>
                </c:pt>
                <c:pt idx="5">
                  <c:v>-2.5486335308073287E-4</c:v>
                </c:pt>
                <c:pt idx="6">
                  <c:v>-2.845461123575277E-5</c:v>
                </c:pt>
                <c:pt idx="7">
                  <c:v>7.7467153439167126E-6</c:v>
                </c:pt>
                <c:pt idx="8">
                  <c:v>-2.5115821062224422E-4</c:v>
                </c:pt>
                <c:pt idx="9">
                  <c:v>-3.0290456592536077E-4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DW'!$H$17:$Q$17</c:f>
              <c:strCache>
                <c:ptCount val="10"/>
                <c:pt idx="0">
                  <c:v>Methionine</c:v>
                </c:pt>
                <c:pt idx="1">
                  <c:v>Serine</c:v>
                </c:pt>
                <c:pt idx="2">
                  <c:v>Leucine</c:v>
                </c:pt>
                <c:pt idx="3">
                  <c:v>Valine</c:v>
                </c:pt>
                <c:pt idx="4">
                  <c:v>Phenylalanine</c:v>
                </c:pt>
                <c:pt idx="5">
                  <c:v>Tyrosine</c:v>
                </c:pt>
                <c:pt idx="6">
                  <c:v>Tryptophan</c:v>
                </c:pt>
                <c:pt idx="7">
                  <c:v>Proline</c:v>
                </c:pt>
                <c:pt idx="8">
                  <c:v>Threonine</c:v>
                </c:pt>
                <c:pt idx="9">
                  <c:v>Lysine</c:v>
                </c:pt>
              </c:strCache>
            </c:strRef>
          </c:cat>
          <c:val>
            <c:numRef>
              <c:f>'normalised to DW'!$H$33:$Q$33</c:f>
              <c:numCache>
                <c:formatCode>0.00E+00</c:formatCode>
                <c:ptCount val="10"/>
                <c:pt idx="0">
                  <c:v>-5.4740657640369483E-5</c:v>
                </c:pt>
                <c:pt idx="1">
                  <c:v>-1.1787086015151705E-4</c:v>
                </c:pt>
                <c:pt idx="2">
                  <c:v>-3.4193072394023393E-4</c:v>
                </c:pt>
                <c:pt idx="3">
                  <c:v>-1.8797321214325614E-4</c:v>
                </c:pt>
                <c:pt idx="4">
                  <c:v>-1.2563510657883872E-4</c:v>
                </c:pt>
                <c:pt idx="5">
                  <c:v>-1.4971985098222502E-4</c:v>
                </c:pt>
                <c:pt idx="6">
                  <c:v>-1.6887777676718022E-5</c:v>
                </c:pt>
                <c:pt idx="7">
                  <c:v>2.839010814136074E-7</c:v>
                </c:pt>
                <c:pt idx="8">
                  <c:v>-1.496597608843116E-4</c:v>
                </c:pt>
                <c:pt idx="9">
                  <c:v>-1.7662763909181343E-4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62688"/>
        <c:axId val="139764480"/>
      </c:barChart>
      <c:catAx>
        <c:axId val="13976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64480"/>
        <c:crosses val="autoZero"/>
        <c:auto val="1"/>
        <c:lblAlgn val="ctr"/>
        <c:lblOffset val="100"/>
        <c:noMultiLvlLbl val="0"/>
      </c:catAx>
      <c:valAx>
        <c:axId val="1397644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97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DW'!$S$17:$T$17</c:f>
              <c:strCache>
                <c:ptCount val="2"/>
                <c:pt idx="0">
                  <c:v>Glutamate</c:v>
                </c:pt>
                <c:pt idx="1">
                  <c:v>Glutamine</c:v>
                </c:pt>
              </c:strCache>
            </c:strRef>
          </c:cat>
          <c:val>
            <c:numRef>
              <c:f>'normalised to DW'!$S$31:$T$31</c:f>
              <c:numCache>
                <c:formatCode>0.00E+00</c:formatCode>
                <c:ptCount val="2"/>
                <c:pt idx="0">
                  <c:v>1.7999996402327933E-4</c:v>
                </c:pt>
                <c:pt idx="1">
                  <c:v>-1.3041155689818174E-3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DW'!$S$17:$T$17</c:f>
              <c:strCache>
                <c:ptCount val="2"/>
                <c:pt idx="0">
                  <c:v>Glutamate</c:v>
                </c:pt>
                <c:pt idx="1">
                  <c:v>Glutamine</c:v>
                </c:pt>
              </c:strCache>
            </c:strRef>
          </c:cat>
          <c:val>
            <c:numRef>
              <c:f>'normalised to DW'!$S$33:$T$33</c:f>
              <c:numCache>
                <c:formatCode>0.00E+00</c:formatCode>
                <c:ptCount val="2"/>
                <c:pt idx="0">
                  <c:v>2.5821550145965149E-5</c:v>
                </c:pt>
                <c:pt idx="1">
                  <c:v>-6.7808038513899173E-4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93536"/>
        <c:axId val="139795072"/>
      </c:barChart>
      <c:catAx>
        <c:axId val="1397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95072"/>
        <c:crosses val="autoZero"/>
        <c:auto val="1"/>
        <c:lblAlgn val="ctr"/>
        <c:lblOffset val="100"/>
        <c:noMultiLvlLbl val="0"/>
      </c:catAx>
      <c:valAx>
        <c:axId val="13979507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979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DW'!$R$17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'normalised to DW'!$R$31</c:f>
              <c:numCache>
                <c:formatCode>0.00E+00</c:formatCode>
                <c:ptCount val="1"/>
                <c:pt idx="0">
                  <c:v>8.3413732573816853E-7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DW'!$R$17</c:f>
              <c:strCache>
                <c:ptCount val="1"/>
                <c:pt idx="0">
                  <c:v>Asparagine</c:v>
                </c:pt>
              </c:strCache>
            </c:strRef>
          </c:cat>
          <c:val>
            <c:numRef>
              <c:f>'normalised to DW'!$R$33</c:f>
              <c:numCache>
                <c:formatCode>0.00E+00</c:formatCode>
                <c:ptCount val="1"/>
                <c:pt idx="0">
                  <c:v>1.5929524911064135E-7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07744"/>
        <c:axId val="139817728"/>
      </c:barChart>
      <c:catAx>
        <c:axId val="139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98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DW'!$U$17:$X$17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'normalised to DW'!$U$31:$X$31</c:f>
              <c:numCache>
                <c:formatCode>0.00E+00</c:formatCode>
                <c:ptCount val="4"/>
                <c:pt idx="0">
                  <c:v>-1.4594522076828821E-6</c:v>
                </c:pt>
                <c:pt idx="1">
                  <c:v>5.5680310087640446E-6</c:v>
                </c:pt>
                <c:pt idx="2">
                  <c:v>-2.3508397276053274E-4</c:v>
                </c:pt>
                <c:pt idx="3">
                  <c:v>-1.2645279975206103E-4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DW'!$U$17:$X$17</c:f>
              <c:strCache>
                <c:ptCount val="4"/>
                <c:pt idx="0">
                  <c:v>Aspartate</c:v>
                </c:pt>
                <c:pt idx="1">
                  <c:v>Alanine</c:v>
                </c:pt>
                <c:pt idx="2">
                  <c:v>Arginine</c:v>
                </c:pt>
                <c:pt idx="3">
                  <c:v>Glycine</c:v>
                </c:pt>
              </c:strCache>
            </c:strRef>
          </c:cat>
          <c:val>
            <c:numRef>
              <c:f>'normalised to DW'!$U$33:$X$33</c:f>
              <c:numCache>
                <c:formatCode>0.00E+00</c:formatCode>
                <c:ptCount val="4"/>
                <c:pt idx="0">
                  <c:v>-1.8777164494526193E-7</c:v>
                </c:pt>
                <c:pt idx="1">
                  <c:v>1.4612455230357552E-5</c:v>
                </c:pt>
                <c:pt idx="2">
                  <c:v>-1.2653609390468918E-4</c:v>
                </c:pt>
                <c:pt idx="3">
                  <c:v>-7.5738678064034648E-5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90144"/>
        <c:axId val="139991680"/>
      </c:barChart>
      <c:catAx>
        <c:axId val="1399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91680"/>
        <c:crosses val="autoZero"/>
        <c:auto val="1"/>
        <c:lblAlgn val="ctr"/>
        <c:lblOffset val="100"/>
        <c:noMultiLvlLbl val="0"/>
      </c:catAx>
      <c:valAx>
        <c:axId val="13999168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399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DW'!$Y$17:$Z$17</c:f>
              <c:strCache>
                <c:ptCount val="2"/>
                <c:pt idx="0">
                  <c:v>Glucose</c:v>
                </c:pt>
                <c:pt idx="1">
                  <c:v>Lactate</c:v>
                </c:pt>
              </c:strCache>
            </c:strRef>
          </c:cat>
          <c:val>
            <c:numRef>
              <c:f>'normalised to DW'!$Y$31:$Z$31</c:f>
              <c:numCache>
                <c:formatCode>0.00E+00</c:formatCode>
                <c:ptCount val="2"/>
                <c:pt idx="0">
                  <c:v>-3.1128090424413111E-3</c:v>
                </c:pt>
                <c:pt idx="1">
                  <c:v>3.9960205227241611E-3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DW'!$Y$17:$Z$17</c:f>
              <c:strCache>
                <c:ptCount val="2"/>
                <c:pt idx="0">
                  <c:v>Glucose</c:v>
                </c:pt>
                <c:pt idx="1">
                  <c:v>Lactate</c:v>
                </c:pt>
              </c:strCache>
            </c:strRef>
          </c:cat>
          <c:val>
            <c:numRef>
              <c:f>'normalised to DW'!$Y$33:$Z$33</c:f>
              <c:numCache>
                <c:formatCode>0.00E+00</c:formatCode>
                <c:ptCount val="2"/>
                <c:pt idx="0">
                  <c:v>-1.1561989155697817E-3</c:v>
                </c:pt>
                <c:pt idx="1">
                  <c:v>2.2311754698954344E-3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08448"/>
        <c:axId val="140030720"/>
      </c:barChart>
      <c:catAx>
        <c:axId val="1400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30720"/>
        <c:crosses val="autoZero"/>
        <c:auto val="1"/>
        <c:lblAlgn val="ctr"/>
        <c:lblOffset val="100"/>
        <c:noMultiLvlLbl val="0"/>
      </c:catAx>
      <c:valAx>
        <c:axId val="1400307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400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DW'!$AA$17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'normalised to DW'!$AA$31</c:f>
              <c:numCache>
                <c:formatCode>0.00E+00</c:formatCode>
                <c:ptCount val="1"/>
                <c:pt idx="0">
                  <c:v>-4.2428690051336912E-4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DW'!$AA$17</c:f>
              <c:strCache>
                <c:ptCount val="1"/>
                <c:pt idx="0">
                  <c:v>Pyruvate</c:v>
                </c:pt>
              </c:strCache>
            </c:strRef>
          </c:cat>
          <c:val>
            <c:numRef>
              <c:f>'normalised to DW'!$AA$33</c:f>
              <c:numCache>
                <c:formatCode>0.00E+00</c:formatCode>
                <c:ptCount val="1"/>
                <c:pt idx="0">
                  <c:v>-2.7986183628256973E-4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55680"/>
        <c:axId val="140057216"/>
      </c:barChart>
      <c:catAx>
        <c:axId val="140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57216"/>
        <c:crosses val="autoZero"/>
        <c:auto val="1"/>
        <c:lblAlgn val="ctr"/>
        <c:lblOffset val="100"/>
        <c:noMultiLvlLbl val="0"/>
      </c:catAx>
      <c:valAx>
        <c:axId val="14005721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400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DW'!$AB$17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'normalised to DW'!$AB$31</c:f>
              <c:numCache>
                <c:formatCode>0.00E+00</c:formatCode>
                <c:ptCount val="1"/>
                <c:pt idx="0">
                  <c:v>4.9136232959482637E-6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DW'!$AB$17</c:f>
              <c:strCache>
                <c:ptCount val="1"/>
                <c:pt idx="0">
                  <c:v>Fumarate</c:v>
                </c:pt>
              </c:strCache>
            </c:strRef>
          </c:cat>
          <c:val>
            <c:numRef>
              <c:f>'normalised to DW'!$AB$33</c:f>
              <c:numCache>
                <c:formatCode>0.00E+00</c:formatCode>
                <c:ptCount val="1"/>
                <c:pt idx="0">
                  <c:v>2.6237655863212661E-7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78080"/>
        <c:axId val="140083968"/>
      </c:barChart>
      <c:catAx>
        <c:axId val="1400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083968"/>
        <c:crosses val="autoZero"/>
        <c:auto val="1"/>
        <c:lblAlgn val="ctr"/>
        <c:lblOffset val="100"/>
        <c:noMultiLvlLbl val="0"/>
      </c:catAx>
      <c:valAx>
        <c:axId val="14008396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4007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'normalised to DW'!$F$31</c:f>
              <c:strCache>
                <c:ptCount val="1"/>
                <c:pt idx="0">
                  <c:v>UOK262</c:v>
                </c:pt>
              </c:strCache>
            </c:strRef>
          </c:tx>
          <c:invertIfNegative val="0"/>
          <c:cat>
            <c:strRef>
              <c:f>'normalised to DW'!$AC$17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'normalised to DW'!$AC$31</c:f>
              <c:numCache>
                <c:formatCode>0.00E+00</c:formatCode>
                <c:ptCount val="1"/>
                <c:pt idx="0">
                  <c:v>-8.1573087832464837E-8</c:v>
                </c:pt>
              </c:numCache>
            </c:numRef>
          </c:val>
        </c:ser>
        <c:ser>
          <c:idx val="1"/>
          <c:order val="1"/>
          <c:tx>
            <c:strRef>
              <c:f>'normalised to DW'!$F$33</c:f>
              <c:strCache>
                <c:ptCount val="1"/>
                <c:pt idx="0">
                  <c:v>UOK262 pFH</c:v>
                </c:pt>
              </c:strCache>
            </c:strRef>
          </c:tx>
          <c:invertIfNegative val="0"/>
          <c:cat>
            <c:strRef>
              <c:f>'normalised to DW'!$AC$17</c:f>
              <c:strCache>
                <c:ptCount val="1"/>
                <c:pt idx="0">
                  <c:v>Succinate</c:v>
                </c:pt>
              </c:strCache>
            </c:strRef>
          </c:cat>
          <c:val>
            <c:numRef>
              <c:f>'normalised to DW'!$AC$33</c:f>
              <c:numCache>
                <c:formatCode>0.00E+00</c:formatCode>
                <c:ptCount val="1"/>
                <c:pt idx="0">
                  <c:v>-1.8420199279941387E-6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83360"/>
        <c:axId val="140384896"/>
      </c:barChart>
      <c:catAx>
        <c:axId val="1403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84896"/>
        <c:crosses val="autoZero"/>
        <c:auto val="1"/>
        <c:lblAlgn val="ctr"/>
        <c:lblOffset val="100"/>
        <c:noMultiLvlLbl val="0"/>
      </c:catAx>
      <c:valAx>
        <c:axId val="14038489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1403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2196901571148"/>
                  <c:y val="0.31720666932932989"/>
                </c:manualLayout>
              </c:layout>
              <c:numFmt formatCode="General" sourceLinked="0"/>
            </c:trendlineLbl>
          </c:trendline>
          <c:xVal>
            <c:numRef>
              <c:f>'std curves'!$A$45:$A$49</c:f>
              <c:numCache>
                <c:formatCode>0.00E+00</c:formatCode>
                <c:ptCount val="5"/>
                <c:pt idx="0" formatCode="0.00">
                  <c:v>0.02</c:v>
                </c:pt>
                <c:pt idx="1">
                  <c:v>2E-3</c:v>
                </c:pt>
                <c:pt idx="2">
                  <c:v>2.0000000000000001E-4</c:v>
                </c:pt>
                <c:pt idx="3">
                  <c:v>2.0000000000000002E-5</c:v>
                </c:pt>
                <c:pt idx="4">
                  <c:v>1.9999999999999999E-6</c:v>
                </c:pt>
              </c:numCache>
            </c:numRef>
          </c:xVal>
          <c:yVal>
            <c:numRef>
              <c:f>'std curves'!$B$45:$B$49</c:f>
              <c:numCache>
                <c:formatCode>General</c:formatCode>
                <c:ptCount val="5"/>
                <c:pt idx="0">
                  <c:v>3134291103</c:v>
                </c:pt>
                <c:pt idx="1">
                  <c:v>446520666</c:v>
                </c:pt>
                <c:pt idx="2">
                  <c:v>35005776</c:v>
                </c:pt>
                <c:pt idx="3">
                  <c:v>3198497</c:v>
                </c:pt>
                <c:pt idx="4">
                  <c:v>313309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78304"/>
        <c:axId val="134179840"/>
      </c:scatterChart>
      <c:valAx>
        <c:axId val="134178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4179840"/>
        <c:crosses val="autoZero"/>
        <c:crossBetween val="midCat"/>
      </c:valAx>
      <c:valAx>
        <c:axId val="1341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17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curves'!$A$56:$A$59</c:f>
              <c:numCache>
                <c:formatCode>0.00E+00</c:formatCode>
                <c:ptCount val="4"/>
                <c:pt idx="0">
                  <c:v>2.5000000000000001E-3</c:v>
                </c:pt>
                <c:pt idx="1">
                  <c:v>2.5000000000000001E-4</c:v>
                </c:pt>
                <c:pt idx="2">
                  <c:v>2.5000000000000001E-5</c:v>
                </c:pt>
                <c:pt idx="3">
                  <c:v>2.5000000000000002E-6</c:v>
                </c:pt>
              </c:numCache>
            </c:numRef>
          </c:xVal>
          <c:yVal>
            <c:numRef>
              <c:f>'std curves'!$B$56:$B$59</c:f>
              <c:numCache>
                <c:formatCode>General</c:formatCode>
                <c:ptCount val="4"/>
                <c:pt idx="0">
                  <c:v>4761194735</c:v>
                </c:pt>
                <c:pt idx="1">
                  <c:v>645124513</c:v>
                </c:pt>
                <c:pt idx="2">
                  <c:v>65141796</c:v>
                </c:pt>
                <c:pt idx="3">
                  <c:v>6925498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6224"/>
        <c:axId val="134206208"/>
      </c:scatterChart>
      <c:valAx>
        <c:axId val="1341962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34206208"/>
        <c:crosses val="autoZero"/>
        <c:crossBetween val="midCat"/>
      </c:valAx>
      <c:valAx>
        <c:axId val="13420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19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597891489190592"/>
                  <c:y val="0.29274184537974413"/>
                </c:manualLayout>
              </c:layout>
              <c:numFmt formatCode="General" sourceLinked="0"/>
            </c:trendlineLbl>
          </c:trendline>
          <c:xVal>
            <c:numRef>
              <c:f>'std curves'!$A$66:$A$70</c:f>
              <c:numCache>
                <c:formatCode>0.00E+00</c:formatCode>
                <c:ptCount val="5"/>
                <c:pt idx="0" formatCode="0.00">
                  <c:v>3.5000000000000003E-2</c:v>
                </c:pt>
                <c:pt idx="1">
                  <c:v>3.5000000000000001E-3</c:v>
                </c:pt>
                <c:pt idx="2">
                  <c:v>3.5E-4</c:v>
                </c:pt>
                <c:pt idx="3">
                  <c:v>3.4999999999999997E-5</c:v>
                </c:pt>
                <c:pt idx="4">
                  <c:v>3.4999999999999999E-6</c:v>
                </c:pt>
              </c:numCache>
            </c:numRef>
          </c:xVal>
          <c:yVal>
            <c:numRef>
              <c:f>'std curves'!$B$66:$B$70</c:f>
              <c:numCache>
                <c:formatCode>General</c:formatCode>
                <c:ptCount val="5"/>
                <c:pt idx="0">
                  <c:v>2917991262</c:v>
                </c:pt>
                <c:pt idx="1">
                  <c:v>448554749</c:v>
                </c:pt>
                <c:pt idx="2">
                  <c:v>53543237</c:v>
                </c:pt>
                <c:pt idx="3">
                  <c:v>5243274</c:v>
                </c:pt>
                <c:pt idx="4">
                  <c:v>534862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0784"/>
        <c:axId val="139352320"/>
      </c:scatterChart>
      <c:valAx>
        <c:axId val="139350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9352320"/>
        <c:crosses val="autoZero"/>
        <c:crossBetween val="midCat"/>
      </c:valAx>
      <c:valAx>
        <c:axId val="13935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5347531419297"/>
                  <c:y val="0.30089678669627273"/>
                </c:manualLayout>
              </c:layout>
              <c:numFmt formatCode="General" sourceLinked="0"/>
            </c:trendlineLbl>
          </c:trendline>
          <c:xVal>
            <c:numRef>
              <c:f>'std curves'!$L$5:$L$6</c:f>
              <c:numCache>
                <c:formatCode>0.00E+00</c:formatCode>
                <c:ptCount val="2"/>
                <c:pt idx="0">
                  <c:v>3.5000000000000001E-3</c:v>
                </c:pt>
                <c:pt idx="1">
                  <c:v>3.5E-4</c:v>
                </c:pt>
              </c:numCache>
            </c:numRef>
          </c:xVal>
          <c:yVal>
            <c:numRef>
              <c:f>'std curves'!$M$5:$M$6</c:f>
              <c:numCache>
                <c:formatCode>General</c:formatCode>
                <c:ptCount val="2"/>
                <c:pt idx="0">
                  <c:v>371847783</c:v>
                </c:pt>
                <c:pt idx="1">
                  <c:v>39315371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0992"/>
        <c:axId val="44630016"/>
      </c:scatterChart>
      <c:valAx>
        <c:axId val="1393809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4630016"/>
        <c:crosses val="autoZero"/>
        <c:crossBetween val="midCat"/>
      </c:valAx>
      <c:valAx>
        <c:axId val="4463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779878490119098"/>
                  <c:y val="0.34358886767034519"/>
                </c:manualLayout>
              </c:layout>
              <c:numFmt formatCode="General" sourceLinked="0"/>
            </c:trendlineLbl>
          </c:trendline>
          <c:xVal>
            <c:numRef>
              <c:f>'std curves'!$L$14:$L$18</c:f>
              <c:numCache>
                <c:formatCode>0.00E+00</c:formatCode>
                <c:ptCount val="5"/>
                <c:pt idx="0" formatCode="0.00">
                  <c:v>2.5000000000000001E-2</c:v>
                </c:pt>
                <c:pt idx="1">
                  <c:v>2.5000000000000001E-3</c:v>
                </c:pt>
                <c:pt idx="2">
                  <c:v>2.5000000000000001E-4</c:v>
                </c:pt>
                <c:pt idx="3">
                  <c:v>2.5000000000000001E-5</c:v>
                </c:pt>
                <c:pt idx="4">
                  <c:v>2.5000000000000002E-6</c:v>
                </c:pt>
              </c:numCache>
            </c:numRef>
          </c:xVal>
          <c:yVal>
            <c:numRef>
              <c:f>'std curves'!$M$14:$M$18</c:f>
              <c:numCache>
                <c:formatCode>General</c:formatCode>
                <c:ptCount val="5"/>
                <c:pt idx="0">
                  <c:v>760179265.70000005</c:v>
                </c:pt>
                <c:pt idx="1">
                  <c:v>118722733.09999999</c:v>
                </c:pt>
                <c:pt idx="2">
                  <c:v>14106234.960000001</c:v>
                </c:pt>
                <c:pt idx="3">
                  <c:v>1393298.192</c:v>
                </c:pt>
                <c:pt idx="4">
                  <c:v>227557.8481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8688"/>
        <c:axId val="44660224"/>
      </c:scatterChart>
      <c:valAx>
        <c:axId val="44658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4660224"/>
        <c:crosses val="autoZero"/>
        <c:crossBetween val="midCat"/>
      </c:valAx>
      <c:valAx>
        <c:axId val="44660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46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1038225</xdr:colOff>
      <xdr:row>29</xdr:row>
      <xdr:rowOff>19050</xdr:rowOff>
    </xdr:from>
    <xdr:to>
      <xdr:col>25</xdr:col>
      <xdr:colOff>618549</xdr:colOff>
      <xdr:row>38</xdr:row>
      <xdr:rowOff>101384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55150" y="9248775"/>
          <a:ext cx="5085774" cy="1796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119063</xdr:rowOff>
    </xdr:from>
    <xdr:to>
      <xdr:col>8</xdr:col>
      <xdr:colOff>409574</xdr:colOff>
      <xdr:row>8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8</xdr:col>
      <xdr:colOff>371475</xdr:colOff>
      <xdr:row>20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371475</xdr:colOff>
      <xdr:row>30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31</xdr:row>
      <xdr:rowOff>95250</xdr:rowOff>
    </xdr:from>
    <xdr:to>
      <xdr:col>8</xdr:col>
      <xdr:colOff>361950</xdr:colOff>
      <xdr:row>39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8</xdr:col>
      <xdr:colOff>371475</xdr:colOff>
      <xdr:row>50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52</xdr:row>
      <xdr:rowOff>171450</xdr:rowOff>
    </xdr:from>
    <xdr:to>
      <xdr:col>8</xdr:col>
      <xdr:colOff>409575</xdr:colOff>
      <xdr:row>61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371475</xdr:colOff>
      <xdr:row>72</xdr:row>
      <xdr:rowOff>33338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371475</xdr:colOff>
      <xdr:row>9</xdr:row>
      <xdr:rowOff>33338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12</xdr:row>
      <xdr:rowOff>0</xdr:rowOff>
    </xdr:from>
    <xdr:to>
      <xdr:col>19</xdr:col>
      <xdr:colOff>371475</xdr:colOff>
      <xdr:row>20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19</xdr:col>
      <xdr:colOff>371475</xdr:colOff>
      <xdr:row>31</xdr:row>
      <xdr:rowOff>33338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19</xdr:col>
      <xdr:colOff>371475</xdr:colOff>
      <xdr:row>41</xdr:row>
      <xdr:rowOff>33338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19</xdr:col>
      <xdr:colOff>371475</xdr:colOff>
      <xdr:row>52</xdr:row>
      <xdr:rowOff>33338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19</xdr:col>
      <xdr:colOff>371475</xdr:colOff>
      <xdr:row>62</xdr:row>
      <xdr:rowOff>33338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64</xdr:row>
      <xdr:rowOff>19050</xdr:rowOff>
    </xdr:from>
    <xdr:to>
      <xdr:col>19</xdr:col>
      <xdr:colOff>371475</xdr:colOff>
      <xdr:row>72</xdr:row>
      <xdr:rowOff>52388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600075</xdr:colOff>
      <xdr:row>75</xdr:row>
      <xdr:rowOff>57150</xdr:rowOff>
    </xdr:from>
    <xdr:to>
      <xdr:col>19</xdr:col>
      <xdr:colOff>361950</xdr:colOff>
      <xdr:row>83</xdr:row>
      <xdr:rowOff>90488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371475</xdr:colOff>
      <xdr:row>1</xdr:row>
      <xdr:rowOff>133350</xdr:rowOff>
    </xdr:from>
    <xdr:to>
      <xdr:col>31</xdr:col>
      <xdr:colOff>133350</xdr:colOff>
      <xdr:row>8</xdr:row>
      <xdr:rowOff>109538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571500</xdr:colOff>
      <xdr:row>75</xdr:row>
      <xdr:rowOff>38100</xdr:rowOff>
    </xdr:from>
    <xdr:to>
      <xdr:col>8</xdr:col>
      <xdr:colOff>333375</xdr:colOff>
      <xdr:row>83</xdr:row>
      <xdr:rowOff>71438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31</xdr:col>
      <xdr:colOff>371475</xdr:colOff>
      <xdr:row>18</xdr:row>
      <xdr:rowOff>166688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0</xdr:colOff>
      <xdr:row>22</xdr:row>
      <xdr:rowOff>76200</xdr:rowOff>
    </xdr:from>
    <xdr:to>
      <xdr:col>33</xdr:col>
      <xdr:colOff>285750</xdr:colOff>
      <xdr:row>30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19050</xdr:colOff>
      <xdr:row>46</xdr:row>
      <xdr:rowOff>33337</xdr:rowOff>
    </xdr:from>
    <xdr:to>
      <xdr:col>28</xdr:col>
      <xdr:colOff>114300</xdr:colOff>
      <xdr:row>62</xdr:row>
      <xdr:rowOff>71437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409575</xdr:colOff>
      <xdr:row>92</xdr:row>
      <xdr:rowOff>42862</xdr:rowOff>
    </xdr:from>
    <xdr:to>
      <xdr:col>50</xdr:col>
      <xdr:colOff>971550</xdr:colOff>
      <xdr:row>109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76200</xdr:colOff>
      <xdr:row>92</xdr:row>
      <xdr:rowOff>9525</xdr:rowOff>
    </xdr:from>
    <xdr:to>
      <xdr:col>55</xdr:col>
      <xdr:colOff>457200</xdr:colOff>
      <xdr:row>109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476250</xdr:colOff>
      <xdr:row>109</xdr:row>
      <xdr:rowOff>38100</xdr:rowOff>
    </xdr:from>
    <xdr:to>
      <xdr:col>66</xdr:col>
      <xdr:colOff>666750</xdr:colOff>
      <xdr:row>126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1095375</xdr:colOff>
      <xdr:row>100</xdr:row>
      <xdr:rowOff>76200</xdr:rowOff>
    </xdr:from>
    <xdr:to>
      <xdr:col>72</xdr:col>
      <xdr:colOff>333375</xdr:colOff>
      <xdr:row>117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304800</xdr:colOff>
      <xdr:row>91</xdr:row>
      <xdr:rowOff>76200</xdr:rowOff>
    </xdr:from>
    <xdr:to>
      <xdr:col>59</xdr:col>
      <xdr:colOff>581025</xdr:colOff>
      <xdr:row>108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619125</xdr:colOff>
      <xdr:row>90</xdr:row>
      <xdr:rowOff>123825</xdr:rowOff>
    </xdr:from>
    <xdr:to>
      <xdr:col>63</xdr:col>
      <xdr:colOff>476250</xdr:colOff>
      <xdr:row>108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409575</xdr:colOff>
      <xdr:row>90</xdr:row>
      <xdr:rowOff>142875</xdr:rowOff>
    </xdr:from>
    <xdr:to>
      <xdr:col>66</xdr:col>
      <xdr:colOff>771525</xdr:colOff>
      <xdr:row>108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809625</xdr:colOff>
      <xdr:row>109</xdr:row>
      <xdr:rowOff>47625</xdr:rowOff>
    </xdr:from>
    <xdr:to>
      <xdr:col>63</xdr:col>
      <xdr:colOff>314325</xdr:colOff>
      <xdr:row>126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762000</xdr:colOff>
      <xdr:row>109</xdr:row>
      <xdr:rowOff>0</xdr:rowOff>
    </xdr:from>
    <xdr:to>
      <xdr:col>58</xdr:col>
      <xdr:colOff>666750</xdr:colOff>
      <xdr:row>125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0</xdr:colOff>
      <xdr:row>91</xdr:row>
      <xdr:rowOff>0</xdr:rowOff>
    </xdr:from>
    <xdr:to>
      <xdr:col>77</xdr:col>
      <xdr:colOff>19050</xdr:colOff>
      <xdr:row>108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110</xdr:row>
      <xdr:rowOff>0</xdr:rowOff>
    </xdr:from>
    <xdr:to>
      <xdr:col>77</xdr:col>
      <xdr:colOff>19050</xdr:colOff>
      <xdr:row>127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57</xdr:row>
      <xdr:rowOff>100012</xdr:rowOff>
    </xdr:from>
    <xdr:to>
      <xdr:col>10</xdr:col>
      <xdr:colOff>314325</xdr:colOff>
      <xdr:row>71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57</xdr:row>
      <xdr:rowOff>66674</xdr:rowOff>
    </xdr:from>
    <xdr:to>
      <xdr:col>19</xdr:col>
      <xdr:colOff>609600</xdr:colOff>
      <xdr:row>71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73</xdr:row>
      <xdr:rowOff>104775</xdr:rowOff>
    </xdr:from>
    <xdr:to>
      <xdr:col>17</xdr:col>
      <xdr:colOff>190500</xdr:colOff>
      <xdr:row>87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504826</xdr:colOff>
      <xdr:row>73</xdr:row>
      <xdr:rowOff>85725</xdr:rowOff>
    </xdr:from>
    <xdr:to>
      <xdr:col>20</xdr:col>
      <xdr:colOff>381000</xdr:colOff>
      <xdr:row>87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523876</xdr:colOff>
      <xdr:row>73</xdr:row>
      <xdr:rowOff>95250</xdr:rowOff>
    </xdr:from>
    <xdr:to>
      <xdr:col>14</xdr:col>
      <xdr:colOff>200026</xdr:colOff>
      <xdr:row>87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476250</xdr:colOff>
      <xdr:row>59</xdr:row>
      <xdr:rowOff>180975</xdr:rowOff>
    </xdr:from>
    <xdr:to>
      <xdr:col>28</xdr:col>
      <xdr:colOff>228600</xdr:colOff>
      <xdr:row>74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561975</xdr:colOff>
      <xdr:row>57</xdr:row>
      <xdr:rowOff>123825</xdr:rowOff>
    </xdr:from>
    <xdr:to>
      <xdr:col>14</xdr:col>
      <xdr:colOff>238125</xdr:colOff>
      <xdr:row>71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647699</xdr:colOff>
      <xdr:row>60</xdr:row>
      <xdr:rowOff>0</xdr:rowOff>
    </xdr:from>
    <xdr:to>
      <xdr:col>24</xdr:col>
      <xdr:colOff>209549</xdr:colOff>
      <xdr:row>74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25</xdr:col>
      <xdr:colOff>238125</xdr:colOff>
      <xdr:row>90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76</xdr:row>
      <xdr:rowOff>0</xdr:rowOff>
    </xdr:from>
    <xdr:to>
      <xdr:col>29</xdr:col>
      <xdr:colOff>438150</xdr:colOff>
      <xdr:row>90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51</xdr:row>
      <xdr:rowOff>161924</xdr:rowOff>
    </xdr:from>
    <xdr:to>
      <xdr:col>12</xdr:col>
      <xdr:colOff>266700</xdr:colOff>
      <xdr:row>68</xdr:row>
      <xdr:rowOff>80961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51</xdr:row>
      <xdr:rowOff>85725</xdr:rowOff>
    </xdr:from>
    <xdr:to>
      <xdr:col>20</xdr:col>
      <xdr:colOff>285750</xdr:colOff>
      <xdr:row>68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51</xdr:row>
      <xdr:rowOff>38100</xdr:rowOff>
    </xdr:from>
    <xdr:to>
      <xdr:col>28</xdr:col>
      <xdr:colOff>304800</xdr:colOff>
      <xdr:row>67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69</xdr:row>
      <xdr:rowOff>76200</xdr:rowOff>
    </xdr:from>
    <xdr:to>
      <xdr:col>12</xdr:col>
      <xdr:colOff>180975</xdr:colOff>
      <xdr:row>81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552450</xdr:colOff>
      <xdr:row>69</xdr:row>
      <xdr:rowOff>57150</xdr:rowOff>
    </xdr:from>
    <xdr:to>
      <xdr:col>20</xdr:col>
      <xdr:colOff>247650</xdr:colOff>
      <xdr:row>81</xdr:row>
      <xdr:rowOff>166687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581025</xdr:colOff>
      <xdr:row>69</xdr:row>
      <xdr:rowOff>57150</xdr:rowOff>
    </xdr:from>
    <xdr:to>
      <xdr:col>28</xdr:col>
      <xdr:colOff>276225</xdr:colOff>
      <xdr:row>81</xdr:row>
      <xdr:rowOff>166687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51</xdr:row>
      <xdr:rowOff>0</xdr:rowOff>
    </xdr:from>
    <xdr:to>
      <xdr:col>36</xdr:col>
      <xdr:colOff>304800</xdr:colOff>
      <xdr:row>67</xdr:row>
      <xdr:rowOff>109537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95250</xdr:colOff>
      <xdr:row>69</xdr:row>
      <xdr:rowOff>152400</xdr:rowOff>
    </xdr:from>
    <xdr:to>
      <xdr:col>36</xdr:col>
      <xdr:colOff>400050</xdr:colOff>
      <xdr:row>86</xdr:row>
      <xdr:rowOff>71437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fia%20Costa/Mass%20Spec/Marco/150117%20CORE%20HILIC/data_HI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 Curve"/>
      <sheetName val="Fumarate"/>
      <sheetName val="Succinate"/>
    </sheetNames>
    <sheetDataSet>
      <sheetData sheetId="0">
        <row r="4">
          <cell r="F4">
            <v>0.37291200297010657</v>
          </cell>
          <cell r="G4">
            <v>11.045361613848232</v>
          </cell>
        </row>
        <row r="5">
          <cell r="F5">
            <v>-0.62708799702989348</v>
          </cell>
          <cell r="G5">
            <v>10.445782827836913</v>
          </cell>
        </row>
        <row r="6">
          <cell r="F6">
            <v>-1.6270879970298935</v>
          </cell>
          <cell r="G6">
            <v>9.7053328407528312</v>
          </cell>
        </row>
        <row r="7">
          <cell r="F7">
            <v>-2.6270879970298933</v>
          </cell>
          <cell r="G7">
            <v>8.7512568439567691</v>
          </cell>
        </row>
        <row r="8">
          <cell r="F8">
            <v>-3.6270879970298933</v>
          </cell>
          <cell r="G8">
            <v>7.7587650670104313</v>
          </cell>
        </row>
        <row r="9">
          <cell r="F9">
            <v>-4.6270879970298937</v>
          </cell>
          <cell r="G9">
            <v>6.9749919171188761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H26" workbookViewId="0">
      <selection activeCell="L40" sqref="L40"/>
    </sheetView>
  </sheetViews>
  <sheetFormatPr defaultRowHeight="15" x14ac:dyDescent="0.25"/>
  <cols>
    <col min="1" max="1" width="20.42578125" style="1" bestFit="1" customWidth="1"/>
    <col min="2" max="2" width="30.7109375" style="1" bestFit="1" customWidth="1"/>
    <col min="3" max="3" width="26.42578125" style="1" bestFit="1" customWidth="1"/>
    <col min="4" max="4" width="18.140625" style="1" bestFit="1" customWidth="1"/>
    <col min="5" max="5" width="18.140625" style="1" customWidth="1"/>
    <col min="6" max="6" width="23.85546875" style="1" bestFit="1" customWidth="1"/>
    <col min="7" max="8" width="18.140625" style="1" customWidth="1"/>
    <col min="9" max="9" width="16.5703125" style="1" bestFit="1" customWidth="1"/>
    <col min="10" max="10" width="10.42578125" style="1" bestFit="1" customWidth="1"/>
    <col min="11" max="11" width="10.7109375" style="1" bestFit="1" customWidth="1"/>
    <col min="12" max="12" width="14" style="1" bestFit="1" customWidth="1"/>
    <col min="13" max="13" width="11.140625" style="1" bestFit="1" customWidth="1"/>
    <col min="14" max="14" width="13.7109375" style="1" bestFit="1" customWidth="1"/>
    <col min="15" max="15" width="10.140625" style="1" bestFit="1" customWidth="1"/>
    <col min="16" max="16" width="22" style="1" customWidth="1"/>
    <col min="17" max="17" width="12" style="1" customWidth="1"/>
    <col min="18" max="18" width="22" style="1" bestFit="1" customWidth="1"/>
    <col min="19" max="19" width="17.7109375" style="1" bestFit="1" customWidth="1"/>
    <col min="20" max="20" width="11.28515625" style="1" bestFit="1" customWidth="1"/>
    <col min="21" max="21" width="14" style="1" bestFit="1" customWidth="1"/>
    <col min="22" max="22" width="9.140625" style="1" bestFit="1" customWidth="1"/>
    <col min="23" max="25" width="10.140625" style="1" bestFit="1" customWidth="1"/>
    <col min="26" max="26" width="22.28515625" style="1" bestFit="1" customWidth="1"/>
    <col min="27" max="27" width="10.140625" style="1" bestFit="1" customWidth="1"/>
    <col min="28" max="28" width="13.7109375" style="1" bestFit="1" customWidth="1"/>
    <col min="29" max="29" width="13.5703125" style="1" bestFit="1" customWidth="1"/>
    <col min="30" max="30" width="17.140625" style="1" bestFit="1" customWidth="1"/>
    <col min="31" max="31" width="11.140625" style="1" bestFit="1" customWidth="1"/>
    <col min="32" max="32" width="9.140625" style="1" bestFit="1" customWidth="1"/>
    <col min="33" max="33" width="25.28515625" style="1" bestFit="1" customWidth="1"/>
    <col min="34" max="34" width="9.140625" style="1" bestFit="1" customWidth="1"/>
    <col min="35" max="35" width="12.140625" style="1" bestFit="1" customWidth="1"/>
    <col min="36" max="36" width="11" style="1" bestFit="1" customWidth="1"/>
    <col min="37" max="37" width="11.5703125" style="1" bestFit="1" customWidth="1"/>
    <col min="38" max="38" width="9.140625" style="1" bestFit="1" customWidth="1"/>
    <col min="39" max="39" width="10.140625" style="1" bestFit="1" customWidth="1"/>
    <col min="40" max="40" width="10.42578125" style="1" bestFit="1" customWidth="1"/>
    <col min="41" max="41" width="9.42578125" style="1" bestFit="1" customWidth="1"/>
    <col min="42" max="42" width="9.7109375" style="1" bestFit="1" customWidth="1"/>
    <col min="43" max="43" width="9.140625" style="1" bestFit="1" customWidth="1"/>
    <col min="44" max="44" width="13.28515625" style="1" bestFit="1" customWidth="1"/>
    <col min="45" max="45" width="9.5703125" style="1" bestFit="1" customWidth="1"/>
    <col min="46" max="46" width="8.5703125" style="1" bestFit="1" customWidth="1"/>
    <col min="47" max="47" width="9.5703125" style="1" bestFit="1" customWidth="1"/>
    <col min="48" max="48" width="10.140625" style="1" bestFit="1" customWidth="1"/>
    <col min="49" max="49" width="11.140625" style="1" bestFit="1" customWidth="1"/>
    <col min="50" max="16384" width="9.140625" style="1"/>
  </cols>
  <sheetData>
    <row r="1" spans="1:24" x14ac:dyDescent="0.25">
      <c r="B1" s="11" t="s">
        <v>72</v>
      </c>
      <c r="C1" s="10" t="s">
        <v>48</v>
      </c>
    </row>
    <row r="3" spans="1:24" x14ac:dyDescent="0.25">
      <c r="A3" s="66" t="s">
        <v>143</v>
      </c>
      <c r="B3" s="17" t="s">
        <v>141</v>
      </c>
      <c r="C3" s="17" t="s">
        <v>142</v>
      </c>
    </row>
    <row r="4" spans="1:24" ht="15.75" thickBot="1" x14ac:dyDescent="0.3">
      <c r="B4" s="12">
        <v>5.1365683928571431E-4</v>
      </c>
      <c r="C4" s="12">
        <v>6.5637470833333333E-4</v>
      </c>
    </row>
    <row r="5" spans="1:24" x14ac:dyDescent="0.25">
      <c r="P5" s="21"/>
      <c r="Q5" s="22"/>
      <c r="R5" s="22"/>
      <c r="S5" s="23"/>
    </row>
    <row r="6" spans="1:24" x14ac:dyDescent="0.25">
      <c r="A6" s="17" t="s">
        <v>85</v>
      </c>
      <c r="B6" s="17" t="s">
        <v>75</v>
      </c>
      <c r="C6" s="19">
        <v>0.79166666666666663</v>
      </c>
      <c r="P6" s="24"/>
      <c r="Q6" s="29" t="s">
        <v>76</v>
      </c>
      <c r="R6" s="30"/>
      <c r="S6" s="25"/>
    </row>
    <row r="7" spans="1:24" x14ac:dyDescent="0.25">
      <c r="C7" s="12"/>
      <c r="P7" s="24"/>
      <c r="Q7" s="13" t="s">
        <v>136</v>
      </c>
      <c r="R7" s="26">
        <f>24*LN(2)/LN(D32/D16)</f>
        <v>24.002056131148574</v>
      </c>
      <c r="S7" s="25"/>
    </row>
    <row r="8" spans="1:24" x14ac:dyDescent="0.25">
      <c r="A8" s="11" t="s">
        <v>77</v>
      </c>
      <c r="P8" s="24"/>
      <c r="Q8" s="1" t="s">
        <v>137</v>
      </c>
      <c r="R8" s="26">
        <f>24*LN(2)/LN(D37/D22)</f>
        <v>17.430334164381552</v>
      </c>
      <c r="S8" s="25"/>
    </row>
    <row r="9" spans="1:24" ht="15.75" thickBot="1" x14ac:dyDescent="0.3">
      <c r="A9" s="19">
        <v>0.41666666666666669</v>
      </c>
      <c r="C9" s="1" t="s">
        <v>79</v>
      </c>
      <c r="F9" s="1" t="s">
        <v>140</v>
      </c>
      <c r="H9" s="1" t="s">
        <v>148</v>
      </c>
      <c r="K9" s="1" t="s">
        <v>80</v>
      </c>
      <c r="M9" s="1" t="s">
        <v>81</v>
      </c>
      <c r="P9" s="27"/>
      <c r="Q9" s="15"/>
      <c r="R9" s="15"/>
      <c r="S9" s="28"/>
    </row>
    <row r="10" spans="1:24" ht="15.75" thickBot="1" x14ac:dyDescent="0.3">
      <c r="C10" s="15" t="s">
        <v>73</v>
      </c>
      <c r="F10" s="15" t="s">
        <v>73</v>
      </c>
      <c r="H10" s="15" t="s">
        <v>73</v>
      </c>
      <c r="I10" s="71" t="s">
        <v>150</v>
      </c>
      <c r="K10" s="15" t="s">
        <v>73</v>
      </c>
      <c r="M10" s="15" t="s">
        <v>73</v>
      </c>
    </row>
    <row r="11" spans="1:24" ht="15.75" thickBot="1" x14ac:dyDescent="0.3">
      <c r="A11" s="1">
        <v>1</v>
      </c>
      <c r="B11" s="1" t="s">
        <v>136</v>
      </c>
      <c r="C11" s="12">
        <f>463900*0.2</f>
        <v>92780</v>
      </c>
      <c r="F11" s="12">
        <f>C11*$B$4</f>
        <v>47.657081548928574</v>
      </c>
      <c r="H11" s="12">
        <f>F11/0.75</f>
        <v>63.542775398571429</v>
      </c>
      <c r="I11" s="12"/>
      <c r="K11" s="12">
        <v>5161</v>
      </c>
      <c r="M11" s="12">
        <f t="shared" ref="M11:M22" si="0">C11*K11</f>
        <v>478837580</v>
      </c>
    </row>
    <row r="12" spans="1:24" x14ac:dyDescent="0.25">
      <c r="A12" s="1">
        <v>2</v>
      </c>
      <c r="B12" s="1" t="s">
        <v>136</v>
      </c>
      <c r="C12" s="12">
        <f>553700*0.2</f>
        <v>110740</v>
      </c>
      <c r="F12" s="12">
        <f t="shared" ref="F12:F16" si="1">C12*$B$4</f>
        <v>56.882358382500001</v>
      </c>
      <c r="H12" s="12">
        <f t="shared" ref="H12:H22" si="2">F12/0.75</f>
        <v>75.843144510000002</v>
      </c>
      <c r="I12" s="12"/>
      <c r="K12" s="12">
        <v>4673</v>
      </c>
      <c r="M12" s="12">
        <f t="shared" si="0"/>
        <v>517488020</v>
      </c>
      <c r="P12" s="21"/>
      <c r="Q12" s="22"/>
      <c r="R12" s="22"/>
      <c r="S12" s="23"/>
      <c r="U12" s="21"/>
      <c r="V12" s="22"/>
      <c r="W12" s="22"/>
      <c r="X12" s="23"/>
    </row>
    <row r="13" spans="1:24" x14ac:dyDescent="0.25">
      <c r="A13" s="1">
        <v>3</v>
      </c>
      <c r="B13" s="1" t="s">
        <v>136</v>
      </c>
      <c r="C13" s="12">
        <f>623900*0.2</f>
        <v>124780</v>
      </c>
      <c r="F13" s="12">
        <f t="shared" si="1"/>
        <v>64.094100406071433</v>
      </c>
      <c r="H13" s="12">
        <f t="shared" si="2"/>
        <v>85.458800541428573</v>
      </c>
      <c r="I13" s="12"/>
      <c r="K13" s="12">
        <v>4830</v>
      </c>
      <c r="M13" s="12">
        <f t="shared" si="0"/>
        <v>602687400</v>
      </c>
      <c r="P13" s="24"/>
      <c r="Q13" s="29" t="s">
        <v>84</v>
      </c>
      <c r="R13" s="31"/>
      <c r="S13" s="25"/>
      <c r="U13" s="24"/>
      <c r="V13" s="29" t="s">
        <v>158</v>
      </c>
      <c r="W13" s="31"/>
      <c r="X13" s="25"/>
    </row>
    <row r="14" spans="1:24" x14ac:dyDescent="0.25">
      <c r="A14" s="1">
        <v>4</v>
      </c>
      <c r="B14" s="1" t="s">
        <v>136</v>
      </c>
      <c r="C14" s="12">
        <f>486400*0.2</f>
        <v>97280</v>
      </c>
      <c r="F14" s="12">
        <f t="shared" si="1"/>
        <v>49.968537325714287</v>
      </c>
      <c r="H14" s="12">
        <f t="shared" si="2"/>
        <v>66.624716434285716</v>
      </c>
      <c r="I14" s="12"/>
      <c r="K14" s="12">
        <v>4455</v>
      </c>
      <c r="M14" s="12">
        <f t="shared" si="0"/>
        <v>433382400</v>
      </c>
      <c r="P14" s="24"/>
      <c r="Q14" s="13" t="s">
        <v>136</v>
      </c>
      <c r="R14" s="20">
        <f>N32-N16</f>
        <v>434715949.33333331</v>
      </c>
      <c r="S14" s="25"/>
      <c r="U14" s="24"/>
      <c r="V14" s="13" t="s">
        <v>136</v>
      </c>
      <c r="W14" s="20">
        <f>D32-D16</f>
        <v>101038</v>
      </c>
      <c r="X14" s="25"/>
    </row>
    <row r="15" spans="1:24" x14ac:dyDescent="0.25">
      <c r="A15" s="1">
        <v>5</v>
      </c>
      <c r="B15" s="1" t="s">
        <v>136</v>
      </c>
      <c r="C15" s="12">
        <f>452600*0.2</f>
        <v>90520</v>
      </c>
      <c r="F15" s="12">
        <f t="shared" si="1"/>
        <v>46.496217092142857</v>
      </c>
      <c r="H15" s="12">
        <f t="shared" si="2"/>
        <v>61.99495612285714</v>
      </c>
      <c r="I15" s="12"/>
      <c r="K15" s="12">
        <v>4384</v>
      </c>
      <c r="M15" s="12">
        <f t="shared" si="0"/>
        <v>396839680</v>
      </c>
      <c r="P15" s="24"/>
      <c r="Q15" s="1" t="s">
        <v>137</v>
      </c>
      <c r="R15" s="20">
        <f>N37-N22</f>
        <v>599078056</v>
      </c>
      <c r="S15" s="25"/>
      <c r="U15" s="24"/>
      <c r="V15" s="1" t="s">
        <v>137</v>
      </c>
      <c r="W15" s="20">
        <f>D37-D22</f>
        <v>118101.33333333333</v>
      </c>
      <c r="X15" s="25"/>
    </row>
    <row r="16" spans="1:24" ht="15.75" thickBot="1" x14ac:dyDescent="0.3">
      <c r="A16" s="13">
        <v>6</v>
      </c>
      <c r="B16" s="13" t="s">
        <v>136</v>
      </c>
      <c r="C16" s="14">
        <f>451000*0.2</f>
        <v>90200</v>
      </c>
      <c r="D16" s="14">
        <f>AVERAGE(C11:C16)</f>
        <v>101050</v>
      </c>
      <c r="E16" s="20"/>
      <c r="F16" s="12">
        <f t="shared" si="1"/>
        <v>46.331846903571432</v>
      </c>
      <c r="G16" s="14">
        <f>AVERAGE(F11:F16)</f>
        <v>51.905023609821427</v>
      </c>
      <c r="H16" s="12">
        <f t="shared" si="2"/>
        <v>61.775795871428578</v>
      </c>
      <c r="I16" s="14">
        <f>AVERAGE(H11:H16)</f>
        <v>69.206698146428579</v>
      </c>
      <c r="K16" s="14">
        <v>4681</v>
      </c>
      <c r="L16" s="14">
        <f>AVERAGE(K11:K16)</f>
        <v>4697.333333333333</v>
      </c>
      <c r="M16" s="12">
        <f t="shared" si="0"/>
        <v>422226200</v>
      </c>
      <c r="N16" s="14">
        <f>AVERAGE(M11:M16)</f>
        <v>475243546.66666669</v>
      </c>
      <c r="P16" s="27"/>
      <c r="Q16" s="15"/>
      <c r="R16" s="15"/>
      <c r="S16" s="28"/>
      <c r="U16" s="27"/>
      <c r="V16" s="15"/>
      <c r="W16" s="15"/>
      <c r="X16" s="28"/>
    </row>
    <row r="17" spans="1:26" x14ac:dyDescent="0.25">
      <c r="A17" s="1">
        <v>7</v>
      </c>
      <c r="B17" s="1" t="s">
        <v>137</v>
      </c>
      <c r="C17" s="12">
        <f>369700*0.2</f>
        <v>73940</v>
      </c>
      <c r="F17" s="12">
        <f>C17*$C$4</f>
        <v>48.532345934166663</v>
      </c>
      <c r="H17" s="12">
        <f t="shared" si="2"/>
        <v>64.709794578888889</v>
      </c>
      <c r="I17" s="12"/>
      <c r="K17" s="12">
        <v>5001</v>
      </c>
      <c r="M17" s="12">
        <f t="shared" si="0"/>
        <v>369773940</v>
      </c>
    </row>
    <row r="18" spans="1:26" ht="15.75" thickBot="1" x14ac:dyDescent="0.3">
      <c r="A18" s="1">
        <v>8</v>
      </c>
      <c r="B18" s="1" t="s">
        <v>137</v>
      </c>
      <c r="C18" s="12">
        <f>367600*0.2</f>
        <v>73520</v>
      </c>
      <c r="F18" s="12">
        <f t="shared" ref="F18:F22" si="3">C18*$C$4</f>
        <v>48.256668556666668</v>
      </c>
      <c r="H18" s="12">
        <f t="shared" si="2"/>
        <v>64.342224742222228</v>
      </c>
      <c r="I18" s="12"/>
      <c r="K18" s="12">
        <v>4910</v>
      </c>
      <c r="M18" s="12">
        <f t="shared" si="0"/>
        <v>360983200</v>
      </c>
    </row>
    <row r="19" spans="1:26" x14ac:dyDescent="0.25">
      <c r="A19" s="1">
        <v>9</v>
      </c>
      <c r="B19" s="1" t="s">
        <v>137</v>
      </c>
      <c r="C19" s="12">
        <f>388000*0.2</f>
        <v>77600</v>
      </c>
      <c r="F19" s="12">
        <f t="shared" si="3"/>
        <v>50.934677366666669</v>
      </c>
      <c r="H19" s="12">
        <f t="shared" si="2"/>
        <v>67.912903155555554</v>
      </c>
      <c r="I19" s="12"/>
      <c r="K19" s="12">
        <v>4756</v>
      </c>
      <c r="M19" s="12">
        <f t="shared" si="0"/>
        <v>369065600</v>
      </c>
      <c r="P19" s="21"/>
      <c r="Q19" s="22"/>
      <c r="R19" s="22"/>
      <c r="S19" s="23"/>
    </row>
    <row r="20" spans="1:26" x14ac:dyDescent="0.25">
      <c r="A20" s="1">
        <v>10</v>
      </c>
      <c r="B20" s="1" t="s">
        <v>137</v>
      </c>
      <c r="C20" s="12">
        <f>387800*0.2</f>
        <v>77560</v>
      </c>
      <c r="F20" s="12">
        <f t="shared" si="3"/>
        <v>50.908422378333334</v>
      </c>
      <c r="H20" s="12">
        <f t="shared" si="2"/>
        <v>67.87789650444445</v>
      </c>
      <c r="I20" s="12"/>
      <c r="K20" s="12">
        <v>5082</v>
      </c>
      <c r="M20" s="12">
        <f t="shared" si="0"/>
        <v>394159920</v>
      </c>
      <c r="P20" s="24"/>
      <c r="Q20" s="29" t="s">
        <v>144</v>
      </c>
      <c r="R20" s="31"/>
      <c r="S20" s="25"/>
    </row>
    <row r="21" spans="1:26" x14ac:dyDescent="0.25">
      <c r="A21" s="1">
        <v>11</v>
      </c>
      <c r="B21" s="1" t="s">
        <v>137</v>
      </c>
      <c r="C21" s="12">
        <f>382900*0.2</f>
        <v>76580</v>
      </c>
      <c r="F21" s="12">
        <f t="shared" si="3"/>
        <v>50.265175164166664</v>
      </c>
      <c r="H21" s="12">
        <f t="shared" si="2"/>
        <v>67.020233552222223</v>
      </c>
      <c r="I21" s="12"/>
      <c r="K21" s="20">
        <v>4331</v>
      </c>
      <c r="M21" s="12">
        <f t="shared" si="0"/>
        <v>331667980</v>
      </c>
      <c r="P21" s="24"/>
      <c r="Q21" s="13" t="s">
        <v>136</v>
      </c>
      <c r="R21" s="20">
        <f>I32-I16</f>
        <v>69.198479636999991</v>
      </c>
      <c r="S21" s="25"/>
    </row>
    <row r="22" spans="1:26" x14ac:dyDescent="0.25">
      <c r="A22" s="13">
        <v>12</v>
      </c>
      <c r="B22" s="13" t="s">
        <v>137</v>
      </c>
      <c r="C22" s="14">
        <f>322400*0.2</f>
        <v>64480</v>
      </c>
      <c r="D22" s="14">
        <f>AVERAGE(C17:C22)</f>
        <v>73946.666666666672</v>
      </c>
      <c r="E22" s="20"/>
      <c r="F22" s="12">
        <f t="shared" si="3"/>
        <v>42.323041193333331</v>
      </c>
      <c r="G22" s="14">
        <f>AVERAGE(F17:F22)</f>
        <v>48.536721765555562</v>
      </c>
      <c r="H22" s="12">
        <f t="shared" si="2"/>
        <v>56.430721591111109</v>
      </c>
      <c r="I22" s="14">
        <f>AVERAGE(H17:H22)</f>
        <v>64.715629020740735</v>
      </c>
      <c r="K22" s="14">
        <v>4826</v>
      </c>
      <c r="L22" s="14">
        <f>AVERAGE(K17:K22)</f>
        <v>4817.666666666667</v>
      </c>
      <c r="M22" s="12">
        <f t="shared" si="0"/>
        <v>311180480</v>
      </c>
      <c r="N22" s="14">
        <f>AVERAGE(M17:M22)</f>
        <v>356138520</v>
      </c>
      <c r="P22" s="24"/>
      <c r="Q22" s="1" t="s">
        <v>137</v>
      </c>
      <c r="R22" s="20">
        <f>I37-I22</f>
        <v>103.35830429392594</v>
      </c>
      <c r="S22" s="25"/>
    </row>
    <row r="23" spans="1:26" ht="15.75" thickBot="1" x14ac:dyDescent="0.3">
      <c r="P23" s="27"/>
      <c r="Q23" s="15"/>
      <c r="R23" s="15"/>
      <c r="S23" s="28"/>
    </row>
    <row r="25" spans="1:26" x14ac:dyDescent="0.25">
      <c r="A25" s="11" t="s">
        <v>78</v>
      </c>
    </row>
    <row r="26" spans="1:26" ht="15.75" thickBot="1" x14ac:dyDescent="0.3">
      <c r="C26" s="1" t="s">
        <v>79</v>
      </c>
      <c r="F26" s="1" t="s">
        <v>140</v>
      </c>
      <c r="H26" s="1" t="s">
        <v>148</v>
      </c>
      <c r="I26" s="1" t="s">
        <v>150</v>
      </c>
      <c r="K26" s="1" t="s">
        <v>80</v>
      </c>
      <c r="M26" s="1" t="s">
        <v>81</v>
      </c>
    </row>
    <row r="27" spans="1:26" ht="15.75" thickBot="1" x14ac:dyDescent="0.3">
      <c r="C27" s="15" t="s">
        <v>74</v>
      </c>
      <c r="F27" s="15" t="s">
        <v>74</v>
      </c>
      <c r="H27" s="15" t="s">
        <v>74</v>
      </c>
      <c r="I27" s="16"/>
      <c r="K27" s="15" t="s">
        <v>74</v>
      </c>
      <c r="M27" s="15">
        <v>24</v>
      </c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3"/>
    </row>
    <row r="28" spans="1:26" x14ac:dyDescent="0.25">
      <c r="A28" s="1">
        <v>1</v>
      </c>
      <c r="B28" s="1" t="s">
        <v>136</v>
      </c>
      <c r="C28" s="12">
        <f>493700*0.4</f>
        <v>197480</v>
      </c>
      <c r="F28" s="12">
        <f>C28*$B$4</f>
        <v>101.43695262214287</v>
      </c>
      <c r="H28" s="12">
        <f>F28/0.75</f>
        <v>135.24927016285716</v>
      </c>
      <c r="I28" s="12"/>
      <c r="K28" s="12">
        <v>4680</v>
      </c>
      <c r="M28" s="12">
        <f>C28*K28</f>
        <v>924206400</v>
      </c>
      <c r="O28" s="16"/>
      <c r="P28" s="24"/>
      <c r="Q28" s="16"/>
      <c r="R28" s="16"/>
      <c r="S28" s="16"/>
      <c r="T28" s="16"/>
      <c r="U28" s="16"/>
      <c r="V28" s="16"/>
      <c r="W28" s="16"/>
      <c r="X28" s="16"/>
      <c r="Y28" s="16"/>
      <c r="Z28" s="25"/>
    </row>
    <row r="29" spans="1:26" x14ac:dyDescent="0.25">
      <c r="A29" s="1">
        <v>2</v>
      </c>
      <c r="B29" s="1" t="s">
        <v>136</v>
      </c>
      <c r="C29" s="12">
        <f>470300*0.4</f>
        <v>188120</v>
      </c>
      <c r="F29" s="12">
        <f t="shared" ref="F29:F31" si="4">C29*$B$4</f>
        <v>96.629124606428576</v>
      </c>
      <c r="H29" s="12">
        <f t="shared" ref="H29:I37" si="5">F29/0.75</f>
        <v>128.83883280857142</v>
      </c>
      <c r="I29" s="12"/>
      <c r="K29" s="12">
        <v>4204</v>
      </c>
      <c r="M29" s="12">
        <f t="shared" ref="M29:M37" si="6">C29*K29</f>
        <v>790856480</v>
      </c>
      <c r="O29" s="16"/>
      <c r="P29" s="24"/>
      <c r="Q29" s="29" t="s">
        <v>86</v>
      </c>
      <c r="R29" s="16"/>
      <c r="S29" s="16"/>
      <c r="T29" s="16"/>
      <c r="U29" s="16"/>
      <c r="V29" s="16"/>
      <c r="W29" s="16"/>
      <c r="X29" s="16"/>
      <c r="Y29" s="16"/>
      <c r="Z29" s="25"/>
    </row>
    <row r="30" spans="1:26" x14ac:dyDescent="0.25">
      <c r="A30" s="1">
        <v>3</v>
      </c>
      <c r="B30" s="1" t="s">
        <v>136</v>
      </c>
      <c r="C30" s="12">
        <f>508500*0.4</f>
        <v>203400</v>
      </c>
      <c r="F30" s="12">
        <f t="shared" si="4"/>
        <v>104.4778011107143</v>
      </c>
      <c r="H30" s="12">
        <f t="shared" si="5"/>
        <v>139.30373481428572</v>
      </c>
      <c r="I30" s="12"/>
      <c r="K30" s="12">
        <v>4493</v>
      </c>
      <c r="M30" s="12">
        <f t="shared" si="6"/>
        <v>913876200</v>
      </c>
      <c r="O30" s="16"/>
      <c r="P30" s="24"/>
      <c r="Q30" s="16"/>
      <c r="R30" s="16"/>
      <c r="S30" s="16"/>
      <c r="T30" s="16"/>
      <c r="U30" s="16"/>
      <c r="V30" s="16"/>
      <c r="W30" s="16"/>
      <c r="X30" s="16"/>
      <c r="Y30" s="16"/>
      <c r="Z30" s="25"/>
    </row>
    <row r="31" spans="1:26" x14ac:dyDescent="0.25">
      <c r="A31" s="1">
        <v>4</v>
      </c>
      <c r="B31" s="1" t="s">
        <v>136</v>
      </c>
      <c r="C31" s="12">
        <f>522800*0.4</f>
        <v>209120</v>
      </c>
      <c r="F31" s="12">
        <f t="shared" si="4"/>
        <v>107.41591823142858</v>
      </c>
      <c r="H31" s="12">
        <f t="shared" si="5"/>
        <v>143.22122430857144</v>
      </c>
      <c r="I31" s="12"/>
      <c r="K31" s="12">
        <v>4512</v>
      </c>
      <c r="M31" s="12">
        <f t="shared" si="6"/>
        <v>943549440</v>
      </c>
      <c r="O31" s="16"/>
      <c r="P31" s="24"/>
      <c r="Q31" s="16"/>
      <c r="R31" s="16" t="s">
        <v>152</v>
      </c>
      <c r="S31" s="16"/>
      <c r="T31" s="16"/>
      <c r="U31" s="16"/>
      <c r="V31" s="16"/>
      <c r="W31" s="16"/>
      <c r="X31" s="16"/>
      <c r="Y31" s="16"/>
      <c r="Z31" s="25"/>
    </row>
    <row r="32" spans="1:26" x14ac:dyDescent="0.25">
      <c r="A32" s="13">
        <v>5</v>
      </c>
      <c r="B32" s="13" t="s">
        <v>136</v>
      </c>
      <c r="C32" s="14">
        <f>530800*0.4</f>
        <v>212320</v>
      </c>
      <c r="D32" s="14">
        <f>AVERAGE(C28:C32)</f>
        <v>202088</v>
      </c>
      <c r="E32" s="20"/>
      <c r="F32" s="14">
        <f>C32*$B$4</f>
        <v>109.05962011714286</v>
      </c>
      <c r="G32" s="14">
        <f>AVERAGE(F28:F32)</f>
        <v>103.80388333757142</v>
      </c>
      <c r="H32" s="12">
        <f>F32/0.75</f>
        <v>145.41282682285714</v>
      </c>
      <c r="I32" s="14">
        <f>AVERAGE(H28:H32)</f>
        <v>138.40517778342857</v>
      </c>
      <c r="K32" s="14">
        <v>4603</v>
      </c>
      <c r="L32" s="14">
        <f>AVERAGE(K28:K32)</f>
        <v>4498.3999999999996</v>
      </c>
      <c r="M32" s="12">
        <f t="shared" si="6"/>
        <v>977308960</v>
      </c>
      <c r="N32" s="14">
        <f>AVERAGE(M28:M32)</f>
        <v>909959496</v>
      </c>
      <c r="O32" s="16"/>
      <c r="P32" s="24"/>
      <c r="Q32" s="16"/>
      <c r="R32" s="16"/>
      <c r="S32" s="16"/>
      <c r="T32" s="16"/>
      <c r="U32" s="16"/>
      <c r="V32" s="16"/>
      <c r="W32" s="16"/>
      <c r="X32" s="16"/>
      <c r="Y32" s="16"/>
      <c r="Z32" s="25"/>
    </row>
    <row r="33" spans="1:26" x14ac:dyDescent="0.25">
      <c r="A33" s="1">
        <v>6</v>
      </c>
      <c r="B33" s="1" t="s">
        <v>137</v>
      </c>
      <c r="C33" s="12">
        <f>443400*0.4</f>
        <v>177360</v>
      </c>
      <c r="F33" s="12">
        <f>C33*$C$4</f>
        <v>116.41461827000001</v>
      </c>
      <c r="H33" s="12">
        <f t="shared" si="5"/>
        <v>155.21949102666667</v>
      </c>
      <c r="I33" s="12"/>
      <c r="K33" s="12">
        <v>5026</v>
      </c>
      <c r="M33" s="12">
        <f t="shared" si="6"/>
        <v>891411360</v>
      </c>
      <c r="O33" s="16"/>
      <c r="P33" s="24"/>
      <c r="Q33" s="33" t="s">
        <v>87</v>
      </c>
      <c r="R33" s="16"/>
      <c r="S33" s="16"/>
      <c r="T33" s="16"/>
      <c r="U33" s="16"/>
      <c r="V33" s="16"/>
      <c r="W33" s="16"/>
      <c r="X33" s="16"/>
      <c r="Y33" s="16"/>
      <c r="Z33" s="25"/>
    </row>
    <row r="34" spans="1:26" x14ac:dyDescent="0.25">
      <c r="A34" s="1">
        <v>7</v>
      </c>
      <c r="B34" s="1" t="s">
        <v>137</v>
      </c>
      <c r="C34" s="12">
        <f>476000*0.4</f>
        <v>190400</v>
      </c>
      <c r="F34" s="12">
        <f t="shared" ref="F34:F37" si="7">C34*$C$4</f>
        <v>124.97374446666666</v>
      </c>
      <c r="H34" s="12">
        <f t="shared" si="5"/>
        <v>166.63165928888887</v>
      </c>
      <c r="I34" s="12"/>
      <c r="K34" s="12">
        <v>4894</v>
      </c>
      <c r="M34" s="12">
        <f t="shared" si="6"/>
        <v>931817600</v>
      </c>
      <c r="O34" s="16"/>
      <c r="P34" s="24"/>
      <c r="Q34" s="33" t="s">
        <v>89</v>
      </c>
      <c r="R34" s="16"/>
      <c r="S34" s="16"/>
      <c r="T34" s="16"/>
      <c r="U34" s="16"/>
      <c r="V34" s="16"/>
      <c r="W34" s="16"/>
      <c r="X34" s="16"/>
      <c r="Y34" s="16"/>
      <c r="Z34" s="25"/>
    </row>
    <row r="35" spans="1:26" x14ac:dyDescent="0.25">
      <c r="A35" s="1">
        <v>8</v>
      </c>
      <c r="B35" s="1" t="s">
        <v>137</v>
      </c>
      <c r="C35" s="12">
        <f>523600*0.4</f>
        <v>209440</v>
      </c>
      <c r="F35" s="12">
        <f>C35*$C$4</f>
        <v>137.47111891333333</v>
      </c>
      <c r="H35" s="12">
        <f t="shared" si="5"/>
        <v>183.29482521777777</v>
      </c>
      <c r="I35" s="12"/>
      <c r="K35" s="12">
        <v>5073</v>
      </c>
      <c r="M35" s="12">
        <f t="shared" si="6"/>
        <v>1062489120</v>
      </c>
      <c r="O35" s="16"/>
      <c r="P35" s="24"/>
      <c r="Q35" s="16"/>
      <c r="R35" s="16"/>
      <c r="S35" s="16"/>
      <c r="T35" s="16"/>
      <c r="U35" s="16"/>
      <c r="V35" s="16"/>
      <c r="W35" s="16"/>
      <c r="X35" s="16"/>
      <c r="Y35" s="16"/>
      <c r="Z35" s="25"/>
    </row>
    <row r="36" spans="1:26" x14ac:dyDescent="0.25">
      <c r="A36" s="1">
        <v>9</v>
      </c>
      <c r="B36" s="1" t="s">
        <v>137</v>
      </c>
      <c r="C36" s="12">
        <f>499900*0.4</f>
        <v>199960</v>
      </c>
      <c r="F36" s="12">
        <f t="shared" si="7"/>
        <v>131.24868667833334</v>
      </c>
      <c r="H36" s="12">
        <f t="shared" si="5"/>
        <v>174.99824890444447</v>
      </c>
      <c r="I36" s="12"/>
      <c r="K36" s="12">
        <v>5199</v>
      </c>
      <c r="M36" s="12">
        <f t="shared" si="6"/>
        <v>1039592040</v>
      </c>
      <c r="P36" s="24"/>
      <c r="Q36" s="33" t="s">
        <v>88</v>
      </c>
      <c r="R36" s="16"/>
      <c r="S36" s="16"/>
      <c r="T36" s="16"/>
      <c r="U36" s="16"/>
      <c r="V36" s="16"/>
      <c r="W36" s="16"/>
      <c r="X36" s="16"/>
      <c r="Y36" s="16"/>
      <c r="Z36" s="25"/>
    </row>
    <row r="37" spans="1:26" x14ac:dyDescent="0.25">
      <c r="A37" s="13">
        <v>10</v>
      </c>
      <c r="B37" s="13" t="s">
        <v>137</v>
      </c>
      <c r="C37" s="14">
        <f>457700*0.4</f>
        <v>183080</v>
      </c>
      <c r="D37" s="14">
        <f>AVERAGE(C33:C37)</f>
        <v>192048</v>
      </c>
      <c r="E37" s="20"/>
      <c r="F37" s="14">
        <f t="shared" si="7"/>
        <v>120.16908160166666</v>
      </c>
      <c r="G37" s="14">
        <f>AVERAGE(F33:F37)</f>
        <v>126.05544998600001</v>
      </c>
      <c r="H37" s="12">
        <f t="shared" si="5"/>
        <v>160.22544213555554</v>
      </c>
      <c r="I37" s="14">
        <f>AVERAGE(H33:H37)</f>
        <v>168.07393331466668</v>
      </c>
      <c r="K37" s="14">
        <v>4647</v>
      </c>
      <c r="L37" s="14">
        <f>AVERAGE(K33:K37)</f>
        <v>4967.8</v>
      </c>
      <c r="M37" s="12">
        <f t="shared" si="6"/>
        <v>850772760</v>
      </c>
      <c r="N37" s="14">
        <f>AVERAGE(M33:M37)</f>
        <v>955216576</v>
      </c>
      <c r="P37" s="24"/>
      <c r="Q37" s="16"/>
      <c r="R37" s="16"/>
      <c r="S37" s="16"/>
      <c r="T37" s="16"/>
      <c r="U37" s="16"/>
      <c r="V37" s="16"/>
      <c r="W37" s="16"/>
      <c r="X37" s="16"/>
      <c r="Y37" s="16"/>
      <c r="Z37" s="25"/>
    </row>
    <row r="38" spans="1:26" x14ac:dyDescent="0.25">
      <c r="F38" s="12"/>
      <c r="H38" s="12"/>
      <c r="L38" s="12"/>
      <c r="P38" s="24"/>
      <c r="Q38" s="16"/>
      <c r="R38" s="16"/>
      <c r="S38" s="16"/>
      <c r="T38" s="16"/>
      <c r="U38" s="16"/>
      <c r="V38" s="16"/>
      <c r="W38" s="16"/>
      <c r="X38" s="16"/>
      <c r="Y38" s="16"/>
      <c r="Z38" s="25"/>
    </row>
    <row r="39" spans="1:26" x14ac:dyDescent="0.25">
      <c r="B39" s="12"/>
      <c r="F39" s="12"/>
      <c r="H39" s="12"/>
      <c r="L39" s="12"/>
      <c r="P39" s="24"/>
      <c r="Q39" s="29" t="s">
        <v>146</v>
      </c>
      <c r="R39" s="31"/>
      <c r="S39" s="67"/>
      <c r="T39" s="16"/>
      <c r="U39" s="16"/>
      <c r="V39" s="16"/>
      <c r="W39" s="16"/>
      <c r="X39" s="16"/>
      <c r="Y39" s="16"/>
      <c r="Z39" s="25"/>
    </row>
    <row r="40" spans="1:26" x14ac:dyDescent="0.25">
      <c r="P40" s="24"/>
      <c r="Q40" s="16"/>
      <c r="R40" s="16"/>
      <c r="S40" s="16"/>
      <c r="T40" s="16"/>
      <c r="U40" s="16"/>
      <c r="V40" s="16"/>
      <c r="W40" s="16"/>
      <c r="X40" s="16"/>
      <c r="Y40" s="16"/>
      <c r="Z40" s="25"/>
    </row>
    <row r="41" spans="1:26" x14ac:dyDescent="0.25">
      <c r="P41" s="24"/>
      <c r="Q41" s="13" t="s">
        <v>136</v>
      </c>
      <c r="R41" s="20">
        <f>((D32*R7)/LN(2))*(1-2^(-24/R7))</f>
        <v>3498708.233105564</v>
      </c>
      <c r="S41" s="16"/>
      <c r="T41" s="16"/>
      <c r="U41" s="16"/>
      <c r="V41" s="16"/>
      <c r="W41" s="16"/>
      <c r="X41" s="16"/>
      <c r="Y41" s="16"/>
      <c r="Z41" s="25"/>
    </row>
    <row r="42" spans="1:26" x14ac:dyDescent="0.25">
      <c r="P42" s="24"/>
      <c r="Q42" s="1" t="s">
        <v>137</v>
      </c>
      <c r="R42" s="20">
        <f>((D37*R8)/LN(2))*(1-2^(-24/R8))</f>
        <v>2969853.6804204532</v>
      </c>
      <c r="S42" s="16"/>
      <c r="T42" s="16"/>
      <c r="U42" s="16"/>
      <c r="V42" s="16"/>
      <c r="W42" s="16"/>
      <c r="X42" s="16"/>
      <c r="Y42" s="16"/>
      <c r="Z42" s="25"/>
    </row>
    <row r="43" spans="1:26" ht="15.75" thickBot="1" x14ac:dyDescent="0.3">
      <c r="P43" s="27"/>
      <c r="Q43" s="15"/>
      <c r="R43" s="15"/>
      <c r="S43" s="15"/>
      <c r="T43" s="15"/>
      <c r="U43" s="15"/>
      <c r="V43" s="15"/>
      <c r="W43" s="15"/>
      <c r="X43" s="15"/>
      <c r="Y43" s="15"/>
      <c r="Z43" s="28"/>
    </row>
    <row r="46" spans="1:26" x14ac:dyDescent="0.25">
      <c r="Q46" s="29" t="s">
        <v>147</v>
      </c>
      <c r="R46" s="31"/>
      <c r="S46" s="67"/>
    </row>
    <row r="47" spans="1:26" x14ac:dyDescent="0.25">
      <c r="Q47" s="16"/>
      <c r="R47" s="16"/>
      <c r="S47" s="16"/>
    </row>
    <row r="48" spans="1:26" x14ac:dyDescent="0.25">
      <c r="Q48" s="13" t="s">
        <v>136</v>
      </c>
      <c r="R48" s="20">
        <f>((N32*R7)/LN(2))*(1-2^(-24/R7))</f>
        <v>15753942740.033005</v>
      </c>
      <c r="S48" s="16"/>
    </row>
    <row r="49" spans="17:19" x14ac:dyDescent="0.25">
      <c r="Q49" s="1" t="s">
        <v>137</v>
      </c>
      <c r="R49" s="20">
        <f>((N37*R8)/LN(2))*(1-2^(-24/R8))</f>
        <v>14771585561.069231</v>
      </c>
      <c r="S49" s="16"/>
    </row>
    <row r="52" spans="17:19" x14ac:dyDescent="0.25">
      <c r="Q52" s="29" t="s">
        <v>149</v>
      </c>
      <c r="R52" s="31"/>
      <c r="S52" s="67"/>
    </row>
    <row r="53" spans="17:19" x14ac:dyDescent="0.25">
      <c r="Q53" s="16"/>
      <c r="R53" s="16"/>
      <c r="S53" s="16"/>
    </row>
    <row r="54" spans="17:19" x14ac:dyDescent="0.25">
      <c r="Q54" s="13" t="s">
        <v>136</v>
      </c>
      <c r="R54" s="20">
        <f>((I32*R7)/LN(2))*(1-2^(-24/R7))</f>
        <v>2396.1805501332133</v>
      </c>
      <c r="S54" s="16"/>
    </row>
    <row r="55" spans="17:19" x14ac:dyDescent="0.25">
      <c r="Q55" s="1" t="s">
        <v>137</v>
      </c>
      <c r="R55" s="20">
        <f>((I37*R8)/LN(2))*(1-2^(-24/R8))</f>
        <v>2599.1157910382026</v>
      </c>
      <c r="S55" s="16"/>
    </row>
    <row r="58" spans="17:19" x14ac:dyDescent="0.25">
      <c r="Q58" s="72"/>
      <c r="R58" s="100" t="s">
        <v>174</v>
      </c>
    </row>
    <row r="59" spans="17:19" x14ac:dyDescent="0.25">
      <c r="Q59" s="72"/>
      <c r="R59" s="72"/>
    </row>
    <row r="60" spans="17:19" x14ac:dyDescent="0.25">
      <c r="Q60" s="101" t="s">
        <v>136</v>
      </c>
      <c r="R60" s="99">
        <f>I32-I16</f>
        <v>69.198479636999991</v>
      </c>
    </row>
    <row r="61" spans="17:19" x14ac:dyDescent="0.25">
      <c r="Q61" s="98" t="s">
        <v>137</v>
      </c>
      <c r="R61" s="99">
        <f>I37-I22</f>
        <v>103.35830429392594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workbookViewId="0">
      <selection activeCell="G38" sqref="G38"/>
    </sheetView>
  </sheetViews>
  <sheetFormatPr defaultRowHeight="15" x14ac:dyDescent="0.25"/>
  <cols>
    <col min="1" max="1" width="7.42578125" bestFit="1" customWidth="1"/>
    <col min="2" max="2" width="11.7109375" bestFit="1" customWidth="1"/>
    <col min="3" max="3" width="26.28515625" bestFit="1" customWidth="1"/>
    <col min="4" max="4" width="10" bestFit="1" customWidth="1"/>
    <col min="5" max="5" width="8.85546875" bestFit="1" customWidth="1"/>
    <col min="6" max="6" width="10.28515625" bestFit="1" customWidth="1"/>
    <col min="7" max="7" width="10.5703125" bestFit="1" customWidth="1"/>
    <col min="8" max="8" width="13.85546875" bestFit="1" customWidth="1"/>
    <col min="9" max="9" width="8.5703125" bestFit="1" customWidth="1"/>
    <col min="10" max="10" width="13.5703125" bestFit="1" customWidth="1"/>
    <col min="11" max="13" width="8.5703125" bestFit="1" customWidth="1"/>
    <col min="14" max="14" width="11.42578125" bestFit="1" customWidth="1"/>
    <col min="15" max="15" width="17.5703125" bestFit="1" customWidth="1"/>
    <col min="16" max="16" width="11.140625" bestFit="1" customWidth="1"/>
    <col min="17" max="17" width="13.85546875" bestFit="1" customWidth="1"/>
    <col min="18" max="18" width="9" bestFit="1" customWidth="1"/>
    <col min="19" max="21" width="8.5703125" bestFit="1" customWidth="1"/>
    <col min="22" max="22" width="22.140625" bestFit="1" customWidth="1"/>
    <col min="24" max="24" width="13.5703125" bestFit="1" customWidth="1"/>
    <col min="25" max="25" width="13.42578125" bestFit="1" customWidth="1"/>
    <col min="26" max="26" width="17" bestFit="1" customWidth="1"/>
    <col min="27" max="27" width="10.140625" bestFit="1" customWidth="1"/>
    <col min="28" max="28" width="8.5703125" bestFit="1" customWidth="1"/>
    <col min="29" max="29" width="25.140625" bestFit="1" customWidth="1"/>
    <col min="30" max="30" width="8.5703125" bestFit="1" customWidth="1"/>
    <col min="31" max="31" width="10.28515625" bestFit="1" customWidth="1"/>
    <col min="32" max="32" width="10.85546875" bestFit="1" customWidth="1"/>
    <col min="33" max="33" width="11.42578125" bestFit="1" customWidth="1"/>
    <col min="34" max="35" width="8.5703125" bestFit="1" customWidth="1"/>
    <col min="36" max="36" width="10.28515625" bestFit="1" customWidth="1"/>
    <col min="37" max="37" width="9.28515625" bestFit="1" customWidth="1"/>
    <col min="38" max="38" width="9.5703125" bestFit="1" customWidth="1"/>
    <col min="39" max="39" width="8.5703125" bestFit="1" customWidth="1"/>
    <col min="40" max="40" width="13.140625" bestFit="1" customWidth="1"/>
    <col min="41" max="41" width="9.42578125" bestFit="1" customWidth="1"/>
    <col min="42" max="42" width="8.5703125" bestFit="1" customWidth="1"/>
    <col min="43" max="43" width="9.42578125" bestFit="1" customWidth="1"/>
    <col min="44" max="45" width="8.5703125" bestFit="1" customWidth="1"/>
  </cols>
  <sheetData>
    <row r="1" spans="1:47" x14ac:dyDescent="0.25">
      <c r="C1" s="88" t="s">
        <v>161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U1" s="81" t="s">
        <v>162</v>
      </c>
    </row>
    <row r="2" spans="1:47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U2" s="1" t="s">
        <v>42</v>
      </c>
    </row>
    <row r="3" spans="1:47" s="1" customFormat="1" x14ac:dyDescent="0.25">
      <c r="A3" s="1">
        <v>1</v>
      </c>
      <c r="B3" s="1" t="s">
        <v>136</v>
      </c>
      <c r="C3" s="12">
        <v>984009266</v>
      </c>
      <c r="D3" s="12">
        <v>985888</v>
      </c>
      <c r="E3" s="12">
        <v>103211951</v>
      </c>
      <c r="F3" s="12">
        <v>604811485</v>
      </c>
      <c r="G3" s="12">
        <v>1331866</v>
      </c>
      <c r="H3" s="12">
        <v>1699233370</v>
      </c>
      <c r="I3" s="12">
        <v>1023644730</v>
      </c>
      <c r="J3" s="12">
        <v>31547935</v>
      </c>
      <c r="K3" s="12">
        <v>151040067</v>
      </c>
      <c r="L3" s="12">
        <v>3764340502</v>
      </c>
      <c r="M3" s="12">
        <v>1750736134</v>
      </c>
      <c r="N3" s="12">
        <v>804633769</v>
      </c>
      <c r="O3" s="12">
        <v>1371989</v>
      </c>
      <c r="P3" s="12">
        <v>205353920</v>
      </c>
      <c r="Q3" s="12">
        <v>369589</v>
      </c>
      <c r="R3" s="12">
        <v>476457</v>
      </c>
      <c r="S3" s="12">
        <v>599768061</v>
      </c>
      <c r="T3" s="12">
        <v>667096419</v>
      </c>
      <c r="U3" s="12">
        <v>729916073</v>
      </c>
      <c r="V3" s="12">
        <v>154521953</v>
      </c>
      <c r="W3" s="12">
        <v>112775107</v>
      </c>
      <c r="X3" s="12">
        <v>10322117</v>
      </c>
      <c r="Y3" s="12">
        <v>35965342</v>
      </c>
      <c r="Z3" s="12">
        <v>62602224</v>
      </c>
      <c r="AA3" s="12">
        <v>946261221</v>
      </c>
      <c r="AB3" s="12">
        <v>70940844</v>
      </c>
      <c r="AC3" s="12">
        <v>79939414</v>
      </c>
      <c r="AD3" s="12">
        <v>9386079</v>
      </c>
      <c r="AE3" s="12">
        <v>1023987391</v>
      </c>
      <c r="AF3" s="12">
        <v>581041</v>
      </c>
      <c r="AG3" s="12">
        <v>429155461</v>
      </c>
      <c r="AH3" s="12">
        <v>53722868</v>
      </c>
      <c r="AI3" s="12">
        <v>106410754</v>
      </c>
      <c r="AJ3" s="12">
        <v>232501423</v>
      </c>
      <c r="AK3" s="12">
        <v>41928130</v>
      </c>
      <c r="AL3" s="12">
        <v>3645443</v>
      </c>
      <c r="AM3" s="12">
        <v>19504188</v>
      </c>
      <c r="AN3" s="12">
        <v>1794807</v>
      </c>
      <c r="AO3" s="12">
        <v>41363481</v>
      </c>
      <c r="AP3" s="12">
        <v>9076073</v>
      </c>
      <c r="AQ3" s="12">
        <v>5657188</v>
      </c>
      <c r="AR3" s="12">
        <v>647866675</v>
      </c>
      <c r="AS3" s="12">
        <v>2215791274</v>
      </c>
      <c r="AU3" s="1">
        <v>20924113.042185299</v>
      </c>
    </row>
    <row r="4" spans="1:47" s="1" customFormat="1" x14ac:dyDescent="0.25">
      <c r="A4" s="1">
        <v>2</v>
      </c>
      <c r="B4" s="1" t="s">
        <v>136</v>
      </c>
      <c r="C4" s="12">
        <v>783793734</v>
      </c>
      <c r="D4" s="12">
        <v>833174</v>
      </c>
      <c r="E4" s="12">
        <v>80009237</v>
      </c>
      <c r="F4" s="12">
        <v>507581983</v>
      </c>
      <c r="G4" s="12">
        <v>922319</v>
      </c>
      <c r="H4" s="12">
        <v>1406621881</v>
      </c>
      <c r="I4" s="12">
        <v>782988075</v>
      </c>
      <c r="J4" s="12">
        <v>28395012</v>
      </c>
      <c r="K4" s="12">
        <v>136621026</v>
      </c>
      <c r="L4" s="12">
        <v>3075362341</v>
      </c>
      <c r="M4" s="12">
        <v>1414188674</v>
      </c>
      <c r="N4" s="12">
        <v>663798064</v>
      </c>
      <c r="O4" s="12">
        <v>958857</v>
      </c>
      <c r="P4" s="12">
        <v>165660059</v>
      </c>
      <c r="Q4" s="12">
        <v>345458</v>
      </c>
      <c r="R4" s="12">
        <v>440931</v>
      </c>
      <c r="S4" s="12">
        <v>501943606</v>
      </c>
      <c r="T4" s="12">
        <v>531976278</v>
      </c>
      <c r="U4" s="12">
        <v>609106125</v>
      </c>
      <c r="V4" s="12">
        <v>128321841</v>
      </c>
      <c r="W4" s="12">
        <v>85561310</v>
      </c>
      <c r="X4" s="12">
        <v>7787673</v>
      </c>
      <c r="Y4" s="12">
        <v>28838198</v>
      </c>
      <c r="Z4" s="12">
        <v>46989683</v>
      </c>
      <c r="AA4" s="12">
        <v>781607999</v>
      </c>
      <c r="AB4" s="12">
        <v>57991241</v>
      </c>
      <c r="AC4" s="12">
        <v>65536364</v>
      </c>
      <c r="AD4" s="12">
        <v>8555061</v>
      </c>
      <c r="AE4" s="12">
        <v>914963233.10000002</v>
      </c>
      <c r="AF4" s="12">
        <v>601809</v>
      </c>
      <c r="AG4" s="12">
        <v>441809127</v>
      </c>
      <c r="AH4" s="12">
        <v>45864557</v>
      </c>
      <c r="AI4" s="12">
        <v>94369767</v>
      </c>
      <c r="AJ4" s="12">
        <v>195491359</v>
      </c>
      <c r="AK4" s="12">
        <v>35254543</v>
      </c>
      <c r="AL4" s="12">
        <v>3183454</v>
      </c>
      <c r="AM4" s="12">
        <v>15610708</v>
      </c>
      <c r="AN4" s="12">
        <v>1544427</v>
      </c>
      <c r="AO4" s="12">
        <v>32579560</v>
      </c>
      <c r="AP4" s="12">
        <v>7205879</v>
      </c>
      <c r="AQ4" s="12">
        <v>5086318</v>
      </c>
      <c r="AR4" s="12">
        <v>517360702</v>
      </c>
      <c r="AS4" s="12">
        <v>1922321925</v>
      </c>
      <c r="AU4" s="1">
        <v>34219266.380460098</v>
      </c>
    </row>
    <row r="5" spans="1:47" s="1" customFormat="1" x14ac:dyDescent="0.25">
      <c r="A5" s="1">
        <v>3</v>
      </c>
      <c r="B5" s="1" t="s">
        <v>136</v>
      </c>
      <c r="C5" s="12">
        <v>783649627</v>
      </c>
      <c r="D5" s="12">
        <v>813030</v>
      </c>
      <c r="E5" s="12">
        <v>82233625</v>
      </c>
      <c r="F5" s="12">
        <v>502068058</v>
      </c>
      <c r="G5" s="12">
        <v>1010718</v>
      </c>
      <c r="H5" s="12">
        <v>1488326107</v>
      </c>
      <c r="I5" s="12">
        <v>838695096</v>
      </c>
      <c r="J5" s="12">
        <v>31956725</v>
      </c>
      <c r="K5" s="12">
        <v>135538621</v>
      </c>
      <c r="L5" s="12">
        <v>3104642652</v>
      </c>
      <c r="M5" s="12">
        <v>1374216394</v>
      </c>
      <c r="N5" s="12">
        <v>643806792</v>
      </c>
      <c r="O5" s="12">
        <v>631035</v>
      </c>
      <c r="P5" s="12">
        <v>156224250</v>
      </c>
      <c r="Q5" s="12">
        <v>369416</v>
      </c>
      <c r="R5" s="12">
        <v>403602</v>
      </c>
      <c r="S5" s="12">
        <v>520954676</v>
      </c>
      <c r="T5" s="12">
        <v>520929614</v>
      </c>
      <c r="U5" s="12">
        <v>591595165</v>
      </c>
      <c r="V5" s="12">
        <v>118654091</v>
      </c>
      <c r="W5" s="12">
        <v>85528891</v>
      </c>
      <c r="X5" s="12">
        <v>7436021</v>
      </c>
      <c r="Y5" s="12">
        <v>27290146</v>
      </c>
      <c r="Z5" s="12">
        <v>39724214</v>
      </c>
      <c r="AA5" s="12">
        <v>775327181</v>
      </c>
      <c r="AB5" s="12">
        <v>61325933</v>
      </c>
      <c r="AC5" s="12">
        <v>63163912</v>
      </c>
      <c r="AD5" s="12">
        <v>8257001</v>
      </c>
      <c r="AE5" s="12">
        <v>824968044.20000005</v>
      </c>
      <c r="AF5" s="12">
        <v>320876</v>
      </c>
      <c r="AG5" s="12">
        <v>464188910</v>
      </c>
      <c r="AH5" s="12">
        <v>43659839</v>
      </c>
      <c r="AI5" s="12">
        <v>83277258</v>
      </c>
      <c r="AJ5" s="12">
        <v>166984907</v>
      </c>
      <c r="AK5" s="12">
        <v>30820601</v>
      </c>
      <c r="AL5" s="12">
        <v>2609033</v>
      </c>
      <c r="AM5" s="12">
        <v>17128444</v>
      </c>
      <c r="AN5" s="12">
        <v>1304213</v>
      </c>
      <c r="AO5" s="12">
        <v>28330086</v>
      </c>
      <c r="AP5" s="12">
        <v>5670490</v>
      </c>
      <c r="AQ5" s="12">
        <v>4109098</v>
      </c>
      <c r="AR5" s="12">
        <v>518221087</v>
      </c>
      <c r="AS5" s="12">
        <v>2100936370</v>
      </c>
      <c r="AU5" s="1">
        <v>4472233.5453966698</v>
      </c>
    </row>
    <row r="6" spans="1:47" s="1" customFormat="1" x14ac:dyDescent="0.25">
      <c r="A6" s="1">
        <v>4</v>
      </c>
      <c r="B6" s="1" t="s">
        <v>136</v>
      </c>
      <c r="C6" s="12">
        <v>889544701</v>
      </c>
      <c r="D6" s="12">
        <v>989938</v>
      </c>
      <c r="E6" s="12">
        <v>96781261</v>
      </c>
      <c r="F6" s="12">
        <v>550319698</v>
      </c>
      <c r="G6" s="12">
        <v>1252827</v>
      </c>
      <c r="H6" s="12">
        <v>1595185480</v>
      </c>
      <c r="I6" s="12">
        <v>997962342</v>
      </c>
      <c r="J6" s="12">
        <v>28940058</v>
      </c>
      <c r="K6" s="12">
        <v>146414635</v>
      </c>
      <c r="L6" s="12">
        <v>3461013560</v>
      </c>
      <c r="M6" s="12">
        <v>1572254759</v>
      </c>
      <c r="N6" s="12">
        <v>757046383</v>
      </c>
      <c r="O6" s="12">
        <v>1285775</v>
      </c>
      <c r="P6" s="12">
        <v>188060826</v>
      </c>
      <c r="Q6" s="12">
        <v>437565</v>
      </c>
      <c r="R6" s="12">
        <v>437832</v>
      </c>
      <c r="S6" s="12">
        <v>536798250</v>
      </c>
      <c r="T6" s="12">
        <v>562343055</v>
      </c>
      <c r="U6" s="12">
        <v>674526788</v>
      </c>
      <c r="V6" s="12">
        <v>139537478</v>
      </c>
      <c r="W6" s="12">
        <v>99236348</v>
      </c>
      <c r="X6" s="12">
        <v>8703099</v>
      </c>
      <c r="Y6" s="12">
        <v>34254950</v>
      </c>
      <c r="Z6" s="12">
        <v>57561962</v>
      </c>
      <c r="AA6" s="12">
        <v>870502942</v>
      </c>
      <c r="AB6" s="12">
        <v>67420234</v>
      </c>
      <c r="AC6" s="12">
        <v>75549283</v>
      </c>
      <c r="AD6" s="12">
        <v>9877945</v>
      </c>
      <c r="AE6" s="12">
        <v>1004082063</v>
      </c>
      <c r="AF6" s="12">
        <v>232645</v>
      </c>
      <c r="AG6" s="12">
        <v>478408464</v>
      </c>
      <c r="AH6" s="12">
        <v>48591915</v>
      </c>
      <c r="AI6" s="12">
        <v>101661605</v>
      </c>
      <c r="AJ6" s="12">
        <v>227397942</v>
      </c>
      <c r="AK6" s="12">
        <v>37980164</v>
      </c>
      <c r="AL6" s="12">
        <v>2861294</v>
      </c>
      <c r="AM6" s="12">
        <v>20070210</v>
      </c>
      <c r="AN6" s="12">
        <v>1664548</v>
      </c>
      <c r="AO6" s="12">
        <v>34203613</v>
      </c>
      <c r="AP6" s="12">
        <v>8939738</v>
      </c>
      <c r="AQ6" s="12">
        <v>5154168</v>
      </c>
      <c r="AR6" s="12">
        <v>620002997</v>
      </c>
      <c r="AS6" s="12">
        <v>2329093139</v>
      </c>
      <c r="AU6" s="1">
        <v>40475100.254664101</v>
      </c>
    </row>
    <row r="7" spans="1:47" s="1" customFormat="1" x14ac:dyDescent="0.25">
      <c r="A7" s="1">
        <v>5</v>
      </c>
      <c r="B7" s="1" t="s">
        <v>136</v>
      </c>
      <c r="C7" s="12">
        <v>973809552</v>
      </c>
      <c r="D7" s="12">
        <v>982660</v>
      </c>
      <c r="E7" s="12">
        <v>102240624</v>
      </c>
      <c r="F7" s="12">
        <v>576850630</v>
      </c>
      <c r="G7" s="12">
        <v>1205636</v>
      </c>
      <c r="H7" s="12">
        <v>1687942895</v>
      </c>
      <c r="I7" s="12">
        <v>862507796</v>
      </c>
      <c r="J7" s="12">
        <v>32537824</v>
      </c>
      <c r="K7" s="12">
        <v>151665036</v>
      </c>
      <c r="L7" s="12">
        <v>3824764905</v>
      </c>
      <c r="M7" s="12">
        <v>1662529832</v>
      </c>
      <c r="N7" s="12">
        <v>795428947</v>
      </c>
      <c r="O7" s="12">
        <v>1205445</v>
      </c>
      <c r="P7" s="12">
        <v>208430046</v>
      </c>
      <c r="Q7" s="12">
        <v>400566</v>
      </c>
      <c r="R7" s="12">
        <v>506169</v>
      </c>
      <c r="S7" s="12">
        <v>608612491</v>
      </c>
      <c r="T7" s="12">
        <v>627158012</v>
      </c>
      <c r="U7" s="12">
        <v>729524280</v>
      </c>
      <c r="V7" s="12">
        <v>148689331</v>
      </c>
      <c r="W7" s="12">
        <v>111370781</v>
      </c>
      <c r="X7" s="12">
        <v>10088791</v>
      </c>
      <c r="Y7" s="12">
        <v>34519232</v>
      </c>
      <c r="Z7" s="12">
        <v>58598661</v>
      </c>
      <c r="AA7" s="12">
        <v>941882047</v>
      </c>
      <c r="AB7" s="12">
        <v>67360637</v>
      </c>
      <c r="AC7" s="12">
        <v>79064640</v>
      </c>
      <c r="AD7" s="12">
        <v>9631965</v>
      </c>
      <c r="AE7" s="12">
        <v>1018625391</v>
      </c>
      <c r="AF7" s="12">
        <v>423820</v>
      </c>
      <c r="AG7" s="12">
        <v>435170901</v>
      </c>
      <c r="AH7" s="12">
        <v>52674070</v>
      </c>
      <c r="AI7" s="12">
        <v>107891888</v>
      </c>
      <c r="AJ7" s="12">
        <v>224036545</v>
      </c>
      <c r="AK7" s="12">
        <v>40095581</v>
      </c>
      <c r="AL7" s="12">
        <v>3700882</v>
      </c>
      <c r="AM7" s="12">
        <v>22170645</v>
      </c>
      <c r="AN7" s="12">
        <v>1857945</v>
      </c>
      <c r="AO7" s="12">
        <v>36775683</v>
      </c>
      <c r="AP7" s="12">
        <v>8665610</v>
      </c>
      <c r="AQ7" s="12">
        <v>5543473</v>
      </c>
      <c r="AR7" s="12">
        <v>618273267</v>
      </c>
      <c r="AS7" s="12">
        <v>2441594345</v>
      </c>
      <c r="AU7" s="1">
        <v>17029364.888505802</v>
      </c>
    </row>
    <row r="8" spans="1:47" s="1" customFormat="1" x14ac:dyDescent="0.25">
      <c r="A8" s="1">
        <v>6</v>
      </c>
      <c r="B8" s="1" t="s">
        <v>138</v>
      </c>
      <c r="C8" s="12">
        <v>935495310</v>
      </c>
      <c r="D8" s="12">
        <v>1078468</v>
      </c>
      <c r="E8" s="12">
        <v>101905233</v>
      </c>
      <c r="F8" s="12">
        <v>582504263</v>
      </c>
      <c r="G8" s="12">
        <v>1138042</v>
      </c>
      <c r="H8" s="12">
        <v>1701294555</v>
      </c>
      <c r="I8" s="12">
        <v>838731801</v>
      </c>
      <c r="J8" s="12">
        <v>32853658</v>
      </c>
      <c r="K8" s="12">
        <v>147101332</v>
      </c>
      <c r="L8" s="12">
        <v>3857109163</v>
      </c>
      <c r="M8" s="12">
        <v>1719424470</v>
      </c>
      <c r="N8" s="12">
        <v>790714422</v>
      </c>
      <c r="O8" s="12">
        <v>3085637</v>
      </c>
      <c r="P8" s="12">
        <v>210871956</v>
      </c>
      <c r="Q8" s="12">
        <v>418078</v>
      </c>
      <c r="R8" s="12">
        <v>543227</v>
      </c>
      <c r="S8" s="12">
        <v>614621682</v>
      </c>
      <c r="T8" s="12">
        <v>540377673</v>
      </c>
      <c r="U8" s="12">
        <v>754427356</v>
      </c>
      <c r="V8" s="12">
        <v>143649141</v>
      </c>
      <c r="W8" s="12">
        <v>110317386</v>
      </c>
      <c r="X8" s="12">
        <v>9179437</v>
      </c>
      <c r="Y8" s="12">
        <v>37328021</v>
      </c>
      <c r="Z8" s="12">
        <v>61332144</v>
      </c>
      <c r="AA8" s="12">
        <v>957644637</v>
      </c>
      <c r="AB8" s="12">
        <v>77252109</v>
      </c>
      <c r="AC8" s="12">
        <v>58492589</v>
      </c>
      <c r="AD8" s="12">
        <v>7161676</v>
      </c>
      <c r="AE8" s="12">
        <v>1073024036</v>
      </c>
      <c r="AF8" s="12">
        <v>1021758</v>
      </c>
      <c r="AG8" s="12">
        <v>482522475</v>
      </c>
      <c r="AH8" s="12">
        <v>54940696</v>
      </c>
      <c r="AI8" s="12">
        <v>111679001</v>
      </c>
      <c r="AJ8" s="12">
        <v>108406681</v>
      </c>
      <c r="AK8" s="12">
        <v>42810211</v>
      </c>
      <c r="AL8" s="12">
        <v>4109810</v>
      </c>
      <c r="AM8" s="12">
        <v>23793811</v>
      </c>
      <c r="AN8" s="12">
        <v>1818119</v>
      </c>
      <c r="AO8" s="12">
        <v>30116389</v>
      </c>
      <c r="AP8" s="12">
        <v>6296665</v>
      </c>
      <c r="AQ8" s="12">
        <v>0</v>
      </c>
      <c r="AR8" s="12">
        <v>612425208</v>
      </c>
      <c r="AS8" s="12">
        <v>2262765639</v>
      </c>
      <c r="AU8" s="1">
        <v>8223774.5149277598</v>
      </c>
    </row>
    <row r="9" spans="1:47" s="1" customFormat="1" x14ac:dyDescent="0.25">
      <c r="A9" s="1">
        <v>7</v>
      </c>
      <c r="B9" s="1" t="s">
        <v>138</v>
      </c>
      <c r="C9" s="12">
        <v>833605963</v>
      </c>
      <c r="D9" s="12">
        <v>883399</v>
      </c>
      <c r="E9" s="12">
        <v>84628418</v>
      </c>
      <c r="F9" s="12">
        <v>568883752</v>
      </c>
      <c r="G9" s="12">
        <v>1022338</v>
      </c>
      <c r="H9" s="12">
        <v>1573238947</v>
      </c>
      <c r="I9" s="12">
        <v>702844775</v>
      </c>
      <c r="J9" s="12">
        <v>30825014</v>
      </c>
      <c r="K9" s="12">
        <v>142145780</v>
      </c>
      <c r="L9" s="12">
        <v>3573706699</v>
      </c>
      <c r="M9" s="12">
        <v>1605721403</v>
      </c>
      <c r="N9" s="12">
        <v>775826851</v>
      </c>
      <c r="O9" s="12">
        <v>2900462</v>
      </c>
      <c r="P9" s="12">
        <v>182787224</v>
      </c>
      <c r="Q9" s="12">
        <v>404941</v>
      </c>
      <c r="R9" s="12">
        <v>440374</v>
      </c>
      <c r="S9" s="12">
        <v>591568391</v>
      </c>
      <c r="T9" s="12">
        <v>483832463</v>
      </c>
      <c r="U9" s="12">
        <v>667424610</v>
      </c>
      <c r="V9" s="12">
        <v>134631702</v>
      </c>
      <c r="W9" s="12">
        <v>98230476</v>
      </c>
      <c r="X9" s="12">
        <v>8567625</v>
      </c>
      <c r="Y9" s="12">
        <v>30805154</v>
      </c>
      <c r="Z9" s="12">
        <v>50260597</v>
      </c>
      <c r="AA9" s="12">
        <v>852340590</v>
      </c>
      <c r="AB9" s="12">
        <v>70502775</v>
      </c>
      <c r="AC9" s="12">
        <v>52857668</v>
      </c>
      <c r="AD9" s="12">
        <v>6796744</v>
      </c>
      <c r="AE9" s="12">
        <v>989554656.60000002</v>
      </c>
      <c r="AF9" s="12">
        <v>1232289</v>
      </c>
      <c r="AG9" s="12">
        <v>473793582</v>
      </c>
      <c r="AH9" s="12">
        <v>46598870</v>
      </c>
      <c r="AI9" s="12">
        <v>97058365</v>
      </c>
      <c r="AJ9" s="12">
        <v>93227531</v>
      </c>
      <c r="AK9" s="12">
        <v>37363360</v>
      </c>
      <c r="AL9" s="12">
        <v>3388960</v>
      </c>
      <c r="AM9" s="12">
        <v>22623800</v>
      </c>
      <c r="AN9" s="12">
        <v>1624765</v>
      </c>
      <c r="AO9" s="12">
        <v>26605393</v>
      </c>
      <c r="AP9" s="12">
        <v>5044879</v>
      </c>
      <c r="AQ9" s="12">
        <v>0</v>
      </c>
      <c r="AR9" s="12">
        <v>595001722</v>
      </c>
      <c r="AS9" s="12">
        <v>2270718896</v>
      </c>
      <c r="AU9" s="1">
        <v>6232678.8029094301</v>
      </c>
    </row>
    <row r="10" spans="1:47" s="1" customFormat="1" x14ac:dyDescent="0.25">
      <c r="A10" s="1">
        <v>8</v>
      </c>
      <c r="B10" s="1" t="s">
        <v>138</v>
      </c>
      <c r="C10" s="12">
        <v>800710354</v>
      </c>
      <c r="D10" s="12">
        <v>780852</v>
      </c>
      <c r="E10" s="12">
        <v>85400439</v>
      </c>
      <c r="F10" s="12">
        <v>522425976</v>
      </c>
      <c r="G10" s="12">
        <v>1063463</v>
      </c>
      <c r="H10" s="12">
        <v>1387408625</v>
      </c>
      <c r="I10" s="12">
        <v>722851819</v>
      </c>
      <c r="J10" s="12">
        <v>29975052</v>
      </c>
      <c r="K10" s="12">
        <v>130988356</v>
      </c>
      <c r="L10" s="12">
        <v>3175202297</v>
      </c>
      <c r="M10" s="12">
        <v>1389192056</v>
      </c>
      <c r="N10" s="12">
        <v>673254457</v>
      </c>
      <c r="O10" s="12">
        <v>2483113</v>
      </c>
      <c r="P10" s="12">
        <v>165181103</v>
      </c>
      <c r="Q10" s="12">
        <v>356084</v>
      </c>
      <c r="R10" s="12">
        <v>437540</v>
      </c>
      <c r="S10" s="12">
        <v>518628407</v>
      </c>
      <c r="T10" s="12">
        <v>427274868</v>
      </c>
      <c r="U10" s="12">
        <v>587931671</v>
      </c>
      <c r="V10" s="12">
        <v>130935368</v>
      </c>
      <c r="W10" s="12">
        <v>82715180</v>
      </c>
      <c r="X10" s="12">
        <v>7226228</v>
      </c>
      <c r="Y10" s="12">
        <v>29298106</v>
      </c>
      <c r="Z10" s="12">
        <v>44539802</v>
      </c>
      <c r="AA10" s="12">
        <v>798954215</v>
      </c>
      <c r="AB10" s="12">
        <v>62977896</v>
      </c>
      <c r="AC10" s="12">
        <v>47396674</v>
      </c>
      <c r="AD10" s="12">
        <v>6653666</v>
      </c>
      <c r="AE10" s="12">
        <v>957144850.20000005</v>
      </c>
      <c r="AF10" s="12">
        <v>1059248</v>
      </c>
      <c r="AG10" s="12">
        <v>481568374</v>
      </c>
      <c r="AH10" s="12">
        <v>47126744</v>
      </c>
      <c r="AI10" s="12">
        <v>98528945</v>
      </c>
      <c r="AJ10" s="12">
        <v>92950777</v>
      </c>
      <c r="AK10" s="12">
        <v>35258606</v>
      </c>
      <c r="AL10" s="12">
        <v>3381599</v>
      </c>
      <c r="AM10" s="12">
        <v>20636562</v>
      </c>
      <c r="AN10" s="12">
        <v>1612970</v>
      </c>
      <c r="AO10" s="12">
        <v>25864866</v>
      </c>
      <c r="AP10" s="12">
        <v>4919809</v>
      </c>
      <c r="AQ10" s="12">
        <v>0</v>
      </c>
      <c r="AR10" s="12">
        <v>521388412</v>
      </c>
      <c r="AS10" s="12">
        <v>2102093973</v>
      </c>
      <c r="AU10" s="1">
        <v>5892724.6092846701</v>
      </c>
    </row>
    <row r="11" spans="1:47" s="1" customFormat="1" x14ac:dyDescent="0.25">
      <c r="A11" s="1">
        <v>9</v>
      </c>
      <c r="B11" s="1" t="s">
        <v>138</v>
      </c>
      <c r="C11" s="12">
        <v>828071832</v>
      </c>
      <c r="D11" s="12">
        <v>743063</v>
      </c>
      <c r="E11" s="12">
        <v>86171631</v>
      </c>
      <c r="F11" s="12">
        <v>531457532</v>
      </c>
      <c r="G11" s="12">
        <v>1002859</v>
      </c>
      <c r="H11" s="12">
        <v>1413087345</v>
      </c>
      <c r="I11" s="12">
        <v>812050347</v>
      </c>
      <c r="J11" s="12">
        <v>26827455</v>
      </c>
      <c r="K11" s="12">
        <v>131086091</v>
      </c>
      <c r="L11" s="12">
        <v>3199509309</v>
      </c>
      <c r="M11" s="12">
        <v>1457539649</v>
      </c>
      <c r="N11" s="12">
        <v>697809279</v>
      </c>
      <c r="O11" s="12">
        <v>2807406</v>
      </c>
      <c r="P11" s="12">
        <v>167722388</v>
      </c>
      <c r="Q11" s="12">
        <v>388716</v>
      </c>
      <c r="R11" s="12">
        <v>340996</v>
      </c>
      <c r="S11" s="12">
        <v>503195530</v>
      </c>
      <c r="T11" s="12">
        <v>444454303</v>
      </c>
      <c r="U11" s="12">
        <v>635338675</v>
      </c>
      <c r="V11" s="12">
        <v>124707781</v>
      </c>
      <c r="W11" s="12">
        <v>85857461</v>
      </c>
      <c r="X11" s="12">
        <v>7088366</v>
      </c>
      <c r="Y11" s="12">
        <v>29971790</v>
      </c>
      <c r="Z11" s="12">
        <v>45588208</v>
      </c>
      <c r="AA11" s="12">
        <v>790581650</v>
      </c>
      <c r="AB11" s="12">
        <v>66510489</v>
      </c>
      <c r="AC11" s="12">
        <v>44700907</v>
      </c>
      <c r="AD11" s="12">
        <v>5947101</v>
      </c>
      <c r="AE11" s="12">
        <v>920874641.29999995</v>
      </c>
      <c r="AF11" s="12">
        <v>1034194</v>
      </c>
      <c r="AG11" s="12">
        <v>437151849</v>
      </c>
      <c r="AH11" s="12">
        <v>44332992</v>
      </c>
      <c r="AI11" s="12">
        <v>93997965</v>
      </c>
      <c r="AJ11" s="12">
        <v>90803463</v>
      </c>
      <c r="AK11" s="12">
        <v>36222471</v>
      </c>
      <c r="AL11" s="12">
        <v>3358031</v>
      </c>
      <c r="AM11" s="12">
        <v>23387732</v>
      </c>
      <c r="AN11" s="12">
        <v>1466453</v>
      </c>
      <c r="AO11" s="12">
        <v>24971846</v>
      </c>
      <c r="AP11" s="12">
        <v>5156074</v>
      </c>
      <c r="AQ11" s="12">
        <v>1405050</v>
      </c>
      <c r="AR11" s="12">
        <v>598171243</v>
      </c>
      <c r="AS11" s="12">
        <v>2301062154</v>
      </c>
      <c r="AU11" s="1">
        <v>0</v>
      </c>
    </row>
    <row r="12" spans="1:47" s="1" customFormat="1" x14ac:dyDescent="0.25">
      <c r="A12" s="1">
        <v>10</v>
      </c>
      <c r="B12" s="1" t="s">
        <v>138</v>
      </c>
      <c r="C12" s="12">
        <v>1103321218</v>
      </c>
      <c r="D12" s="12">
        <v>1080092</v>
      </c>
      <c r="E12" s="12">
        <v>110670146</v>
      </c>
      <c r="F12" s="12">
        <v>665243964</v>
      </c>
      <c r="G12" s="12">
        <v>1571507</v>
      </c>
      <c r="H12" s="12">
        <v>1863491911</v>
      </c>
      <c r="I12" s="12">
        <v>960368754</v>
      </c>
      <c r="J12" s="12">
        <v>32882643</v>
      </c>
      <c r="K12" s="12">
        <v>155629658</v>
      </c>
      <c r="L12" s="12">
        <v>4208896682</v>
      </c>
      <c r="M12" s="12">
        <v>1864579812</v>
      </c>
      <c r="N12" s="12">
        <v>890955650</v>
      </c>
      <c r="O12" s="12">
        <v>3511403</v>
      </c>
      <c r="P12" s="12">
        <v>231404125</v>
      </c>
      <c r="Q12" s="12">
        <v>483206</v>
      </c>
      <c r="R12" s="12">
        <v>547054</v>
      </c>
      <c r="S12" s="12">
        <v>654847430</v>
      </c>
      <c r="T12" s="12">
        <v>576026273</v>
      </c>
      <c r="U12" s="12">
        <v>807031525</v>
      </c>
      <c r="V12" s="12">
        <v>162212584</v>
      </c>
      <c r="W12" s="12">
        <v>119779572</v>
      </c>
      <c r="X12" s="12">
        <v>10117153</v>
      </c>
      <c r="Y12" s="12">
        <v>41412772</v>
      </c>
      <c r="Z12" s="12">
        <v>69049412</v>
      </c>
      <c r="AA12" s="12">
        <v>1001433031</v>
      </c>
      <c r="AB12" s="12">
        <v>85381109</v>
      </c>
      <c r="AC12" s="12">
        <v>62249937</v>
      </c>
      <c r="AD12" s="12">
        <v>8108098</v>
      </c>
      <c r="AE12" s="12">
        <v>1177388249</v>
      </c>
      <c r="AF12" s="12">
        <v>1078785</v>
      </c>
      <c r="AG12" s="12">
        <v>489260130</v>
      </c>
      <c r="AH12" s="12">
        <v>56705714</v>
      </c>
      <c r="AI12" s="12">
        <v>118732979</v>
      </c>
      <c r="AJ12" s="12">
        <v>121046387</v>
      </c>
      <c r="AK12" s="12">
        <v>44701163</v>
      </c>
      <c r="AL12" s="12">
        <v>4612153</v>
      </c>
      <c r="AM12" s="12">
        <v>29621667</v>
      </c>
      <c r="AN12" s="12">
        <v>2283456</v>
      </c>
      <c r="AO12" s="12">
        <v>31650638</v>
      </c>
      <c r="AP12" s="12">
        <v>6840813</v>
      </c>
      <c r="AQ12" s="12">
        <v>1978476</v>
      </c>
      <c r="AR12" s="12">
        <v>683699946</v>
      </c>
      <c r="AS12" s="12">
        <v>2489534503</v>
      </c>
      <c r="AU12" s="1">
        <v>0</v>
      </c>
    </row>
    <row r="13" spans="1:47" s="1" customFormat="1" x14ac:dyDescent="0.25">
      <c r="A13" s="1">
        <v>11</v>
      </c>
      <c r="B13" s="1" t="s">
        <v>47</v>
      </c>
      <c r="C13" s="12">
        <v>1177743593</v>
      </c>
      <c r="D13" s="12">
        <v>1109094</v>
      </c>
      <c r="E13" s="12">
        <v>153071321</v>
      </c>
      <c r="F13" s="12">
        <v>659152649</v>
      </c>
      <c r="G13" s="12">
        <v>1749920</v>
      </c>
      <c r="H13" s="12">
        <v>1986185607</v>
      </c>
      <c r="I13" s="12">
        <v>314072749</v>
      </c>
      <c r="J13" s="12">
        <v>72011885</v>
      </c>
      <c r="K13" s="12">
        <v>161638533</v>
      </c>
      <c r="L13" s="12">
        <v>4463538340</v>
      </c>
      <c r="M13" s="12">
        <v>2015312862</v>
      </c>
      <c r="N13" s="12">
        <v>940888779</v>
      </c>
      <c r="O13" s="12">
        <v>218503</v>
      </c>
      <c r="P13" s="12">
        <v>263535593</v>
      </c>
      <c r="Q13" s="12">
        <v>498662</v>
      </c>
      <c r="R13" s="12">
        <v>574839</v>
      </c>
      <c r="S13" s="12">
        <v>640098779</v>
      </c>
      <c r="T13" s="12">
        <v>519240090</v>
      </c>
      <c r="U13" s="12">
        <v>910389899</v>
      </c>
      <c r="V13" s="12">
        <v>184226854</v>
      </c>
      <c r="W13" s="12">
        <v>139378516</v>
      </c>
      <c r="X13" s="12">
        <v>11387236</v>
      </c>
      <c r="Y13" s="12">
        <v>45104719</v>
      </c>
      <c r="Z13" s="12">
        <v>73707629</v>
      </c>
      <c r="AA13" s="12">
        <v>1039954806</v>
      </c>
      <c r="AB13" s="12">
        <v>66066280</v>
      </c>
      <c r="AC13" s="12">
        <v>62388787</v>
      </c>
      <c r="AD13" s="12">
        <v>12127676</v>
      </c>
      <c r="AE13" s="12">
        <v>1291781680</v>
      </c>
      <c r="AF13" s="12">
        <v>638956</v>
      </c>
      <c r="AG13" s="12">
        <v>492463588</v>
      </c>
      <c r="AH13" s="12">
        <v>62926563</v>
      </c>
      <c r="AI13" s="12">
        <v>140706150</v>
      </c>
      <c r="AJ13" s="12">
        <v>76982793</v>
      </c>
      <c r="AK13" s="12">
        <v>50812895</v>
      </c>
      <c r="AL13" s="12">
        <v>4052572</v>
      </c>
      <c r="AM13" s="12">
        <v>26499807</v>
      </c>
      <c r="AN13" s="12">
        <v>2248524</v>
      </c>
      <c r="AO13" s="12">
        <v>35369224</v>
      </c>
      <c r="AP13" s="12">
        <v>4468969</v>
      </c>
      <c r="AQ13" s="12">
        <v>1180690</v>
      </c>
      <c r="AR13" s="12">
        <v>744222048</v>
      </c>
      <c r="AS13" s="12">
        <v>2663474237</v>
      </c>
      <c r="AU13" s="1">
        <v>3166450.8402670398</v>
      </c>
    </row>
    <row r="14" spans="1:47" s="1" customFormat="1" x14ac:dyDescent="0.25">
      <c r="A14" s="1">
        <v>12</v>
      </c>
      <c r="B14" s="1" t="s">
        <v>47</v>
      </c>
      <c r="C14" s="12">
        <v>1071638457</v>
      </c>
      <c r="D14" s="12">
        <v>992000</v>
      </c>
      <c r="E14" s="12">
        <v>139153757</v>
      </c>
      <c r="F14" s="12">
        <v>637033212</v>
      </c>
      <c r="G14" s="12">
        <v>1626260</v>
      </c>
      <c r="H14" s="12">
        <v>1811321854</v>
      </c>
      <c r="I14" s="12">
        <v>303066737</v>
      </c>
      <c r="J14" s="12">
        <v>68528046</v>
      </c>
      <c r="K14" s="12">
        <v>150283260</v>
      </c>
      <c r="L14" s="12">
        <v>4138900160</v>
      </c>
      <c r="M14" s="12">
        <v>1844057855</v>
      </c>
      <c r="N14" s="12">
        <v>850694454</v>
      </c>
      <c r="O14" s="12">
        <v>177300</v>
      </c>
      <c r="P14" s="12">
        <v>222098287</v>
      </c>
      <c r="Q14" s="12">
        <v>487809</v>
      </c>
      <c r="R14" s="12">
        <v>403757</v>
      </c>
      <c r="S14" s="12">
        <v>618716602</v>
      </c>
      <c r="T14" s="12">
        <v>455324322</v>
      </c>
      <c r="U14" s="12">
        <v>798080283</v>
      </c>
      <c r="V14" s="12">
        <v>171148453</v>
      </c>
      <c r="W14" s="12">
        <v>123078096</v>
      </c>
      <c r="X14" s="12">
        <v>10267307</v>
      </c>
      <c r="Y14" s="12">
        <v>38509898</v>
      </c>
      <c r="Z14" s="12">
        <v>63760747</v>
      </c>
      <c r="AA14" s="12">
        <v>945870851</v>
      </c>
      <c r="AB14" s="12">
        <v>56677007</v>
      </c>
      <c r="AC14" s="12">
        <v>59887493</v>
      </c>
      <c r="AD14" s="12">
        <v>9819010</v>
      </c>
      <c r="AE14" s="12">
        <v>1173275704</v>
      </c>
      <c r="AF14" s="12">
        <v>422065</v>
      </c>
      <c r="AG14" s="12">
        <v>440193093</v>
      </c>
      <c r="AH14" s="12">
        <v>53746784</v>
      </c>
      <c r="AI14" s="12">
        <v>122870094</v>
      </c>
      <c r="AJ14" s="12">
        <v>65694775</v>
      </c>
      <c r="AK14" s="12">
        <v>44042407</v>
      </c>
      <c r="AL14" s="12">
        <v>3676588</v>
      </c>
      <c r="AM14" s="12">
        <v>23304505</v>
      </c>
      <c r="AN14" s="12">
        <v>2285909</v>
      </c>
      <c r="AO14" s="12">
        <v>30949638</v>
      </c>
      <c r="AP14" s="12">
        <v>4102412</v>
      </c>
      <c r="AQ14" s="12">
        <v>1429948</v>
      </c>
      <c r="AR14" s="12">
        <v>666929187</v>
      </c>
      <c r="AS14" s="12">
        <v>2547741441</v>
      </c>
      <c r="AU14" s="1">
        <v>0</v>
      </c>
    </row>
    <row r="15" spans="1:47" s="1" customFormat="1" x14ac:dyDescent="0.25">
      <c r="A15" s="1">
        <v>13</v>
      </c>
      <c r="B15" s="1" t="s">
        <v>47</v>
      </c>
      <c r="C15" s="12">
        <v>1281300356</v>
      </c>
      <c r="D15" s="12">
        <v>1300985</v>
      </c>
      <c r="E15" s="12">
        <v>171991270</v>
      </c>
      <c r="F15" s="12">
        <v>659048070</v>
      </c>
      <c r="G15" s="12">
        <v>1898849</v>
      </c>
      <c r="H15" s="12">
        <v>2029401373</v>
      </c>
      <c r="I15" s="12">
        <v>409111893</v>
      </c>
      <c r="J15" s="12">
        <v>72213060</v>
      </c>
      <c r="K15" s="12">
        <v>160785903</v>
      </c>
      <c r="L15" s="12">
        <v>4541184579</v>
      </c>
      <c r="M15" s="12">
        <v>2061906536</v>
      </c>
      <c r="N15" s="12">
        <v>931129949</v>
      </c>
      <c r="O15" s="12">
        <v>252654</v>
      </c>
      <c r="P15" s="12">
        <v>266994880</v>
      </c>
      <c r="Q15" s="12">
        <v>494584</v>
      </c>
      <c r="R15" s="12">
        <v>665249</v>
      </c>
      <c r="S15" s="12">
        <v>635519307</v>
      </c>
      <c r="T15" s="12">
        <v>519866716</v>
      </c>
      <c r="U15" s="12">
        <v>930542709</v>
      </c>
      <c r="V15" s="12">
        <v>200807180</v>
      </c>
      <c r="W15" s="12">
        <v>144753178</v>
      </c>
      <c r="X15" s="12">
        <v>12144646</v>
      </c>
      <c r="Y15" s="12">
        <v>44616008</v>
      </c>
      <c r="Z15" s="12">
        <v>78508221</v>
      </c>
      <c r="AA15" s="12">
        <v>1094657740</v>
      </c>
      <c r="AB15" s="12">
        <v>64614823</v>
      </c>
      <c r="AC15" s="12">
        <v>65975012</v>
      </c>
      <c r="AD15" s="12">
        <v>12483696</v>
      </c>
      <c r="AE15" s="12">
        <v>1359778972</v>
      </c>
      <c r="AF15" s="12">
        <v>673039</v>
      </c>
      <c r="AG15" s="12">
        <v>504034638</v>
      </c>
      <c r="AH15" s="12">
        <v>65169482</v>
      </c>
      <c r="AI15" s="12">
        <v>145841681</v>
      </c>
      <c r="AJ15" s="12">
        <v>78852854</v>
      </c>
      <c r="AK15" s="12">
        <v>53943782</v>
      </c>
      <c r="AL15" s="12">
        <v>4628935</v>
      </c>
      <c r="AM15" s="12">
        <v>27818430</v>
      </c>
      <c r="AN15" s="12">
        <v>2978019</v>
      </c>
      <c r="AO15" s="12">
        <v>39906273</v>
      </c>
      <c r="AP15" s="12">
        <v>5446429</v>
      </c>
      <c r="AQ15" s="12">
        <v>868851</v>
      </c>
      <c r="AR15" s="12">
        <v>805781647</v>
      </c>
      <c r="AS15" s="12">
        <v>2876955272</v>
      </c>
      <c r="AU15" s="1">
        <v>4293949.9017810198</v>
      </c>
    </row>
    <row r="16" spans="1:47" s="1" customFormat="1" x14ac:dyDescent="0.25">
      <c r="A16" s="1">
        <v>14</v>
      </c>
      <c r="B16" s="1" t="s">
        <v>47</v>
      </c>
      <c r="C16" s="12">
        <v>1178162965</v>
      </c>
      <c r="D16" s="12">
        <v>1288330</v>
      </c>
      <c r="E16" s="12">
        <v>152922502</v>
      </c>
      <c r="F16" s="12">
        <v>656237074</v>
      </c>
      <c r="G16" s="12">
        <v>1675975</v>
      </c>
      <c r="H16" s="12">
        <v>1977984518</v>
      </c>
      <c r="I16" s="12">
        <v>372862899</v>
      </c>
      <c r="J16" s="12">
        <v>68234515</v>
      </c>
      <c r="K16" s="12">
        <v>159134500</v>
      </c>
      <c r="L16" s="12">
        <v>4302843253</v>
      </c>
      <c r="M16" s="12">
        <v>1947447147</v>
      </c>
      <c r="N16" s="12">
        <v>888967716</v>
      </c>
      <c r="O16" s="12">
        <v>235071</v>
      </c>
      <c r="P16" s="12">
        <v>254105661</v>
      </c>
      <c r="Q16" s="12">
        <v>508904</v>
      </c>
      <c r="R16" s="12">
        <v>556813</v>
      </c>
      <c r="S16" s="12">
        <v>610765431</v>
      </c>
      <c r="T16" s="12">
        <v>494758239</v>
      </c>
      <c r="U16" s="12">
        <v>885486717</v>
      </c>
      <c r="V16" s="12">
        <v>175655498</v>
      </c>
      <c r="W16" s="12">
        <v>138353421</v>
      </c>
      <c r="X16" s="12">
        <v>11594632</v>
      </c>
      <c r="Y16" s="12">
        <v>41491902</v>
      </c>
      <c r="Z16" s="12">
        <v>71044595</v>
      </c>
      <c r="AA16" s="12">
        <v>1045890567</v>
      </c>
      <c r="AB16" s="12">
        <v>61293613</v>
      </c>
      <c r="AC16" s="12">
        <v>68288301</v>
      </c>
      <c r="AD16" s="12">
        <v>11587313</v>
      </c>
      <c r="AE16" s="12">
        <v>1303287082</v>
      </c>
      <c r="AF16" s="12">
        <v>613585</v>
      </c>
      <c r="AG16" s="12">
        <v>542639714</v>
      </c>
      <c r="AH16" s="12">
        <v>58806298</v>
      </c>
      <c r="AI16" s="12">
        <v>138773349</v>
      </c>
      <c r="AJ16" s="12">
        <v>75127459</v>
      </c>
      <c r="AK16" s="12">
        <v>51157162</v>
      </c>
      <c r="AL16" s="12">
        <v>3763436</v>
      </c>
      <c r="AM16" s="12">
        <v>26457671</v>
      </c>
      <c r="AN16" s="12">
        <v>2325222</v>
      </c>
      <c r="AO16" s="12">
        <v>35494771</v>
      </c>
      <c r="AP16" s="12">
        <v>4479179</v>
      </c>
      <c r="AQ16" s="12">
        <v>1104576</v>
      </c>
      <c r="AR16" s="12">
        <v>740205533</v>
      </c>
      <c r="AS16" s="12">
        <v>2711505960</v>
      </c>
      <c r="AU16" s="1">
        <v>6493516.6984083196</v>
      </c>
    </row>
    <row r="17" spans="1:47" s="1" customFormat="1" x14ac:dyDescent="0.25">
      <c r="A17" s="1">
        <v>15</v>
      </c>
      <c r="B17" s="1" t="s">
        <v>47</v>
      </c>
      <c r="C17" s="12">
        <v>1191902069</v>
      </c>
      <c r="D17" s="12">
        <v>1257536</v>
      </c>
      <c r="E17" s="12">
        <v>146730963</v>
      </c>
      <c r="F17" s="12">
        <v>702545198</v>
      </c>
      <c r="G17" s="12">
        <v>1615125</v>
      </c>
      <c r="H17" s="12">
        <v>2018433411</v>
      </c>
      <c r="I17" s="12">
        <v>352830589</v>
      </c>
      <c r="J17" s="12">
        <v>69107339</v>
      </c>
      <c r="K17" s="12">
        <v>154755169</v>
      </c>
      <c r="L17" s="12">
        <v>4442207273</v>
      </c>
      <c r="M17" s="12">
        <v>2054392072</v>
      </c>
      <c r="N17" s="12">
        <v>941132215</v>
      </c>
      <c r="O17" s="12">
        <v>221281</v>
      </c>
      <c r="P17" s="12">
        <v>249228330</v>
      </c>
      <c r="Q17" s="12">
        <v>572341</v>
      </c>
      <c r="R17" s="12">
        <v>499743</v>
      </c>
      <c r="S17" s="12">
        <v>655659677</v>
      </c>
      <c r="T17" s="12">
        <v>506575464</v>
      </c>
      <c r="U17" s="12">
        <v>863582456</v>
      </c>
      <c r="V17" s="12">
        <v>179522491</v>
      </c>
      <c r="W17" s="12">
        <v>141842269</v>
      </c>
      <c r="X17" s="12">
        <v>11856346</v>
      </c>
      <c r="Y17" s="12">
        <v>41025126</v>
      </c>
      <c r="Z17" s="12">
        <v>70729307</v>
      </c>
      <c r="AA17" s="12">
        <v>1040328548</v>
      </c>
      <c r="AB17" s="12">
        <v>64316724</v>
      </c>
      <c r="AC17" s="12">
        <v>63258236</v>
      </c>
      <c r="AD17" s="12">
        <v>11016407</v>
      </c>
      <c r="AE17" s="12">
        <v>1246460108</v>
      </c>
      <c r="AF17" s="12">
        <v>741171</v>
      </c>
      <c r="AG17" s="12">
        <v>474301169</v>
      </c>
      <c r="AH17" s="12">
        <v>58798726</v>
      </c>
      <c r="AI17" s="12">
        <v>129567621</v>
      </c>
      <c r="AJ17" s="12">
        <v>68933921</v>
      </c>
      <c r="AK17" s="12">
        <v>46961138</v>
      </c>
      <c r="AL17" s="12">
        <v>4041936</v>
      </c>
      <c r="AM17" s="12">
        <v>25035539</v>
      </c>
      <c r="AN17" s="12">
        <v>2365389</v>
      </c>
      <c r="AO17" s="12">
        <v>34850418</v>
      </c>
      <c r="AP17" s="12">
        <v>3919054</v>
      </c>
      <c r="AQ17" s="12">
        <v>879733</v>
      </c>
      <c r="AR17" s="12">
        <v>735298508</v>
      </c>
      <c r="AS17" s="12">
        <v>2589307412</v>
      </c>
      <c r="AU17" s="1">
        <v>0</v>
      </c>
    </row>
    <row r="18" spans="1:47" s="1" customFormat="1" x14ac:dyDescent="0.25">
      <c r="A18" s="1">
        <v>16</v>
      </c>
      <c r="B18" s="1" t="s">
        <v>47</v>
      </c>
      <c r="C18" s="12">
        <v>960541617</v>
      </c>
      <c r="D18" s="12">
        <v>986159</v>
      </c>
      <c r="E18" s="12">
        <v>142536941</v>
      </c>
      <c r="F18" s="12">
        <v>606593305</v>
      </c>
      <c r="G18" s="12">
        <v>1270335</v>
      </c>
      <c r="H18" s="12">
        <v>1745515724</v>
      </c>
      <c r="I18" s="12">
        <v>265448458</v>
      </c>
      <c r="J18" s="12">
        <v>62587898</v>
      </c>
      <c r="K18" s="12">
        <v>151326176</v>
      </c>
      <c r="L18" s="12">
        <v>3900791286</v>
      </c>
      <c r="M18" s="12">
        <v>1769086042</v>
      </c>
      <c r="N18" s="12">
        <v>801253619</v>
      </c>
      <c r="O18" s="12">
        <v>176347</v>
      </c>
      <c r="P18" s="12">
        <v>214431064</v>
      </c>
      <c r="Q18" s="12">
        <v>447603</v>
      </c>
      <c r="R18" s="12">
        <v>481426</v>
      </c>
      <c r="S18" s="12">
        <v>563031143</v>
      </c>
      <c r="T18" s="12">
        <v>440188975</v>
      </c>
      <c r="U18" s="12">
        <v>763898327</v>
      </c>
      <c r="V18" s="12">
        <v>158414325</v>
      </c>
      <c r="W18" s="12">
        <v>119234137</v>
      </c>
      <c r="X18" s="12">
        <v>9828990</v>
      </c>
      <c r="Y18" s="12">
        <v>36645900</v>
      </c>
      <c r="Z18" s="12">
        <v>54997588</v>
      </c>
      <c r="AA18" s="12">
        <v>943620150</v>
      </c>
      <c r="AB18" s="12">
        <v>61631379</v>
      </c>
      <c r="AC18" s="12">
        <v>56468206</v>
      </c>
      <c r="AD18" s="12">
        <v>10389166</v>
      </c>
      <c r="AE18" s="12">
        <v>1149515611</v>
      </c>
      <c r="AF18" s="12">
        <v>486074</v>
      </c>
      <c r="AG18" s="12">
        <v>556332525</v>
      </c>
      <c r="AH18" s="12">
        <v>53087978</v>
      </c>
      <c r="AI18" s="12">
        <v>119078898</v>
      </c>
      <c r="AJ18" s="12">
        <v>65428017</v>
      </c>
      <c r="AK18" s="12">
        <v>42723622</v>
      </c>
      <c r="AL18" s="12">
        <v>3270896</v>
      </c>
      <c r="AM18" s="12">
        <v>24573984</v>
      </c>
      <c r="AN18" s="12">
        <v>2076443</v>
      </c>
      <c r="AO18" s="12">
        <v>29491896</v>
      </c>
      <c r="AP18" s="12">
        <v>3680240</v>
      </c>
      <c r="AQ18" s="12">
        <v>1408540</v>
      </c>
      <c r="AR18" s="12">
        <v>640972333</v>
      </c>
      <c r="AS18" s="12">
        <v>2371940245</v>
      </c>
      <c r="AU18" s="1">
        <v>5775718.8273014799</v>
      </c>
    </row>
  </sheetData>
  <mergeCells count="1">
    <mergeCell ref="C1:A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workbookViewId="0">
      <selection activeCell="G46" sqref="G46"/>
    </sheetView>
  </sheetViews>
  <sheetFormatPr defaultRowHeight="12" x14ac:dyDescent="0.25"/>
  <cols>
    <col min="1" max="1" width="15.140625" style="48" bestFit="1" customWidth="1"/>
    <col min="2" max="7" width="10.85546875" style="48" bestFit="1" customWidth="1"/>
    <col min="8" max="10" width="10.42578125" style="48" bestFit="1" customWidth="1"/>
    <col min="11" max="11" width="12.28515625" style="48" bestFit="1" customWidth="1"/>
    <col min="12" max="12" width="14.85546875" style="48" bestFit="1" customWidth="1"/>
    <col min="13" max="13" width="7.85546875" style="48" bestFit="1" customWidth="1"/>
    <col min="14" max="14" width="7.42578125" style="48" bestFit="1" customWidth="1"/>
    <col min="15" max="18" width="9.140625" style="48"/>
    <col min="19" max="19" width="9.5703125" style="48" bestFit="1" customWidth="1"/>
    <col min="20" max="21" width="10.42578125" style="48" bestFit="1" customWidth="1"/>
    <col min="22" max="16384" width="9.140625" style="48"/>
  </cols>
  <sheetData>
    <row r="2" spans="1:8" x14ac:dyDescent="0.25">
      <c r="B2" s="49" t="s">
        <v>110</v>
      </c>
      <c r="C2" s="49" t="s">
        <v>111</v>
      </c>
      <c r="D2" s="49" t="s">
        <v>112</v>
      </c>
      <c r="E2" s="49" t="s">
        <v>113</v>
      </c>
      <c r="F2" s="49" t="s">
        <v>114</v>
      </c>
    </row>
    <row r="3" spans="1:8" x14ac:dyDescent="0.25">
      <c r="A3" s="48" t="s">
        <v>115</v>
      </c>
      <c r="B3" s="50">
        <v>1</v>
      </c>
      <c r="C3" s="50">
        <v>0.1</v>
      </c>
      <c r="D3" s="50">
        <v>0.01</v>
      </c>
      <c r="E3" s="50">
        <v>1E-3</v>
      </c>
      <c r="F3" s="50">
        <v>1E-4</v>
      </c>
      <c r="G3" s="50"/>
      <c r="H3" s="50"/>
    </row>
    <row r="4" spans="1:8" x14ac:dyDescent="0.25">
      <c r="A4" s="48" t="s">
        <v>116</v>
      </c>
      <c r="B4" s="50">
        <v>0.625</v>
      </c>
      <c r="C4" s="50">
        <v>6.25E-2</v>
      </c>
      <c r="D4" s="50">
        <v>6.2500000000000003E-3</v>
      </c>
      <c r="E4" s="50">
        <v>6.2500000000000001E-4</v>
      </c>
      <c r="F4" s="50">
        <v>6.2500000000000001E-5</v>
      </c>
      <c r="G4" s="50"/>
      <c r="H4" s="50"/>
    </row>
    <row r="5" spans="1:8" x14ac:dyDescent="0.25">
      <c r="B5" s="50"/>
      <c r="C5" s="50"/>
      <c r="D5" s="50"/>
      <c r="E5" s="50"/>
      <c r="F5" s="50"/>
      <c r="G5" s="50"/>
      <c r="H5" s="50"/>
    </row>
    <row r="6" spans="1:8" x14ac:dyDescent="0.25">
      <c r="B6" s="74"/>
    </row>
    <row r="8" spans="1:8" x14ac:dyDescent="0.25">
      <c r="A8" s="49" t="s">
        <v>117</v>
      </c>
      <c r="B8" s="49" t="s">
        <v>118</v>
      </c>
      <c r="C8" s="49" t="s">
        <v>119</v>
      </c>
      <c r="D8" s="49" t="s">
        <v>120</v>
      </c>
      <c r="E8" s="49" t="s">
        <v>121</v>
      </c>
      <c r="F8" s="49" t="s">
        <v>122</v>
      </c>
      <c r="G8" s="49" t="s">
        <v>123</v>
      </c>
    </row>
    <row r="9" spans="1:8" x14ac:dyDescent="0.25">
      <c r="A9" s="48" t="s">
        <v>13</v>
      </c>
      <c r="B9" s="50">
        <v>59.7</v>
      </c>
      <c r="C9" s="50">
        <v>8910</v>
      </c>
      <c r="D9" s="50">
        <v>532000</v>
      </c>
      <c r="E9" s="50">
        <v>4730000000</v>
      </c>
      <c r="F9" s="50">
        <v>2520000000000000</v>
      </c>
      <c r="G9" s="50">
        <v>1.19E+25</v>
      </c>
    </row>
    <row r="10" spans="1:8" x14ac:dyDescent="0.25">
      <c r="A10" s="48" t="s">
        <v>34</v>
      </c>
      <c r="B10" s="50">
        <v>36.799999999999997</v>
      </c>
      <c r="C10" s="50">
        <v>3870</v>
      </c>
      <c r="D10" s="50">
        <v>142000</v>
      </c>
      <c r="E10" s="50">
        <v>550000000</v>
      </c>
      <c r="F10" s="50">
        <v>78100000000000</v>
      </c>
      <c r="G10" s="50">
        <v>4.2900000000000003E+22</v>
      </c>
    </row>
    <row r="11" spans="1:8" x14ac:dyDescent="0.25">
      <c r="A11" s="48" t="s">
        <v>124</v>
      </c>
      <c r="B11" s="50">
        <v>26.2</v>
      </c>
      <c r="C11" s="50">
        <v>3440</v>
      </c>
      <c r="D11" s="50">
        <v>90300</v>
      </c>
      <c r="E11" s="50">
        <v>311000000</v>
      </c>
      <c r="F11" s="50">
        <v>28000000000000</v>
      </c>
      <c r="G11" s="50">
        <v>8.7100000000000005E+21</v>
      </c>
    </row>
    <row r="12" spans="1:8" x14ac:dyDescent="0.25">
      <c r="A12" s="48" t="s">
        <v>11</v>
      </c>
      <c r="B12" s="50">
        <v>78.7</v>
      </c>
      <c r="C12" s="50">
        <v>10300</v>
      </c>
      <c r="D12" s="50">
        <v>812000</v>
      </c>
      <c r="E12" s="50">
        <v>8390000000</v>
      </c>
      <c r="F12" s="50">
        <v>6810000000000000</v>
      </c>
      <c r="G12" s="50">
        <v>5.7199999999999997E+25</v>
      </c>
    </row>
    <row r="13" spans="1:8" x14ac:dyDescent="0.25">
      <c r="A13" s="48" t="s">
        <v>12</v>
      </c>
      <c r="B13" s="50">
        <v>23.4</v>
      </c>
      <c r="C13" s="50">
        <v>2740</v>
      </c>
      <c r="D13" s="50">
        <v>64300</v>
      </c>
      <c r="E13" s="50">
        <v>177000000</v>
      </c>
      <c r="F13" s="50">
        <v>11400000000000</v>
      </c>
      <c r="G13" s="50">
        <v>2E+21</v>
      </c>
    </row>
    <row r="14" spans="1:8" x14ac:dyDescent="0.25">
      <c r="A14" s="48" t="s">
        <v>125</v>
      </c>
      <c r="B14" s="50">
        <v>77.599999999999994</v>
      </c>
      <c r="C14" s="50">
        <v>12000</v>
      </c>
      <c r="D14" s="50">
        <v>934000</v>
      </c>
      <c r="E14" s="50">
        <v>11200000000</v>
      </c>
      <c r="F14" s="50">
        <v>1.05E+16</v>
      </c>
      <c r="G14" s="50">
        <v>1.18E+26</v>
      </c>
    </row>
    <row r="15" spans="1:8" x14ac:dyDescent="0.25">
      <c r="A15" s="48" t="s">
        <v>7</v>
      </c>
      <c r="B15" s="50">
        <v>49.6</v>
      </c>
      <c r="C15" s="50">
        <v>8190</v>
      </c>
      <c r="D15" s="50">
        <v>406000</v>
      </c>
      <c r="E15" s="50">
        <v>3320000000</v>
      </c>
      <c r="F15" s="50">
        <v>1350000000000000</v>
      </c>
      <c r="G15" s="50">
        <v>4.47E+24</v>
      </c>
    </row>
    <row r="16" spans="1:8" x14ac:dyDescent="0.25">
      <c r="A16" s="48" t="s">
        <v>20</v>
      </c>
      <c r="B16" s="50">
        <v>63.4</v>
      </c>
      <c r="C16" s="50">
        <v>11500</v>
      </c>
      <c r="D16" s="50">
        <v>729000</v>
      </c>
      <c r="E16" s="50">
        <v>8370000000</v>
      </c>
      <c r="F16" s="50">
        <v>6100000000000000</v>
      </c>
      <c r="G16" s="50">
        <v>5.11E+25</v>
      </c>
    </row>
    <row r="17" spans="1:7" x14ac:dyDescent="0.25">
      <c r="A17" s="48" t="s">
        <v>15</v>
      </c>
      <c r="B17" s="50">
        <v>40.799999999999997</v>
      </c>
      <c r="C17" s="50">
        <v>8340</v>
      </c>
      <c r="D17" s="50">
        <v>341000</v>
      </c>
      <c r="E17" s="50">
        <v>2840000000</v>
      </c>
      <c r="F17" s="50">
        <v>969000000000000</v>
      </c>
      <c r="G17" s="50">
        <v>2.7500000000000001E+24</v>
      </c>
    </row>
    <row r="18" spans="1:7" x14ac:dyDescent="0.25">
      <c r="A18" s="48" t="s">
        <v>19</v>
      </c>
      <c r="B18" s="50">
        <v>28.8</v>
      </c>
      <c r="C18" s="50">
        <v>3310</v>
      </c>
      <c r="D18" s="50">
        <v>95400</v>
      </c>
      <c r="E18" s="50">
        <v>316000000</v>
      </c>
      <c r="F18" s="50">
        <v>30100000000000</v>
      </c>
      <c r="G18" s="50">
        <v>9.5299999999999995E+21</v>
      </c>
    </row>
    <row r="19" spans="1:7" x14ac:dyDescent="0.25">
      <c r="A19" s="48" t="s">
        <v>26</v>
      </c>
      <c r="B19" s="50">
        <v>35.700000000000003</v>
      </c>
      <c r="C19" s="50">
        <v>4260</v>
      </c>
      <c r="D19" s="50">
        <v>152000</v>
      </c>
      <c r="E19" s="50">
        <v>648000000</v>
      </c>
      <c r="F19" s="50">
        <v>98500000000000</v>
      </c>
      <c r="G19" s="50">
        <v>6.3800000000000002E+22</v>
      </c>
    </row>
    <row r="20" spans="1:7" x14ac:dyDescent="0.25">
      <c r="A20" s="48" t="s">
        <v>43</v>
      </c>
      <c r="B20" s="50">
        <v>73.099999999999994</v>
      </c>
      <c r="C20" s="50">
        <v>10700</v>
      </c>
      <c r="D20" s="50">
        <v>781000</v>
      </c>
      <c r="E20" s="50">
        <v>8350000000</v>
      </c>
      <c r="F20" s="50">
        <v>6520000000000000</v>
      </c>
      <c r="G20" s="50">
        <v>5.4400000000000001E+25</v>
      </c>
    </row>
    <row r="21" spans="1:7" x14ac:dyDescent="0.25">
      <c r="A21" s="48" t="s">
        <v>126</v>
      </c>
      <c r="B21" s="50">
        <v>121</v>
      </c>
      <c r="C21" s="50">
        <v>14700</v>
      </c>
      <c r="D21" s="50">
        <v>1780000</v>
      </c>
      <c r="E21" s="50">
        <v>26100000000</v>
      </c>
      <c r="F21" s="50">
        <v>4.64E+16</v>
      </c>
      <c r="G21" s="50">
        <v>1.21E+27</v>
      </c>
    </row>
    <row r="22" spans="1:7" x14ac:dyDescent="0.25">
      <c r="A22" s="48" t="s">
        <v>31</v>
      </c>
      <c r="B22" s="50">
        <v>39.6</v>
      </c>
      <c r="C22" s="50">
        <v>3.96</v>
      </c>
      <c r="D22" s="50">
        <v>0.39600000000000002</v>
      </c>
      <c r="E22" s="50">
        <v>3.9600000000000003E-2</v>
      </c>
      <c r="F22" s="50">
        <v>3.96E-3</v>
      </c>
      <c r="G22" s="50">
        <v>3.9599999999999998E-4</v>
      </c>
    </row>
    <row r="23" spans="1:7" x14ac:dyDescent="0.25">
      <c r="A23" s="48" t="s">
        <v>35</v>
      </c>
      <c r="B23" s="50">
        <v>80.900000000000006</v>
      </c>
      <c r="C23" s="50">
        <v>8.09</v>
      </c>
      <c r="D23" s="50">
        <v>0.80900000000000005</v>
      </c>
      <c r="E23" s="50">
        <v>8.09E-2</v>
      </c>
      <c r="F23" s="50">
        <v>8.09E-3</v>
      </c>
      <c r="G23" s="50">
        <v>8.0900000000000004E-4</v>
      </c>
    </row>
    <row r="24" spans="1:7" x14ac:dyDescent="0.25">
      <c r="A24" s="48" t="s">
        <v>30</v>
      </c>
      <c r="B24" s="50">
        <v>36.5</v>
      </c>
      <c r="C24" s="50">
        <v>3.65</v>
      </c>
      <c r="D24" s="50">
        <v>0.36499999999999999</v>
      </c>
      <c r="E24" s="50">
        <v>3.6499999999999998E-2</v>
      </c>
      <c r="F24" s="50">
        <v>3.65E-3</v>
      </c>
      <c r="G24" s="50">
        <v>3.6499999999999998E-4</v>
      </c>
    </row>
    <row r="25" spans="1:7" x14ac:dyDescent="0.25">
      <c r="A25" s="48" t="s">
        <v>37</v>
      </c>
      <c r="B25" s="50">
        <v>39.9</v>
      </c>
      <c r="C25" s="50">
        <v>3.99</v>
      </c>
      <c r="D25" s="50">
        <v>0.39900000000000002</v>
      </c>
      <c r="E25" s="50">
        <v>3.9899999999999998E-2</v>
      </c>
      <c r="F25" s="50">
        <v>3.9899999999999996E-3</v>
      </c>
      <c r="G25" s="50">
        <v>3.9899999999999999E-4</v>
      </c>
    </row>
    <row r="26" spans="1:7" x14ac:dyDescent="0.25">
      <c r="A26" s="48" t="s">
        <v>27</v>
      </c>
      <c r="B26" s="50">
        <v>31.2</v>
      </c>
      <c r="C26" s="50">
        <v>3.12</v>
      </c>
      <c r="D26" s="50">
        <v>0.312</v>
      </c>
      <c r="E26" s="50">
        <v>3.1199999999999999E-2</v>
      </c>
      <c r="F26" s="50">
        <v>3.1199999999999999E-3</v>
      </c>
      <c r="G26" s="50">
        <v>3.1199999999999999E-4</v>
      </c>
    </row>
    <row r="27" spans="1:7" x14ac:dyDescent="0.25">
      <c r="A27" s="48" t="s">
        <v>44</v>
      </c>
      <c r="B27" s="50">
        <v>43.6</v>
      </c>
      <c r="C27" s="50">
        <v>4.3600000000000003</v>
      </c>
      <c r="D27" s="50">
        <v>0.436</v>
      </c>
      <c r="E27" s="50">
        <v>4.36E-2</v>
      </c>
      <c r="F27" s="50">
        <v>4.3600000000000002E-3</v>
      </c>
      <c r="G27" s="50">
        <v>4.3600000000000003E-4</v>
      </c>
    </row>
    <row r="28" spans="1:7" x14ac:dyDescent="0.25">
      <c r="A28" s="48" t="s">
        <v>33</v>
      </c>
      <c r="B28" s="50">
        <v>48.8</v>
      </c>
      <c r="C28" s="50">
        <v>4.88</v>
      </c>
      <c r="D28" s="50">
        <v>0.48799999999999999</v>
      </c>
      <c r="E28" s="50">
        <v>4.8800000000000003E-2</v>
      </c>
      <c r="F28" s="50">
        <v>4.8799999999999998E-3</v>
      </c>
      <c r="G28" s="50">
        <v>4.8799999999999999E-4</v>
      </c>
    </row>
    <row r="32" spans="1:7" x14ac:dyDescent="0.25">
      <c r="A32" s="49" t="s">
        <v>117</v>
      </c>
      <c r="B32" s="49" t="s">
        <v>127</v>
      </c>
      <c r="C32" s="49" t="s">
        <v>128</v>
      </c>
      <c r="D32" s="49" t="s">
        <v>129</v>
      </c>
      <c r="E32" s="49" t="s">
        <v>130</v>
      </c>
      <c r="F32" s="49" t="s">
        <v>131</v>
      </c>
      <c r="G32" s="49" t="s">
        <v>132</v>
      </c>
    </row>
    <row r="33" spans="1:7" x14ac:dyDescent="0.25">
      <c r="A33" s="48" t="s">
        <v>13</v>
      </c>
      <c r="B33" s="48">
        <v>0.4</v>
      </c>
      <c r="C33" s="51">
        <v>0.04</v>
      </c>
      <c r="D33" s="50">
        <v>4.0000000000000001E-3</v>
      </c>
      <c r="E33" s="50">
        <v>4.0000000000000002E-4</v>
      </c>
      <c r="F33" s="50">
        <v>4.0000000000000003E-5</v>
      </c>
      <c r="G33" s="50">
        <v>3.9999999999999998E-6</v>
      </c>
    </row>
    <row r="34" spans="1:7" x14ac:dyDescent="0.25">
      <c r="A34" s="48" t="s">
        <v>34</v>
      </c>
      <c r="B34" s="48">
        <v>0.35000000000000003</v>
      </c>
      <c r="C34" s="51">
        <v>3.5000000000000003E-2</v>
      </c>
      <c r="D34" s="50">
        <v>3.5000000000000001E-3</v>
      </c>
      <c r="E34" s="50">
        <v>3.5E-4</v>
      </c>
      <c r="F34" s="50">
        <v>3.4999999999999997E-5</v>
      </c>
      <c r="G34" s="50">
        <v>3.4999999999999999E-6</v>
      </c>
    </row>
    <row r="35" spans="1:7" x14ac:dyDescent="0.25">
      <c r="A35" s="48" t="s">
        <v>124</v>
      </c>
      <c r="B35" s="48">
        <v>0.2</v>
      </c>
      <c r="C35" s="51">
        <v>0.02</v>
      </c>
      <c r="D35" s="50">
        <v>2E-3</v>
      </c>
      <c r="E35" s="50">
        <v>2.0000000000000001E-4</v>
      </c>
      <c r="F35" s="50">
        <v>2.0000000000000002E-5</v>
      </c>
      <c r="G35" s="50">
        <v>1.9999999999999999E-6</v>
      </c>
    </row>
    <row r="36" spans="1:7" x14ac:dyDescent="0.25">
      <c r="A36" s="48" t="s">
        <v>11</v>
      </c>
      <c r="B36" s="48">
        <v>0.6</v>
      </c>
      <c r="C36" s="51">
        <v>0.06</v>
      </c>
      <c r="D36" s="50">
        <v>6.0000000000000001E-3</v>
      </c>
      <c r="E36" s="50">
        <v>5.9999999999999995E-4</v>
      </c>
      <c r="F36" s="50">
        <v>6.0000000000000002E-5</v>
      </c>
      <c r="G36" s="50">
        <v>6.0000000000000002E-6</v>
      </c>
    </row>
    <row r="37" spans="1:7" x14ac:dyDescent="0.25">
      <c r="A37" s="48" t="s">
        <v>12</v>
      </c>
      <c r="B37" s="48">
        <v>0.2</v>
      </c>
      <c r="C37" s="51">
        <v>0.02</v>
      </c>
      <c r="D37" s="50">
        <v>2E-3</v>
      </c>
      <c r="E37" s="50">
        <v>2.0000000000000001E-4</v>
      </c>
      <c r="F37" s="50">
        <v>2.0000000000000002E-5</v>
      </c>
      <c r="G37" s="50">
        <v>1.9999999999999999E-6</v>
      </c>
    </row>
    <row r="38" spans="1:7" x14ac:dyDescent="0.25">
      <c r="A38" s="48" t="s">
        <v>125</v>
      </c>
      <c r="B38" s="48">
        <v>0.5</v>
      </c>
      <c r="C38" s="51">
        <v>0.05</v>
      </c>
      <c r="D38" s="50">
        <v>5.0000000000000001E-3</v>
      </c>
      <c r="E38" s="50">
        <v>5.0000000000000001E-4</v>
      </c>
      <c r="F38" s="50">
        <v>5.0000000000000002E-5</v>
      </c>
      <c r="G38" s="50">
        <v>5.0000000000000004E-6</v>
      </c>
    </row>
    <row r="39" spans="1:7" x14ac:dyDescent="0.25">
      <c r="A39" s="48" t="s">
        <v>7</v>
      </c>
      <c r="B39" s="48">
        <v>0.3</v>
      </c>
      <c r="C39" s="51">
        <v>0.03</v>
      </c>
      <c r="D39" s="50">
        <v>3.0000000000000001E-3</v>
      </c>
      <c r="E39" s="50">
        <v>2.9999999999999997E-4</v>
      </c>
      <c r="F39" s="50">
        <v>3.0000000000000001E-5</v>
      </c>
      <c r="G39" s="50">
        <v>3.0000000000000001E-6</v>
      </c>
    </row>
    <row r="40" spans="1:7" x14ac:dyDescent="0.25">
      <c r="A40" s="48" t="s">
        <v>20</v>
      </c>
      <c r="B40" s="48">
        <v>0.35000000000000003</v>
      </c>
      <c r="C40" s="51">
        <v>3.5000000000000003E-2</v>
      </c>
      <c r="D40" s="50">
        <v>3.5000000000000001E-3</v>
      </c>
      <c r="E40" s="50">
        <v>3.5E-4</v>
      </c>
      <c r="F40" s="50">
        <v>3.4999999999999997E-5</v>
      </c>
      <c r="G40" s="50">
        <v>3.4999999999999999E-6</v>
      </c>
    </row>
    <row r="41" spans="1:7" x14ac:dyDescent="0.25">
      <c r="A41" s="48" t="s">
        <v>15</v>
      </c>
      <c r="B41" s="48">
        <v>0.2</v>
      </c>
      <c r="C41" s="51">
        <v>0.02</v>
      </c>
      <c r="D41" s="50">
        <v>2E-3</v>
      </c>
      <c r="E41" s="50">
        <v>2.0000000000000001E-4</v>
      </c>
      <c r="F41" s="50">
        <v>2.0000000000000002E-5</v>
      </c>
      <c r="G41" s="50">
        <v>1.9999999999999999E-6</v>
      </c>
    </row>
    <row r="42" spans="1:7" x14ac:dyDescent="0.25">
      <c r="A42" s="48" t="s">
        <v>19</v>
      </c>
      <c r="B42" s="48">
        <v>0.25</v>
      </c>
      <c r="C42" s="51">
        <v>2.5000000000000001E-2</v>
      </c>
      <c r="D42" s="50">
        <v>2.5000000000000001E-3</v>
      </c>
      <c r="E42" s="50">
        <v>2.5000000000000001E-4</v>
      </c>
      <c r="F42" s="50">
        <v>2.5000000000000001E-5</v>
      </c>
      <c r="G42" s="50">
        <v>2.5000000000000002E-6</v>
      </c>
    </row>
    <row r="43" spans="1:7" x14ac:dyDescent="0.25">
      <c r="A43" s="48" t="s">
        <v>26</v>
      </c>
      <c r="B43" s="48">
        <v>0.3</v>
      </c>
      <c r="C43" s="51">
        <v>0.03</v>
      </c>
      <c r="D43" s="50">
        <v>3.0000000000000001E-3</v>
      </c>
      <c r="E43" s="50">
        <v>2.9999999999999997E-4</v>
      </c>
      <c r="F43" s="50">
        <v>3.0000000000000001E-5</v>
      </c>
      <c r="G43" s="50">
        <v>3.0000000000000001E-6</v>
      </c>
    </row>
    <row r="44" spans="1:7" x14ac:dyDescent="0.25">
      <c r="A44" s="48" t="s">
        <v>43</v>
      </c>
      <c r="B44" s="48">
        <v>0.5</v>
      </c>
      <c r="C44" s="51">
        <v>0.05</v>
      </c>
      <c r="D44" s="50">
        <v>5.0000000000000001E-3</v>
      </c>
      <c r="E44" s="50">
        <v>5.0000000000000001E-4</v>
      </c>
      <c r="F44" s="50">
        <v>5.0000000000000002E-5</v>
      </c>
      <c r="G44" s="50">
        <v>5.0000000000000004E-6</v>
      </c>
    </row>
    <row r="45" spans="1:7" x14ac:dyDescent="0.25">
      <c r="A45" s="48" t="s">
        <v>126</v>
      </c>
      <c r="B45" s="48">
        <v>1</v>
      </c>
      <c r="C45" s="51">
        <v>0.1</v>
      </c>
      <c r="D45" s="50">
        <v>0.01</v>
      </c>
      <c r="E45" s="50">
        <v>1E-3</v>
      </c>
      <c r="F45" s="50">
        <v>1E-4</v>
      </c>
      <c r="G45" s="50">
        <v>1.0000000000000001E-5</v>
      </c>
    </row>
    <row r="46" spans="1:7" x14ac:dyDescent="0.25">
      <c r="A46" s="48" t="s">
        <v>31</v>
      </c>
      <c r="B46" s="48">
        <v>0.3</v>
      </c>
      <c r="C46" s="51">
        <v>0.03</v>
      </c>
      <c r="D46" s="50">
        <v>3.0000000000000001E-3</v>
      </c>
      <c r="E46" s="50">
        <v>2.9999999999999997E-4</v>
      </c>
      <c r="F46" s="50">
        <v>3.0000000000000001E-5</v>
      </c>
      <c r="G46" s="50">
        <v>3.0000000000000001E-6</v>
      </c>
    </row>
    <row r="47" spans="1:7" x14ac:dyDescent="0.25">
      <c r="A47" s="48" t="s">
        <v>35</v>
      </c>
      <c r="B47" s="48">
        <v>0.55000000000000004</v>
      </c>
      <c r="C47" s="51">
        <v>5.5E-2</v>
      </c>
      <c r="D47" s="50">
        <v>5.4999999999999997E-3</v>
      </c>
      <c r="E47" s="50">
        <v>5.5000000000000003E-4</v>
      </c>
      <c r="F47" s="50">
        <v>5.5000000000000002E-5</v>
      </c>
      <c r="G47" s="50">
        <v>5.4999999999999999E-6</v>
      </c>
    </row>
    <row r="48" spans="1:7" x14ac:dyDescent="0.25">
      <c r="A48" s="48" t="s">
        <v>30</v>
      </c>
      <c r="B48" s="48">
        <v>0.25</v>
      </c>
      <c r="C48" s="51">
        <v>2.5000000000000001E-2</v>
      </c>
      <c r="D48" s="50">
        <v>2.5000000000000001E-3</v>
      </c>
      <c r="E48" s="50">
        <v>2.5000000000000001E-4</v>
      </c>
      <c r="F48" s="50">
        <v>2.5000000000000001E-5</v>
      </c>
      <c r="G48" s="50">
        <v>2.5000000000000002E-6</v>
      </c>
    </row>
    <row r="49" spans="1:7" x14ac:dyDescent="0.25">
      <c r="A49" s="48" t="s">
        <v>37</v>
      </c>
      <c r="B49" s="48">
        <v>0.3</v>
      </c>
      <c r="C49" s="51">
        <v>0.03</v>
      </c>
      <c r="D49" s="50">
        <v>3.0000000000000001E-3</v>
      </c>
      <c r="E49" s="50">
        <v>2.9999999999999997E-4</v>
      </c>
      <c r="F49" s="50">
        <v>3.0000000000000001E-5</v>
      </c>
      <c r="G49" s="50">
        <v>3.0000000000000001E-6</v>
      </c>
    </row>
    <row r="50" spans="1:7" x14ac:dyDescent="0.25">
      <c r="A50" s="48" t="s">
        <v>27</v>
      </c>
      <c r="B50" s="48">
        <v>0.35000000000000003</v>
      </c>
      <c r="C50" s="51">
        <v>3.5000000000000003E-2</v>
      </c>
      <c r="D50" s="50">
        <v>3.5000000000000001E-3</v>
      </c>
      <c r="E50" s="50">
        <v>3.5E-4</v>
      </c>
      <c r="F50" s="50">
        <v>3.4999999999999997E-5</v>
      </c>
      <c r="G50" s="50">
        <v>3.4999999999999999E-6</v>
      </c>
    </row>
    <row r="51" spans="1:7" x14ac:dyDescent="0.25">
      <c r="A51" s="48" t="s">
        <v>44</v>
      </c>
      <c r="B51" s="48">
        <v>0.25</v>
      </c>
      <c r="C51" s="51">
        <v>2.5000000000000001E-2</v>
      </c>
      <c r="D51" s="50">
        <v>2.5000000000000001E-3</v>
      </c>
      <c r="E51" s="50">
        <v>2.5000000000000001E-4</v>
      </c>
      <c r="F51" s="50">
        <v>2.5000000000000001E-5</v>
      </c>
      <c r="G51" s="50">
        <v>2.5000000000000002E-6</v>
      </c>
    </row>
    <row r="52" spans="1:7" x14ac:dyDescent="0.25">
      <c r="A52" s="48" t="s">
        <v>33</v>
      </c>
      <c r="B52" s="48">
        <v>0.65</v>
      </c>
      <c r="C52" s="51">
        <v>6.5000000000000002E-2</v>
      </c>
      <c r="D52" s="50">
        <v>6.4999999999999997E-3</v>
      </c>
      <c r="E52" s="50">
        <v>6.4999999999999997E-4</v>
      </c>
      <c r="F52" s="50">
        <v>6.4999999999999994E-5</v>
      </c>
      <c r="G52" s="50">
        <v>6.4999999999999996E-6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I28" workbookViewId="0">
      <selection activeCell="AB65" sqref="AB65"/>
    </sheetView>
  </sheetViews>
  <sheetFormatPr defaultRowHeight="15" x14ac:dyDescent="0.25"/>
  <cols>
    <col min="1" max="1" width="11.7109375" bestFit="1" customWidth="1"/>
    <col min="2" max="2" width="9.5703125" bestFit="1" customWidth="1"/>
    <col min="12" max="12" width="11.85546875" bestFit="1" customWidth="1"/>
    <col min="13" max="13" width="12.42578125" bestFit="1" customWidth="1"/>
    <col min="24" max="24" width="11.7109375" bestFit="1" customWidth="1"/>
    <col min="25" max="25" width="19.7109375" bestFit="1" customWidth="1"/>
    <col min="26" max="26" width="13.140625" bestFit="1" customWidth="1"/>
    <col min="28" max="28" width="19.7109375" bestFit="1" customWidth="1"/>
    <col min="29" max="29" width="12" bestFit="1" customWidth="1"/>
  </cols>
  <sheetData>
    <row r="1" spans="1:32" x14ac:dyDescent="0.25">
      <c r="A1" s="49" t="s">
        <v>7</v>
      </c>
      <c r="B1" s="48" t="s">
        <v>133</v>
      </c>
      <c r="L1" s="49" t="s">
        <v>27</v>
      </c>
      <c r="M1" s="48" t="s">
        <v>133</v>
      </c>
      <c r="X1" s="49" t="s">
        <v>8</v>
      </c>
      <c r="Y1" s="48" t="s">
        <v>133</v>
      </c>
    </row>
    <row r="2" spans="1:32" x14ac:dyDescent="0.25">
      <c r="A2" s="48" t="s">
        <v>134</v>
      </c>
      <c r="B2" s="48" t="s">
        <v>135</v>
      </c>
      <c r="L2" s="48" t="s">
        <v>134</v>
      </c>
      <c r="M2" s="48" t="s">
        <v>135</v>
      </c>
      <c r="X2" s="48" t="s">
        <v>134</v>
      </c>
      <c r="Y2" s="48" t="s">
        <v>135</v>
      </c>
    </row>
    <row r="3" spans="1:32" x14ac:dyDescent="0.25">
      <c r="A3" s="48">
        <v>0.3</v>
      </c>
      <c r="B3" s="48">
        <v>31705446471</v>
      </c>
      <c r="L3" s="48">
        <v>0.35000000000000003</v>
      </c>
      <c r="M3" s="48">
        <v>3817898350</v>
      </c>
      <c r="X3" s="58">
        <v>0.625</v>
      </c>
      <c r="Y3" s="52">
        <v>16983639308</v>
      </c>
    </row>
    <row r="4" spans="1:32" x14ac:dyDescent="0.25">
      <c r="A4" s="51">
        <v>0.03</v>
      </c>
      <c r="B4" s="52">
        <v>9325518761</v>
      </c>
      <c r="L4" s="51">
        <v>3.5000000000000003E-2</v>
      </c>
      <c r="M4" s="53">
        <v>1710178328</v>
      </c>
      <c r="X4" s="58">
        <v>6.25E-2</v>
      </c>
      <c r="Y4" s="52">
        <v>1785650488</v>
      </c>
    </row>
    <row r="5" spans="1:32" x14ac:dyDescent="0.25">
      <c r="A5" s="50">
        <v>3.0000000000000001E-3</v>
      </c>
      <c r="B5" s="52">
        <v>1348821334</v>
      </c>
      <c r="L5" s="50">
        <v>3.5000000000000001E-3</v>
      </c>
      <c r="M5" s="52">
        <v>371847783</v>
      </c>
      <c r="X5" s="58">
        <v>6.2500000000000003E-3</v>
      </c>
      <c r="Y5" s="52">
        <v>219313252</v>
      </c>
    </row>
    <row r="6" spans="1:32" x14ac:dyDescent="0.25">
      <c r="A6" s="50">
        <v>2.9999999999999997E-4</v>
      </c>
      <c r="B6" s="52">
        <v>123768283</v>
      </c>
      <c r="L6" s="50">
        <v>3.5E-4</v>
      </c>
      <c r="M6" s="52">
        <v>39315371</v>
      </c>
      <c r="X6" s="58">
        <v>6.2500000000000001E-4</v>
      </c>
      <c r="Y6" s="52">
        <v>20948404</v>
      </c>
    </row>
    <row r="7" spans="1:32" x14ac:dyDescent="0.25">
      <c r="A7" s="50">
        <v>3.0000000000000001E-5</v>
      </c>
      <c r="B7" s="52">
        <v>12214364</v>
      </c>
      <c r="L7" s="50"/>
      <c r="X7" s="58">
        <v>6.2500000000000001E-5</v>
      </c>
      <c r="Y7" s="52">
        <v>2670002</v>
      </c>
    </row>
    <row r="8" spans="1:32" x14ac:dyDescent="0.25">
      <c r="A8" s="50">
        <v>3.0000000000000001E-6</v>
      </c>
      <c r="B8" s="52">
        <v>1450306</v>
      </c>
      <c r="L8" s="50"/>
    </row>
    <row r="9" spans="1:32" x14ac:dyDescent="0.25">
      <c r="A9" s="48"/>
      <c r="B9" s="48"/>
    </row>
    <row r="10" spans="1:32" x14ac:dyDescent="0.25">
      <c r="A10" s="48"/>
      <c r="B10" s="48"/>
      <c r="X10" s="54"/>
      <c r="Y10" s="53"/>
      <c r="Z10" s="55"/>
      <c r="AA10" s="55"/>
      <c r="AB10" s="55"/>
      <c r="AC10" s="55"/>
      <c r="AD10" s="55"/>
      <c r="AE10" s="55"/>
      <c r="AF10" s="55"/>
    </row>
    <row r="11" spans="1:32" x14ac:dyDescent="0.25">
      <c r="A11" s="49" t="s">
        <v>11</v>
      </c>
      <c r="B11" s="48" t="s">
        <v>133</v>
      </c>
      <c r="L11" s="49" t="s">
        <v>30</v>
      </c>
      <c r="M11" s="48" t="s">
        <v>133</v>
      </c>
      <c r="X11" s="53"/>
      <c r="Y11" s="53"/>
      <c r="Z11" s="55"/>
      <c r="AA11" s="55"/>
      <c r="AB11" s="55"/>
      <c r="AC11" s="55"/>
      <c r="AD11" s="55"/>
      <c r="AE11" s="55"/>
      <c r="AF11" s="55"/>
    </row>
    <row r="12" spans="1:32" x14ac:dyDescent="0.25">
      <c r="A12" s="48" t="s">
        <v>134</v>
      </c>
      <c r="B12" s="48" t="s">
        <v>135</v>
      </c>
      <c r="L12" s="48" t="s">
        <v>134</v>
      </c>
      <c r="M12" s="48" t="s">
        <v>135</v>
      </c>
      <c r="X12" s="56" t="s">
        <v>26</v>
      </c>
      <c r="Y12" s="48" t="s">
        <v>133</v>
      </c>
      <c r="Z12" s="55"/>
      <c r="AA12" s="55"/>
      <c r="AB12" s="55"/>
      <c r="AC12" s="55"/>
      <c r="AD12" s="55"/>
      <c r="AE12" s="55"/>
      <c r="AF12" s="55"/>
    </row>
    <row r="13" spans="1:32" x14ac:dyDescent="0.25">
      <c r="A13" s="48">
        <v>0.6</v>
      </c>
      <c r="B13" s="48">
        <v>27765717730</v>
      </c>
      <c r="L13" s="48">
        <v>0.25</v>
      </c>
      <c r="M13" s="48">
        <v>3814489184</v>
      </c>
      <c r="X13" s="48" t="s">
        <v>134</v>
      </c>
      <c r="Y13" s="48" t="s">
        <v>135</v>
      </c>
      <c r="Z13" s="55"/>
      <c r="AA13" s="55"/>
      <c r="AB13" s="55"/>
      <c r="AC13" s="55"/>
      <c r="AD13" s="55"/>
      <c r="AE13" s="55"/>
      <c r="AF13" s="55"/>
    </row>
    <row r="14" spans="1:32" x14ac:dyDescent="0.25">
      <c r="A14" s="51">
        <v>0.06</v>
      </c>
      <c r="B14" s="52">
        <v>12041491307</v>
      </c>
      <c r="L14" s="51">
        <v>2.5000000000000001E-2</v>
      </c>
      <c r="M14" s="52">
        <v>760179265.70000005</v>
      </c>
      <c r="X14" s="48">
        <v>0.3</v>
      </c>
      <c r="Y14" s="53">
        <v>7261407559.0570898</v>
      </c>
      <c r="Z14" s="55"/>
      <c r="AA14" s="55"/>
      <c r="AB14" s="55"/>
      <c r="AC14" s="55"/>
      <c r="AD14" s="55"/>
      <c r="AE14" s="55"/>
      <c r="AF14" s="55"/>
    </row>
    <row r="15" spans="1:32" x14ac:dyDescent="0.25">
      <c r="A15" s="50">
        <v>6.0000000000000001E-3</v>
      </c>
      <c r="B15" s="52">
        <v>2468726453</v>
      </c>
      <c r="L15" s="50">
        <v>2.5000000000000001E-3</v>
      </c>
      <c r="M15" s="52">
        <v>118722733.09999999</v>
      </c>
      <c r="X15" s="51">
        <v>0.03</v>
      </c>
      <c r="Y15" s="52">
        <v>3137064547.5271401</v>
      </c>
      <c r="Z15" s="55"/>
      <c r="AA15" s="55"/>
      <c r="AB15" s="55"/>
      <c r="AC15" s="55"/>
      <c r="AD15" s="55"/>
      <c r="AE15" s="55"/>
      <c r="AF15" s="55"/>
    </row>
    <row r="16" spans="1:32" x14ac:dyDescent="0.25">
      <c r="A16" s="50">
        <v>5.9999999999999995E-4</v>
      </c>
      <c r="B16" s="52">
        <v>270255346</v>
      </c>
      <c r="L16" s="50">
        <v>2.5000000000000001E-4</v>
      </c>
      <c r="M16" s="52">
        <v>14106234.960000001</v>
      </c>
      <c r="X16" s="50">
        <v>3.0000000000000001E-3</v>
      </c>
      <c r="Y16" s="52">
        <v>559572983.77891302</v>
      </c>
      <c r="Z16" s="55"/>
      <c r="AA16" s="55"/>
      <c r="AB16" s="55"/>
      <c r="AC16" s="55"/>
      <c r="AD16" s="55"/>
      <c r="AE16" s="55"/>
      <c r="AF16" s="55"/>
    </row>
    <row r="17" spans="1:32" x14ac:dyDescent="0.25">
      <c r="A17" s="50">
        <v>6.0000000000000002E-5</v>
      </c>
      <c r="B17" s="52">
        <v>27691391</v>
      </c>
      <c r="L17" s="50">
        <v>2.5000000000000001E-5</v>
      </c>
      <c r="M17" s="52">
        <v>1393298.192</v>
      </c>
      <c r="X17" s="50">
        <v>2.9999999999999997E-4</v>
      </c>
      <c r="Y17" s="52">
        <v>58405483.618919402</v>
      </c>
      <c r="Z17" s="55"/>
      <c r="AA17" s="55"/>
      <c r="AB17" s="55"/>
      <c r="AC17" s="55"/>
      <c r="AD17" s="55"/>
      <c r="AE17" s="55"/>
      <c r="AF17" s="55"/>
    </row>
    <row r="18" spans="1:32" x14ac:dyDescent="0.25">
      <c r="A18" s="50">
        <v>6.0000000000000002E-6</v>
      </c>
      <c r="B18" s="52">
        <v>3620981</v>
      </c>
      <c r="L18" s="50">
        <v>2.5000000000000002E-6</v>
      </c>
      <c r="M18" s="52">
        <v>227557.8481</v>
      </c>
      <c r="X18" s="50">
        <v>3.0000000000000001E-5</v>
      </c>
      <c r="Y18" s="52">
        <v>5136785.78410732</v>
      </c>
      <c r="Z18" s="55"/>
      <c r="AA18" s="55"/>
      <c r="AB18" s="55"/>
      <c r="AC18" s="55"/>
      <c r="AD18" s="55"/>
      <c r="AE18" s="55"/>
      <c r="AF18" s="55"/>
    </row>
    <row r="19" spans="1:32" x14ac:dyDescent="0.25">
      <c r="A19" s="48"/>
      <c r="B19" s="48"/>
      <c r="X19" s="50">
        <v>3.0000000000000001E-6</v>
      </c>
      <c r="Y19" s="52">
        <v>512517.37027633301</v>
      </c>
    </row>
    <row r="20" spans="1:32" x14ac:dyDescent="0.25">
      <c r="A20" s="48"/>
      <c r="B20" s="48"/>
      <c r="X20" s="54"/>
      <c r="Y20" s="53"/>
    </row>
    <row r="21" spans="1:32" x14ac:dyDescent="0.25">
      <c r="A21" s="49" t="s">
        <v>12</v>
      </c>
      <c r="B21" s="48" t="s">
        <v>133</v>
      </c>
      <c r="X21" s="53"/>
      <c r="Y21" s="53"/>
    </row>
    <row r="22" spans="1:32" x14ac:dyDescent="0.25">
      <c r="A22" s="48" t="s">
        <v>134</v>
      </c>
      <c r="B22" s="48" t="s">
        <v>135</v>
      </c>
      <c r="L22" s="49" t="s">
        <v>33</v>
      </c>
      <c r="M22" s="48" t="s">
        <v>133</v>
      </c>
      <c r="X22" s="57"/>
      <c r="Y22" s="53"/>
    </row>
    <row r="23" spans="1:32" x14ac:dyDescent="0.25">
      <c r="A23" s="48">
        <v>0.2</v>
      </c>
      <c r="B23" s="48">
        <v>7069090427</v>
      </c>
      <c r="L23" s="48" t="s">
        <v>134</v>
      </c>
      <c r="M23" s="48" t="s">
        <v>135</v>
      </c>
      <c r="X23" s="57"/>
      <c r="Y23" s="53"/>
    </row>
    <row r="24" spans="1:32" x14ac:dyDescent="0.25">
      <c r="A24" s="51">
        <v>0.02</v>
      </c>
      <c r="B24" s="52">
        <v>3103317871</v>
      </c>
      <c r="L24" s="48">
        <v>0.65</v>
      </c>
      <c r="M24" s="48">
        <v>3603735786</v>
      </c>
      <c r="X24" s="49" t="s">
        <v>4</v>
      </c>
      <c r="Y24" s="48" t="s">
        <v>133</v>
      </c>
    </row>
    <row r="25" spans="1:32" x14ac:dyDescent="0.25">
      <c r="A25" s="50">
        <v>2E-3</v>
      </c>
      <c r="B25" s="52">
        <v>615394745</v>
      </c>
      <c r="L25" s="51">
        <v>6.5000000000000002E-2</v>
      </c>
      <c r="M25" s="52">
        <v>1040555903</v>
      </c>
      <c r="X25" s="48" t="s">
        <v>134</v>
      </c>
      <c r="Y25" s="48" t="s">
        <v>135</v>
      </c>
    </row>
    <row r="26" spans="1:32" x14ac:dyDescent="0.25">
      <c r="A26" s="50">
        <v>2.0000000000000001E-4</v>
      </c>
      <c r="B26" s="52">
        <v>78027367</v>
      </c>
      <c r="L26" s="50">
        <v>6.4999999999999997E-3</v>
      </c>
      <c r="M26" s="52">
        <v>174730115</v>
      </c>
      <c r="W26" s="62"/>
      <c r="X26" s="50">
        <v>1E-3</v>
      </c>
      <c r="Y26" s="52">
        <v>31531780</v>
      </c>
    </row>
    <row r="27" spans="1:32" x14ac:dyDescent="0.25">
      <c r="A27" s="50">
        <v>2.0000000000000002E-5</v>
      </c>
      <c r="B27" s="52">
        <v>15730722</v>
      </c>
      <c r="L27" s="50">
        <v>6.4999999999999997E-4</v>
      </c>
      <c r="M27" s="52">
        <v>20044437</v>
      </c>
      <c r="W27" s="62"/>
      <c r="X27" s="50">
        <v>1E-4</v>
      </c>
      <c r="Y27" s="52">
        <v>3299138</v>
      </c>
    </row>
    <row r="28" spans="1:32" x14ac:dyDescent="0.25">
      <c r="A28" s="50">
        <v>1.9999999999999999E-6</v>
      </c>
      <c r="B28" s="52">
        <v>5301767</v>
      </c>
      <c r="L28" s="50">
        <v>6.4999999999999994E-5</v>
      </c>
      <c r="M28" s="52">
        <v>1793578</v>
      </c>
      <c r="W28" s="62"/>
      <c r="X28" s="50"/>
      <c r="Y28" s="53"/>
    </row>
    <row r="29" spans="1:32" x14ac:dyDescent="0.25">
      <c r="A29" s="48"/>
      <c r="B29" s="48"/>
      <c r="L29" s="50"/>
      <c r="W29" s="62"/>
      <c r="X29" s="50"/>
      <c r="Y29" s="53"/>
    </row>
    <row r="30" spans="1:32" x14ac:dyDescent="0.25">
      <c r="A30" s="48"/>
      <c r="B30" s="48"/>
      <c r="W30" s="62"/>
      <c r="X30" s="50"/>
      <c r="Y30" s="53"/>
    </row>
    <row r="31" spans="1:32" x14ac:dyDescent="0.25">
      <c r="A31" s="48"/>
      <c r="B31" s="48"/>
      <c r="X31" s="50"/>
      <c r="Y31" s="53"/>
    </row>
    <row r="32" spans="1:32" x14ac:dyDescent="0.25">
      <c r="A32" s="49" t="s">
        <v>13</v>
      </c>
      <c r="B32" s="48" t="s">
        <v>133</v>
      </c>
      <c r="X32" s="50"/>
      <c r="Y32" s="53"/>
    </row>
    <row r="33" spans="1:29" x14ac:dyDescent="0.25">
      <c r="A33" s="48" t="s">
        <v>134</v>
      </c>
      <c r="B33" s="48" t="s">
        <v>135</v>
      </c>
      <c r="L33" s="49" t="s">
        <v>34</v>
      </c>
      <c r="M33" s="48" t="s">
        <v>133</v>
      </c>
      <c r="X33" s="57"/>
      <c r="Y33" s="53"/>
    </row>
    <row r="34" spans="1:29" x14ac:dyDescent="0.25">
      <c r="A34" s="50">
        <v>0.4</v>
      </c>
      <c r="B34" s="50">
        <v>20615017740</v>
      </c>
      <c r="L34" s="48" t="s">
        <v>134</v>
      </c>
      <c r="M34" s="48" t="s">
        <v>135</v>
      </c>
      <c r="X34" s="35"/>
      <c r="Y34" s="35"/>
      <c r="Z34" s="35"/>
      <c r="AA34" s="35"/>
      <c r="AB34" s="89" t="s">
        <v>163</v>
      </c>
      <c r="AC34" s="90"/>
    </row>
    <row r="35" spans="1:29" x14ac:dyDescent="0.25">
      <c r="A35" s="57">
        <v>0.04</v>
      </c>
      <c r="B35" s="58">
        <v>8501446181</v>
      </c>
      <c r="L35" s="48">
        <v>0.35000000000000003</v>
      </c>
      <c r="M35" s="48">
        <v>4473053791</v>
      </c>
      <c r="X35" s="82" t="s">
        <v>164</v>
      </c>
      <c r="Y35" s="82" t="s">
        <v>165</v>
      </c>
      <c r="Z35" s="82" t="s">
        <v>166</v>
      </c>
      <c r="AA35" s="35"/>
      <c r="AB35" s="82" t="s">
        <v>165</v>
      </c>
      <c r="AC35" s="82" t="s">
        <v>166</v>
      </c>
    </row>
    <row r="36" spans="1:29" x14ac:dyDescent="0.25">
      <c r="A36" s="57">
        <v>4.0000000000000001E-3</v>
      </c>
      <c r="B36" s="58">
        <v>2066317256</v>
      </c>
      <c r="L36" s="51">
        <v>3.5000000000000003E-2</v>
      </c>
      <c r="M36" s="52">
        <v>1063519925</v>
      </c>
      <c r="X36" s="83" t="s">
        <v>167</v>
      </c>
      <c r="Y36" s="35">
        <v>2.36</v>
      </c>
      <c r="Z36" s="84">
        <v>111009875056.60899</v>
      </c>
      <c r="AA36" s="35"/>
      <c r="AB36" s="35">
        <f t="shared" ref="AB36:AC41" si="0">LOG10(Y36)</f>
        <v>0.37291200297010657</v>
      </c>
      <c r="AC36" s="35">
        <f t="shared" si="0"/>
        <v>11.045361613848232</v>
      </c>
    </row>
    <row r="37" spans="1:29" x14ac:dyDescent="0.25">
      <c r="A37" s="57">
        <v>4.0000000000000002E-4</v>
      </c>
      <c r="B37" s="58">
        <v>239414531</v>
      </c>
      <c r="L37" s="50">
        <v>3.5000000000000001E-3</v>
      </c>
      <c r="M37" s="52">
        <v>158854402</v>
      </c>
      <c r="X37" s="85" t="s">
        <v>168</v>
      </c>
      <c r="Y37" s="86">
        <f>Y36/10</f>
        <v>0.23599999999999999</v>
      </c>
      <c r="Z37" s="87">
        <v>27911477581.555698</v>
      </c>
      <c r="AA37" s="35"/>
      <c r="AB37" s="35">
        <f t="shared" si="0"/>
        <v>-0.62708799702989348</v>
      </c>
      <c r="AC37" s="35">
        <f t="shared" si="0"/>
        <v>10.445782827836913</v>
      </c>
    </row>
    <row r="38" spans="1:29" x14ac:dyDescent="0.25">
      <c r="A38" s="57">
        <v>4.0000000000000003E-5</v>
      </c>
      <c r="B38" s="58">
        <v>23565335</v>
      </c>
      <c r="L38" s="50">
        <v>3.5E-4</v>
      </c>
      <c r="M38" s="52">
        <v>16928256</v>
      </c>
      <c r="X38" s="85" t="s">
        <v>169</v>
      </c>
      <c r="Y38" s="86">
        <f>Y37/10</f>
        <v>2.3599999999999999E-2</v>
      </c>
      <c r="Z38" s="87">
        <v>5073794119.2165203</v>
      </c>
      <c r="AA38" s="35"/>
      <c r="AB38" s="35">
        <f t="shared" si="0"/>
        <v>-1.6270879970298935</v>
      </c>
      <c r="AC38" s="35">
        <f t="shared" si="0"/>
        <v>9.7053328407528312</v>
      </c>
    </row>
    <row r="39" spans="1:29" x14ac:dyDescent="0.25">
      <c r="A39" s="57">
        <v>3.9999999999999998E-6</v>
      </c>
      <c r="B39" s="58">
        <v>2424482</v>
      </c>
      <c r="L39" s="50">
        <v>3.4999999999999997E-5</v>
      </c>
      <c r="M39" s="52">
        <v>1221557</v>
      </c>
      <c r="X39" s="85" t="s">
        <v>170</v>
      </c>
      <c r="Y39" s="86">
        <f>Y38/10</f>
        <v>2.3600000000000001E-3</v>
      </c>
      <c r="Z39" s="87">
        <v>563971092.57941902</v>
      </c>
      <c r="AA39" s="35"/>
      <c r="AB39" s="35">
        <f t="shared" si="0"/>
        <v>-2.6270879970298933</v>
      </c>
      <c r="AC39" s="35">
        <f t="shared" si="0"/>
        <v>8.7512568439567691</v>
      </c>
    </row>
    <row r="40" spans="1:29" x14ac:dyDescent="0.25">
      <c r="A40" s="48"/>
      <c r="B40" s="48"/>
      <c r="L40" s="50"/>
      <c r="X40" s="85" t="s">
        <v>171</v>
      </c>
      <c r="Y40" s="86">
        <f>Y39/10</f>
        <v>2.3600000000000002E-4</v>
      </c>
      <c r="Z40" s="87">
        <v>57380597.605694398</v>
      </c>
      <c r="AA40" s="35"/>
      <c r="AB40" s="35">
        <f t="shared" si="0"/>
        <v>-3.6270879970298933</v>
      </c>
      <c r="AC40" s="35">
        <f t="shared" si="0"/>
        <v>7.7587650670104313</v>
      </c>
    </row>
    <row r="41" spans="1:29" x14ac:dyDescent="0.25">
      <c r="A41" s="48"/>
      <c r="B41" s="48"/>
      <c r="X41" s="85" t="s">
        <v>172</v>
      </c>
      <c r="Y41" s="86">
        <f>Y40/10</f>
        <v>2.3600000000000001E-5</v>
      </c>
      <c r="Z41" s="87">
        <v>9440433.0604005195</v>
      </c>
      <c r="AA41" s="35"/>
      <c r="AB41" s="35">
        <f t="shared" si="0"/>
        <v>-4.6270879970298937</v>
      </c>
      <c r="AC41" s="35">
        <f t="shared" si="0"/>
        <v>6.9749919171188761</v>
      </c>
    </row>
    <row r="42" spans="1:29" x14ac:dyDescent="0.25">
      <c r="A42" s="49" t="s">
        <v>15</v>
      </c>
      <c r="B42" s="48" t="s">
        <v>133</v>
      </c>
      <c r="X42" s="35"/>
      <c r="Y42" s="35"/>
      <c r="Z42" s="35"/>
      <c r="AA42" s="35"/>
      <c r="AB42" s="35"/>
      <c r="AC42" s="35"/>
    </row>
    <row r="43" spans="1:29" x14ac:dyDescent="0.25">
      <c r="A43" s="48" t="s">
        <v>134</v>
      </c>
      <c r="B43" s="48" t="s">
        <v>135</v>
      </c>
      <c r="L43" s="49" t="s">
        <v>35</v>
      </c>
      <c r="M43" s="48" t="s">
        <v>133</v>
      </c>
      <c r="X43" s="35"/>
      <c r="Y43" s="35"/>
      <c r="Z43" s="35"/>
      <c r="AA43" s="35"/>
      <c r="AB43" s="35"/>
      <c r="AC43" s="35"/>
    </row>
    <row r="44" spans="1:29" x14ac:dyDescent="0.25">
      <c r="A44" s="48">
        <v>0.2</v>
      </c>
      <c r="B44" s="48">
        <v>12119317377</v>
      </c>
      <c r="L44" s="48" t="s">
        <v>134</v>
      </c>
      <c r="M44" s="48" t="s">
        <v>135</v>
      </c>
      <c r="X44" s="35"/>
      <c r="Y44" s="35"/>
      <c r="Z44" s="35"/>
      <c r="AA44" s="35"/>
      <c r="AB44" s="35"/>
      <c r="AC44" s="35"/>
    </row>
    <row r="45" spans="1:29" x14ac:dyDescent="0.25">
      <c r="A45" s="51">
        <v>0.02</v>
      </c>
      <c r="B45" s="52">
        <v>3134291103</v>
      </c>
      <c r="L45" s="48">
        <v>0.55000000000000004</v>
      </c>
      <c r="M45" s="48">
        <v>11538849883</v>
      </c>
      <c r="X45" s="35"/>
      <c r="Y45" s="35"/>
      <c r="Z45" s="35"/>
      <c r="AA45" s="35"/>
      <c r="AB45" s="35"/>
      <c r="AC45" s="35"/>
    </row>
    <row r="46" spans="1:29" x14ac:dyDescent="0.25">
      <c r="A46" s="50">
        <v>2E-3</v>
      </c>
      <c r="B46" s="52">
        <v>446520666</v>
      </c>
      <c r="L46" s="51">
        <v>5.5E-2</v>
      </c>
      <c r="M46" s="53">
        <v>3169146792</v>
      </c>
      <c r="X46" s="35"/>
      <c r="Y46" s="35"/>
      <c r="Z46" s="35"/>
      <c r="AA46" s="35"/>
      <c r="AB46" s="35"/>
      <c r="AC46" s="35"/>
    </row>
    <row r="47" spans="1:29" x14ac:dyDescent="0.25">
      <c r="A47" s="50">
        <v>2.0000000000000001E-4</v>
      </c>
      <c r="B47" s="52">
        <v>35005776</v>
      </c>
      <c r="L47" s="50">
        <v>5.4999999999999997E-3</v>
      </c>
      <c r="M47" s="52">
        <v>613432142</v>
      </c>
      <c r="X47" s="35"/>
      <c r="Y47" s="35"/>
      <c r="Z47" s="35"/>
      <c r="AA47" s="35"/>
      <c r="AB47" s="35"/>
      <c r="AC47" s="35"/>
    </row>
    <row r="48" spans="1:29" x14ac:dyDescent="0.25">
      <c r="A48" s="50">
        <v>2.0000000000000002E-5</v>
      </c>
      <c r="B48" s="52">
        <v>3198497</v>
      </c>
      <c r="L48" s="50">
        <v>5.5000000000000003E-4</v>
      </c>
      <c r="M48" s="52">
        <v>82927188</v>
      </c>
      <c r="X48" s="35"/>
      <c r="Y48" s="35"/>
      <c r="Z48" s="35"/>
      <c r="AA48" s="35"/>
      <c r="AB48" s="35"/>
      <c r="AC48" s="35"/>
    </row>
    <row r="49" spans="1:29" x14ac:dyDescent="0.25">
      <c r="A49" s="50">
        <v>1.9999999999999999E-6</v>
      </c>
      <c r="B49" s="52">
        <v>313309</v>
      </c>
      <c r="L49" s="50">
        <v>5.5000000000000002E-5</v>
      </c>
      <c r="M49" s="52">
        <v>8854750</v>
      </c>
      <c r="X49" s="35"/>
      <c r="Y49" s="35"/>
      <c r="Z49" s="35"/>
      <c r="AA49" s="35"/>
      <c r="AB49" s="35"/>
      <c r="AC49" s="35"/>
    </row>
    <row r="50" spans="1:29" x14ac:dyDescent="0.25">
      <c r="A50" s="48"/>
      <c r="B50" s="48"/>
      <c r="L50" s="50">
        <v>5.4999999999999999E-6</v>
      </c>
      <c r="M50" s="52">
        <v>1245772</v>
      </c>
      <c r="X50" s="35"/>
      <c r="Y50" s="35"/>
      <c r="Z50" s="35"/>
      <c r="AA50" s="35"/>
      <c r="AB50" s="35"/>
      <c r="AC50" s="35"/>
    </row>
    <row r="51" spans="1:29" x14ac:dyDescent="0.25">
      <c r="A51" s="48"/>
      <c r="B51" s="48"/>
      <c r="X51" s="35"/>
      <c r="Y51" s="35"/>
      <c r="Z51" s="35"/>
      <c r="AA51" s="35"/>
      <c r="AB51" s="35"/>
      <c r="AC51" s="35"/>
    </row>
    <row r="52" spans="1:29" x14ac:dyDescent="0.25">
      <c r="A52" s="49" t="s">
        <v>19</v>
      </c>
      <c r="B52" s="48" t="s">
        <v>133</v>
      </c>
      <c r="X52" s="35"/>
      <c r="Y52" s="35"/>
      <c r="Z52" s="35"/>
      <c r="AA52" s="35"/>
      <c r="AB52" s="35"/>
      <c r="AC52" s="35"/>
    </row>
    <row r="53" spans="1:29" x14ac:dyDescent="0.25">
      <c r="A53" s="48" t="s">
        <v>134</v>
      </c>
      <c r="B53" s="48" t="s">
        <v>135</v>
      </c>
      <c r="L53" s="49" t="s">
        <v>37</v>
      </c>
      <c r="M53" s="48" t="s">
        <v>133</v>
      </c>
      <c r="X53" s="35"/>
      <c r="Y53" s="35"/>
      <c r="Z53" s="35"/>
      <c r="AA53" s="35"/>
      <c r="AB53" s="35"/>
      <c r="AC53" s="35"/>
    </row>
    <row r="54" spans="1:29" x14ac:dyDescent="0.25">
      <c r="A54" s="48">
        <v>0.25</v>
      </c>
      <c r="B54" s="48">
        <v>34804325424</v>
      </c>
      <c r="L54" s="48" t="s">
        <v>134</v>
      </c>
      <c r="M54" s="48" t="s">
        <v>135</v>
      </c>
      <c r="X54" s="35"/>
      <c r="Y54" s="35"/>
      <c r="Z54" s="35"/>
      <c r="AA54" s="35"/>
      <c r="AB54" s="35"/>
      <c r="AC54" s="35"/>
    </row>
    <row r="55" spans="1:29" x14ac:dyDescent="0.25">
      <c r="A55" s="51">
        <v>2.5000000000000001E-2</v>
      </c>
      <c r="B55" s="53">
        <v>18768460977</v>
      </c>
      <c r="L55" s="48">
        <v>0.3</v>
      </c>
      <c r="M55" s="53">
        <v>15152429890</v>
      </c>
      <c r="X55" s="35"/>
      <c r="Y55" s="35"/>
      <c r="Z55" s="35"/>
      <c r="AA55" s="35"/>
      <c r="AB55" s="35"/>
      <c r="AC55" s="35"/>
    </row>
    <row r="56" spans="1:29" x14ac:dyDescent="0.25">
      <c r="A56" s="50">
        <v>2.5000000000000001E-3</v>
      </c>
      <c r="B56" s="52">
        <v>4761194735</v>
      </c>
      <c r="L56" s="51">
        <v>0.03</v>
      </c>
      <c r="M56" s="53">
        <v>2042695991</v>
      </c>
      <c r="X56" s="35"/>
      <c r="Y56" s="35"/>
      <c r="Z56" s="35"/>
      <c r="AA56" s="35"/>
      <c r="AB56" s="35"/>
      <c r="AC56" s="35"/>
    </row>
    <row r="57" spans="1:29" x14ac:dyDescent="0.25">
      <c r="A57" s="50">
        <v>2.5000000000000001E-4</v>
      </c>
      <c r="B57" s="52">
        <v>645124513</v>
      </c>
      <c r="L57" s="50">
        <v>3.0000000000000001E-3</v>
      </c>
      <c r="M57" s="52">
        <v>220637639</v>
      </c>
      <c r="X57" s="35"/>
      <c r="Y57" s="35"/>
      <c r="Z57" s="35"/>
      <c r="AA57" s="35"/>
      <c r="AB57" s="35"/>
      <c r="AC57" s="35"/>
    </row>
    <row r="58" spans="1:29" x14ac:dyDescent="0.25">
      <c r="A58" s="50">
        <v>2.5000000000000001E-5</v>
      </c>
      <c r="B58" s="52">
        <v>65141796</v>
      </c>
      <c r="L58" s="50">
        <v>2.9999999999999997E-4</v>
      </c>
      <c r="M58" s="52">
        <v>20150037</v>
      </c>
      <c r="X58" s="35"/>
      <c r="Y58" s="35"/>
      <c r="Z58" s="35"/>
      <c r="AA58" s="35"/>
      <c r="AB58" s="35"/>
      <c r="AC58" s="35"/>
    </row>
    <row r="59" spans="1:29" x14ac:dyDescent="0.25">
      <c r="A59" s="50">
        <v>2.5000000000000002E-6</v>
      </c>
      <c r="B59" s="52">
        <v>6925498</v>
      </c>
      <c r="L59" s="50">
        <v>3.0000000000000001E-5</v>
      </c>
      <c r="M59" s="52">
        <v>1292463</v>
      </c>
      <c r="X59" s="35"/>
      <c r="Y59" s="35"/>
      <c r="Z59" s="35"/>
      <c r="AA59" s="35"/>
      <c r="AB59" s="35"/>
      <c r="AC59" s="35"/>
    </row>
    <row r="60" spans="1:29" x14ac:dyDescent="0.25">
      <c r="A60" s="48"/>
      <c r="B60" s="48"/>
      <c r="L60" s="50"/>
      <c r="X60" s="35"/>
      <c r="Y60" s="35"/>
      <c r="Z60" s="35"/>
      <c r="AA60" s="35"/>
      <c r="AB60" s="35"/>
      <c r="AC60" s="35"/>
    </row>
    <row r="61" spans="1:29" x14ac:dyDescent="0.25">
      <c r="A61" s="48"/>
      <c r="B61" s="48"/>
      <c r="X61" s="35"/>
      <c r="Y61" s="35"/>
      <c r="Z61" s="35"/>
      <c r="AA61" s="35"/>
      <c r="AB61" s="35"/>
      <c r="AC61" s="35"/>
    </row>
    <row r="62" spans="1:29" x14ac:dyDescent="0.25">
      <c r="A62" s="48"/>
      <c r="B62" s="48"/>
      <c r="X62" s="35"/>
      <c r="Y62" s="35"/>
      <c r="Z62" s="35"/>
      <c r="AA62" s="35"/>
      <c r="AB62" s="35"/>
      <c r="AC62" s="35"/>
    </row>
    <row r="63" spans="1:29" x14ac:dyDescent="0.25">
      <c r="A63" s="49" t="s">
        <v>20</v>
      </c>
      <c r="B63" s="48" t="s">
        <v>133</v>
      </c>
      <c r="X63" s="35"/>
      <c r="Y63" s="35"/>
      <c r="Z63" s="35"/>
      <c r="AA63" s="35"/>
      <c r="AB63" s="35"/>
      <c r="AC63" s="35"/>
    </row>
    <row r="64" spans="1:29" x14ac:dyDescent="0.25">
      <c r="A64" s="48" t="s">
        <v>134</v>
      </c>
      <c r="B64" s="48" t="s">
        <v>135</v>
      </c>
      <c r="L64" s="49" t="s">
        <v>43</v>
      </c>
      <c r="M64" s="48" t="s">
        <v>133</v>
      </c>
    </row>
    <row r="65" spans="1:13" x14ac:dyDescent="0.25">
      <c r="A65" s="48">
        <v>0.35000000000000003</v>
      </c>
      <c r="B65" s="48">
        <v>9464158725</v>
      </c>
      <c r="L65" s="48" t="s">
        <v>134</v>
      </c>
      <c r="M65" s="48" t="s">
        <v>135</v>
      </c>
    </row>
    <row r="66" spans="1:13" x14ac:dyDescent="0.25">
      <c r="A66" s="51">
        <v>3.5000000000000003E-2</v>
      </c>
      <c r="B66" s="52">
        <v>2917991262</v>
      </c>
      <c r="L66" s="48">
        <v>0.5</v>
      </c>
      <c r="M66" s="48">
        <v>17086050259</v>
      </c>
    </row>
    <row r="67" spans="1:13" x14ac:dyDescent="0.25">
      <c r="A67" s="50">
        <v>3.5000000000000001E-3</v>
      </c>
      <c r="B67" s="52">
        <v>448554749</v>
      </c>
      <c r="L67" s="51">
        <v>0.05</v>
      </c>
      <c r="M67" s="52">
        <v>2967284175</v>
      </c>
    </row>
    <row r="68" spans="1:13" x14ac:dyDescent="0.25">
      <c r="A68" s="50">
        <v>3.5E-4</v>
      </c>
      <c r="B68" s="52">
        <v>53543237</v>
      </c>
      <c r="L68" s="50">
        <v>5.0000000000000001E-3</v>
      </c>
      <c r="M68" s="52">
        <v>386448133</v>
      </c>
    </row>
    <row r="69" spans="1:13" x14ac:dyDescent="0.25">
      <c r="A69" s="50">
        <v>3.4999999999999997E-5</v>
      </c>
      <c r="B69" s="52">
        <v>5243274</v>
      </c>
      <c r="L69" s="50">
        <v>5.0000000000000001E-4</v>
      </c>
      <c r="M69" s="52">
        <v>45996937</v>
      </c>
    </row>
    <row r="70" spans="1:13" x14ac:dyDescent="0.25">
      <c r="A70" s="50">
        <v>3.4999999999999999E-6</v>
      </c>
      <c r="B70" s="52">
        <v>534862</v>
      </c>
      <c r="L70" s="50">
        <v>5.0000000000000002E-5</v>
      </c>
      <c r="M70" s="52">
        <v>4350950</v>
      </c>
    </row>
    <row r="71" spans="1:13" x14ac:dyDescent="0.25">
      <c r="L71" s="50">
        <v>5.0000000000000004E-6</v>
      </c>
      <c r="M71" s="52">
        <v>451727</v>
      </c>
    </row>
    <row r="75" spans="1:13" x14ac:dyDescent="0.25">
      <c r="L75" s="49" t="s">
        <v>44</v>
      </c>
      <c r="M75" s="48" t="s">
        <v>133</v>
      </c>
    </row>
    <row r="76" spans="1:13" x14ac:dyDescent="0.25">
      <c r="A76" s="49" t="s">
        <v>31</v>
      </c>
      <c r="B76" s="48" t="s">
        <v>133</v>
      </c>
      <c r="L76" s="48" t="s">
        <v>134</v>
      </c>
      <c r="M76" s="48" t="s">
        <v>135</v>
      </c>
    </row>
    <row r="77" spans="1:13" x14ac:dyDescent="0.25">
      <c r="A77" s="48" t="s">
        <v>134</v>
      </c>
      <c r="B77" s="48" t="s">
        <v>135</v>
      </c>
      <c r="L77" s="48">
        <v>0.25</v>
      </c>
      <c r="M77" s="48">
        <v>21451514986</v>
      </c>
    </row>
    <row r="78" spans="1:13" x14ac:dyDescent="0.25">
      <c r="A78" s="48">
        <v>0.3</v>
      </c>
      <c r="B78" s="57">
        <v>2961410295.86026</v>
      </c>
      <c r="L78" s="51">
        <v>2.5000000000000001E-2</v>
      </c>
      <c r="M78" s="52">
        <v>5856195021</v>
      </c>
    </row>
    <row r="79" spans="1:13" x14ac:dyDescent="0.25">
      <c r="A79" s="51">
        <v>0.03</v>
      </c>
      <c r="B79" s="57">
        <v>490835100.42342103</v>
      </c>
      <c r="L79" s="50">
        <v>2.5000000000000001E-3</v>
      </c>
      <c r="M79" s="52">
        <v>1524393686</v>
      </c>
    </row>
    <row r="80" spans="1:13" x14ac:dyDescent="0.25">
      <c r="A80" s="50">
        <v>3.0000000000000001E-3</v>
      </c>
      <c r="B80" s="57">
        <v>72360158.650418803</v>
      </c>
      <c r="L80" s="50">
        <v>2.5000000000000001E-4</v>
      </c>
      <c r="M80" s="52">
        <v>329196527</v>
      </c>
    </row>
    <row r="81" spans="1:13" x14ac:dyDescent="0.25">
      <c r="A81" s="50">
        <v>2.9999999999999997E-4</v>
      </c>
      <c r="B81" s="58">
        <v>9707342.2058260608</v>
      </c>
      <c r="L81" s="50">
        <v>2.5000000000000001E-5</v>
      </c>
      <c r="M81" s="52">
        <v>38052346</v>
      </c>
    </row>
    <row r="82" spans="1:13" x14ac:dyDescent="0.25">
      <c r="A82" s="50">
        <v>3.0000000000000001E-5</v>
      </c>
      <c r="B82" s="58">
        <v>553845.74191396602</v>
      </c>
      <c r="L82" s="50">
        <v>2.5000000000000002E-6</v>
      </c>
      <c r="M82" s="52">
        <v>4309611</v>
      </c>
    </row>
    <row r="83" spans="1:13" x14ac:dyDescent="0.25">
      <c r="A83" s="50"/>
      <c r="B83" s="53"/>
    </row>
    <row r="84" spans="1:13" x14ac:dyDescent="0.25">
      <c r="B84" s="48"/>
    </row>
  </sheetData>
  <mergeCells count="1">
    <mergeCell ref="AB34:AC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S89"/>
  <sheetViews>
    <sheetView topLeftCell="AE1" workbookViewId="0">
      <selection activeCell="AI39" sqref="AI39"/>
    </sheetView>
  </sheetViews>
  <sheetFormatPr defaultRowHeight="12.75" x14ac:dyDescent="0.25"/>
  <cols>
    <col min="1" max="1" width="6.5703125" style="2" bestFit="1" customWidth="1"/>
    <col min="2" max="2" width="10.85546875" style="2" bestFit="1" customWidth="1"/>
    <col min="3" max="19" width="15.7109375" style="2" bestFit="1" customWidth="1"/>
    <col min="20" max="20" width="18" style="2" bestFit="1" customWidth="1"/>
    <col min="21" max="21" width="15.7109375" style="2" bestFit="1" customWidth="1"/>
    <col min="22" max="22" width="17" style="2" bestFit="1" customWidth="1"/>
    <col min="23" max="26" width="9.140625" style="2"/>
    <col min="27" max="43" width="15.7109375" style="2" bestFit="1" customWidth="1"/>
    <col min="44" max="44" width="18" style="2" bestFit="1" customWidth="1"/>
    <col min="45" max="45" width="15.7109375" style="2" bestFit="1" customWidth="1"/>
    <col min="46" max="46" width="17" style="2" bestFit="1" customWidth="1"/>
    <col min="47" max="47" width="9.140625" style="2"/>
    <col min="48" max="49" width="10.85546875" style="2" bestFit="1" customWidth="1"/>
    <col min="50" max="59" width="15.7109375" style="2" bestFit="1" customWidth="1"/>
    <col min="60" max="60" width="10.5703125" style="2" bestFit="1" customWidth="1"/>
    <col min="61" max="61" width="10.42578125" style="2" customWidth="1"/>
    <col min="62" max="62" width="15.7109375" style="2" bestFit="1" customWidth="1"/>
    <col min="63" max="63" width="11.5703125" style="2" customWidth="1"/>
    <col min="64" max="64" width="11.42578125" style="2" customWidth="1"/>
    <col min="65" max="66" width="15.7109375" style="2" bestFit="1" customWidth="1"/>
    <col min="67" max="67" width="18.5703125" style="2" bestFit="1" customWidth="1"/>
    <col min="68" max="68" width="15.7109375" style="2" bestFit="1" customWidth="1"/>
    <col min="69" max="69" width="17" style="2" bestFit="1" customWidth="1"/>
    <col min="70" max="70" width="10.42578125" style="2" bestFit="1" customWidth="1"/>
    <col min="71" max="16384" width="9.140625" style="2"/>
  </cols>
  <sheetData>
    <row r="4" spans="1:69" ht="15" x14ac:dyDescent="0.25">
      <c r="AA4" s="91" t="s">
        <v>50</v>
      </c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X4" s="91" t="s">
        <v>51</v>
      </c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</row>
    <row r="5" spans="1:69" x14ac:dyDescent="0.25">
      <c r="AA5" s="2" t="s">
        <v>94</v>
      </c>
      <c r="AB5" s="2" t="s">
        <v>95</v>
      </c>
      <c r="AC5" s="2" t="s">
        <v>94</v>
      </c>
      <c r="AD5" s="2" t="s">
        <v>96</v>
      </c>
      <c r="AE5" s="2" t="s">
        <v>97</v>
      </c>
      <c r="AF5" s="2" t="s">
        <v>98</v>
      </c>
      <c r="AG5" s="2" t="s">
        <v>49</v>
      </c>
      <c r="AH5" s="2" t="s">
        <v>99</v>
      </c>
      <c r="AI5" s="2" t="s">
        <v>100</v>
      </c>
      <c r="AJ5" s="2" t="s">
        <v>101</v>
      </c>
      <c r="AK5" s="2" t="s">
        <v>102</v>
      </c>
      <c r="AL5" s="2" t="s">
        <v>103</v>
      </c>
      <c r="AM5" s="2" t="s">
        <v>104</v>
      </c>
      <c r="AN5" s="2" t="s">
        <v>106</v>
      </c>
      <c r="AO5" s="2" t="s">
        <v>107</v>
      </c>
      <c r="AP5" s="2" t="s">
        <v>94</v>
      </c>
      <c r="AQ5" s="2" t="s">
        <v>108</v>
      </c>
      <c r="AR5" s="2" t="s">
        <v>109</v>
      </c>
      <c r="AS5" s="2" t="s">
        <v>155</v>
      </c>
      <c r="AT5" s="2" t="s">
        <v>139</v>
      </c>
      <c r="AX5" s="2" t="s">
        <v>93</v>
      </c>
      <c r="AY5" s="2" t="s">
        <v>52</v>
      </c>
      <c r="AZ5" s="2" t="s">
        <v>53</v>
      </c>
      <c r="BA5" s="2" t="s">
        <v>54</v>
      </c>
      <c r="BB5" s="2" t="s">
        <v>55</v>
      </c>
      <c r="BC5" s="2" t="s">
        <v>56</v>
      </c>
      <c r="BD5" s="2" t="s">
        <v>57</v>
      </c>
      <c r="BE5" s="2" t="s">
        <v>58</v>
      </c>
      <c r="BF5" s="2" t="s">
        <v>59</v>
      </c>
      <c r="BG5" s="2" t="s">
        <v>60</v>
      </c>
      <c r="BH5" s="2" t="s">
        <v>61</v>
      </c>
      <c r="BI5" s="2" t="s">
        <v>62</v>
      </c>
      <c r="BJ5" s="2" t="s">
        <v>63</v>
      </c>
      <c r="BK5" s="2" t="s">
        <v>64</v>
      </c>
      <c r="BL5" s="2" t="s">
        <v>65</v>
      </c>
      <c r="BM5" s="2" t="s">
        <v>66</v>
      </c>
      <c r="BN5" s="2" t="s">
        <v>67</v>
      </c>
      <c r="BO5" s="2" t="s">
        <v>68</v>
      </c>
      <c r="BP5" s="2" t="s">
        <v>69</v>
      </c>
      <c r="BQ5" s="2" t="s">
        <v>70</v>
      </c>
    </row>
    <row r="6" spans="1:69" ht="13.5" thickBot="1" x14ac:dyDescent="0.3">
      <c r="A6" s="7" t="s">
        <v>0</v>
      </c>
      <c r="B6" s="7" t="s">
        <v>1</v>
      </c>
      <c r="C6" s="7" t="s">
        <v>13</v>
      </c>
      <c r="D6" s="7" t="s">
        <v>34</v>
      </c>
      <c r="E6" s="7" t="s">
        <v>11</v>
      </c>
      <c r="F6" s="7" t="s">
        <v>12</v>
      </c>
      <c r="G6" s="7" t="s">
        <v>7</v>
      </c>
      <c r="H6" s="7" t="s">
        <v>20</v>
      </c>
      <c r="I6" s="7" t="s">
        <v>15</v>
      </c>
      <c r="J6" s="7" t="s">
        <v>19</v>
      </c>
      <c r="K6" s="7" t="s">
        <v>26</v>
      </c>
      <c r="L6" s="7" t="s">
        <v>43</v>
      </c>
      <c r="M6" s="7" t="s">
        <v>31</v>
      </c>
      <c r="N6" s="7" t="s">
        <v>35</v>
      </c>
      <c r="O6" s="7" t="s">
        <v>30</v>
      </c>
      <c r="P6" s="7" t="s">
        <v>37</v>
      </c>
      <c r="Q6" s="7" t="s">
        <v>27</v>
      </c>
      <c r="R6" s="7" t="s">
        <v>44</v>
      </c>
      <c r="S6" s="7" t="s">
        <v>33</v>
      </c>
      <c r="T6" s="7" t="s">
        <v>32</v>
      </c>
      <c r="U6" s="7" t="s">
        <v>8</v>
      </c>
      <c r="V6" s="7" t="s">
        <v>4</v>
      </c>
      <c r="AA6" s="7" t="s">
        <v>13</v>
      </c>
      <c r="AB6" s="7" t="s">
        <v>34</v>
      </c>
      <c r="AC6" s="7" t="s">
        <v>11</v>
      </c>
      <c r="AD6" s="7" t="s">
        <v>12</v>
      </c>
      <c r="AE6" s="7" t="s">
        <v>7</v>
      </c>
      <c r="AF6" s="7" t="s">
        <v>20</v>
      </c>
      <c r="AG6" s="7" t="s">
        <v>15</v>
      </c>
      <c r="AH6" s="7" t="s">
        <v>19</v>
      </c>
      <c r="AI6" s="7" t="s">
        <v>26</v>
      </c>
      <c r="AJ6" s="7" t="s">
        <v>43</v>
      </c>
      <c r="AK6" s="7" t="s">
        <v>31</v>
      </c>
      <c r="AL6" s="7" t="s">
        <v>35</v>
      </c>
      <c r="AM6" s="7" t="s">
        <v>30</v>
      </c>
      <c r="AN6" s="7" t="s">
        <v>37</v>
      </c>
      <c r="AO6" s="7" t="s">
        <v>27</v>
      </c>
      <c r="AP6" s="7" t="s">
        <v>44</v>
      </c>
      <c r="AQ6" s="7" t="s">
        <v>33</v>
      </c>
      <c r="AR6" s="7" t="s">
        <v>91</v>
      </c>
      <c r="AS6" s="7" t="s">
        <v>8</v>
      </c>
      <c r="AT6" s="7" t="s">
        <v>4</v>
      </c>
      <c r="AX6" s="7" t="s">
        <v>13</v>
      </c>
      <c r="AY6" s="7" t="s">
        <v>34</v>
      </c>
      <c r="AZ6" s="7" t="s">
        <v>11</v>
      </c>
      <c r="BA6" s="7" t="s">
        <v>12</v>
      </c>
      <c r="BB6" s="7" t="s">
        <v>7</v>
      </c>
      <c r="BC6" s="7" t="s">
        <v>20</v>
      </c>
      <c r="BD6" s="7" t="s">
        <v>15</v>
      </c>
      <c r="BE6" s="7" t="s">
        <v>19</v>
      </c>
      <c r="BF6" s="7" t="s">
        <v>26</v>
      </c>
      <c r="BG6" s="7" t="s">
        <v>43</v>
      </c>
      <c r="BH6" s="7" t="s">
        <v>31</v>
      </c>
      <c r="BI6" s="7" t="s">
        <v>35</v>
      </c>
      <c r="BJ6" s="7" t="s">
        <v>30</v>
      </c>
      <c r="BK6" s="7" t="s">
        <v>37</v>
      </c>
      <c r="BL6" s="7" t="s">
        <v>27</v>
      </c>
      <c r="BM6" s="7" t="s">
        <v>44</v>
      </c>
      <c r="BN6" s="7" t="s">
        <v>33</v>
      </c>
      <c r="BO6" s="7" t="s">
        <v>91</v>
      </c>
      <c r="BP6" s="7" t="s">
        <v>8</v>
      </c>
      <c r="BQ6" s="7" t="s">
        <v>4</v>
      </c>
    </row>
    <row r="7" spans="1:69" x14ac:dyDescent="0.25">
      <c r="A7" s="4">
        <v>1</v>
      </c>
      <c r="B7" s="2" t="s">
        <v>136</v>
      </c>
      <c r="C7" s="2">
        <v>804633769</v>
      </c>
      <c r="D7" s="2">
        <v>106410754</v>
      </c>
      <c r="E7" s="2">
        <v>3764340502</v>
      </c>
      <c r="F7" s="2">
        <v>1750736134</v>
      </c>
      <c r="G7" s="2">
        <v>1699233370</v>
      </c>
      <c r="H7" s="2">
        <v>729916073</v>
      </c>
      <c r="I7" s="2">
        <v>205353920</v>
      </c>
      <c r="J7" s="2">
        <v>667096419</v>
      </c>
      <c r="K7" s="2">
        <v>946261221</v>
      </c>
      <c r="L7" s="2">
        <v>647866675</v>
      </c>
      <c r="M7" s="2">
        <v>581041</v>
      </c>
      <c r="N7" s="2">
        <v>232501423</v>
      </c>
      <c r="O7" s="2">
        <v>1023987391</v>
      </c>
      <c r="P7" s="2">
        <v>3645443</v>
      </c>
      <c r="Q7" s="2">
        <v>70940844</v>
      </c>
      <c r="R7" s="2">
        <v>2215791274</v>
      </c>
      <c r="S7" s="2">
        <v>53722868</v>
      </c>
      <c r="T7" s="2">
        <v>429155461</v>
      </c>
      <c r="U7" s="2">
        <v>1023644730</v>
      </c>
      <c r="V7" s="2">
        <v>103211951</v>
      </c>
      <c r="AA7" s="2">
        <f>(C7-300000000)/200000000000</f>
        <v>2.5231688450000002E-3</v>
      </c>
      <c r="AB7" s="2">
        <f>(D7-20000000)/30000000000</f>
        <v>2.8803584666666666E-3</v>
      </c>
      <c r="AC7" s="2">
        <f>(E7-300000000)/200000000000</f>
        <v>1.7321702509999998E-2</v>
      </c>
      <c r="AD7" s="2">
        <f>(F7-90000000)/200000000000</f>
        <v>8.3036806700000007E-3</v>
      </c>
      <c r="AE7" s="2">
        <f>(G7-100000000)/300000000000</f>
        <v>5.3307779E-3</v>
      </c>
      <c r="AF7" s="2">
        <f>(H7-40000000)/80000000000</f>
        <v>8.6239509124999992E-3</v>
      </c>
      <c r="AG7" s="2">
        <f>(I7-30000000)/200000000000</f>
        <v>8.767696E-4</v>
      </c>
      <c r="AH7" s="2">
        <f>(J7-60000000)/2000000000000</f>
        <v>3.0354820949999998E-4</v>
      </c>
      <c r="AI7" s="2">
        <f>(K7-70000000)/100000000000</f>
        <v>8.7626122099999995E-3</v>
      </c>
      <c r="AJ7" s="2">
        <f>(L7-30000000)/60000000000</f>
        <v>1.0297777916666667E-2</v>
      </c>
      <c r="AK7" s="2">
        <f>(M7+463209)/30000000000</f>
        <v>3.480833333333333E-5</v>
      </c>
      <c r="AL7" s="2">
        <f>(N7-8000000)/100000000000</f>
        <v>2.24501423E-3</v>
      </c>
      <c r="AM7" s="2">
        <f>(O7-10000000)/30000000000</f>
        <v>3.3799579699999999E-2</v>
      </c>
      <c r="AN7" s="2">
        <f>(P7+1000000)/70000000000</f>
        <v>6.6363471428571434E-5</v>
      </c>
      <c r="AO7" s="2">
        <f>(Q7-2000000)/100000000000</f>
        <v>6.8940843999999995E-4</v>
      </c>
      <c r="AP7" s="2">
        <f>(R7-300000000)/200000000000</f>
        <v>9.5789563700000007E-3</v>
      </c>
      <c r="AQ7" s="2">
        <f>(S7-30000000)/20000000000</f>
        <v>1.1861434000000001E-3</v>
      </c>
      <c r="AR7" s="2">
        <f>T7*0.28125/$T$29</f>
        <v>0.24060077313906011</v>
      </c>
      <c r="AS7" s="2">
        <f>(U7-30000000)/30000000000</f>
        <v>3.3121491000000003E-2</v>
      </c>
      <c r="AT7" s="2">
        <f>(V7-162178)/30000000000</f>
        <v>3.4349924333333332E-3</v>
      </c>
      <c r="AW7" s="8"/>
      <c r="AX7" s="2">
        <f>16*2*AA7/0.14921</f>
        <v>0.54112595027142951</v>
      </c>
      <c r="AY7" s="2">
        <f>2*16*AB7/0.10509</f>
        <v>0.8770717569067783</v>
      </c>
      <c r="AZ7" s="2">
        <f>2*16*AC7/0.13117</f>
        <v>4.2257717490279783</v>
      </c>
      <c r="BA7" s="2">
        <f>2*16*AD7/0.11715</f>
        <v>2.2681842205719165</v>
      </c>
      <c r="BB7" s="2">
        <f>2*16*AE7/0.116519</f>
        <v>1.464009241411272</v>
      </c>
      <c r="BC7" s="2">
        <f>2*16*AF7/0.18119</f>
        <v>1.5230775936861858</v>
      </c>
      <c r="BD7" s="2">
        <f>2*16*AG7/0.20423</f>
        <v>0.13737759976497088</v>
      </c>
      <c r="BE7" s="2">
        <f>2*16*AH7/0.11513</f>
        <v>8.4370213706245117E-2</v>
      </c>
      <c r="BF7" s="2">
        <f>2*16*AI7/0.11912</f>
        <v>2.3539589550033577</v>
      </c>
      <c r="BG7" s="2">
        <f>2*16*AJ7/0.14619</f>
        <v>2.2541137788722443</v>
      </c>
      <c r="BH7" s="2">
        <f>2*16*AK7/0.13212</f>
        <v>8.4307195478857608E-3</v>
      </c>
      <c r="BI7" s="2">
        <f>2*16*AL7/0.14713</f>
        <v>0.48827876952355054</v>
      </c>
      <c r="BJ7" s="2">
        <f>2*16*AM7/0.14612</f>
        <v>7.4020431864221186</v>
      </c>
      <c r="BK7" s="2">
        <f>2*16*AN7/0.1331</f>
        <v>1.5955154663518302E-2</v>
      </c>
      <c r="BL7" s="2">
        <f>2*16*AO7/0.08909</f>
        <v>0.24762678280390613</v>
      </c>
      <c r="BM7" s="2">
        <f>2*16*AP7/0.17412</f>
        <v>1.7604330567424766</v>
      </c>
      <c r="BN7" s="2">
        <f>2*16*AQ7/0.07507</f>
        <v>0.50561594245370989</v>
      </c>
      <c r="BO7" s="2">
        <f>2*16*AR7/0.18016</f>
        <v>42.735483683669649</v>
      </c>
      <c r="BP7" s="2">
        <f>2*16*AS7/0.0908</f>
        <v>11.672772158590309</v>
      </c>
      <c r="BQ7" s="2">
        <f>2*16*AT7/0.08806</f>
        <v>1.2482370868347339</v>
      </c>
    </row>
    <row r="8" spans="1:69" x14ac:dyDescent="0.25">
      <c r="A8" s="4">
        <v>2</v>
      </c>
      <c r="B8" s="2" t="s">
        <v>136</v>
      </c>
      <c r="C8" s="2">
        <v>663798064</v>
      </c>
      <c r="D8" s="2">
        <v>94369767</v>
      </c>
      <c r="E8" s="2">
        <v>3075362341</v>
      </c>
      <c r="F8" s="2">
        <v>1414188674</v>
      </c>
      <c r="G8" s="2">
        <v>1406621881</v>
      </c>
      <c r="H8" s="2">
        <v>609106125</v>
      </c>
      <c r="I8" s="2">
        <v>165660059</v>
      </c>
      <c r="J8" s="2">
        <v>531976278</v>
      </c>
      <c r="K8" s="2">
        <v>781607999</v>
      </c>
      <c r="L8" s="2">
        <v>517360702</v>
      </c>
      <c r="M8" s="2">
        <v>601809</v>
      </c>
      <c r="N8" s="2">
        <v>195491359</v>
      </c>
      <c r="O8" s="2">
        <v>914963233.10000002</v>
      </c>
      <c r="P8" s="2">
        <v>3183454</v>
      </c>
      <c r="Q8" s="2">
        <v>57991241</v>
      </c>
      <c r="R8" s="2">
        <v>1922321925</v>
      </c>
      <c r="S8" s="2">
        <v>45864557</v>
      </c>
      <c r="T8" s="2">
        <v>441809127</v>
      </c>
      <c r="U8" s="2">
        <v>782988075</v>
      </c>
      <c r="V8" s="2">
        <v>80009237</v>
      </c>
      <c r="AA8" s="2">
        <f t="shared" ref="AA8:AA22" si="0">(C8-300000000)/200000000000</f>
        <v>1.81899032E-3</v>
      </c>
      <c r="AB8" s="2">
        <f t="shared" ref="AB8:AB22" si="1">(D8-20000000)/30000000000</f>
        <v>2.4789922333333333E-3</v>
      </c>
      <c r="AC8" s="2">
        <f t="shared" ref="AC8:AC22" si="2">(E8-300000000)/200000000000</f>
        <v>1.3876811705E-2</v>
      </c>
      <c r="AD8" s="2">
        <f t="shared" ref="AD8:AD22" si="3">(F8-90000000)/200000000000</f>
        <v>6.6209433700000001E-3</v>
      </c>
      <c r="AE8" s="2">
        <f t="shared" ref="AE8:AE22" si="4">(G8-100000000)/300000000000</f>
        <v>4.3554062699999998E-3</v>
      </c>
      <c r="AF8" s="2">
        <f t="shared" ref="AF8:AF22" si="5">(H8-40000000)/80000000000</f>
        <v>7.1138265624999999E-3</v>
      </c>
      <c r="AG8" s="2">
        <f t="shared" ref="AG8:AG22" si="6">(I8-30000000)/200000000000</f>
        <v>6.7830029499999997E-4</v>
      </c>
      <c r="AH8" s="2">
        <f t="shared" ref="AH8:AH22" si="7">(J8-60000000)/2000000000000</f>
        <v>2.35988139E-4</v>
      </c>
      <c r="AI8" s="2">
        <f t="shared" ref="AI8:AI22" si="8">(K8-70000000)/100000000000</f>
        <v>7.1160799900000004E-3</v>
      </c>
      <c r="AJ8" s="2">
        <f t="shared" ref="AJ8:AJ22" si="9">(L8-30000000)/60000000000</f>
        <v>8.122678366666667E-3</v>
      </c>
      <c r="AK8" s="2">
        <f t="shared" ref="AK8:AK22" si="10">(M8+463209)/300000000000</f>
        <v>3.5500599999999999E-6</v>
      </c>
      <c r="AL8" s="2">
        <f t="shared" ref="AL8:AL21" si="11">(N8-8000000)/100000000000</f>
        <v>1.87491359E-3</v>
      </c>
      <c r="AM8" s="2">
        <f t="shared" ref="AM8:AM22" si="12">(O8-10000000)/30000000000</f>
        <v>3.0165441103333333E-2</v>
      </c>
      <c r="AN8" s="2">
        <f t="shared" ref="AN8:AN22" si="13">(P8+1000000)/70000000000</f>
        <v>5.9763628571428574E-5</v>
      </c>
      <c r="AO8" s="2">
        <f t="shared" ref="AO8:AO22" si="14">(Q8-2000000)/100000000000</f>
        <v>5.5991240999999996E-4</v>
      </c>
      <c r="AP8" s="2">
        <f t="shared" ref="AP8:AP22" si="15">(R8-300000000)/200000000000</f>
        <v>8.1116096250000002E-3</v>
      </c>
      <c r="AQ8" s="2">
        <f t="shared" ref="AQ8:AQ22" si="16">(S8-30000000)/20000000000</f>
        <v>7.9322785000000005E-4</v>
      </c>
      <c r="AR8" s="2">
        <f t="shared" ref="AR8:AR22" si="17">T8*0.28125/$T$29</f>
        <v>0.24769489659620852</v>
      </c>
      <c r="AS8" s="2">
        <f t="shared" ref="AS8:AS22" si="18">(U8-30000000)/30000000000</f>
        <v>2.5099602499999998E-2</v>
      </c>
      <c r="AT8" s="2">
        <f t="shared" ref="AT8:AT22" si="19">(V8-162178)/30000000000</f>
        <v>2.6615686333333333E-3</v>
      </c>
      <c r="AX8" s="2">
        <f>16*2*AA8/0.14921</f>
        <v>0.39010582561490514</v>
      </c>
      <c r="AY8" s="2">
        <f t="shared" ref="AY8:AY22" si="20">2*16*AB8/0.10509</f>
        <v>0.75485537602689756</v>
      </c>
      <c r="AZ8" s="2">
        <f t="shared" ref="AZ8:AZ22" si="21">2*16*AC8/0.13117</f>
        <v>3.3853623127239461</v>
      </c>
      <c r="BA8" s="2">
        <f t="shared" ref="BA8:BA22" si="22">2*16*AD8/0.11715</f>
        <v>1.808537668288519</v>
      </c>
      <c r="BB8" s="2">
        <f t="shared" ref="BB8:BB22" si="23">2*16*AE8/0.116519</f>
        <v>1.1961396908658672</v>
      </c>
      <c r="BC8" s="2">
        <f t="shared" ref="BC8:BC22" si="24">2*16*AF8/0.18119</f>
        <v>1.2563742480269331</v>
      </c>
      <c r="BD8" s="2">
        <f t="shared" ref="BD8:BD22" si="25">2*16*AG8/0.20423</f>
        <v>0.10628022053567056</v>
      </c>
      <c r="BE8" s="2">
        <f t="shared" ref="BE8:BE22" si="26">2*16*AH8/0.11513</f>
        <v>6.5592117154520985E-2</v>
      </c>
      <c r="BF8" s="2">
        <f t="shared" ref="BF8:BF22" si="27">2*16*AI8/0.11912</f>
        <v>1.9116400241773002</v>
      </c>
      <c r="BG8" s="2">
        <f t="shared" ref="BG8:BG22" si="28">2*16*AJ8/0.14619</f>
        <v>1.7779992320496161</v>
      </c>
      <c r="BH8" s="2">
        <f t="shared" ref="BH8:BH22" si="29">2*16*AK8/0.13212</f>
        <v>8.5983893430214957E-4</v>
      </c>
      <c r="BI8" s="2">
        <f t="shared" ref="BI8:BI22" si="30">2*16*AL8/0.14713</f>
        <v>0.40778382981037176</v>
      </c>
      <c r="BJ8" s="2">
        <f t="shared" ref="BJ8:BJ22" si="31">2*16*AM8/0.14612</f>
        <v>6.6061737976092711</v>
      </c>
      <c r="BK8" s="2">
        <f t="shared" ref="BK8:BK22" si="32">2*16*AN8/0.1331</f>
        <v>1.4368415584415586E-2</v>
      </c>
      <c r="BL8" s="2">
        <f t="shared" ref="BL8:BL22" si="33">2*16*AO8/0.08909</f>
        <v>0.20111344842294307</v>
      </c>
      <c r="BM8" s="2">
        <f t="shared" ref="BM8:BM22" si="34">2*16*AP8/0.17412</f>
        <v>1.4907621640248105</v>
      </c>
      <c r="BN8" s="2">
        <f t="shared" ref="BN8:BN22" si="35">2*16*AQ8/0.07507</f>
        <v>0.338128296256827</v>
      </c>
      <c r="BO8" s="2">
        <f t="shared" ref="BO8:BO21" si="36">2*16*AR8/0.18016</f>
        <v>43.995541136093877</v>
      </c>
      <c r="BP8" s="2">
        <f t="shared" ref="BP8:BP22" si="37">2*16*AS8/0.0908</f>
        <v>8.8456748898678406</v>
      </c>
      <c r="BQ8" s="2">
        <f t="shared" ref="BQ8:BQ22" si="38">2*16*AT8/0.08806</f>
        <v>0.96718369596487241</v>
      </c>
    </row>
    <row r="9" spans="1:69" x14ac:dyDescent="0.25">
      <c r="A9" s="4">
        <v>3</v>
      </c>
      <c r="B9" s="2" t="s">
        <v>136</v>
      </c>
      <c r="C9" s="2">
        <v>643806792</v>
      </c>
      <c r="D9" s="2">
        <v>83277258</v>
      </c>
      <c r="E9" s="2">
        <v>3104642652</v>
      </c>
      <c r="F9" s="2">
        <v>1374216394</v>
      </c>
      <c r="G9" s="2">
        <v>1488326107</v>
      </c>
      <c r="H9" s="2">
        <v>591595165</v>
      </c>
      <c r="I9" s="2">
        <v>156224250</v>
      </c>
      <c r="J9" s="2">
        <v>520929614</v>
      </c>
      <c r="K9" s="2">
        <v>775327181</v>
      </c>
      <c r="L9" s="2">
        <v>518221087</v>
      </c>
      <c r="M9" s="2">
        <v>320876</v>
      </c>
      <c r="N9" s="2">
        <v>166984907</v>
      </c>
      <c r="O9" s="2">
        <v>824968044.20000005</v>
      </c>
      <c r="P9" s="2">
        <v>2609033</v>
      </c>
      <c r="Q9" s="2">
        <v>61325933</v>
      </c>
      <c r="R9" s="2">
        <v>2100936370</v>
      </c>
      <c r="S9" s="2">
        <v>43659839</v>
      </c>
      <c r="T9" s="2">
        <v>464188910</v>
      </c>
      <c r="U9" s="2">
        <v>838695096</v>
      </c>
      <c r="V9" s="2">
        <v>82233625</v>
      </c>
      <c r="AA9" s="2">
        <f t="shared" si="0"/>
        <v>1.7190339600000001E-3</v>
      </c>
      <c r="AB9" s="2">
        <f t="shared" si="1"/>
        <v>2.1092419333333333E-3</v>
      </c>
      <c r="AC9" s="2">
        <f t="shared" si="2"/>
        <v>1.402321326E-2</v>
      </c>
      <c r="AD9" s="2">
        <f t="shared" si="3"/>
        <v>6.42108197E-3</v>
      </c>
      <c r="AE9" s="2">
        <f t="shared" si="4"/>
        <v>4.6277536899999999E-3</v>
      </c>
      <c r="AF9" s="2">
        <f t="shared" si="5"/>
        <v>6.8949395624999998E-3</v>
      </c>
      <c r="AG9" s="2">
        <f t="shared" si="6"/>
        <v>6.3112124999999998E-4</v>
      </c>
      <c r="AH9" s="2">
        <f t="shared" si="7"/>
        <v>2.30464807E-4</v>
      </c>
      <c r="AI9" s="2">
        <f t="shared" si="8"/>
        <v>7.0532718100000001E-3</v>
      </c>
      <c r="AJ9" s="2">
        <f t="shared" si="9"/>
        <v>8.137018116666667E-3</v>
      </c>
      <c r="AK9" s="2">
        <f t="shared" si="10"/>
        <v>2.6136166666666665E-6</v>
      </c>
      <c r="AL9" s="2">
        <f t="shared" si="11"/>
        <v>1.5898490700000001E-3</v>
      </c>
      <c r="AM9" s="2">
        <f t="shared" si="12"/>
        <v>2.7165601473333335E-2</v>
      </c>
      <c r="AN9" s="2">
        <f t="shared" si="13"/>
        <v>5.1557614285714283E-5</v>
      </c>
      <c r="AO9" s="2">
        <f t="shared" si="14"/>
        <v>5.9325933000000004E-4</v>
      </c>
      <c r="AP9" s="2">
        <f t="shared" si="15"/>
        <v>9.0046818499999997E-3</v>
      </c>
      <c r="AQ9" s="2">
        <f t="shared" si="16"/>
        <v>6.8299194999999998E-4</v>
      </c>
      <c r="AR9" s="2">
        <f t="shared" si="17"/>
        <v>0.26024184888230423</v>
      </c>
      <c r="AS9" s="2">
        <f t="shared" si="18"/>
        <v>2.6956503199999999E-2</v>
      </c>
      <c r="AT9" s="2">
        <f t="shared" si="19"/>
        <v>2.7357149000000001E-3</v>
      </c>
      <c r="AX9" s="2">
        <f t="shared" ref="AX8:AX22" si="39">16*2*AA9/0.14921</f>
        <v>0.36866890101199651</v>
      </c>
      <c r="AY9" s="2">
        <f t="shared" si="20"/>
        <v>0.64226607542741143</v>
      </c>
      <c r="AZ9" s="2">
        <f t="shared" si="21"/>
        <v>3.4210781758023936</v>
      </c>
      <c r="BA9" s="2">
        <f t="shared" si="22"/>
        <v>1.7539447122492531</v>
      </c>
      <c r="BB9" s="2">
        <f t="shared" si="23"/>
        <v>1.2709353674508019</v>
      </c>
      <c r="BC9" s="2">
        <f t="shared" si="24"/>
        <v>1.217716573762349</v>
      </c>
      <c r="BD9" s="2">
        <f t="shared" si="25"/>
        <v>9.8887920481809721E-2</v>
      </c>
      <c r="BE9" s="2">
        <f t="shared" si="26"/>
        <v>6.4056925423434385E-2</v>
      </c>
      <c r="BF9" s="2">
        <f t="shared" si="27"/>
        <v>1.8947674439220954</v>
      </c>
      <c r="BG9" s="2">
        <f t="shared" si="28"/>
        <v>1.7811381061176097</v>
      </c>
      <c r="BH9" s="2">
        <f t="shared" si="29"/>
        <v>6.3302855989504493E-4</v>
      </c>
      <c r="BI9" s="2">
        <f t="shared" si="30"/>
        <v>0.34578379827363553</v>
      </c>
      <c r="BJ9" s="2">
        <f t="shared" si="31"/>
        <v>5.9492146670316641</v>
      </c>
      <c r="BK9" s="2">
        <f t="shared" si="32"/>
        <v>1.2395519587850167E-2</v>
      </c>
      <c r="BL9" s="2">
        <f t="shared" si="33"/>
        <v>0.21309123986979459</v>
      </c>
      <c r="BM9" s="2">
        <f t="shared" si="34"/>
        <v>1.6548921387548816</v>
      </c>
      <c r="BN9" s="2">
        <f t="shared" si="35"/>
        <v>0.29113816970827228</v>
      </c>
      <c r="BO9" s="2">
        <f t="shared" si="36"/>
        <v>46.224129463997201</v>
      </c>
      <c r="BP9" s="2">
        <f t="shared" si="37"/>
        <v>9.5000892334801748</v>
      </c>
      <c r="BQ9" s="2">
        <f t="shared" si="38"/>
        <v>0.99412760390642751</v>
      </c>
    </row>
    <row r="10" spans="1:69" x14ac:dyDescent="0.25">
      <c r="A10" s="4">
        <v>4</v>
      </c>
      <c r="B10" s="2" t="s">
        <v>136</v>
      </c>
      <c r="C10" s="2">
        <v>757046383</v>
      </c>
      <c r="D10" s="2">
        <v>101661605</v>
      </c>
      <c r="E10" s="2">
        <v>3461013560</v>
      </c>
      <c r="F10" s="2">
        <v>1572254759</v>
      </c>
      <c r="G10" s="2">
        <v>1595185480</v>
      </c>
      <c r="H10" s="2">
        <v>674526788</v>
      </c>
      <c r="I10" s="2">
        <v>188060826</v>
      </c>
      <c r="J10" s="2">
        <v>562343055</v>
      </c>
      <c r="K10" s="2">
        <v>870502942</v>
      </c>
      <c r="L10" s="2">
        <v>620002997</v>
      </c>
      <c r="M10" s="2">
        <v>232645</v>
      </c>
      <c r="N10" s="2">
        <v>227397942</v>
      </c>
      <c r="O10" s="2">
        <v>1004082063</v>
      </c>
      <c r="P10" s="2">
        <v>2861294</v>
      </c>
      <c r="Q10" s="2">
        <v>67420234</v>
      </c>
      <c r="R10" s="2">
        <v>2329093139</v>
      </c>
      <c r="S10" s="2">
        <v>48591915</v>
      </c>
      <c r="T10" s="2">
        <v>478408464</v>
      </c>
      <c r="U10" s="2">
        <v>997962342</v>
      </c>
      <c r="V10" s="2">
        <v>96781261</v>
      </c>
      <c r="AA10" s="2">
        <f t="shared" si="0"/>
        <v>2.2852319149999998E-3</v>
      </c>
      <c r="AB10" s="2">
        <f t="shared" si="1"/>
        <v>2.7220535000000001E-3</v>
      </c>
      <c r="AC10" s="2">
        <f t="shared" si="2"/>
        <v>1.5805067799999999E-2</v>
      </c>
      <c r="AD10" s="2">
        <f t="shared" si="3"/>
        <v>7.4112737950000002E-3</v>
      </c>
      <c r="AE10" s="2">
        <f t="shared" si="4"/>
        <v>4.9839515999999997E-3</v>
      </c>
      <c r="AF10" s="2">
        <f t="shared" si="5"/>
        <v>7.9315848499999994E-3</v>
      </c>
      <c r="AG10" s="2">
        <f t="shared" si="6"/>
        <v>7.9030413000000005E-4</v>
      </c>
      <c r="AH10" s="2">
        <f t="shared" si="7"/>
        <v>2.5117152750000002E-4</v>
      </c>
      <c r="AI10" s="2">
        <f t="shared" si="8"/>
        <v>8.0050294200000004E-3</v>
      </c>
      <c r="AJ10" s="2">
        <f t="shared" si="9"/>
        <v>9.8333832833333336E-3</v>
      </c>
      <c r="AK10" s="2">
        <f t="shared" si="10"/>
        <v>2.3195133333333333E-6</v>
      </c>
      <c r="AL10" s="2">
        <f t="shared" si="11"/>
        <v>2.19397942E-3</v>
      </c>
      <c r="AM10" s="2">
        <f t="shared" si="12"/>
        <v>3.3136068766666665E-2</v>
      </c>
      <c r="AN10" s="2">
        <f t="shared" si="13"/>
        <v>5.516134285714286E-5</v>
      </c>
      <c r="AO10" s="2">
        <f t="shared" si="14"/>
        <v>6.5420234000000005E-4</v>
      </c>
      <c r="AP10" s="2">
        <f t="shared" si="15"/>
        <v>1.0145465695E-2</v>
      </c>
      <c r="AQ10" s="2">
        <f t="shared" si="16"/>
        <v>9.2959575E-4</v>
      </c>
      <c r="AR10" s="2">
        <f t="shared" si="17"/>
        <v>0.2682138683414545</v>
      </c>
      <c r="AS10" s="2">
        <f t="shared" si="18"/>
        <v>3.2265411399999999E-2</v>
      </c>
      <c r="AT10" s="2">
        <f t="shared" si="19"/>
        <v>3.2206360999999998E-3</v>
      </c>
      <c r="AX10" s="2">
        <f t="shared" si="39"/>
        <v>0.49009732109107962</v>
      </c>
      <c r="AY10" s="2">
        <f t="shared" si="20"/>
        <v>0.82886775145113711</v>
      </c>
      <c r="AZ10" s="2">
        <f t="shared" si="21"/>
        <v>3.8557762415186394</v>
      </c>
      <c r="BA10" s="2">
        <f t="shared" si="22"/>
        <v>2.0244196452411436</v>
      </c>
      <c r="BB10" s="2">
        <f t="shared" si="23"/>
        <v>1.3687591826225765</v>
      </c>
      <c r="BC10" s="2">
        <f t="shared" si="24"/>
        <v>1.4007986930846072</v>
      </c>
      <c r="BD10" s="2">
        <f t="shared" si="25"/>
        <v>0.12382966341869461</v>
      </c>
      <c r="BE10" s="2">
        <f t="shared" si="26"/>
        <v>6.9812289411969083E-2</v>
      </c>
      <c r="BF10" s="2">
        <f t="shared" si="27"/>
        <v>2.1504444378777703</v>
      </c>
      <c r="BG10" s="2">
        <f t="shared" si="28"/>
        <v>2.1524609416968787</v>
      </c>
      <c r="BH10" s="2">
        <f t="shared" si="29"/>
        <v>5.6179553940861849E-4</v>
      </c>
      <c r="BI10" s="2">
        <f t="shared" si="30"/>
        <v>0.47717896717188879</v>
      </c>
      <c r="BJ10" s="2">
        <f t="shared" si="31"/>
        <v>7.2567355634638195</v>
      </c>
      <c r="BK10" s="2">
        <f t="shared" si="32"/>
        <v>1.3261930664376946E-2</v>
      </c>
      <c r="BL10" s="2">
        <f t="shared" si="33"/>
        <v>0.23498119744079021</v>
      </c>
      <c r="BM10" s="2">
        <f t="shared" si="34"/>
        <v>1.8645468770962554</v>
      </c>
      <c r="BN10" s="2">
        <f t="shared" si="35"/>
        <v>0.39625767949913415</v>
      </c>
      <c r="BO10" s="2">
        <f t="shared" si="36"/>
        <v>47.640118710737923</v>
      </c>
      <c r="BP10" s="2">
        <f t="shared" si="37"/>
        <v>11.371070096916299</v>
      </c>
      <c r="BQ10" s="2">
        <f t="shared" si="38"/>
        <v>1.1703424392459687</v>
      </c>
    </row>
    <row r="11" spans="1:69" s="6" customFormat="1" x14ac:dyDescent="0.25">
      <c r="A11" s="5">
        <v>5</v>
      </c>
      <c r="B11" s="6" t="s">
        <v>136</v>
      </c>
      <c r="C11" s="6">
        <v>795428947</v>
      </c>
      <c r="D11" s="6">
        <v>107891888</v>
      </c>
      <c r="E11" s="6">
        <v>3824764905</v>
      </c>
      <c r="F11" s="6">
        <v>1662529832</v>
      </c>
      <c r="G11" s="6">
        <v>1687942895</v>
      </c>
      <c r="H11" s="6">
        <v>729524280</v>
      </c>
      <c r="I11" s="6">
        <v>208430046</v>
      </c>
      <c r="J11" s="6">
        <v>627158012</v>
      </c>
      <c r="K11" s="6">
        <v>941882047</v>
      </c>
      <c r="L11" s="6">
        <v>618273267</v>
      </c>
      <c r="M11" s="6">
        <v>423820</v>
      </c>
      <c r="N11" s="6">
        <v>224036545</v>
      </c>
      <c r="O11" s="6">
        <v>1018625391</v>
      </c>
      <c r="P11" s="6">
        <v>3700882</v>
      </c>
      <c r="Q11" s="6">
        <v>67360637</v>
      </c>
      <c r="R11" s="6">
        <v>2441594345</v>
      </c>
      <c r="S11" s="6">
        <v>52674070</v>
      </c>
      <c r="T11" s="6">
        <v>435170901</v>
      </c>
      <c r="U11" s="6">
        <v>862507796</v>
      </c>
      <c r="V11" s="6">
        <v>102240624</v>
      </c>
      <c r="W11" s="2"/>
      <c r="X11" s="2"/>
      <c r="Y11" s="2"/>
      <c r="Z11" s="2"/>
      <c r="AA11" s="6">
        <f t="shared" si="0"/>
        <v>2.4771447349999998E-3</v>
      </c>
      <c r="AB11" s="6">
        <f t="shared" si="1"/>
        <v>2.9297296E-3</v>
      </c>
      <c r="AC11" s="6">
        <f t="shared" si="2"/>
        <v>1.7623824525000002E-2</v>
      </c>
      <c r="AD11" s="6">
        <f t="shared" si="3"/>
        <v>7.8626491600000004E-3</v>
      </c>
      <c r="AE11" s="6">
        <f t="shared" si="4"/>
        <v>5.293142983333333E-3</v>
      </c>
      <c r="AF11" s="6">
        <f t="shared" si="5"/>
        <v>8.6190534999999995E-3</v>
      </c>
      <c r="AG11" s="6">
        <f t="shared" si="6"/>
        <v>8.9215023000000003E-4</v>
      </c>
      <c r="AH11" s="6">
        <f t="shared" si="7"/>
        <v>2.8357900599999998E-4</v>
      </c>
      <c r="AI11" s="6">
        <f t="shared" si="8"/>
        <v>8.7188204699999994E-3</v>
      </c>
      <c r="AJ11" s="6">
        <f t="shared" si="9"/>
        <v>9.8045544500000009E-3</v>
      </c>
      <c r="AK11" s="6">
        <f t="shared" si="10"/>
        <v>2.9567633333333334E-6</v>
      </c>
      <c r="AL11" s="6">
        <f t="shared" si="11"/>
        <v>2.16036545E-3</v>
      </c>
      <c r="AM11" s="6">
        <f t="shared" si="12"/>
        <v>3.3620846366666665E-2</v>
      </c>
      <c r="AN11" s="6">
        <f t="shared" si="13"/>
        <v>6.7155457142857141E-5</v>
      </c>
      <c r="AO11" s="6">
        <f t="shared" si="14"/>
        <v>6.5360636999999997E-4</v>
      </c>
      <c r="AP11" s="6">
        <f t="shared" si="15"/>
        <v>1.0707971724999999E-2</v>
      </c>
      <c r="AQ11" s="6">
        <f t="shared" si="16"/>
        <v>1.1337035E-3</v>
      </c>
      <c r="AR11" s="6">
        <f t="shared" si="17"/>
        <v>0.24397325618145027</v>
      </c>
      <c r="AS11" s="6">
        <f t="shared" si="18"/>
        <v>2.7750259866666668E-2</v>
      </c>
      <c r="AT11" s="6">
        <f t="shared" si="19"/>
        <v>3.4026148666666668E-3</v>
      </c>
      <c r="AU11" s="2"/>
      <c r="AV11" s="2"/>
      <c r="AW11" s="2"/>
      <c r="AX11" s="6">
        <f t="shared" si="39"/>
        <v>0.53125548904228936</v>
      </c>
      <c r="AY11" s="6">
        <f t="shared" si="20"/>
        <v>0.89210531163764395</v>
      </c>
      <c r="AZ11" s="6">
        <f t="shared" si="21"/>
        <v>4.2994768986811014</v>
      </c>
      <c r="BA11" s="6">
        <f t="shared" si="22"/>
        <v>2.1477146659837816</v>
      </c>
      <c r="BB11" s="6">
        <f t="shared" si="23"/>
        <v>1.453673439238808</v>
      </c>
      <c r="BC11" s="6">
        <f t="shared" si="24"/>
        <v>1.5222126607428665</v>
      </c>
      <c r="BD11" s="6">
        <f t="shared" si="25"/>
        <v>0.1397875305293052</v>
      </c>
      <c r="BE11" s="6">
        <f t="shared" si="26"/>
        <v>7.8819840111178666E-2</v>
      </c>
      <c r="BF11" s="6">
        <f t="shared" si="27"/>
        <v>2.3421948878441903</v>
      </c>
      <c r="BG11" s="6">
        <f t="shared" si="28"/>
        <v>2.1461505055065331</v>
      </c>
      <c r="BH11" s="6">
        <f t="shared" si="29"/>
        <v>7.1614007467958433E-4</v>
      </c>
      <c r="BI11" s="6">
        <f t="shared" si="30"/>
        <v>0.46986810575681365</v>
      </c>
      <c r="BJ11" s="6">
        <f t="shared" si="31"/>
        <v>7.3629009289168721</v>
      </c>
      <c r="BK11" s="6">
        <f t="shared" si="32"/>
        <v>1.6145564452076849E-2</v>
      </c>
      <c r="BL11" s="6">
        <f t="shared" si="33"/>
        <v>0.23476713256257714</v>
      </c>
      <c r="BM11" s="6">
        <f t="shared" si="34"/>
        <v>1.9679249666896392</v>
      </c>
      <c r="BN11" s="6">
        <f t="shared" si="35"/>
        <v>0.48326244838151061</v>
      </c>
      <c r="BO11" s="6">
        <f t="shared" si="36"/>
        <v>43.334503762246946</v>
      </c>
      <c r="BP11" s="6">
        <f t="shared" si="37"/>
        <v>9.7798272657856096</v>
      </c>
      <c r="BQ11" s="6">
        <f t="shared" si="38"/>
        <v>1.2364714482549777</v>
      </c>
    </row>
    <row r="12" spans="1:69" x14ac:dyDescent="0.25">
      <c r="A12" s="4">
        <v>6</v>
      </c>
      <c r="B12" s="2" t="s">
        <v>138</v>
      </c>
      <c r="C12" s="2">
        <v>790714422</v>
      </c>
      <c r="D12" s="2">
        <v>111679001</v>
      </c>
      <c r="E12" s="2">
        <v>3857109163</v>
      </c>
      <c r="F12" s="2">
        <v>1719424470</v>
      </c>
      <c r="G12" s="2">
        <v>1701294555</v>
      </c>
      <c r="H12" s="2">
        <v>754427356</v>
      </c>
      <c r="I12" s="2">
        <v>210871956</v>
      </c>
      <c r="J12" s="2">
        <v>540377673</v>
      </c>
      <c r="K12" s="2">
        <v>957644637</v>
      </c>
      <c r="L12" s="2">
        <v>612425208</v>
      </c>
      <c r="M12" s="2">
        <v>1021758</v>
      </c>
      <c r="N12" s="2">
        <v>108406681</v>
      </c>
      <c r="O12" s="2">
        <v>1073024036</v>
      </c>
      <c r="P12" s="2">
        <v>4109810</v>
      </c>
      <c r="Q12" s="2">
        <v>77252109</v>
      </c>
      <c r="R12" s="2">
        <v>2262765639</v>
      </c>
      <c r="S12" s="2">
        <v>54940696</v>
      </c>
      <c r="T12" s="2">
        <v>482522475</v>
      </c>
      <c r="U12" s="2">
        <v>838731801</v>
      </c>
      <c r="V12" s="2">
        <v>101905233</v>
      </c>
      <c r="AA12" s="2">
        <f t="shared" si="0"/>
        <v>2.4535721100000002E-3</v>
      </c>
      <c r="AB12" s="2">
        <f t="shared" si="1"/>
        <v>3.0559667E-3</v>
      </c>
      <c r="AC12" s="2">
        <f t="shared" si="2"/>
        <v>1.7785545815000001E-2</v>
      </c>
      <c r="AD12" s="2">
        <f t="shared" si="3"/>
        <v>8.1471223499999992E-3</v>
      </c>
      <c r="AE12" s="2">
        <f t="shared" si="4"/>
        <v>5.3376485166666664E-3</v>
      </c>
      <c r="AF12" s="2">
        <f t="shared" si="5"/>
        <v>8.9303419500000002E-3</v>
      </c>
      <c r="AG12" s="2">
        <f t="shared" si="6"/>
        <v>9.0435978000000001E-4</v>
      </c>
      <c r="AH12" s="2">
        <f t="shared" si="7"/>
        <v>2.401888365E-4</v>
      </c>
      <c r="AI12" s="2">
        <f t="shared" si="8"/>
        <v>8.8764463700000008E-3</v>
      </c>
      <c r="AJ12" s="2">
        <f t="shared" si="9"/>
        <v>9.7070868000000005E-3</v>
      </c>
      <c r="AK12" s="2">
        <f t="shared" si="10"/>
        <v>4.94989E-6</v>
      </c>
      <c r="AL12" s="2">
        <f t="shared" si="11"/>
        <v>1.0040668100000001E-3</v>
      </c>
      <c r="AM12" s="2">
        <f t="shared" si="12"/>
        <v>3.5434134533333335E-2</v>
      </c>
      <c r="AN12" s="2">
        <f t="shared" si="13"/>
        <v>7.2997285714285719E-5</v>
      </c>
      <c r="AO12" s="2">
        <f t="shared" si="14"/>
        <v>7.5252108999999999E-4</v>
      </c>
      <c r="AP12" s="2">
        <f t="shared" si="15"/>
        <v>9.8138281950000007E-3</v>
      </c>
      <c r="AQ12" s="2">
        <f t="shared" si="16"/>
        <v>1.2470348E-3</v>
      </c>
      <c r="AR12" s="2">
        <f t="shared" si="17"/>
        <v>0.27052033841408535</v>
      </c>
      <c r="AS12" s="2">
        <f t="shared" si="18"/>
        <v>2.69577267E-2</v>
      </c>
      <c r="AT12" s="2">
        <f t="shared" si="19"/>
        <v>3.3914351666666665E-3</v>
      </c>
      <c r="AX12" s="2">
        <f t="shared" si="39"/>
        <v>0.52620003699483953</v>
      </c>
      <c r="AY12" s="2">
        <f t="shared" si="20"/>
        <v>0.93054462270434868</v>
      </c>
      <c r="AZ12" s="2">
        <f t="shared" si="21"/>
        <v>4.3389301370740263</v>
      </c>
      <c r="BA12" s="2">
        <f t="shared" si="22"/>
        <v>2.2254196773367476</v>
      </c>
      <c r="BB12" s="2">
        <f t="shared" si="23"/>
        <v>1.4658961416879077</v>
      </c>
      <c r="BC12" s="2">
        <f t="shared" si="24"/>
        <v>1.5771893724819253</v>
      </c>
      <c r="BD12" s="2">
        <f t="shared" si="25"/>
        <v>0.14170059716985753</v>
      </c>
      <c r="BE12" s="2">
        <f t="shared" si="26"/>
        <v>6.6759687032050735E-2</v>
      </c>
      <c r="BF12" s="2">
        <f t="shared" si="27"/>
        <v>2.3845389845533917</v>
      </c>
      <c r="BG12" s="2">
        <f t="shared" si="28"/>
        <v>2.1248154976400579</v>
      </c>
      <c r="BH12" s="2">
        <f t="shared" si="29"/>
        <v>1.1988834392976083E-3</v>
      </c>
      <c r="BI12" s="2">
        <f t="shared" si="30"/>
        <v>0.21837924230272548</v>
      </c>
      <c r="BJ12" s="2">
        <f t="shared" si="31"/>
        <v>7.7600075627338265</v>
      </c>
      <c r="BK12" s="2">
        <f t="shared" si="32"/>
        <v>1.7550061178490933E-2</v>
      </c>
      <c r="BL12" s="2">
        <f t="shared" si="33"/>
        <v>0.27029604759232234</v>
      </c>
      <c r="BM12" s="2">
        <f t="shared" si="34"/>
        <v>1.803598106133701</v>
      </c>
      <c r="BN12" s="2">
        <f t="shared" si="35"/>
        <v>0.53157204742240582</v>
      </c>
      <c r="BO12" s="2">
        <f t="shared" si="36"/>
        <v>48.049793679233638</v>
      </c>
      <c r="BP12" s="2">
        <f t="shared" si="37"/>
        <v>9.5005204229074884</v>
      </c>
      <c r="BQ12" s="2">
        <f t="shared" si="38"/>
        <v>1.2324088727382845</v>
      </c>
    </row>
    <row r="13" spans="1:69" x14ac:dyDescent="0.25">
      <c r="A13" s="4">
        <v>7</v>
      </c>
      <c r="B13" s="2" t="s">
        <v>138</v>
      </c>
      <c r="C13" s="2">
        <v>775826851</v>
      </c>
      <c r="D13" s="2">
        <v>97058365</v>
      </c>
      <c r="E13" s="2">
        <v>3573706699</v>
      </c>
      <c r="F13" s="2">
        <v>1605721403</v>
      </c>
      <c r="G13" s="2">
        <v>1573238947</v>
      </c>
      <c r="H13" s="2">
        <v>667424610</v>
      </c>
      <c r="I13" s="2">
        <v>182787224</v>
      </c>
      <c r="J13" s="2">
        <v>483832463</v>
      </c>
      <c r="K13" s="2">
        <v>852340590</v>
      </c>
      <c r="L13" s="2">
        <v>595001722</v>
      </c>
      <c r="M13" s="2">
        <v>1232289</v>
      </c>
      <c r="N13" s="2">
        <v>93227531</v>
      </c>
      <c r="O13" s="2">
        <v>989554656.60000002</v>
      </c>
      <c r="P13" s="2">
        <v>3388960</v>
      </c>
      <c r="Q13" s="2">
        <v>70502775</v>
      </c>
      <c r="R13" s="2">
        <v>2270718896</v>
      </c>
      <c r="S13" s="2">
        <v>46598870</v>
      </c>
      <c r="T13" s="2">
        <v>473793582</v>
      </c>
      <c r="U13" s="2">
        <v>702844775</v>
      </c>
      <c r="V13" s="2">
        <v>84628418</v>
      </c>
      <c r="AA13" s="2">
        <f t="shared" si="0"/>
        <v>2.379134255E-3</v>
      </c>
      <c r="AB13" s="2">
        <f t="shared" si="1"/>
        <v>2.5686121666666666E-3</v>
      </c>
      <c r="AC13" s="2">
        <f t="shared" si="2"/>
        <v>1.6368533495E-2</v>
      </c>
      <c r="AD13" s="2">
        <f t="shared" si="3"/>
        <v>7.5786070149999997E-3</v>
      </c>
      <c r="AE13" s="2">
        <f t="shared" si="4"/>
        <v>4.91079649E-3</v>
      </c>
      <c r="AF13" s="2">
        <f t="shared" si="5"/>
        <v>7.8428076249999999E-3</v>
      </c>
      <c r="AG13" s="2">
        <f t="shared" si="6"/>
        <v>7.6393611999999995E-4</v>
      </c>
      <c r="AH13" s="2">
        <f t="shared" si="7"/>
        <v>2.1191623150000001E-4</v>
      </c>
      <c r="AI13" s="2">
        <f t="shared" si="8"/>
        <v>7.8234059000000002E-3</v>
      </c>
      <c r="AJ13" s="2">
        <f t="shared" si="9"/>
        <v>9.4166953666666667E-3</v>
      </c>
      <c r="AK13" s="2">
        <f t="shared" si="10"/>
        <v>5.6516600000000002E-6</v>
      </c>
      <c r="AL13" s="2">
        <f t="shared" si="11"/>
        <v>8.5227530999999995E-4</v>
      </c>
      <c r="AM13" s="2">
        <f t="shared" si="12"/>
        <v>3.2651821886666668E-2</v>
      </c>
      <c r="AN13" s="2">
        <f t="shared" si="13"/>
        <v>6.2699428571428567E-5</v>
      </c>
      <c r="AO13" s="2">
        <f t="shared" si="14"/>
        <v>6.8502774999999998E-4</v>
      </c>
      <c r="AP13" s="2">
        <f t="shared" si="15"/>
        <v>9.8535944800000001E-3</v>
      </c>
      <c r="AQ13" s="2">
        <f t="shared" si="16"/>
        <v>8.2994350000000004E-4</v>
      </c>
      <c r="AR13" s="2">
        <f t="shared" si="17"/>
        <v>0.26562659105373632</v>
      </c>
      <c r="AS13" s="2">
        <f t="shared" si="18"/>
        <v>2.2428159166666666E-2</v>
      </c>
      <c r="AT13" s="2">
        <f t="shared" si="19"/>
        <v>2.8155413333333331E-3</v>
      </c>
      <c r="AX13" s="2">
        <f t="shared" si="39"/>
        <v>0.51023588338583203</v>
      </c>
      <c r="AY13" s="2">
        <f t="shared" si="20"/>
        <v>0.78214472674215751</v>
      </c>
      <c r="AZ13" s="2">
        <f t="shared" si="21"/>
        <v>3.9932383307158648</v>
      </c>
      <c r="BA13" s="2">
        <f t="shared" si="22"/>
        <v>2.0701273963294922</v>
      </c>
      <c r="BB13" s="2">
        <f t="shared" si="23"/>
        <v>1.3486683517709559</v>
      </c>
      <c r="BC13" s="2">
        <f t="shared" si="24"/>
        <v>1.3851197306694631</v>
      </c>
      <c r="BD13" s="2">
        <f t="shared" si="25"/>
        <v>0.11969816305146158</v>
      </c>
      <c r="BE13" s="2">
        <f t="shared" si="26"/>
        <v>5.890141064883176E-2</v>
      </c>
      <c r="BF13" s="2">
        <f t="shared" si="27"/>
        <v>2.1016537004701141</v>
      </c>
      <c r="BG13" s="2">
        <f t="shared" si="28"/>
        <v>2.0612507814031971</v>
      </c>
      <c r="BH13" s="2">
        <f t="shared" si="29"/>
        <v>1.3688549803209207E-3</v>
      </c>
      <c r="BI13" s="2">
        <f t="shared" si="30"/>
        <v>0.18536539060694621</v>
      </c>
      <c r="BJ13" s="2">
        <f t="shared" si="31"/>
        <v>7.1506864246737845</v>
      </c>
      <c r="BK13" s="2">
        <f t="shared" si="32"/>
        <v>1.5074242782011376E-2</v>
      </c>
      <c r="BL13" s="2">
        <f t="shared" si="33"/>
        <v>0.24605329442137164</v>
      </c>
      <c r="BM13" s="2">
        <f t="shared" si="34"/>
        <v>1.8109064056972204</v>
      </c>
      <c r="BN13" s="2">
        <f t="shared" si="35"/>
        <v>0.35377903290262425</v>
      </c>
      <c r="BO13" s="2">
        <f t="shared" si="36"/>
        <v>47.180566794624568</v>
      </c>
      <c r="BP13" s="2">
        <f t="shared" si="37"/>
        <v>7.904197063142437</v>
      </c>
      <c r="BQ13" s="2">
        <f t="shared" si="38"/>
        <v>1.0231356196532666</v>
      </c>
    </row>
    <row r="14" spans="1:69" x14ac:dyDescent="0.25">
      <c r="A14" s="4">
        <v>8</v>
      </c>
      <c r="B14" s="2" t="s">
        <v>138</v>
      </c>
      <c r="C14" s="2">
        <v>673254457</v>
      </c>
      <c r="D14" s="2">
        <v>98528945</v>
      </c>
      <c r="E14" s="2">
        <v>3175202297</v>
      </c>
      <c r="F14" s="2">
        <v>1389192056</v>
      </c>
      <c r="G14" s="2">
        <v>1387408625</v>
      </c>
      <c r="H14" s="2">
        <v>587931671</v>
      </c>
      <c r="I14" s="2">
        <v>165181103</v>
      </c>
      <c r="J14" s="2">
        <v>427274868</v>
      </c>
      <c r="K14" s="2">
        <v>798954215</v>
      </c>
      <c r="L14" s="2">
        <v>521388412</v>
      </c>
      <c r="M14" s="2">
        <v>1059248</v>
      </c>
      <c r="N14" s="2">
        <v>92950777</v>
      </c>
      <c r="O14" s="2">
        <v>957144850.20000005</v>
      </c>
      <c r="P14" s="2">
        <v>3381599</v>
      </c>
      <c r="Q14" s="2">
        <v>62977896</v>
      </c>
      <c r="R14" s="2">
        <v>2102093973</v>
      </c>
      <c r="S14" s="2">
        <v>47126744</v>
      </c>
      <c r="T14" s="2">
        <v>481568374</v>
      </c>
      <c r="U14" s="2">
        <v>722851819</v>
      </c>
      <c r="V14" s="2">
        <v>85400439</v>
      </c>
      <c r="AA14" s="2">
        <f t="shared" si="0"/>
        <v>1.8662722849999999E-3</v>
      </c>
      <c r="AB14" s="2">
        <f t="shared" si="1"/>
        <v>2.6176315000000002E-3</v>
      </c>
      <c r="AC14" s="2">
        <f t="shared" si="2"/>
        <v>1.4376011485E-2</v>
      </c>
      <c r="AD14" s="2">
        <f t="shared" si="3"/>
        <v>6.49596028E-3</v>
      </c>
      <c r="AE14" s="2">
        <f t="shared" si="4"/>
        <v>4.2913620833333332E-3</v>
      </c>
      <c r="AF14" s="2">
        <f t="shared" si="5"/>
        <v>6.8491458874999998E-3</v>
      </c>
      <c r="AG14" s="2">
        <f t="shared" si="6"/>
        <v>6.7590551499999998E-4</v>
      </c>
      <c r="AH14" s="2">
        <f t="shared" si="7"/>
        <v>1.83637434E-4</v>
      </c>
      <c r="AI14" s="2">
        <f t="shared" si="8"/>
        <v>7.2895421499999998E-3</v>
      </c>
      <c r="AJ14" s="2">
        <f t="shared" si="9"/>
        <v>8.1898068666666664E-3</v>
      </c>
      <c r="AK14" s="2">
        <f t="shared" si="10"/>
        <v>5.0748566666666671E-6</v>
      </c>
      <c r="AL14" s="2">
        <f t="shared" si="11"/>
        <v>8.4950776999999996E-4</v>
      </c>
      <c r="AM14" s="2">
        <f t="shared" si="12"/>
        <v>3.1571495006666665E-2</v>
      </c>
      <c r="AN14" s="2">
        <f t="shared" si="13"/>
        <v>6.2594271428571423E-5</v>
      </c>
      <c r="AO14" s="2">
        <f t="shared" si="14"/>
        <v>6.0977896000000001E-4</v>
      </c>
      <c r="AP14" s="2">
        <f t="shared" si="15"/>
        <v>9.0104698650000006E-3</v>
      </c>
      <c r="AQ14" s="2">
        <f t="shared" si="16"/>
        <v>8.5633720000000005E-4</v>
      </c>
      <c r="AR14" s="2">
        <f t="shared" si="17"/>
        <v>0.26998543332929897</v>
      </c>
      <c r="AS14" s="2">
        <f t="shared" si="18"/>
        <v>2.3095060633333334E-2</v>
      </c>
      <c r="AT14" s="2">
        <f t="shared" si="19"/>
        <v>2.8412753666666665E-3</v>
      </c>
      <c r="AX14" s="2">
        <f t="shared" si="39"/>
        <v>0.40024604999664898</v>
      </c>
      <c r="AY14" s="2">
        <f t="shared" si="20"/>
        <v>0.79707115805500051</v>
      </c>
      <c r="AZ14" s="2">
        <f t="shared" si="21"/>
        <v>3.5071462035526411</v>
      </c>
      <c r="BA14" s="2">
        <f t="shared" si="22"/>
        <v>1.7743980278275715</v>
      </c>
      <c r="BB14" s="2">
        <f t="shared" si="23"/>
        <v>1.1785510231521612</v>
      </c>
      <c r="BC14" s="2">
        <f t="shared" si="24"/>
        <v>1.2096289442022188</v>
      </c>
      <c r="BD14" s="2">
        <f t="shared" si="25"/>
        <v>0.10590499182294472</v>
      </c>
      <c r="BE14" s="2">
        <f t="shared" si="26"/>
        <v>5.1041413080865114E-2</v>
      </c>
      <c r="BF14" s="2">
        <f t="shared" si="27"/>
        <v>1.9582383210208192</v>
      </c>
      <c r="BG14" s="2">
        <f t="shared" si="28"/>
        <v>1.7926932056456211</v>
      </c>
      <c r="BH14" s="2">
        <f t="shared" si="29"/>
        <v>1.2291508729437887E-3</v>
      </c>
      <c r="BI14" s="2">
        <f t="shared" si="30"/>
        <v>0.18476346523482631</v>
      </c>
      <c r="BJ14" s="2">
        <f t="shared" si="31"/>
        <v>6.9140969081120538</v>
      </c>
      <c r="BK14" s="2">
        <f t="shared" si="32"/>
        <v>1.5048960824299667E-2</v>
      </c>
      <c r="BL14" s="2">
        <f t="shared" si="33"/>
        <v>0.21902488180491639</v>
      </c>
      <c r="BM14" s="2">
        <f t="shared" si="34"/>
        <v>1.6559558676774639</v>
      </c>
      <c r="BN14" s="2">
        <f t="shared" si="35"/>
        <v>0.36502984414546424</v>
      </c>
      <c r="BO14" s="2">
        <f t="shared" si="36"/>
        <v>47.95478389507975</v>
      </c>
      <c r="BP14" s="2">
        <f t="shared" si="37"/>
        <v>8.1392284170337739</v>
      </c>
      <c r="BQ14" s="2">
        <f t="shared" si="38"/>
        <v>1.0324870739647209</v>
      </c>
    </row>
    <row r="15" spans="1:69" x14ac:dyDescent="0.25">
      <c r="A15" s="4">
        <v>9</v>
      </c>
      <c r="B15" s="2" t="s">
        <v>138</v>
      </c>
      <c r="C15" s="2">
        <v>697809279</v>
      </c>
      <c r="D15" s="2">
        <v>93997965</v>
      </c>
      <c r="E15" s="2">
        <v>3199509309</v>
      </c>
      <c r="F15" s="2">
        <v>1457539649</v>
      </c>
      <c r="G15" s="2">
        <v>1413087345</v>
      </c>
      <c r="H15" s="2">
        <v>635338675</v>
      </c>
      <c r="I15" s="2">
        <v>167722388</v>
      </c>
      <c r="J15" s="2">
        <v>444454303</v>
      </c>
      <c r="K15" s="2">
        <v>790581650</v>
      </c>
      <c r="L15" s="2">
        <v>598171243</v>
      </c>
      <c r="M15" s="2">
        <v>1034194</v>
      </c>
      <c r="N15" s="2">
        <v>90803463</v>
      </c>
      <c r="O15" s="2">
        <v>920874641.29999995</v>
      </c>
      <c r="P15" s="2">
        <v>3358031</v>
      </c>
      <c r="Q15" s="2">
        <v>66510489</v>
      </c>
      <c r="R15" s="2">
        <v>2301062154</v>
      </c>
      <c r="S15" s="2">
        <v>44332992</v>
      </c>
      <c r="T15" s="2">
        <v>437151849</v>
      </c>
      <c r="U15" s="2">
        <v>812050347</v>
      </c>
      <c r="V15" s="2">
        <v>86171631</v>
      </c>
      <c r="AA15" s="2">
        <f t="shared" si="0"/>
        <v>1.9890463950000001E-3</v>
      </c>
      <c r="AB15" s="2">
        <f t="shared" si="1"/>
        <v>2.4665988333333333E-3</v>
      </c>
      <c r="AC15" s="2">
        <f t="shared" si="2"/>
        <v>1.4497546545E-2</v>
      </c>
      <c r="AD15" s="2">
        <f t="shared" si="3"/>
        <v>6.837698245E-3</v>
      </c>
      <c r="AE15" s="2">
        <f t="shared" si="4"/>
        <v>4.3769578166666665E-3</v>
      </c>
      <c r="AF15" s="2">
        <f t="shared" si="5"/>
        <v>7.4417334374999996E-3</v>
      </c>
      <c r="AG15" s="2">
        <f t="shared" si="6"/>
        <v>6.8861194000000004E-4</v>
      </c>
      <c r="AH15" s="2">
        <f t="shared" si="7"/>
        <v>1.9222715149999999E-4</v>
      </c>
      <c r="AI15" s="2">
        <f t="shared" si="8"/>
        <v>7.2058165E-3</v>
      </c>
      <c r="AJ15" s="2">
        <f t="shared" si="9"/>
        <v>9.4695207166666674E-3</v>
      </c>
      <c r="AK15" s="2">
        <f t="shared" si="10"/>
        <v>4.9913433333333332E-6</v>
      </c>
      <c r="AL15" s="2">
        <f t="shared" si="11"/>
        <v>8.2803463000000004E-4</v>
      </c>
      <c r="AM15" s="2">
        <f t="shared" si="12"/>
        <v>3.0362488043333333E-2</v>
      </c>
      <c r="AN15" s="2">
        <f t="shared" si="13"/>
        <v>6.2257585714285717E-5</v>
      </c>
      <c r="AO15" s="2">
        <f t="shared" si="14"/>
        <v>6.4510488999999999E-4</v>
      </c>
      <c r="AP15" s="2">
        <f t="shared" si="15"/>
        <v>1.0005310769999999E-2</v>
      </c>
      <c r="AQ15" s="2">
        <f t="shared" si="16"/>
        <v>7.1664959999999996E-4</v>
      </c>
      <c r="AR15" s="2">
        <f t="shared" si="17"/>
        <v>0.24508385050835849</v>
      </c>
      <c r="AS15" s="2">
        <f t="shared" si="18"/>
        <v>2.6068344899999998E-2</v>
      </c>
      <c r="AT15" s="2">
        <f t="shared" si="19"/>
        <v>2.8669817666666666E-3</v>
      </c>
      <c r="AX15" s="2">
        <f t="shared" si="39"/>
        <v>0.42657653401246565</v>
      </c>
      <c r="AY15" s="2">
        <f t="shared" si="20"/>
        <v>0.75108157452342439</v>
      </c>
      <c r="AZ15" s="2">
        <f t="shared" si="21"/>
        <v>3.5367956807196763</v>
      </c>
      <c r="BA15" s="2">
        <f t="shared" si="22"/>
        <v>1.8677451458813485</v>
      </c>
      <c r="BB15" s="2">
        <f t="shared" si="23"/>
        <v>1.2020584637126419</v>
      </c>
      <c r="BC15" s="2">
        <f t="shared" si="24"/>
        <v>1.3142859429328329</v>
      </c>
      <c r="BD15" s="2">
        <f t="shared" si="25"/>
        <v>0.10789591186407482</v>
      </c>
      <c r="BE15" s="2">
        <f t="shared" si="26"/>
        <v>5.3428896447494136E-2</v>
      </c>
      <c r="BF15" s="2">
        <f t="shared" si="27"/>
        <v>1.9357465413028878</v>
      </c>
      <c r="BG15" s="2">
        <f t="shared" si="28"/>
        <v>2.0728138924231025</v>
      </c>
      <c r="BH15" s="2">
        <f t="shared" si="29"/>
        <v>1.2089236048037138E-3</v>
      </c>
      <c r="BI15" s="2">
        <f t="shared" si="30"/>
        <v>0.18009317039352954</v>
      </c>
      <c r="BJ15" s="2">
        <f t="shared" si="31"/>
        <v>6.6493266998813763</v>
      </c>
      <c r="BK15" s="2">
        <f t="shared" si="32"/>
        <v>1.4968014596973276E-2</v>
      </c>
      <c r="BL15" s="2">
        <f t="shared" si="33"/>
        <v>0.2317135085868223</v>
      </c>
      <c r="BM15" s="2">
        <f t="shared" si="34"/>
        <v>1.8387890227429358</v>
      </c>
      <c r="BN15" s="2">
        <f t="shared" si="35"/>
        <v>0.30548537631543893</v>
      </c>
      <c r="BO15" s="2">
        <f t="shared" si="36"/>
        <v>43.531767408234195</v>
      </c>
      <c r="BP15" s="2">
        <f t="shared" si="37"/>
        <v>9.1870819030836994</v>
      </c>
      <c r="BQ15" s="2">
        <f t="shared" si="38"/>
        <v>1.0418284866378984</v>
      </c>
    </row>
    <row r="16" spans="1:69" s="6" customFormat="1" x14ac:dyDescent="0.25">
      <c r="A16" s="5">
        <v>10</v>
      </c>
      <c r="B16" s="6" t="s">
        <v>138</v>
      </c>
      <c r="C16" s="6">
        <v>890955650</v>
      </c>
      <c r="D16" s="6">
        <v>118732979</v>
      </c>
      <c r="E16" s="6">
        <v>4208896682</v>
      </c>
      <c r="F16" s="6">
        <v>1864579812</v>
      </c>
      <c r="G16" s="6">
        <v>1863491911</v>
      </c>
      <c r="H16" s="6">
        <v>807031525</v>
      </c>
      <c r="I16" s="6">
        <v>231404125</v>
      </c>
      <c r="J16" s="6">
        <v>576026273</v>
      </c>
      <c r="K16" s="6">
        <v>1001433031</v>
      </c>
      <c r="L16" s="6">
        <v>683699946</v>
      </c>
      <c r="M16" s="6">
        <v>1078785</v>
      </c>
      <c r="N16" s="6">
        <v>121046387</v>
      </c>
      <c r="O16" s="6">
        <v>1177388249</v>
      </c>
      <c r="P16" s="6">
        <v>4612153</v>
      </c>
      <c r="Q16" s="6">
        <v>85381109</v>
      </c>
      <c r="R16" s="6">
        <v>2489534503</v>
      </c>
      <c r="S16" s="6">
        <v>56705714</v>
      </c>
      <c r="T16" s="6">
        <v>489260130</v>
      </c>
      <c r="U16" s="6">
        <v>960368754</v>
      </c>
      <c r="V16" s="6">
        <v>110670146</v>
      </c>
      <c r="W16" s="2"/>
      <c r="X16" s="2"/>
      <c r="Y16" s="2"/>
      <c r="Z16" s="2"/>
      <c r="AA16" s="6">
        <f t="shared" si="0"/>
        <v>2.9547782499999998E-3</v>
      </c>
      <c r="AB16" s="6">
        <f t="shared" si="1"/>
        <v>3.2910993000000001E-3</v>
      </c>
      <c r="AC16" s="6">
        <f t="shared" si="2"/>
        <v>1.9544483410000001E-2</v>
      </c>
      <c r="AD16" s="6">
        <f t="shared" si="3"/>
        <v>8.8728990599999998E-3</v>
      </c>
      <c r="AE16" s="6">
        <f t="shared" si="4"/>
        <v>5.8783063700000001E-3</v>
      </c>
      <c r="AF16" s="6">
        <f t="shared" si="5"/>
        <v>9.5878940624999996E-3</v>
      </c>
      <c r="AG16" s="6">
        <f t="shared" si="6"/>
        <v>1.0070206250000001E-3</v>
      </c>
      <c r="AH16" s="6">
        <f t="shared" si="7"/>
        <v>2.5801313650000002E-4</v>
      </c>
      <c r="AI16" s="6">
        <f t="shared" si="8"/>
        <v>9.3143303100000005E-3</v>
      </c>
      <c r="AJ16" s="6">
        <f t="shared" si="9"/>
        <v>1.08949991E-2</v>
      </c>
      <c r="AK16" s="6">
        <f t="shared" si="10"/>
        <v>5.1399800000000002E-6</v>
      </c>
      <c r="AL16" s="6">
        <f t="shared" si="11"/>
        <v>1.1304638699999999E-3</v>
      </c>
      <c r="AM16" s="6">
        <f t="shared" si="12"/>
        <v>3.8912941633333337E-2</v>
      </c>
      <c r="AN16" s="6">
        <f t="shared" si="13"/>
        <v>8.0173614285714289E-5</v>
      </c>
      <c r="AO16" s="6">
        <f t="shared" si="14"/>
        <v>8.3381109000000002E-4</v>
      </c>
      <c r="AP16" s="6">
        <f t="shared" si="15"/>
        <v>1.0947672515E-2</v>
      </c>
      <c r="AQ16" s="6">
        <f t="shared" si="16"/>
        <v>1.3352857000000001E-3</v>
      </c>
      <c r="AR16" s="6">
        <f t="shared" si="17"/>
        <v>0.27429772248457318</v>
      </c>
      <c r="AS16" s="6">
        <f t="shared" si="18"/>
        <v>3.1012291800000001E-2</v>
      </c>
      <c r="AT16" s="6">
        <f t="shared" si="19"/>
        <v>3.6835989333333335E-3</v>
      </c>
      <c r="AU16" s="2"/>
      <c r="AV16" s="2"/>
      <c r="AW16" s="2"/>
      <c r="AX16" s="6">
        <f t="shared" si="39"/>
        <v>0.63369012800750613</v>
      </c>
      <c r="AY16" s="6">
        <f t="shared" si="20"/>
        <v>1.0021427119611761</v>
      </c>
      <c r="AZ16" s="6">
        <f t="shared" si="21"/>
        <v>4.7680374256308609</v>
      </c>
      <c r="BA16" s="6">
        <f t="shared" si="22"/>
        <v>2.4236685439180539</v>
      </c>
      <c r="BB16" s="6">
        <f t="shared" si="23"/>
        <v>1.6143788038002387</v>
      </c>
      <c r="BC16" s="6">
        <f t="shared" si="24"/>
        <v>1.6933197748220101</v>
      </c>
      <c r="BD16" s="6">
        <f t="shared" si="25"/>
        <v>0.15778612348822407</v>
      </c>
      <c r="BE16" s="6">
        <f t="shared" si="26"/>
        <v>7.1713891844002439E-2</v>
      </c>
      <c r="BF16" s="6">
        <f t="shared" si="27"/>
        <v>2.5021706675621225</v>
      </c>
      <c r="BG16" s="6">
        <f t="shared" si="28"/>
        <v>2.384841447431425</v>
      </c>
      <c r="BH16" s="6">
        <f t="shared" si="29"/>
        <v>1.2449240084771421E-3</v>
      </c>
      <c r="BI16" s="6">
        <f t="shared" si="30"/>
        <v>0.24586993706246174</v>
      </c>
      <c r="BJ16" s="6">
        <f t="shared" si="31"/>
        <v>8.5218596514280502</v>
      </c>
      <c r="BK16" s="6">
        <f t="shared" si="32"/>
        <v>1.9275399377482023E-2</v>
      </c>
      <c r="BL16" s="6">
        <f t="shared" si="33"/>
        <v>0.29949438635088116</v>
      </c>
      <c r="BM16" s="6">
        <f t="shared" si="34"/>
        <v>2.0119774895474385</v>
      </c>
      <c r="BN16" s="6">
        <f t="shared" si="35"/>
        <v>0.56919065405621427</v>
      </c>
      <c r="BO16" s="6">
        <f t="shared" si="36"/>
        <v>48.720732235270553</v>
      </c>
      <c r="BP16" s="6">
        <f t="shared" si="37"/>
        <v>10.929442044052863</v>
      </c>
      <c r="BQ16" s="6">
        <f t="shared" si="38"/>
        <v>1.3385778544931486</v>
      </c>
    </row>
    <row r="17" spans="1:70" x14ac:dyDescent="0.25">
      <c r="A17" s="4">
        <v>11</v>
      </c>
      <c r="B17" s="2" t="s">
        <v>47</v>
      </c>
      <c r="C17" s="2">
        <v>940888779</v>
      </c>
      <c r="D17" s="2">
        <v>140706150</v>
      </c>
      <c r="E17" s="2">
        <v>4463538340</v>
      </c>
      <c r="F17" s="2">
        <v>2015312862</v>
      </c>
      <c r="G17" s="2">
        <v>1986185607</v>
      </c>
      <c r="H17" s="2">
        <v>910389899</v>
      </c>
      <c r="I17" s="2">
        <v>263535593</v>
      </c>
      <c r="J17" s="2">
        <v>519240090</v>
      </c>
      <c r="K17" s="2">
        <v>1039954806</v>
      </c>
      <c r="L17" s="2">
        <v>744222048</v>
      </c>
      <c r="M17" s="2">
        <v>638956</v>
      </c>
      <c r="N17" s="2">
        <v>76982793</v>
      </c>
      <c r="O17" s="2">
        <v>1291781680</v>
      </c>
      <c r="P17" s="2">
        <v>4052572</v>
      </c>
      <c r="Q17" s="2">
        <v>66066280</v>
      </c>
      <c r="R17" s="2">
        <v>2663474237</v>
      </c>
      <c r="S17" s="2">
        <v>62926563</v>
      </c>
      <c r="T17" s="2">
        <v>492463588</v>
      </c>
      <c r="U17" s="2">
        <v>314072749</v>
      </c>
      <c r="V17" s="2">
        <v>153071321</v>
      </c>
      <c r="AA17" s="2">
        <f t="shared" si="0"/>
        <v>3.2044438949999999E-3</v>
      </c>
      <c r="AB17" s="2">
        <f t="shared" si="1"/>
        <v>4.0235383333333333E-3</v>
      </c>
      <c r="AC17" s="2">
        <f t="shared" si="2"/>
        <v>2.0817691700000002E-2</v>
      </c>
      <c r="AD17" s="2">
        <f t="shared" si="3"/>
        <v>9.6265643100000003E-3</v>
      </c>
      <c r="AE17" s="2">
        <f t="shared" si="4"/>
        <v>6.2872853566666668E-3</v>
      </c>
      <c r="AF17" s="2">
        <f t="shared" si="5"/>
        <v>1.08798737375E-2</v>
      </c>
      <c r="AG17" s="2">
        <f t="shared" si="6"/>
        <v>1.167677965E-3</v>
      </c>
      <c r="AH17" s="2">
        <f t="shared" si="7"/>
        <v>2.29620045E-4</v>
      </c>
      <c r="AI17" s="2">
        <f t="shared" si="8"/>
        <v>9.6995480600000003E-3</v>
      </c>
      <c r="AJ17" s="2">
        <f t="shared" si="9"/>
        <v>1.19037008E-2</v>
      </c>
      <c r="AK17" s="2">
        <f t="shared" si="10"/>
        <v>3.6738833333333334E-6</v>
      </c>
      <c r="AL17" s="2">
        <f t="shared" si="11"/>
        <v>6.8982793000000003E-4</v>
      </c>
      <c r="AM17" s="2">
        <f t="shared" si="12"/>
        <v>4.2726055999999998E-2</v>
      </c>
      <c r="AN17" s="2">
        <f t="shared" si="13"/>
        <v>7.2179600000000003E-5</v>
      </c>
      <c r="AO17" s="2">
        <f t="shared" si="14"/>
        <v>6.4066280000000001E-4</v>
      </c>
      <c r="AP17" s="2">
        <f t="shared" si="15"/>
        <v>1.1817371185E-2</v>
      </c>
      <c r="AQ17" s="2">
        <f t="shared" si="16"/>
        <v>1.6463281499999999E-3</v>
      </c>
      <c r="AR17" s="2">
        <f t="shared" si="17"/>
        <v>0.27609370212729406</v>
      </c>
      <c r="AS17" s="2">
        <f t="shared" si="18"/>
        <v>9.4690916333333326E-3</v>
      </c>
      <c r="AT17" s="2">
        <f t="shared" si="19"/>
        <v>5.0969714333333332E-3</v>
      </c>
      <c r="AX17" s="2">
        <f t="shared" si="39"/>
        <v>0.68723413068829164</v>
      </c>
      <c r="AY17" s="2">
        <f t="shared" si="20"/>
        <v>1.2251710597265835</v>
      </c>
      <c r="AZ17" s="2">
        <f t="shared" si="21"/>
        <v>5.078647056491576</v>
      </c>
      <c r="BA17" s="2">
        <f t="shared" si="22"/>
        <v>2.6295352788732393</v>
      </c>
      <c r="BB17" s="2">
        <f t="shared" si="23"/>
        <v>1.726698061374826</v>
      </c>
      <c r="BC17" s="2">
        <f t="shared" si="24"/>
        <v>1.9214965483746345</v>
      </c>
      <c r="BD17" s="2">
        <f t="shared" si="25"/>
        <v>0.18295889379621016</v>
      </c>
      <c r="BE17" s="2">
        <f t="shared" si="26"/>
        <v>6.3822126639451054E-2</v>
      </c>
      <c r="BF17" s="2">
        <f t="shared" si="27"/>
        <v>2.6056542807253189</v>
      </c>
      <c r="BG17" s="2">
        <f t="shared" si="28"/>
        <v>2.6056394117244683</v>
      </c>
      <c r="BH17" s="2">
        <f t="shared" si="29"/>
        <v>8.89829447976587E-4</v>
      </c>
      <c r="BI17" s="2">
        <f t="shared" si="30"/>
        <v>0.15003394114048799</v>
      </c>
      <c r="BJ17" s="2">
        <f t="shared" si="31"/>
        <v>9.3569243909115798</v>
      </c>
      <c r="BK17" s="2">
        <f t="shared" si="32"/>
        <v>1.7353472577009768E-2</v>
      </c>
      <c r="BL17" s="2">
        <f t="shared" si="33"/>
        <v>0.23011796610169491</v>
      </c>
      <c r="BM17" s="2">
        <f t="shared" si="34"/>
        <v>2.1718118419480819</v>
      </c>
      <c r="BN17" s="2">
        <f t="shared" si="35"/>
        <v>0.70177835087251894</v>
      </c>
      <c r="BO17" s="2">
        <f t="shared" si="36"/>
        <v>49.039733948009605</v>
      </c>
      <c r="BP17" s="2">
        <f t="shared" si="37"/>
        <v>3.3371248046989717</v>
      </c>
      <c r="BQ17" s="2">
        <f t="shared" si="38"/>
        <v>1.852181306684836</v>
      </c>
    </row>
    <row r="18" spans="1:70" x14ac:dyDescent="0.25">
      <c r="A18" s="4">
        <v>12</v>
      </c>
      <c r="B18" s="2" t="s">
        <v>47</v>
      </c>
      <c r="C18" s="2">
        <v>850694454</v>
      </c>
      <c r="D18" s="2">
        <v>122870094</v>
      </c>
      <c r="E18" s="2">
        <v>4138900160</v>
      </c>
      <c r="F18" s="2">
        <v>1844057855</v>
      </c>
      <c r="G18" s="2">
        <v>1811321854</v>
      </c>
      <c r="H18" s="2">
        <v>798080283</v>
      </c>
      <c r="I18" s="2">
        <v>222098287</v>
      </c>
      <c r="J18" s="2">
        <v>455324322</v>
      </c>
      <c r="K18" s="2">
        <v>945870851</v>
      </c>
      <c r="L18" s="2">
        <v>666929187</v>
      </c>
      <c r="M18" s="2">
        <v>422065</v>
      </c>
      <c r="N18" s="2">
        <v>65694775</v>
      </c>
      <c r="O18" s="2">
        <v>1173275704</v>
      </c>
      <c r="P18" s="2">
        <v>3676588</v>
      </c>
      <c r="Q18" s="2">
        <v>56677007</v>
      </c>
      <c r="R18" s="2">
        <v>2547741441</v>
      </c>
      <c r="S18" s="2">
        <v>53746784</v>
      </c>
      <c r="T18" s="2">
        <v>440193093</v>
      </c>
      <c r="U18" s="2">
        <v>303066737</v>
      </c>
      <c r="V18" s="2">
        <v>139153757</v>
      </c>
      <c r="AA18" s="2">
        <f t="shared" si="0"/>
        <v>2.7534722700000001E-3</v>
      </c>
      <c r="AB18" s="2">
        <f t="shared" si="1"/>
        <v>3.4290031333333334E-3</v>
      </c>
      <c r="AC18" s="2">
        <f t="shared" si="2"/>
        <v>1.91945008E-2</v>
      </c>
      <c r="AD18" s="2">
        <f t="shared" si="3"/>
        <v>8.7702892750000008E-3</v>
      </c>
      <c r="AE18" s="2">
        <f t="shared" si="4"/>
        <v>5.7044061799999997E-3</v>
      </c>
      <c r="AF18" s="2">
        <f t="shared" si="5"/>
        <v>9.4760035374999996E-3</v>
      </c>
      <c r="AG18" s="2">
        <f t="shared" si="6"/>
        <v>9.6049143500000005E-4</v>
      </c>
      <c r="AH18" s="2">
        <f t="shared" si="7"/>
        <v>1.9766216100000001E-4</v>
      </c>
      <c r="AI18" s="2">
        <f t="shared" si="8"/>
        <v>8.7587085099999993E-3</v>
      </c>
      <c r="AJ18" s="2">
        <f t="shared" si="9"/>
        <v>1.0615486449999999E-2</v>
      </c>
      <c r="AK18" s="2">
        <f t="shared" si="10"/>
        <v>2.9509133333333333E-6</v>
      </c>
      <c r="AL18" s="2">
        <f t="shared" si="11"/>
        <v>5.7694775E-4</v>
      </c>
      <c r="AM18" s="2">
        <f t="shared" si="12"/>
        <v>3.8775856800000001E-2</v>
      </c>
      <c r="AN18" s="2">
        <f t="shared" si="13"/>
        <v>6.6808400000000002E-5</v>
      </c>
      <c r="AO18" s="2">
        <f t="shared" si="14"/>
        <v>5.4677006999999996E-4</v>
      </c>
      <c r="AP18" s="2">
        <f t="shared" si="15"/>
        <v>1.1238707205E-2</v>
      </c>
      <c r="AQ18" s="2">
        <f t="shared" si="16"/>
        <v>1.1873392E-3</v>
      </c>
      <c r="AR18" s="2">
        <f t="shared" si="17"/>
        <v>0.24678888685113154</v>
      </c>
      <c r="AS18" s="2">
        <f t="shared" si="18"/>
        <v>9.1022245666666675E-3</v>
      </c>
      <c r="AT18" s="2">
        <f t="shared" si="19"/>
        <v>4.6330526333333332E-3</v>
      </c>
      <c r="AX18" s="2">
        <f t="shared" si="39"/>
        <v>0.59051747630855844</v>
      </c>
      <c r="AY18" s="2">
        <f t="shared" si="20"/>
        <v>1.0441345538744569</v>
      </c>
      <c r="AZ18" s="2">
        <f t="shared" si="21"/>
        <v>4.682656290310284</v>
      </c>
      <c r="BA18" s="2">
        <f t="shared" si="22"/>
        <v>2.3956402629107982</v>
      </c>
      <c r="BB18" s="2">
        <f t="shared" si="23"/>
        <v>1.5666200169929367</v>
      </c>
      <c r="BC18" s="2">
        <f t="shared" si="24"/>
        <v>1.6735587681439372</v>
      </c>
      <c r="BD18" s="2">
        <f t="shared" si="25"/>
        <v>0.15049564667286883</v>
      </c>
      <c r="BE18" s="2">
        <f t="shared" si="26"/>
        <v>5.4939539233909498E-2</v>
      </c>
      <c r="BF18" s="2">
        <f t="shared" si="27"/>
        <v>2.3529102780389519</v>
      </c>
      <c r="BG18" s="2">
        <f t="shared" si="28"/>
        <v>2.3236580231205965</v>
      </c>
      <c r="BH18" s="2">
        <f t="shared" si="29"/>
        <v>7.1472318094661425E-4</v>
      </c>
      <c r="BI18" s="2">
        <f t="shared" si="30"/>
        <v>0.12548309658125467</v>
      </c>
      <c r="BJ18" s="2">
        <f t="shared" si="31"/>
        <v>8.4918383356145632</v>
      </c>
      <c r="BK18" s="2">
        <f t="shared" si="32"/>
        <v>1.6062124718256951E-2</v>
      </c>
      <c r="BL18" s="2">
        <f t="shared" si="33"/>
        <v>0.1963928862947581</v>
      </c>
      <c r="BM18" s="2">
        <f t="shared" si="34"/>
        <v>2.0654642232942799</v>
      </c>
      <c r="BN18" s="2">
        <f t="shared" si="35"/>
        <v>0.50612567470361003</v>
      </c>
      <c r="BO18" s="2">
        <f t="shared" si="36"/>
        <v>43.834615781728516</v>
      </c>
      <c r="BP18" s="2">
        <f t="shared" si="37"/>
        <v>3.2078324464023495</v>
      </c>
      <c r="BQ18" s="2">
        <f t="shared" si="38"/>
        <v>1.6835985040502688</v>
      </c>
    </row>
    <row r="19" spans="1:70" x14ac:dyDescent="0.25">
      <c r="A19" s="4">
        <v>13</v>
      </c>
      <c r="B19" s="2" t="s">
        <v>47</v>
      </c>
      <c r="C19" s="2">
        <v>931129949</v>
      </c>
      <c r="D19" s="2">
        <v>145841681</v>
      </c>
      <c r="E19" s="2">
        <v>4541184579</v>
      </c>
      <c r="F19" s="2">
        <v>2061906536</v>
      </c>
      <c r="G19" s="2">
        <v>2029401373</v>
      </c>
      <c r="H19" s="2">
        <v>930542709</v>
      </c>
      <c r="I19" s="2">
        <v>266994880</v>
      </c>
      <c r="J19" s="2">
        <v>519866716</v>
      </c>
      <c r="K19" s="2">
        <v>1094657740</v>
      </c>
      <c r="L19" s="2">
        <v>805781647</v>
      </c>
      <c r="M19" s="2">
        <v>673039</v>
      </c>
      <c r="N19" s="2">
        <v>78852854</v>
      </c>
      <c r="O19" s="2">
        <v>1359778972</v>
      </c>
      <c r="P19" s="2">
        <v>4628935</v>
      </c>
      <c r="Q19" s="2">
        <v>64614823</v>
      </c>
      <c r="R19" s="2">
        <v>2876955272</v>
      </c>
      <c r="S19" s="2">
        <v>65169482</v>
      </c>
      <c r="T19" s="2">
        <v>504034638</v>
      </c>
      <c r="U19" s="2">
        <v>409111893</v>
      </c>
      <c r="V19" s="2">
        <v>171991270</v>
      </c>
      <c r="AA19" s="2">
        <f t="shared" si="0"/>
        <v>3.155649745E-3</v>
      </c>
      <c r="AB19" s="2">
        <f t="shared" si="1"/>
        <v>4.1947227000000004E-3</v>
      </c>
      <c r="AC19" s="2">
        <f t="shared" si="2"/>
        <v>2.1205922895E-2</v>
      </c>
      <c r="AD19" s="2">
        <f t="shared" si="3"/>
        <v>9.8595326799999997E-3</v>
      </c>
      <c r="AE19" s="2">
        <f t="shared" si="4"/>
        <v>6.4313379100000003E-3</v>
      </c>
      <c r="AF19" s="2">
        <f t="shared" si="5"/>
        <v>1.11317838625E-2</v>
      </c>
      <c r="AG19" s="2">
        <f t="shared" si="6"/>
        <v>1.1849744E-3</v>
      </c>
      <c r="AH19" s="2">
        <f t="shared" si="7"/>
        <v>2.2993335799999999E-4</v>
      </c>
      <c r="AI19" s="2">
        <f t="shared" si="8"/>
        <v>1.02465774E-2</v>
      </c>
      <c r="AJ19" s="2">
        <f t="shared" si="9"/>
        <v>1.2929694116666666E-2</v>
      </c>
      <c r="AK19" s="2">
        <f t="shared" si="10"/>
        <v>3.7874933333333333E-6</v>
      </c>
      <c r="AL19" s="2">
        <f t="shared" si="11"/>
        <v>7.0852853999999995E-4</v>
      </c>
      <c r="AM19" s="2">
        <f t="shared" si="12"/>
        <v>4.4992632400000003E-2</v>
      </c>
      <c r="AN19" s="2">
        <f t="shared" si="13"/>
        <v>8.0413357142857149E-5</v>
      </c>
      <c r="AO19" s="2">
        <f t="shared" si="14"/>
        <v>6.2614823000000004E-4</v>
      </c>
      <c r="AP19" s="2">
        <f t="shared" si="15"/>
        <v>1.2884776360000001E-2</v>
      </c>
      <c r="AQ19" s="2">
        <f t="shared" si="16"/>
        <v>1.7584740999999999E-3</v>
      </c>
      <c r="AR19" s="2">
        <f t="shared" si="17"/>
        <v>0.28258087013290106</v>
      </c>
      <c r="AS19" s="2">
        <f t="shared" si="18"/>
        <v>1.26370631E-2</v>
      </c>
      <c r="AT19" s="2">
        <f t="shared" si="19"/>
        <v>5.7276363999999996E-3</v>
      </c>
      <c r="AX19" s="2">
        <f t="shared" si="39"/>
        <v>0.6767695988204544</v>
      </c>
      <c r="AY19" s="2">
        <f t="shared" si="20"/>
        <v>1.2772968541250358</v>
      </c>
      <c r="AZ19" s="2">
        <f t="shared" si="21"/>
        <v>5.1733592486086755</v>
      </c>
      <c r="BA19" s="2">
        <f t="shared" si="22"/>
        <v>2.693171538711054</v>
      </c>
      <c r="BB19" s="2">
        <f t="shared" si="23"/>
        <v>1.7662596925823257</v>
      </c>
      <c r="BC19" s="2">
        <f t="shared" si="24"/>
        <v>1.9659864429604283</v>
      </c>
      <c r="BD19" s="2">
        <f t="shared" si="25"/>
        <v>0.18566900455368948</v>
      </c>
      <c r="BE19" s="2">
        <f t="shared" si="26"/>
        <v>6.3909210944150086E-2</v>
      </c>
      <c r="BF19" s="2">
        <f t="shared" si="27"/>
        <v>2.7526064204163867</v>
      </c>
      <c r="BG19" s="2">
        <f t="shared" si="28"/>
        <v>2.8302223936885791</v>
      </c>
      <c r="BH19" s="2">
        <f t="shared" si="29"/>
        <v>9.1734625088303568E-4</v>
      </c>
      <c r="BI19" s="2">
        <f t="shared" si="30"/>
        <v>0.15410122531094947</v>
      </c>
      <c r="BJ19" s="2">
        <f t="shared" si="31"/>
        <v>9.853300279222557</v>
      </c>
      <c r="BK19" s="2">
        <f t="shared" si="32"/>
        <v>1.933303853171622E-2</v>
      </c>
      <c r="BL19" s="2">
        <f t="shared" si="33"/>
        <v>0.22490451633179931</v>
      </c>
      <c r="BM19" s="2">
        <f t="shared" si="34"/>
        <v>2.3679809529060418</v>
      </c>
      <c r="BN19" s="2">
        <f t="shared" si="35"/>
        <v>0.74958267217263885</v>
      </c>
      <c r="BO19" s="2">
        <f t="shared" si="36"/>
        <v>50.191984037815466</v>
      </c>
      <c r="BP19" s="2">
        <f t="shared" si="37"/>
        <v>4.4535905198237886</v>
      </c>
      <c r="BQ19" s="2">
        <f t="shared" si="38"/>
        <v>2.0813577651601181</v>
      </c>
    </row>
    <row r="20" spans="1:70" x14ac:dyDescent="0.25">
      <c r="A20" s="4">
        <v>14</v>
      </c>
      <c r="B20" s="2" t="s">
        <v>47</v>
      </c>
      <c r="C20" s="2">
        <v>888967716</v>
      </c>
      <c r="D20" s="2">
        <v>138773349</v>
      </c>
      <c r="E20" s="2">
        <v>4302843253</v>
      </c>
      <c r="F20" s="2">
        <v>1947447147</v>
      </c>
      <c r="G20" s="2">
        <v>1977984518</v>
      </c>
      <c r="H20" s="2">
        <v>885486717</v>
      </c>
      <c r="I20" s="2">
        <v>254105661</v>
      </c>
      <c r="J20" s="2">
        <v>494758239</v>
      </c>
      <c r="K20" s="2">
        <v>1045890567</v>
      </c>
      <c r="L20" s="2">
        <v>740205533</v>
      </c>
      <c r="M20" s="2">
        <v>613585</v>
      </c>
      <c r="N20" s="2">
        <v>75127459</v>
      </c>
      <c r="O20" s="2">
        <v>1303287082</v>
      </c>
      <c r="P20" s="2">
        <v>3763436</v>
      </c>
      <c r="Q20" s="2">
        <v>61293613</v>
      </c>
      <c r="R20" s="2">
        <v>2711505960</v>
      </c>
      <c r="S20" s="2">
        <v>58806298</v>
      </c>
      <c r="T20" s="2">
        <v>542639714</v>
      </c>
      <c r="U20" s="2">
        <v>372862899</v>
      </c>
      <c r="V20" s="2">
        <v>152922502</v>
      </c>
      <c r="AA20" s="2">
        <f t="shared" si="0"/>
        <v>2.9448385799999998E-3</v>
      </c>
      <c r="AB20" s="2">
        <f t="shared" si="1"/>
        <v>3.9591116333333332E-3</v>
      </c>
      <c r="AC20" s="2">
        <f t="shared" si="2"/>
        <v>2.0014216264999999E-2</v>
      </c>
      <c r="AD20" s="2">
        <f t="shared" si="3"/>
        <v>9.2872357349999997E-3</v>
      </c>
      <c r="AE20" s="2">
        <f t="shared" si="4"/>
        <v>6.2599483933333333E-3</v>
      </c>
      <c r="AF20" s="2">
        <f t="shared" si="5"/>
        <v>1.0568583962499999E-2</v>
      </c>
      <c r="AG20" s="2">
        <f t="shared" si="6"/>
        <v>1.1205283050000001E-3</v>
      </c>
      <c r="AH20" s="2">
        <f t="shared" si="7"/>
        <v>2.173791195E-4</v>
      </c>
      <c r="AI20" s="2">
        <f t="shared" si="8"/>
        <v>9.7589056699999999E-3</v>
      </c>
      <c r="AJ20" s="2">
        <f t="shared" si="9"/>
        <v>1.1836758883333333E-2</v>
      </c>
      <c r="AK20" s="2">
        <f t="shared" si="10"/>
        <v>3.5893133333333334E-6</v>
      </c>
      <c r="AL20" s="2">
        <f t="shared" si="11"/>
        <v>6.7127459000000005E-4</v>
      </c>
      <c r="AM20" s="2">
        <f t="shared" si="12"/>
        <v>4.3109569399999999E-2</v>
      </c>
      <c r="AN20" s="2">
        <f t="shared" si="13"/>
        <v>6.8049085714285711E-5</v>
      </c>
      <c r="AO20" s="2">
        <f t="shared" si="14"/>
        <v>5.9293612999999998E-4</v>
      </c>
      <c r="AP20" s="2">
        <f t="shared" si="15"/>
        <v>1.2057529799999999E-2</v>
      </c>
      <c r="AQ20" s="2">
        <f t="shared" si="16"/>
        <v>1.4403148999999999E-3</v>
      </c>
      <c r="AR20" s="2">
        <f t="shared" si="17"/>
        <v>0.30422433497673346</v>
      </c>
      <c r="AS20" s="2">
        <f t="shared" si="18"/>
        <v>1.14287633E-2</v>
      </c>
      <c r="AT20" s="2">
        <f t="shared" si="19"/>
        <v>5.0920108000000004E-3</v>
      </c>
      <c r="AX20" s="2">
        <f t="shared" si="39"/>
        <v>0.63155843817438506</v>
      </c>
      <c r="AY20" s="2">
        <f t="shared" si="20"/>
        <v>1.2055530713356806</v>
      </c>
      <c r="AZ20" s="2">
        <f t="shared" si="21"/>
        <v>4.8826326178241972</v>
      </c>
      <c r="BA20" s="2">
        <f t="shared" si="22"/>
        <v>2.5368462955185658</v>
      </c>
      <c r="BB20" s="2">
        <f t="shared" si="23"/>
        <v>1.7191904203320203</v>
      </c>
      <c r="BC20" s="2">
        <f t="shared" si="24"/>
        <v>1.8665196026270765</v>
      </c>
      <c r="BD20" s="2">
        <f t="shared" si="25"/>
        <v>0.17557119796308085</v>
      </c>
      <c r="BE20" s="2">
        <f t="shared" si="26"/>
        <v>6.0419802171458356E-2</v>
      </c>
      <c r="BF20" s="2">
        <f t="shared" si="27"/>
        <v>2.6215999113498993</v>
      </c>
      <c r="BG20" s="2">
        <f t="shared" si="28"/>
        <v>2.5909862799553096</v>
      </c>
      <c r="BH20" s="2">
        <f t="shared" si="29"/>
        <v>8.6934625088303571E-4</v>
      </c>
      <c r="BI20" s="2">
        <f t="shared" si="30"/>
        <v>0.14599868741928906</v>
      </c>
      <c r="BJ20" s="2">
        <f t="shared" si="31"/>
        <v>9.4409130906104561</v>
      </c>
      <c r="BK20" s="2">
        <f t="shared" si="32"/>
        <v>1.6360411291188152E-2</v>
      </c>
      <c r="BL20" s="2">
        <f t="shared" si="33"/>
        <v>0.2129751505219441</v>
      </c>
      <c r="BM20" s="2">
        <f t="shared" si="34"/>
        <v>2.2159485044796692</v>
      </c>
      <c r="BN20" s="2">
        <f t="shared" si="35"/>
        <v>0.61396132676168902</v>
      </c>
      <c r="BO20" s="2">
        <f t="shared" si="36"/>
        <v>54.036293956791027</v>
      </c>
      <c r="BP20" s="2">
        <f t="shared" si="37"/>
        <v>4.0277579911894268</v>
      </c>
      <c r="BQ20" s="2">
        <f t="shared" si="38"/>
        <v>1.8503786690892574</v>
      </c>
    </row>
    <row r="21" spans="1:70" x14ac:dyDescent="0.25">
      <c r="A21" s="4">
        <v>15</v>
      </c>
      <c r="B21" s="2" t="s">
        <v>47</v>
      </c>
      <c r="C21" s="2">
        <v>941132215</v>
      </c>
      <c r="D21" s="2">
        <v>129567621</v>
      </c>
      <c r="E21" s="2">
        <v>4442207273</v>
      </c>
      <c r="F21" s="2">
        <v>2054392072</v>
      </c>
      <c r="G21" s="2">
        <v>2018433411</v>
      </c>
      <c r="H21" s="2">
        <v>863582456</v>
      </c>
      <c r="I21" s="2">
        <v>249228330</v>
      </c>
      <c r="J21" s="2">
        <v>506575464</v>
      </c>
      <c r="K21" s="2">
        <v>1040328548</v>
      </c>
      <c r="L21" s="2">
        <v>735298508</v>
      </c>
      <c r="M21" s="2">
        <v>741171</v>
      </c>
      <c r="N21" s="2">
        <v>68933921</v>
      </c>
      <c r="O21" s="2">
        <v>1246460108</v>
      </c>
      <c r="P21" s="2">
        <v>4041936</v>
      </c>
      <c r="Q21" s="2">
        <v>64316724</v>
      </c>
      <c r="R21" s="2">
        <v>2589307412</v>
      </c>
      <c r="S21" s="2">
        <v>58798726</v>
      </c>
      <c r="T21" s="2">
        <v>474301169</v>
      </c>
      <c r="U21" s="2">
        <v>352830589</v>
      </c>
      <c r="V21" s="2">
        <v>146730963</v>
      </c>
      <c r="AA21" s="2">
        <f t="shared" si="0"/>
        <v>3.205661075E-3</v>
      </c>
      <c r="AB21" s="2">
        <f t="shared" si="1"/>
        <v>3.6522540333333332E-3</v>
      </c>
      <c r="AC21" s="2">
        <f t="shared" si="2"/>
        <v>2.0711036365000001E-2</v>
      </c>
      <c r="AD21" s="2">
        <f t="shared" si="3"/>
        <v>9.8219603599999997E-3</v>
      </c>
      <c r="AE21" s="2">
        <f t="shared" si="4"/>
        <v>6.3947780366666665E-3</v>
      </c>
      <c r="AF21" s="2">
        <f t="shared" si="5"/>
        <v>1.0294780700000001E-2</v>
      </c>
      <c r="AG21" s="2">
        <f>(I21-30000000)/200000000000</f>
        <v>1.0961416499999999E-3</v>
      </c>
      <c r="AH21" s="2">
        <f t="shared" si="7"/>
        <v>2.2328773199999999E-4</v>
      </c>
      <c r="AI21" s="2">
        <f t="shared" si="8"/>
        <v>9.7032854800000005E-3</v>
      </c>
      <c r="AJ21" s="2">
        <f t="shared" si="9"/>
        <v>1.1754975133333333E-2</v>
      </c>
      <c r="AK21" s="2">
        <f t="shared" si="10"/>
        <v>4.0145999999999996E-6</v>
      </c>
      <c r="AL21" s="2">
        <f t="shared" si="11"/>
        <v>6.0933921E-4</v>
      </c>
      <c r="AM21" s="2">
        <f t="shared" si="12"/>
        <v>4.1215336933333332E-2</v>
      </c>
      <c r="AN21" s="2">
        <f t="shared" si="13"/>
        <v>7.2027657142857145E-5</v>
      </c>
      <c r="AO21" s="2">
        <f t="shared" si="14"/>
        <v>6.2316724000000001E-4</v>
      </c>
      <c r="AP21" s="2">
        <f t="shared" si="15"/>
        <v>1.1446537059999999E-2</v>
      </c>
      <c r="AQ21" s="2">
        <f t="shared" si="16"/>
        <v>1.4399363000000001E-3</v>
      </c>
      <c r="AR21" s="2">
        <f t="shared" si="17"/>
        <v>0.26591116351228261</v>
      </c>
      <c r="AS21" s="2">
        <f t="shared" si="18"/>
        <v>1.0761019633333334E-2</v>
      </c>
      <c r="AT21" s="2">
        <f t="shared" si="19"/>
        <v>4.8856261666666663E-3</v>
      </c>
      <c r="AX21" s="2">
        <f t="shared" si="39"/>
        <v>0.68749517056497544</v>
      </c>
      <c r="AY21" s="2">
        <f t="shared" si="20"/>
        <v>1.1121146547403813</v>
      </c>
      <c r="AZ21" s="2">
        <f t="shared" si="21"/>
        <v>5.0526276105816876</v>
      </c>
      <c r="BA21" s="2">
        <f t="shared" si="22"/>
        <v>2.6829085063593681</v>
      </c>
      <c r="BB21" s="2">
        <f t="shared" si="23"/>
        <v>1.7562191331313635</v>
      </c>
      <c r="BC21" s="2">
        <f t="shared" si="24"/>
        <v>1.8181631569071144</v>
      </c>
      <c r="BD21" s="2">
        <f t="shared" si="25"/>
        <v>0.17175014836214073</v>
      </c>
      <c r="BE21" s="2">
        <f t="shared" si="26"/>
        <v>6.2062081334144009E-2</v>
      </c>
      <c r="BF21" s="2">
        <f t="shared" si="27"/>
        <v>2.606658288784419</v>
      </c>
      <c r="BG21" s="2">
        <f t="shared" si="28"/>
        <v>2.5730843714800375</v>
      </c>
      <c r="BH21" s="2">
        <f t="shared" si="29"/>
        <v>9.7235240690281559E-4</v>
      </c>
      <c r="BI21" s="2">
        <f t="shared" si="30"/>
        <v>0.13252806851084076</v>
      </c>
      <c r="BJ21" s="2">
        <f t="shared" si="31"/>
        <v>9.0260798102016597</v>
      </c>
      <c r="BK21" s="2">
        <f t="shared" si="32"/>
        <v>1.7316942363421704E-2</v>
      </c>
      <c r="BL21" s="2">
        <f t="shared" si="33"/>
        <v>0.22383378246716804</v>
      </c>
      <c r="BM21" s="2">
        <f t="shared" si="34"/>
        <v>2.1036594642775097</v>
      </c>
      <c r="BN21" s="2">
        <f t="shared" si="35"/>
        <v>0.61379994138803784</v>
      </c>
      <c r="BO21" s="2">
        <f t="shared" si="36"/>
        <v>47.231112524384123</v>
      </c>
      <c r="BP21" s="2">
        <f t="shared" si="37"/>
        <v>3.792429826725404</v>
      </c>
      <c r="BQ21" s="2">
        <f t="shared" si="38"/>
        <v>1.7753808463926111</v>
      </c>
    </row>
    <row r="22" spans="1:70" x14ac:dyDescent="0.25">
      <c r="A22" s="4">
        <v>16</v>
      </c>
      <c r="B22" s="2" t="s">
        <v>47</v>
      </c>
      <c r="C22" s="2">
        <v>801253619</v>
      </c>
      <c r="D22" s="2">
        <v>119078898</v>
      </c>
      <c r="E22" s="2">
        <v>3900791286</v>
      </c>
      <c r="F22" s="2">
        <v>1769086042</v>
      </c>
      <c r="G22" s="2">
        <v>1745515724</v>
      </c>
      <c r="H22" s="2">
        <v>763898327</v>
      </c>
      <c r="I22" s="2">
        <v>214431064</v>
      </c>
      <c r="J22" s="2">
        <v>440188975</v>
      </c>
      <c r="K22" s="2">
        <v>943620150</v>
      </c>
      <c r="L22" s="2">
        <v>640972333</v>
      </c>
      <c r="M22" s="2">
        <v>486074</v>
      </c>
      <c r="N22" s="2">
        <v>65428017</v>
      </c>
      <c r="O22" s="2">
        <v>1149515611</v>
      </c>
      <c r="P22" s="2">
        <v>3270896</v>
      </c>
      <c r="Q22" s="2">
        <v>61631379</v>
      </c>
      <c r="R22" s="2">
        <v>2371940245</v>
      </c>
      <c r="S22" s="2">
        <v>53087978</v>
      </c>
      <c r="T22" s="2">
        <v>556332525</v>
      </c>
      <c r="U22" s="2">
        <v>265448458</v>
      </c>
      <c r="V22" s="2">
        <v>142536941</v>
      </c>
      <c r="AA22" s="2">
        <f t="shared" si="0"/>
        <v>2.5062680949999999E-3</v>
      </c>
      <c r="AB22" s="2">
        <f t="shared" si="1"/>
        <v>3.3026299333333334E-3</v>
      </c>
      <c r="AC22" s="2">
        <f t="shared" si="2"/>
        <v>1.8003956429999999E-2</v>
      </c>
      <c r="AD22" s="2">
        <f t="shared" si="3"/>
        <v>8.3954302100000006E-3</v>
      </c>
      <c r="AE22" s="2">
        <f t="shared" si="4"/>
        <v>5.4850524133333335E-3</v>
      </c>
      <c r="AF22" s="2">
        <f t="shared" si="5"/>
        <v>9.0487290875000004E-3</v>
      </c>
      <c r="AG22" s="2">
        <f t="shared" si="6"/>
        <v>9.2215532000000005E-4</v>
      </c>
      <c r="AH22" s="2">
        <f t="shared" si="7"/>
        <v>1.900944875E-4</v>
      </c>
      <c r="AI22" s="2">
        <f t="shared" si="8"/>
        <v>8.7362015000000005E-3</v>
      </c>
      <c r="AJ22" s="2">
        <f t="shared" si="9"/>
        <v>1.0182872216666666E-2</v>
      </c>
      <c r="AK22" s="2">
        <f t="shared" si="10"/>
        <v>3.1642766666666668E-6</v>
      </c>
      <c r="AL22" s="2">
        <f>(N22-8000000)/100000000000</f>
        <v>5.7428017000000001E-4</v>
      </c>
      <c r="AM22" s="2">
        <f t="shared" si="12"/>
        <v>3.79838537E-2</v>
      </c>
      <c r="AN22" s="2">
        <f t="shared" si="13"/>
        <v>6.10128E-5</v>
      </c>
      <c r="AO22" s="2">
        <f t="shared" si="14"/>
        <v>5.9631379E-4</v>
      </c>
      <c r="AP22" s="2">
        <f t="shared" si="15"/>
        <v>1.0359701225E-2</v>
      </c>
      <c r="AQ22" s="2">
        <f t="shared" si="16"/>
        <v>1.1543988999999999E-3</v>
      </c>
      <c r="AR22" s="2">
        <f t="shared" si="17"/>
        <v>0.31190104239965732</v>
      </c>
      <c r="AS22" s="2">
        <f t="shared" si="18"/>
        <v>7.8482819333333328E-3</v>
      </c>
      <c r="AT22" s="2">
        <f t="shared" si="19"/>
        <v>4.7458254333333331E-3</v>
      </c>
      <c r="AX22" s="2">
        <f t="shared" si="39"/>
        <v>0.53750136746866828</v>
      </c>
      <c r="AY22" s="2">
        <f t="shared" si="20"/>
        <v>1.0056538002347195</v>
      </c>
      <c r="AZ22" s="2">
        <f t="shared" si="21"/>
        <v>4.3922132024090867</v>
      </c>
      <c r="BA22" s="2">
        <f t="shared" si="22"/>
        <v>2.2932459813913786</v>
      </c>
      <c r="BB22" s="2">
        <f t="shared" si="23"/>
        <v>1.5063781634468771</v>
      </c>
      <c r="BC22" s="2">
        <f t="shared" si="24"/>
        <v>1.5980977471162869</v>
      </c>
      <c r="BD22" s="2">
        <f t="shared" si="25"/>
        <v>0.14448891073789355</v>
      </c>
      <c r="BE22" s="2">
        <f t="shared" si="26"/>
        <v>5.2836129592634416E-2</v>
      </c>
      <c r="BF22" s="2">
        <f t="shared" si="27"/>
        <v>2.3468640698455339</v>
      </c>
      <c r="BG22" s="2">
        <f t="shared" si="28"/>
        <v>2.2289617000706845</v>
      </c>
      <c r="BH22" s="2">
        <f t="shared" si="29"/>
        <v>7.6640064587748526E-4</v>
      </c>
      <c r="BI22" s="2">
        <f t="shared" si="30"/>
        <v>0.12490291198260041</v>
      </c>
      <c r="BJ22" s="2">
        <f t="shared" si="31"/>
        <v>8.3183911743772239</v>
      </c>
      <c r="BK22" s="2">
        <f t="shared" si="32"/>
        <v>1.4668742299023291E-2</v>
      </c>
      <c r="BL22" s="2">
        <f t="shared" si="33"/>
        <v>0.2141883632281962</v>
      </c>
      <c r="BM22" s="2">
        <f t="shared" si="34"/>
        <v>1.9039193613599816</v>
      </c>
      <c r="BN22" s="2">
        <f t="shared" si="35"/>
        <v>0.4920842520314373</v>
      </c>
      <c r="BO22" s="2">
        <f>2*16*AR22/0.18016</f>
        <v>55.399829911129189</v>
      </c>
      <c r="BP22" s="2">
        <f t="shared" si="37"/>
        <v>2.7659143377386193</v>
      </c>
      <c r="BQ22" s="2">
        <f t="shared" si="38"/>
        <v>1.724578853811795</v>
      </c>
    </row>
    <row r="23" spans="1:70" x14ac:dyDescent="0.25">
      <c r="Y23" s="75" t="s">
        <v>154</v>
      </c>
      <c r="Z23" s="76"/>
      <c r="AA23" s="76"/>
    </row>
    <row r="24" spans="1:70" x14ac:dyDescent="0.25">
      <c r="Z24" s="2" t="s">
        <v>105</v>
      </c>
      <c r="AA24" s="8">
        <f>16000*AVERAGE(AA17:AA22)</f>
        <v>47.387556426666663</v>
      </c>
      <c r="AB24" s="8">
        <f>16000*AVERAGE(AB17:AB22)</f>
        <v>60.163359377777773</v>
      </c>
      <c r="AC24" s="8">
        <f t="shared" ref="AB24:AN24" si="40">16000*AVERAGE(AC17:AC22)</f>
        <v>319.85953188000002</v>
      </c>
      <c r="AD24" s="8">
        <f t="shared" si="40"/>
        <v>148.69603351999999</v>
      </c>
      <c r="AE24" s="8">
        <f t="shared" si="40"/>
        <v>97.500822106666661</v>
      </c>
      <c r="AF24" s="8">
        <f t="shared" si="40"/>
        <v>163.73267970000001</v>
      </c>
      <c r="AG24" s="8">
        <f t="shared" si="40"/>
        <v>17.20525086666667</v>
      </c>
      <c r="AH24" s="8">
        <f t="shared" si="40"/>
        <v>3.434605074666667</v>
      </c>
      <c r="AI24" s="8">
        <f t="shared" si="40"/>
        <v>151.74193765333334</v>
      </c>
      <c r="AJ24" s="8">
        <f t="shared" si="40"/>
        <v>184.59596693333333</v>
      </c>
      <c r="AK24" s="8">
        <f t="shared" si="40"/>
        <v>5.6481280000000002E-2</v>
      </c>
      <c r="AL24" s="8">
        <f t="shared" si="40"/>
        <v>10.21386184</v>
      </c>
      <c r="AM24" s="8">
        <f t="shared" si="40"/>
        <v>663.47548062222222</v>
      </c>
      <c r="AN24" s="8">
        <f t="shared" si="40"/>
        <v>1.1213090666666667</v>
      </c>
      <c r="AO24" s="8">
        <f t="shared" ref="AO24:AQ24" si="41">16000*AVERAGE(AO17:AO22)</f>
        <v>9.6693286933333322</v>
      </c>
      <c r="AP24" s="8">
        <f t="shared" si="41"/>
        <v>186.14566089333331</v>
      </c>
      <c r="AQ24" s="8">
        <f t="shared" si="41"/>
        <v>23.004777466666663</v>
      </c>
      <c r="AR24" s="4">
        <f>16000*AVERAGE(AR17:AR22)</f>
        <v>4500.0000000000009</v>
      </c>
      <c r="AS24" s="8">
        <f>16000*AVERAGE(AS17:AS22)</f>
        <v>163.32385111111111</v>
      </c>
      <c r="AT24" s="8">
        <f>16000*AVERAGE(AT17:AT22)</f>
        <v>80.482994311111113</v>
      </c>
      <c r="AW24" s="9" t="s">
        <v>136</v>
      </c>
      <c r="AX24" s="9">
        <f>AVERAGE(AX7:AX11)</f>
        <v>0.46425069740633995</v>
      </c>
      <c r="AY24" s="9">
        <f t="shared" ref="AY24:BQ24" si="42">AVERAGE(AY7:AY11)</f>
        <v>0.79903325428997363</v>
      </c>
      <c r="AZ24" s="9">
        <f t="shared" si="42"/>
        <v>3.8374930755508116</v>
      </c>
      <c r="BA24" s="9">
        <f t="shared" si="42"/>
        <v>2.0005601824669226</v>
      </c>
      <c r="BB24" s="9">
        <f t="shared" si="42"/>
        <v>1.3507033843178653</v>
      </c>
      <c r="BC24" s="9">
        <f t="shared" si="42"/>
        <v>1.3840359538605882</v>
      </c>
      <c r="BD24" s="9">
        <f t="shared" si="42"/>
        <v>0.12123258694609018</v>
      </c>
      <c r="BE24" s="9">
        <f t="shared" si="42"/>
        <v>7.2530277161469647E-2</v>
      </c>
      <c r="BF24" s="9">
        <f t="shared" si="42"/>
        <v>2.1306011497649431</v>
      </c>
      <c r="BG24" s="9">
        <f t="shared" si="42"/>
        <v>2.0223725128485763</v>
      </c>
      <c r="BH24" s="9">
        <f t="shared" si="42"/>
        <v>2.2403045312342313E-3</v>
      </c>
      <c r="BI24" s="9">
        <f t="shared" si="42"/>
        <v>0.43777869410725201</v>
      </c>
      <c r="BJ24" s="9">
        <f t="shared" si="42"/>
        <v>6.9154136286887491</v>
      </c>
      <c r="BK24" s="9">
        <f t="shared" si="42"/>
        <v>1.442531699044757E-2</v>
      </c>
      <c r="BL24" s="9">
        <f t="shared" si="42"/>
        <v>0.22631596022000222</v>
      </c>
      <c r="BM24" s="9">
        <f t="shared" si="42"/>
        <v>1.7477118406616126</v>
      </c>
      <c r="BN24" s="9">
        <f t="shared" si="42"/>
        <v>0.40288050725989077</v>
      </c>
      <c r="BO24" s="9">
        <f t="shared" si="42"/>
        <v>44.785955351349124</v>
      </c>
      <c r="BP24" s="59">
        <f t="shared" si="42"/>
        <v>10.233886728928047</v>
      </c>
      <c r="BQ24" s="59">
        <f t="shared" si="42"/>
        <v>1.1232724548413962</v>
      </c>
    </row>
    <row r="25" spans="1:70" x14ac:dyDescent="0.25">
      <c r="B25" s="2" t="s">
        <v>136</v>
      </c>
      <c r="C25" s="2">
        <f t="shared" ref="C25:V25" si="43">AVERAGE(C7:C11)</f>
        <v>732942791</v>
      </c>
      <c r="D25" s="2">
        <f t="shared" si="43"/>
        <v>98722254.400000006</v>
      </c>
      <c r="E25" s="2">
        <f t="shared" si="43"/>
        <v>3446024792</v>
      </c>
      <c r="F25" s="2">
        <f t="shared" si="43"/>
        <v>1554785158.5999999</v>
      </c>
      <c r="G25" s="2">
        <f t="shared" si="43"/>
        <v>1575461946.5999999</v>
      </c>
      <c r="H25" s="2">
        <f t="shared" si="43"/>
        <v>666933686.20000005</v>
      </c>
      <c r="I25" s="2">
        <f t="shared" si="43"/>
        <v>184745820.19999999</v>
      </c>
      <c r="J25" s="2">
        <f t="shared" si="43"/>
        <v>581900675.60000002</v>
      </c>
      <c r="K25" s="2">
        <f t="shared" si="43"/>
        <v>863116278</v>
      </c>
      <c r="L25" s="2">
        <f t="shared" si="43"/>
        <v>584344945.60000002</v>
      </c>
      <c r="M25" s="2">
        <f t="shared" si="43"/>
        <v>432038.2</v>
      </c>
      <c r="N25" s="2">
        <f t="shared" si="43"/>
        <v>209282435.19999999</v>
      </c>
      <c r="O25" s="2">
        <f t="shared" si="43"/>
        <v>957325224.46000004</v>
      </c>
      <c r="P25" s="2">
        <f t="shared" si="43"/>
        <v>3200021.2</v>
      </c>
      <c r="Q25" s="2">
        <f t="shared" si="43"/>
        <v>65007777.799999997</v>
      </c>
      <c r="R25" s="2">
        <f t="shared" si="43"/>
        <v>2201947410.5999999</v>
      </c>
      <c r="S25" s="2">
        <f t="shared" si="43"/>
        <v>48902649.799999997</v>
      </c>
      <c r="T25" s="2">
        <f t="shared" si="43"/>
        <v>449746572.60000002</v>
      </c>
      <c r="U25" s="2">
        <f t="shared" si="43"/>
        <v>901159607.79999995</v>
      </c>
      <c r="V25" s="2">
        <f t="shared" si="43"/>
        <v>92895339.599999994</v>
      </c>
      <c r="AR25" s="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60"/>
      <c r="BQ25" s="60"/>
    </row>
    <row r="26" spans="1:70" x14ac:dyDescent="0.25">
      <c r="AW26" s="9" t="s">
        <v>138</v>
      </c>
      <c r="AX26" s="9">
        <f>AVERAGE(AX12:AX16)</f>
        <v>0.49938972647945851</v>
      </c>
      <c r="AY26" s="9">
        <f t="shared" ref="AY26:BQ26" si="44">AVERAGE(AY12:AY16)</f>
        <v>0.85259695879722153</v>
      </c>
      <c r="AZ26" s="9">
        <f t="shared" si="44"/>
        <v>4.0288295555386133</v>
      </c>
      <c r="BA26" s="9">
        <f t="shared" si="44"/>
        <v>2.0722717582586427</v>
      </c>
      <c r="BB26" s="9">
        <f t="shared" si="44"/>
        <v>1.3619105568247811</v>
      </c>
      <c r="BC26" s="9">
        <f t="shared" si="44"/>
        <v>1.4359087530216901</v>
      </c>
      <c r="BD26" s="9">
        <f t="shared" si="44"/>
        <v>0.12659715747931255</v>
      </c>
      <c r="BE26" s="9">
        <f t="shared" si="44"/>
        <v>6.0369059810648829E-2</v>
      </c>
      <c r="BF26" s="9">
        <f t="shared" si="44"/>
        <v>2.1764696429818668</v>
      </c>
      <c r="BG26" s="9">
        <f t="shared" si="44"/>
        <v>2.0872829649086806</v>
      </c>
      <c r="BH26" s="9">
        <f t="shared" si="44"/>
        <v>1.2501473811686347E-3</v>
      </c>
      <c r="BI26" s="9">
        <f t="shared" si="44"/>
        <v>0.20289424112009788</v>
      </c>
      <c r="BJ26" s="9">
        <f t="shared" si="44"/>
        <v>7.3991954493658181</v>
      </c>
      <c r="BK26" s="9">
        <f t="shared" si="44"/>
        <v>1.6383335751851458E-2</v>
      </c>
      <c r="BL26" s="9">
        <f t="shared" si="44"/>
        <v>0.25331642375126273</v>
      </c>
      <c r="BM26" s="9">
        <f t="shared" si="44"/>
        <v>1.8242453783597519</v>
      </c>
      <c r="BN26" s="9">
        <f t="shared" si="44"/>
        <v>0.42501139096842949</v>
      </c>
      <c r="BO26" s="9">
        <f t="shared" si="44"/>
        <v>47.087528802488542</v>
      </c>
      <c r="BP26" s="59">
        <f t="shared" si="44"/>
        <v>9.1320939700440515</v>
      </c>
      <c r="BQ26" s="59">
        <f t="shared" si="44"/>
        <v>1.1336875814974641</v>
      </c>
    </row>
    <row r="27" spans="1:70" x14ac:dyDescent="0.25">
      <c r="B27" s="2" t="s">
        <v>138</v>
      </c>
      <c r="C27" s="2">
        <f t="shared" ref="C27:S27" si="45">AVERAGE(C12:C16)</f>
        <v>765712131.79999995</v>
      </c>
      <c r="D27" s="2">
        <f t="shared" si="45"/>
        <v>103999451</v>
      </c>
      <c r="E27" s="2">
        <f t="shared" si="45"/>
        <v>3602884830</v>
      </c>
      <c r="F27" s="2">
        <f t="shared" si="45"/>
        <v>1607291478</v>
      </c>
      <c r="G27" s="2">
        <f t="shared" si="45"/>
        <v>1587704276.5999999</v>
      </c>
      <c r="H27" s="2">
        <f t="shared" si="45"/>
        <v>690430767.39999998</v>
      </c>
      <c r="I27" s="2">
        <f t="shared" si="45"/>
        <v>191593359.19999999</v>
      </c>
      <c r="J27" s="2">
        <f t="shared" si="45"/>
        <v>494393116</v>
      </c>
      <c r="K27" s="2">
        <f t="shared" si="45"/>
        <v>880190824.60000002</v>
      </c>
      <c r="L27" s="2">
        <f t="shared" si="45"/>
        <v>602137306.20000005</v>
      </c>
      <c r="M27" s="2">
        <f t="shared" si="45"/>
        <v>1085254.8</v>
      </c>
      <c r="N27" s="2">
        <f t="shared" si="45"/>
        <v>101286967.8</v>
      </c>
      <c r="O27" s="2">
        <f t="shared" si="45"/>
        <v>1023597286.6200001</v>
      </c>
      <c r="P27" s="2">
        <f t="shared" si="45"/>
        <v>3770110.6</v>
      </c>
      <c r="Q27" s="2">
        <f t="shared" si="45"/>
        <v>72524875.599999994</v>
      </c>
      <c r="R27" s="2">
        <f t="shared" si="45"/>
        <v>2285235033</v>
      </c>
      <c r="S27" s="2">
        <f t="shared" si="45"/>
        <v>49941003.200000003</v>
      </c>
      <c r="T27" s="2">
        <f t="shared" ref="T27" si="46">AVERAGE(T12:T16)</f>
        <v>472859282</v>
      </c>
      <c r="U27" s="2">
        <f>AVERAGE(U12:U16)</f>
        <v>807369499.20000005</v>
      </c>
      <c r="V27" s="2">
        <f>AVERAGE(V12:V16)</f>
        <v>93755173.400000006</v>
      </c>
      <c r="Z27" s="2" t="s">
        <v>136</v>
      </c>
      <c r="AA27" s="8">
        <f>16000*AVERAGE(AA7:AA11)</f>
        <v>34.635423279999998</v>
      </c>
      <c r="AB27" s="8">
        <f>16000*AVERAGE(AB7:AB11)</f>
        <v>41.985202346666668</v>
      </c>
      <c r="AC27" s="8">
        <f t="shared" ref="AC27:AT27" si="47">16000*AVERAGE(AC7:AC11)</f>
        <v>251.68198336000003</v>
      </c>
      <c r="AD27" s="8">
        <f t="shared" si="47"/>
        <v>117.18281268799998</v>
      </c>
      <c r="AE27" s="8">
        <f t="shared" si="47"/>
        <v>78.691303818666668</v>
      </c>
      <c r="AF27" s="8">
        <f t="shared" si="47"/>
        <v>125.38673723999999</v>
      </c>
      <c r="AG27" s="8">
        <f t="shared" si="47"/>
        <v>12.379665616</v>
      </c>
      <c r="AH27" s="8">
        <f t="shared" si="47"/>
        <v>4.1752054047999998</v>
      </c>
      <c r="AI27" s="8">
        <f t="shared" si="47"/>
        <v>126.89860448000002</v>
      </c>
      <c r="AJ27" s="8">
        <f t="shared" si="47"/>
        <v>147.82531882666666</v>
      </c>
      <c r="AK27" s="8">
        <f t="shared" si="47"/>
        <v>0.14799451733333335</v>
      </c>
      <c r="AL27" s="8">
        <f t="shared" si="47"/>
        <v>32.205189632</v>
      </c>
      <c r="AM27" s="8">
        <f t="shared" si="47"/>
        <v>505.24011971200002</v>
      </c>
      <c r="AN27" s="8">
        <f t="shared" si="47"/>
        <v>0.96000484571428579</v>
      </c>
      <c r="AO27" s="8">
        <f t="shared" si="47"/>
        <v>10.081244448</v>
      </c>
      <c r="AP27" s="8">
        <f t="shared" si="47"/>
        <v>152.155792848</v>
      </c>
      <c r="AQ27" s="8">
        <f t="shared" si="47"/>
        <v>15.12211984</v>
      </c>
      <c r="AR27" s="8">
        <f t="shared" si="47"/>
        <v>4034.3188580495289</v>
      </c>
      <c r="AS27" s="8">
        <f t="shared" si="47"/>
        <v>464.61845749333332</v>
      </c>
      <c r="AT27" s="8">
        <f t="shared" si="47"/>
        <v>49.45768618666667</v>
      </c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60"/>
      <c r="BQ27" s="60"/>
    </row>
    <row r="28" spans="1:70" x14ac:dyDescent="0.25">
      <c r="Z28" s="2" t="s">
        <v>138</v>
      </c>
      <c r="AA28" s="8">
        <f>16000*AVERAGE(AA12:AA16)</f>
        <v>37.256970543999998</v>
      </c>
      <c r="AB28" s="8">
        <f>16000*AVERAGE(AB12:AB16)</f>
        <v>44.7997072</v>
      </c>
      <c r="AC28" s="8">
        <f t="shared" ref="AC28:AT28" si="48">16000*AVERAGE(AC12:AC16)</f>
        <v>264.23078640000006</v>
      </c>
      <c r="AD28" s="8">
        <f t="shared" si="48"/>
        <v>121.38331823999999</v>
      </c>
      <c r="AE28" s="8">
        <f t="shared" si="48"/>
        <v>79.344228085333327</v>
      </c>
      <c r="AF28" s="8">
        <f t="shared" si="48"/>
        <v>130.08615348000001</v>
      </c>
      <c r="AG28" s="8">
        <f t="shared" si="48"/>
        <v>12.927468736000003</v>
      </c>
      <c r="AH28" s="8">
        <f t="shared" si="48"/>
        <v>3.4751449280000002</v>
      </c>
      <c r="AI28" s="8">
        <f t="shared" si="48"/>
        <v>129.63053193599998</v>
      </c>
      <c r="AJ28" s="8">
        <f t="shared" si="48"/>
        <v>152.56994831999998</v>
      </c>
      <c r="AK28" s="8">
        <f t="shared" si="48"/>
        <v>8.2584736000000006E-2</v>
      </c>
      <c r="AL28" s="8">
        <f t="shared" si="48"/>
        <v>14.925914847999998</v>
      </c>
      <c r="AM28" s="8">
        <f t="shared" si="48"/>
        <v>540.58521953066679</v>
      </c>
      <c r="AN28" s="8">
        <f t="shared" si="48"/>
        <v>1.0903109942857145</v>
      </c>
      <c r="AO28" s="8">
        <f t="shared" si="48"/>
        <v>11.283980096000001</v>
      </c>
      <c r="AP28" s="8">
        <f t="shared" si="48"/>
        <v>158.81880263999997</v>
      </c>
      <c r="AQ28" s="8">
        <f t="shared" si="48"/>
        <v>15.95280256</v>
      </c>
      <c r="AR28" s="8">
        <f t="shared" si="48"/>
        <v>4241.6445945281685</v>
      </c>
      <c r="AS28" s="8">
        <f t="shared" si="48"/>
        <v>414.59706624</v>
      </c>
      <c r="AT28" s="8">
        <f t="shared" si="48"/>
        <v>49.916264213333335</v>
      </c>
      <c r="AW28" s="9" t="s">
        <v>47</v>
      </c>
      <c r="AX28" s="9">
        <f>AVERAGE(AX17:AX22)</f>
        <v>0.63517936367088879</v>
      </c>
      <c r="AY28" s="9">
        <f t="shared" ref="AY28:BQ28" si="49">AVERAGE(AY17:AY22)</f>
        <v>1.1449873323394764</v>
      </c>
      <c r="AZ28" s="9">
        <f t="shared" si="49"/>
        <v>4.8770226710375839</v>
      </c>
      <c r="BA28" s="9">
        <f t="shared" si="49"/>
        <v>2.5385579772940674</v>
      </c>
      <c r="BB28" s="9">
        <f t="shared" si="49"/>
        <v>1.6735609146433914</v>
      </c>
      <c r="BC28" s="9">
        <f t="shared" si="49"/>
        <v>1.8073037110215795</v>
      </c>
      <c r="BD28" s="9">
        <f t="shared" si="49"/>
        <v>0.16848896701431393</v>
      </c>
      <c r="BE28" s="9">
        <f t="shared" si="49"/>
        <v>5.9664814985957902E-2</v>
      </c>
      <c r="BF28" s="9">
        <f t="shared" si="49"/>
        <v>2.5477155415267521</v>
      </c>
      <c r="BG28" s="9">
        <f t="shared" si="49"/>
        <v>2.5254253633399459</v>
      </c>
      <c r="BH28" s="9">
        <f t="shared" si="49"/>
        <v>8.5499969724492895E-4</v>
      </c>
      <c r="BI28" s="9">
        <f t="shared" si="49"/>
        <v>0.13884132182423706</v>
      </c>
      <c r="BJ28" s="9">
        <f t="shared" si="49"/>
        <v>9.08124118015634</v>
      </c>
      <c r="BK28" s="9">
        <f t="shared" si="49"/>
        <v>1.6849121963436017E-2</v>
      </c>
      <c r="BL28" s="9">
        <f t="shared" si="49"/>
        <v>0.21706877749092679</v>
      </c>
      <c r="BM28" s="9">
        <f t="shared" si="49"/>
        <v>2.1381307247109276</v>
      </c>
      <c r="BN28" s="9">
        <f t="shared" si="49"/>
        <v>0.61288870298832199</v>
      </c>
      <c r="BO28" s="9">
        <f t="shared" si="49"/>
        <v>49.955595026642989</v>
      </c>
      <c r="BP28" s="59">
        <f>AVERAGE(BP17:BP22)</f>
        <v>3.59744165442976</v>
      </c>
      <c r="BQ28" s="59">
        <f t="shared" si="49"/>
        <v>1.8279126575314812</v>
      </c>
      <c r="BR28" s="4"/>
    </row>
    <row r="29" spans="1:70" x14ac:dyDescent="0.25">
      <c r="B29" s="2" t="s">
        <v>47</v>
      </c>
      <c r="C29" s="2">
        <f t="shared" ref="C29:V29" si="50">AVERAGE(C17:C22)</f>
        <v>892344455.33333337</v>
      </c>
      <c r="D29" s="2">
        <f t="shared" si="50"/>
        <v>132806298.83333333</v>
      </c>
      <c r="E29" s="2">
        <f t="shared" si="50"/>
        <v>4298244148.5</v>
      </c>
      <c r="F29" s="2">
        <f t="shared" si="50"/>
        <v>1948700419</v>
      </c>
      <c r="G29" s="2">
        <f t="shared" si="50"/>
        <v>1928140414.5</v>
      </c>
      <c r="H29" s="2">
        <f t="shared" si="50"/>
        <v>858663398.5</v>
      </c>
      <c r="I29" s="2">
        <f t="shared" si="50"/>
        <v>245065635.83333334</v>
      </c>
      <c r="J29" s="2">
        <f t="shared" si="50"/>
        <v>489325634.33333331</v>
      </c>
      <c r="K29" s="2">
        <f t="shared" si="50"/>
        <v>1018387110.3333334</v>
      </c>
      <c r="L29" s="2">
        <f t="shared" si="50"/>
        <v>722234876</v>
      </c>
      <c r="M29" s="2">
        <f t="shared" si="50"/>
        <v>595815</v>
      </c>
      <c r="N29" s="2">
        <f t="shared" si="50"/>
        <v>71836636.5</v>
      </c>
      <c r="O29" s="2">
        <f t="shared" si="50"/>
        <v>1254016526.1666667</v>
      </c>
      <c r="P29" s="2">
        <f t="shared" si="50"/>
        <v>3905727.1666666665</v>
      </c>
      <c r="Q29" s="2">
        <f t="shared" si="50"/>
        <v>62433304.333333336</v>
      </c>
      <c r="R29" s="2">
        <f t="shared" si="50"/>
        <v>2626820761.1666665</v>
      </c>
      <c r="S29" s="2">
        <f t="shared" si="50"/>
        <v>58755971.833333336</v>
      </c>
      <c r="T29" s="2">
        <f t="shared" si="50"/>
        <v>501660787.83333331</v>
      </c>
      <c r="U29" s="2">
        <f t="shared" si="50"/>
        <v>336232220.83333331</v>
      </c>
      <c r="V29" s="2">
        <f t="shared" si="50"/>
        <v>151067792.33333334</v>
      </c>
      <c r="AA29" s="18"/>
      <c r="AR29" s="8"/>
    </row>
    <row r="30" spans="1:70" x14ac:dyDescent="0.25">
      <c r="AA30" s="18"/>
      <c r="AU30" s="75" t="s">
        <v>154</v>
      </c>
      <c r="AV30" s="76"/>
      <c r="AW30" s="76" t="s">
        <v>156</v>
      </c>
      <c r="AX30" s="4">
        <f>500*AX28</f>
        <v>317.58968183544437</v>
      </c>
      <c r="AY30" s="4">
        <f t="shared" ref="AY30:BQ30" si="51">500*AY28</f>
        <v>572.49366616973816</v>
      </c>
      <c r="AZ30" s="4">
        <f t="shared" si="51"/>
        <v>2438.5113355187918</v>
      </c>
      <c r="BA30" s="4">
        <f t="shared" si="51"/>
        <v>1269.2789886470337</v>
      </c>
      <c r="BB30" s="4">
        <f t="shared" si="51"/>
        <v>836.78045732169574</v>
      </c>
      <c r="BC30" s="4">
        <f t="shared" si="51"/>
        <v>903.6518555107898</v>
      </c>
      <c r="BD30" s="4">
        <f t="shared" si="51"/>
        <v>84.244483507156957</v>
      </c>
      <c r="BE30" s="4">
        <f t="shared" si="51"/>
        <v>29.832407492978952</v>
      </c>
      <c r="BF30" s="4">
        <f t="shared" si="51"/>
        <v>1273.857770763376</v>
      </c>
      <c r="BG30" s="4">
        <f t="shared" si="51"/>
        <v>1262.7126816699729</v>
      </c>
      <c r="BH30" s="4">
        <f t="shared" si="51"/>
        <v>0.42749984862246448</v>
      </c>
      <c r="BI30" s="4">
        <f t="shared" si="51"/>
        <v>69.420660912118535</v>
      </c>
      <c r="BJ30" s="4">
        <f t="shared" si="51"/>
        <v>4540.6205900781697</v>
      </c>
      <c r="BK30" s="4">
        <f t="shared" si="51"/>
        <v>8.4245609817180078</v>
      </c>
      <c r="BL30" s="4">
        <f t="shared" si="51"/>
        <v>108.53438874546339</v>
      </c>
      <c r="BM30" s="4">
        <f t="shared" si="51"/>
        <v>1069.0653623554638</v>
      </c>
      <c r="BN30" s="4">
        <f t="shared" si="51"/>
        <v>306.44435149416097</v>
      </c>
      <c r="BO30" s="4">
        <f t="shared" si="51"/>
        <v>24977.797513321493</v>
      </c>
      <c r="BP30" s="4">
        <f t="shared" si="51"/>
        <v>1798.72082721488</v>
      </c>
      <c r="BQ30" s="4">
        <f t="shared" si="51"/>
        <v>913.95632876574064</v>
      </c>
    </row>
    <row r="31" spans="1:70" x14ac:dyDescent="0.25">
      <c r="AA31" s="18"/>
      <c r="AW31" s="2" t="s">
        <v>157</v>
      </c>
      <c r="AX31" s="77">
        <f>AX30/1000</f>
        <v>0.31758968183544439</v>
      </c>
      <c r="AY31" s="77">
        <f t="shared" ref="AY31:BQ31" si="52">AY30/1000</f>
        <v>0.57249366616973818</v>
      </c>
      <c r="AZ31" s="77">
        <f t="shared" si="52"/>
        <v>2.438511335518792</v>
      </c>
      <c r="BA31" s="77">
        <f t="shared" si="52"/>
        <v>1.2692789886470337</v>
      </c>
      <c r="BB31" s="77">
        <f t="shared" si="52"/>
        <v>0.8367804573216957</v>
      </c>
      <c r="BC31" s="77">
        <f t="shared" si="52"/>
        <v>0.90365185551078975</v>
      </c>
      <c r="BD31" s="77">
        <f t="shared" si="52"/>
        <v>8.424448350715695E-2</v>
      </c>
      <c r="BE31" s="77">
        <f t="shared" si="52"/>
        <v>2.9832407492978951E-2</v>
      </c>
      <c r="BF31" s="77">
        <f t="shared" si="52"/>
        <v>1.273857770763376</v>
      </c>
      <c r="BG31" s="77">
        <f t="shared" si="52"/>
        <v>1.262712681669973</v>
      </c>
      <c r="BH31" s="77">
        <f t="shared" si="52"/>
        <v>4.2749984862246448E-4</v>
      </c>
      <c r="BI31" s="77">
        <f t="shared" si="52"/>
        <v>6.9420660912118529E-2</v>
      </c>
      <c r="BJ31" s="77">
        <f t="shared" si="52"/>
        <v>4.54062059007817</v>
      </c>
      <c r="BK31" s="77">
        <f t="shared" si="52"/>
        <v>8.4245609817180083E-3</v>
      </c>
      <c r="BL31" s="77">
        <f t="shared" si="52"/>
        <v>0.10853438874546339</v>
      </c>
      <c r="BM31" s="77">
        <f t="shared" si="52"/>
        <v>1.0690653623554638</v>
      </c>
      <c r="BN31" s="77">
        <f t="shared" si="52"/>
        <v>0.30644435149416099</v>
      </c>
      <c r="BO31" s="77">
        <f t="shared" si="52"/>
        <v>24.977797513321494</v>
      </c>
      <c r="BP31" s="77">
        <f t="shared" si="52"/>
        <v>1.79872082721488</v>
      </c>
      <c r="BQ31" s="77">
        <f t="shared" si="52"/>
        <v>0.91395632876574062</v>
      </c>
    </row>
    <row r="32" spans="1:70" x14ac:dyDescent="0.25">
      <c r="AA32" s="18"/>
      <c r="AX32" s="8"/>
      <c r="BO32" s="8"/>
      <c r="BP32" s="8"/>
    </row>
    <row r="33" spans="44:71" x14ac:dyDescent="0.25">
      <c r="BF33" s="8"/>
    </row>
    <row r="34" spans="44:71" x14ac:dyDescent="0.25">
      <c r="BF34" s="8"/>
      <c r="BP34" s="8"/>
    </row>
    <row r="35" spans="44:71" x14ac:dyDescent="0.25">
      <c r="BP35" s="8"/>
    </row>
    <row r="37" spans="44:71" ht="15" x14ac:dyDescent="0.25">
      <c r="AX37" s="91" t="s">
        <v>71</v>
      </c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</row>
    <row r="38" spans="44:71" ht="13.5" thickBot="1" x14ac:dyDescent="0.3">
      <c r="AX38" s="7" t="s">
        <v>13</v>
      </c>
      <c r="AY38" s="7" t="s">
        <v>34</v>
      </c>
      <c r="AZ38" s="7" t="s">
        <v>11</v>
      </c>
      <c r="BA38" s="7" t="s">
        <v>12</v>
      </c>
      <c r="BB38" s="7" t="s">
        <v>7</v>
      </c>
      <c r="BC38" s="7" t="s">
        <v>20</v>
      </c>
      <c r="BD38" s="7" t="s">
        <v>15</v>
      </c>
      <c r="BE38" s="7" t="s">
        <v>19</v>
      </c>
      <c r="BF38" s="7" t="s">
        <v>26</v>
      </c>
      <c r="BG38" s="7" t="s">
        <v>43</v>
      </c>
      <c r="BH38" s="7" t="s">
        <v>31</v>
      </c>
      <c r="BI38" s="7" t="s">
        <v>35</v>
      </c>
      <c r="BJ38" s="7" t="s">
        <v>30</v>
      </c>
      <c r="BK38" s="7" t="s">
        <v>37</v>
      </c>
      <c r="BL38" s="7" t="s">
        <v>27</v>
      </c>
      <c r="BM38" s="7" t="s">
        <v>44</v>
      </c>
      <c r="BN38" s="7" t="s">
        <v>33</v>
      </c>
      <c r="BO38" s="7" t="s">
        <v>91</v>
      </c>
      <c r="BP38" s="7" t="s">
        <v>8</v>
      </c>
      <c r="BQ38" s="7" t="s">
        <v>4</v>
      </c>
      <c r="BR38" s="3" t="s">
        <v>42</v>
      </c>
      <c r="BS38" s="3" t="s">
        <v>40</v>
      </c>
    </row>
    <row r="39" spans="44:71" x14ac:dyDescent="0.25">
      <c r="AV39" s="4">
        <v>1</v>
      </c>
      <c r="AW39" s="2" t="s">
        <v>136</v>
      </c>
      <c r="AX39" s="2">
        <f>AX7-AX$28</f>
        <v>-9.4053413399459274E-2</v>
      </c>
      <c r="AY39" s="2">
        <f t="shared" ref="AY39:BO39" si="53">AY7-AY$28</f>
        <v>-0.26791557543269806</v>
      </c>
      <c r="AZ39" s="2">
        <f>AZ7-AZ$28</f>
        <v>-0.65125092200960566</v>
      </c>
      <c r="BA39" s="2">
        <f t="shared" si="53"/>
        <v>-0.27037375672215092</v>
      </c>
      <c r="BB39" s="2">
        <f t="shared" si="53"/>
        <v>-0.20955167323211943</v>
      </c>
      <c r="BC39" s="2">
        <f t="shared" si="53"/>
        <v>-0.28422611733539371</v>
      </c>
      <c r="BD39" s="2">
        <f t="shared" si="53"/>
        <v>-3.1111367249343047E-2</v>
      </c>
      <c r="BE39" s="2">
        <f t="shared" si="53"/>
        <v>2.4705398720287215E-2</v>
      </c>
      <c r="BF39" s="2">
        <f t="shared" si="53"/>
        <v>-0.19375658652339434</v>
      </c>
      <c r="BG39" s="2">
        <f t="shared" si="53"/>
        <v>-0.27131158446770165</v>
      </c>
      <c r="BH39" s="2">
        <f t="shared" si="53"/>
        <v>7.5757198506408319E-3</v>
      </c>
      <c r="BI39" s="2">
        <f t="shared" si="53"/>
        <v>0.34943744769931351</v>
      </c>
      <c r="BJ39" s="2">
        <f t="shared" si="53"/>
        <v>-1.6791979937342214</v>
      </c>
      <c r="BK39" s="2">
        <f t="shared" si="53"/>
        <v>-8.9396729991771465E-4</v>
      </c>
      <c r="BL39" s="2">
        <f t="shared" si="53"/>
        <v>3.0558005312979336E-2</v>
      </c>
      <c r="BM39" s="2">
        <f t="shared" si="53"/>
        <v>-0.37769766796845095</v>
      </c>
      <c r="BN39" s="2">
        <f t="shared" si="53"/>
        <v>-0.1072727605346121</v>
      </c>
      <c r="BO39" s="2">
        <f t="shared" si="53"/>
        <v>-7.2201113429733397</v>
      </c>
      <c r="BP39" s="2">
        <f>BP7-BP$28</f>
        <v>8.075330504160549</v>
      </c>
      <c r="BQ39" s="2">
        <f>BQ7-BQ$28</f>
        <v>-0.57967557069674736</v>
      </c>
      <c r="BR39" s="2">
        <v>6.7316634597388205E-3</v>
      </c>
      <c r="BS39" s="2">
        <v>-8.0610859982528579E-3</v>
      </c>
    </row>
    <row r="40" spans="44:71" x14ac:dyDescent="0.25">
      <c r="AV40" s="4">
        <v>2</v>
      </c>
      <c r="AW40" s="2" t="s">
        <v>136</v>
      </c>
      <c r="AX40" s="2">
        <f t="shared" ref="AX40:BQ40" si="54">AX8-AX$28</f>
        <v>-0.24507353805598364</v>
      </c>
      <c r="AY40" s="2">
        <f t="shared" si="54"/>
        <v>-0.3901319563125788</v>
      </c>
      <c r="AZ40" s="2">
        <f t="shared" si="54"/>
        <v>-1.4916603583136379</v>
      </c>
      <c r="BA40" s="2">
        <f t="shared" si="54"/>
        <v>-0.73002030900554837</v>
      </c>
      <c r="BB40" s="2">
        <f t="shared" si="54"/>
        <v>-0.47742122377752416</v>
      </c>
      <c r="BC40" s="2">
        <f t="shared" si="54"/>
        <v>-0.5509294629946464</v>
      </c>
      <c r="BD40" s="2">
        <f t="shared" si="54"/>
        <v>-6.220874647864337E-2</v>
      </c>
      <c r="BE40" s="2">
        <f t="shared" si="54"/>
        <v>5.9273021685630825E-3</v>
      </c>
      <c r="BF40" s="2">
        <f t="shared" si="54"/>
        <v>-0.63607551734945189</v>
      </c>
      <c r="BG40" s="2">
        <f t="shared" si="54"/>
        <v>-0.74742613129032986</v>
      </c>
      <c r="BH40" s="2">
        <f t="shared" si="54"/>
        <v>4.8392370572206134E-6</v>
      </c>
      <c r="BI40" s="2">
        <f t="shared" si="54"/>
        <v>0.26894250798613473</v>
      </c>
      <c r="BJ40" s="2">
        <f t="shared" si="54"/>
        <v>-2.4750673825470688</v>
      </c>
      <c r="BK40" s="2">
        <f t="shared" si="54"/>
        <v>-2.4807063790204305E-3</v>
      </c>
      <c r="BL40" s="2">
        <f t="shared" si="54"/>
        <v>-1.595532906798372E-2</v>
      </c>
      <c r="BM40" s="2">
        <f t="shared" si="54"/>
        <v>-0.64736856068611703</v>
      </c>
      <c r="BN40" s="2">
        <f t="shared" si="54"/>
        <v>-0.27476040673149499</v>
      </c>
      <c r="BO40" s="2">
        <f t="shared" si="54"/>
        <v>-5.9600538905491121</v>
      </c>
      <c r="BP40" s="2">
        <f t="shared" si="54"/>
        <v>5.2482332354380805</v>
      </c>
      <c r="BQ40" s="2">
        <f t="shared" si="54"/>
        <v>-0.86072896156660883</v>
      </c>
      <c r="BR40" s="2">
        <v>1.2830147921413767E-2</v>
      </c>
      <c r="BS40" s="2">
        <v>1.7273009946123338E-2</v>
      </c>
    </row>
    <row r="41" spans="44:71" x14ac:dyDescent="0.25">
      <c r="AV41" s="4">
        <v>3</v>
      </c>
      <c r="AW41" s="2" t="s">
        <v>136</v>
      </c>
      <c r="AX41" s="2">
        <f t="shared" ref="AX41:BQ41" si="55">AX9-AX$28</f>
        <v>-0.26651046265889228</v>
      </c>
      <c r="AY41" s="2">
        <f t="shared" si="55"/>
        <v>-0.50272125691206493</v>
      </c>
      <c r="AZ41" s="2">
        <f t="shared" si="55"/>
        <v>-1.4559444952351903</v>
      </c>
      <c r="BA41" s="2">
        <f t="shared" si="55"/>
        <v>-0.78461326504481432</v>
      </c>
      <c r="BB41" s="2">
        <f t="shared" si="55"/>
        <v>-0.40262554719258947</v>
      </c>
      <c r="BC41" s="2">
        <f t="shared" si="55"/>
        <v>-0.58958713725923051</v>
      </c>
      <c r="BD41" s="2">
        <f t="shared" si="55"/>
        <v>-6.9601046532504207E-2</v>
      </c>
      <c r="BE41" s="2">
        <f t="shared" si="55"/>
        <v>4.3921104374764833E-3</v>
      </c>
      <c r="BF41" s="2">
        <f t="shared" si="55"/>
        <v>-0.65294809760465666</v>
      </c>
      <c r="BG41" s="2">
        <f t="shared" si="55"/>
        <v>-0.74428725722233624</v>
      </c>
      <c r="BH41" s="2">
        <f t="shared" si="55"/>
        <v>-2.2197113734988402E-4</v>
      </c>
      <c r="BI41" s="2">
        <f t="shared" si="55"/>
        <v>0.20694247644939848</v>
      </c>
      <c r="BJ41" s="2">
        <f t="shared" si="55"/>
        <v>-3.1320265131246758</v>
      </c>
      <c r="BK41" s="2">
        <f t="shared" si="55"/>
        <v>-4.4536023755858498E-3</v>
      </c>
      <c r="BL41" s="2">
        <f t="shared" si="55"/>
        <v>-3.9775376211322044E-3</v>
      </c>
      <c r="BM41" s="2">
        <f t="shared" si="55"/>
        <v>-0.48323858595604596</v>
      </c>
      <c r="BN41" s="2">
        <f t="shared" si="55"/>
        <v>-0.32175053328004971</v>
      </c>
      <c r="BO41" s="2">
        <f t="shared" si="55"/>
        <v>-3.7314655626457878</v>
      </c>
      <c r="BP41" s="2">
        <f t="shared" si="55"/>
        <v>5.9026475790504147</v>
      </c>
      <c r="BQ41" s="2">
        <f t="shared" si="55"/>
        <v>-0.83378505362505373</v>
      </c>
      <c r="BR41" s="2">
        <v>2.9773768522296253E-4</v>
      </c>
      <c r="BS41" s="2">
        <v>-3.3492916471835076E-2</v>
      </c>
    </row>
    <row r="42" spans="44:71" x14ac:dyDescent="0.25">
      <c r="AR42" s="46"/>
      <c r="AV42" s="4">
        <v>4</v>
      </c>
      <c r="AW42" s="2" t="s">
        <v>136</v>
      </c>
      <c r="AX42" s="2">
        <f t="shared" ref="AX42:BQ42" si="56">AX10-AX$28</f>
        <v>-0.14508204257980917</v>
      </c>
      <c r="AY42" s="2">
        <f t="shared" si="56"/>
        <v>-0.31611958088833925</v>
      </c>
      <c r="AZ42" s="2">
        <f t="shared" si="56"/>
        <v>-1.0212464295189445</v>
      </c>
      <c r="BA42" s="2">
        <f t="shared" si="56"/>
        <v>-0.51413833205292381</v>
      </c>
      <c r="BB42" s="2">
        <f t="shared" si="56"/>
        <v>-0.30480173202081495</v>
      </c>
      <c r="BC42" s="2">
        <f t="shared" si="56"/>
        <v>-0.40650501793697225</v>
      </c>
      <c r="BD42" s="2">
        <f t="shared" si="56"/>
        <v>-4.4659303595619315E-2</v>
      </c>
      <c r="BE42" s="2">
        <f t="shared" si="56"/>
        <v>1.0147474426011181E-2</v>
      </c>
      <c r="BF42" s="2">
        <f t="shared" si="56"/>
        <v>-0.39727110364898177</v>
      </c>
      <c r="BG42" s="2">
        <f t="shared" si="56"/>
        <v>-0.3729644216430672</v>
      </c>
      <c r="BH42" s="2">
        <f t="shared" si="56"/>
        <v>-2.9320415783631046E-4</v>
      </c>
      <c r="BI42" s="2">
        <f t="shared" si="56"/>
        <v>0.33833764534765176</v>
      </c>
      <c r="BJ42" s="2">
        <f t="shared" si="56"/>
        <v>-1.8245056166925204</v>
      </c>
      <c r="BK42" s="2">
        <f t="shared" si="56"/>
        <v>-3.5871912990590709E-3</v>
      </c>
      <c r="BL42" s="2">
        <f t="shared" si="56"/>
        <v>1.7912419949863423E-2</v>
      </c>
      <c r="BM42" s="2">
        <f t="shared" si="56"/>
        <v>-0.27358384761467214</v>
      </c>
      <c r="BN42" s="2">
        <f t="shared" si="56"/>
        <v>-0.21663102348918784</v>
      </c>
      <c r="BO42" s="2">
        <f t="shared" si="56"/>
        <v>-2.315476315905066</v>
      </c>
      <c r="BP42" s="2">
        <f t="shared" si="56"/>
        <v>7.7736284424865385</v>
      </c>
      <c r="BQ42" s="2">
        <f t="shared" si="56"/>
        <v>-0.65757021828551254</v>
      </c>
      <c r="BR42" s="2">
        <v>1.5875723808381387E-2</v>
      </c>
      <c r="BS42" s="2">
        <v>3.5095610990371902E-2</v>
      </c>
    </row>
    <row r="43" spans="44:71" x14ac:dyDescent="0.25">
      <c r="AR43" s="47"/>
      <c r="AV43" s="5">
        <v>5</v>
      </c>
      <c r="AW43" s="6" t="s">
        <v>136</v>
      </c>
      <c r="AX43" s="2">
        <f t="shared" ref="AX43:BQ43" si="57">AX11-AX$28</f>
        <v>-0.10392387462859942</v>
      </c>
      <c r="AY43" s="2">
        <f t="shared" si="57"/>
        <v>-0.25288202070183241</v>
      </c>
      <c r="AZ43" s="2">
        <f t="shared" si="57"/>
        <v>-0.57754577235648252</v>
      </c>
      <c r="BA43" s="2">
        <f t="shared" si="57"/>
        <v>-0.39084331131028582</v>
      </c>
      <c r="BB43" s="2">
        <f t="shared" si="57"/>
        <v>-0.21988747540458342</v>
      </c>
      <c r="BC43" s="2">
        <f t="shared" si="57"/>
        <v>-0.28509105027871295</v>
      </c>
      <c r="BD43" s="2">
        <f t="shared" si="57"/>
        <v>-2.8701436485008724E-2</v>
      </c>
      <c r="BE43" s="2">
        <f t="shared" si="57"/>
        <v>1.9155025125220763E-2</v>
      </c>
      <c r="BF43" s="2">
        <f t="shared" si="57"/>
        <v>-0.20552065368256178</v>
      </c>
      <c r="BG43" s="2">
        <f t="shared" si="57"/>
        <v>-0.37927485783341286</v>
      </c>
      <c r="BH43" s="2">
        <f t="shared" si="57"/>
        <v>-1.3885962256534462E-4</v>
      </c>
      <c r="BI43" s="2">
        <f t="shared" si="57"/>
        <v>0.33102678393257656</v>
      </c>
      <c r="BJ43" s="2">
        <f t="shared" si="57"/>
        <v>-1.7183402512394679</v>
      </c>
      <c r="BK43" s="2">
        <f t="shared" si="57"/>
        <v>-7.035575113591673E-4</v>
      </c>
      <c r="BL43" s="2">
        <f t="shared" si="57"/>
        <v>1.7698355071650351E-2</v>
      </c>
      <c r="BM43" s="2">
        <f t="shared" si="57"/>
        <v>-0.17020575802128834</v>
      </c>
      <c r="BN43" s="2">
        <f t="shared" si="57"/>
        <v>-0.12962625460681138</v>
      </c>
      <c r="BO43" s="2">
        <f t="shared" si="57"/>
        <v>-6.6210912643960427</v>
      </c>
      <c r="BP43" s="2">
        <f t="shared" si="57"/>
        <v>6.1823856113558495</v>
      </c>
      <c r="BQ43" s="2">
        <f t="shared" si="57"/>
        <v>-0.59144120927650357</v>
      </c>
      <c r="BR43" s="2">
        <v>5.066558515870824E-3</v>
      </c>
      <c r="BS43" s="2">
        <v>-1.1491986505283557E-2</v>
      </c>
    </row>
    <row r="44" spans="44:71" x14ac:dyDescent="0.25">
      <c r="AV44" s="4">
        <v>6</v>
      </c>
      <c r="AW44" s="2" t="s">
        <v>138</v>
      </c>
      <c r="AX44" s="2">
        <f t="shared" ref="AX44:BQ44" si="58">AX12-AX$28</f>
        <v>-0.10897932667604926</v>
      </c>
      <c r="AY44" s="2">
        <f>AY12-AY$28</f>
        <v>-0.21444270963512768</v>
      </c>
      <c r="AZ44" s="2">
        <f t="shared" si="58"/>
        <v>-0.53809253396355761</v>
      </c>
      <c r="BA44" s="2">
        <f t="shared" si="58"/>
        <v>-0.31313829995731979</v>
      </c>
      <c r="BB44" s="2">
        <f t="shared" si="58"/>
        <v>-0.20766477295548369</v>
      </c>
      <c r="BC44" s="2">
        <f t="shared" si="58"/>
        <v>-0.23011433853965424</v>
      </c>
      <c r="BD44" s="2">
        <f t="shared" si="58"/>
        <v>-2.67883698444564E-2</v>
      </c>
      <c r="BE44" s="2">
        <f t="shared" si="58"/>
        <v>7.094872046092833E-3</v>
      </c>
      <c r="BF44" s="2">
        <f t="shared" si="58"/>
        <v>-0.16317655697336031</v>
      </c>
      <c r="BG44" s="2">
        <f t="shared" si="58"/>
        <v>-0.40060986569988799</v>
      </c>
      <c r="BH44" s="2">
        <f t="shared" si="58"/>
        <v>3.438837420526793E-4</v>
      </c>
      <c r="BI44" s="2">
        <f t="shared" si="58"/>
        <v>7.9537920478488428E-2</v>
      </c>
      <c r="BJ44" s="2">
        <f t="shared" si="58"/>
        <v>-1.3212336174225134</v>
      </c>
      <c r="BK44" s="2">
        <f t="shared" si="58"/>
        <v>7.0093921505491597E-4</v>
      </c>
      <c r="BL44" s="2">
        <f t="shared" si="58"/>
        <v>5.3227270101395552E-2</v>
      </c>
      <c r="BM44" s="2">
        <f t="shared" si="58"/>
        <v>-0.3345326185772266</v>
      </c>
      <c r="BN44" s="2">
        <f t="shared" si="58"/>
        <v>-8.1316655565916163E-2</v>
      </c>
      <c r="BO44" s="2">
        <f t="shared" si="58"/>
        <v>-1.9058013474093514</v>
      </c>
      <c r="BP44" s="2">
        <f t="shared" si="58"/>
        <v>5.9030787684777284</v>
      </c>
      <c r="BQ44" s="2">
        <f t="shared" si="58"/>
        <v>-0.59550378479319677</v>
      </c>
      <c r="BR44" s="2">
        <v>1.5951929241261758E-3</v>
      </c>
      <c r="BS44" s="2">
        <v>2.5496203538983721E-2</v>
      </c>
    </row>
    <row r="45" spans="44:71" x14ac:dyDescent="0.25">
      <c r="AV45" s="4">
        <v>7</v>
      </c>
      <c r="AW45" s="2" t="s">
        <v>138</v>
      </c>
      <c r="AX45" s="2">
        <f t="shared" ref="AX45:BQ45" si="59">AX13-AX$28</f>
        <v>-0.12494348028505675</v>
      </c>
      <c r="AY45" s="2">
        <f t="shared" si="59"/>
        <v>-0.36284260559731885</v>
      </c>
      <c r="AZ45" s="2">
        <f t="shared" si="59"/>
        <v>-0.88378434032171915</v>
      </c>
      <c r="BA45" s="2">
        <f t="shared" si="59"/>
        <v>-0.46843058096457524</v>
      </c>
      <c r="BB45" s="2">
        <f t="shared" si="59"/>
        <v>-0.32489256287243551</v>
      </c>
      <c r="BC45" s="2">
        <f t="shared" si="59"/>
        <v>-0.42218398035211635</v>
      </c>
      <c r="BD45" s="2">
        <f t="shared" si="59"/>
        <v>-4.8790803962852347E-2</v>
      </c>
      <c r="BE45" s="2">
        <f t="shared" si="59"/>
        <v>-7.6340433712614175E-4</v>
      </c>
      <c r="BF45" s="2">
        <f t="shared" si="59"/>
        <v>-0.44606184105663793</v>
      </c>
      <c r="BG45" s="2">
        <f t="shared" si="59"/>
        <v>-0.46417458193674888</v>
      </c>
      <c r="BH45" s="2">
        <f t="shared" si="59"/>
        <v>5.138552830759917E-4</v>
      </c>
      <c r="BI45" s="2">
        <f t="shared" si="59"/>
        <v>4.6524068782709149E-2</v>
      </c>
      <c r="BJ45" s="2">
        <f t="shared" si="59"/>
        <v>-1.9305547554825555</v>
      </c>
      <c r="BK45" s="2">
        <f t="shared" si="59"/>
        <v>-1.774879181424641E-3</v>
      </c>
      <c r="BL45" s="2">
        <f t="shared" si="59"/>
        <v>2.8984516930444848E-2</v>
      </c>
      <c r="BM45" s="2">
        <f t="shared" si="59"/>
        <v>-0.32722431901370719</v>
      </c>
      <c r="BN45" s="2">
        <f t="shared" si="59"/>
        <v>-0.25910967008569774</v>
      </c>
      <c r="BO45" s="2">
        <f t="shared" si="59"/>
        <v>-2.7750282320184212</v>
      </c>
      <c r="BP45" s="2">
        <f t="shared" si="59"/>
        <v>4.3067554087126769</v>
      </c>
      <c r="BQ45" s="2">
        <f t="shared" si="59"/>
        <v>-0.80477703787821464</v>
      </c>
      <c r="BR45" s="2">
        <v>8.8793469422463779E-4</v>
      </c>
      <c r="BS45" s="2">
        <v>1.0061568535119567E-2</v>
      </c>
    </row>
    <row r="46" spans="44:71" x14ac:dyDescent="0.25">
      <c r="AV46" s="4">
        <v>8</v>
      </c>
      <c r="AW46" s="2" t="s">
        <v>138</v>
      </c>
      <c r="AX46" s="2">
        <f t="shared" ref="AX46:BQ46" si="60">AX14-AX$28</f>
        <v>-0.23493331367423981</v>
      </c>
      <c r="AY46" s="2">
        <f t="shared" si="60"/>
        <v>-0.34791617428447585</v>
      </c>
      <c r="AZ46" s="2">
        <f t="shared" si="60"/>
        <v>-1.3698764674849429</v>
      </c>
      <c r="BA46" s="2">
        <f t="shared" si="60"/>
        <v>-0.7641599494664959</v>
      </c>
      <c r="BB46" s="2">
        <f t="shared" si="60"/>
        <v>-0.4950098914912302</v>
      </c>
      <c r="BC46" s="2">
        <f t="shared" si="60"/>
        <v>-0.59767476681936071</v>
      </c>
      <c r="BD46" s="2">
        <f t="shared" si="60"/>
        <v>-6.2583975191369212E-2</v>
      </c>
      <c r="BE46" s="2">
        <f t="shared" si="60"/>
        <v>-8.6234019050927882E-3</v>
      </c>
      <c r="BF46" s="2">
        <f t="shared" si="60"/>
        <v>-0.58947722050593288</v>
      </c>
      <c r="BG46" s="2">
        <f t="shared" si="60"/>
        <v>-0.73273215769432487</v>
      </c>
      <c r="BH46" s="2">
        <f t="shared" si="60"/>
        <v>3.7415117569885973E-4</v>
      </c>
      <c r="BI46" s="2">
        <f t="shared" si="60"/>
        <v>4.5922143410589256E-2</v>
      </c>
      <c r="BJ46" s="2">
        <f t="shared" si="60"/>
        <v>-2.1671442720442862</v>
      </c>
      <c r="BK46" s="2">
        <f t="shared" si="60"/>
        <v>-1.8001611391363498E-3</v>
      </c>
      <c r="BL46" s="2">
        <f t="shared" si="60"/>
        <v>1.9561043139895984E-3</v>
      </c>
      <c r="BM46" s="2">
        <f t="shared" si="60"/>
        <v>-0.48217485703346363</v>
      </c>
      <c r="BN46" s="2">
        <f t="shared" si="60"/>
        <v>-0.24785885884285774</v>
      </c>
      <c r="BO46" s="2">
        <f t="shared" si="60"/>
        <v>-2.0008111315632391</v>
      </c>
      <c r="BP46" s="2">
        <f t="shared" si="60"/>
        <v>4.5417867626040138</v>
      </c>
      <c r="BQ46" s="2">
        <f t="shared" si="60"/>
        <v>-0.7954255835667603</v>
      </c>
      <c r="BR46" s="2">
        <v>7.7112792405227971E-4</v>
      </c>
      <c r="BS46" s="2">
        <v>6.5477221284645643E-3</v>
      </c>
    </row>
    <row r="47" spans="44:71" x14ac:dyDescent="0.25">
      <c r="AV47" s="4">
        <v>9</v>
      </c>
      <c r="AW47" s="2" t="s">
        <v>138</v>
      </c>
      <c r="AX47" s="2">
        <f t="shared" ref="AX47:BQ47" si="61">AX15-AX$28</f>
        <v>-0.20860282965842314</v>
      </c>
      <c r="AY47" s="2">
        <f t="shared" si="61"/>
        <v>-0.39390575781605197</v>
      </c>
      <c r="AZ47" s="2">
        <f t="shared" si="61"/>
        <v>-1.3402269903179076</v>
      </c>
      <c r="BA47" s="2">
        <f t="shared" si="61"/>
        <v>-0.67081283141271886</v>
      </c>
      <c r="BB47" s="2">
        <f t="shared" si="61"/>
        <v>-0.47150245093074949</v>
      </c>
      <c r="BC47" s="2">
        <f t="shared" si="61"/>
        <v>-0.49301776808874664</v>
      </c>
      <c r="BD47" s="2">
        <f t="shared" si="61"/>
        <v>-6.0593055150239106E-2</v>
      </c>
      <c r="BE47" s="2">
        <f t="shared" si="61"/>
        <v>-6.2359185384637666E-3</v>
      </c>
      <c r="BF47" s="2">
        <f t="shared" si="61"/>
        <v>-0.61196900022386425</v>
      </c>
      <c r="BG47" s="2">
        <f t="shared" si="61"/>
        <v>-0.45261147091684339</v>
      </c>
      <c r="BH47" s="2">
        <f t="shared" si="61"/>
        <v>3.5392390755878487E-4</v>
      </c>
      <c r="BI47" s="2">
        <f t="shared" si="61"/>
        <v>4.1251848569292482E-2</v>
      </c>
      <c r="BJ47" s="2">
        <f t="shared" si="61"/>
        <v>-2.4319144802749637</v>
      </c>
      <c r="BK47" s="2">
        <f t="shared" si="61"/>
        <v>-1.8811073664627403E-3</v>
      </c>
      <c r="BL47" s="2">
        <f t="shared" si="61"/>
        <v>1.4644731095895508E-2</v>
      </c>
      <c r="BM47" s="2">
        <f t="shared" si="61"/>
        <v>-0.29934170196799181</v>
      </c>
      <c r="BN47" s="2">
        <f t="shared" si="61"/>
        <v>-0.30740332667288306</v>
      </c>
      <c r="BO47" s="2">
        <f t="shared" si="61"/>
        <v>-6.4238276184087937</v>
      </c>
      <c r="BP47" s="2">
        <f t="shared" si="61"/>
        <v>5.5896402486539394</v>
      </c>
      <c r="BQ47" s="2">
        <f t="shared" si="61"/>
        <v>-0.78608417089358285</v>
      </c>
      <c r="BR47" s="2">
        <v>0</v>
      </c>
      <c r="BS47" s="2">
        <v>-3.4244706581910339E-2</v>
      </c>
    </row>
    <row r="48" spans="44:71" x14ac:dyDescent="0.25">
      <c r="AV48" s="5">
        <v>10</v>
      </c>
      <c r="AW48" s="6" t="s">
        <v>138</v>
      </c>
      <c r="AX48" s="2">
        <f t="shared" ref="AX48:BQ48" si="62">AX16-AX$28</f>
        <v>-1.4892356633826598E-3</v>
      </c>
      <c r="AY48" s="2">
        <f t="shared" si="62"/>
        <v>-0.14284462037830026</v>
      </c>
      <c r="AZ48" s="2">
        <f t="shared" si="62"/>
        <v>-0.10898524540672305</v>
      </c>
      <c r="BA48" s="2">
        <f t="shared" si="62"/>
        <v>-0.11488943337601354</v>
      </c>
      <c r="BB48" s="2">
        <f t="shared" si="62"/>
        <v>-5.9182110843152724E-2</v>
      </c>
      <c r="BC48" s="2">
        <f t="shared" si="62"/>
        <v>-0.11398393619956937</v>
      </c>
      <c r="BD48" s="2">
        <f t="shared" si="62"/>
        <v>-1.0702843526089856E-2</v>
      </c>
      <c r="BE48" s="2">
        <f t="shared" si="62"/>
        <v>1.2049076858044537E-2</v>
      </c>
      <c r="BF48" s="2">
        <f t="shared" si="62"/>
        <v>-4.5544873964629584E-2</v>
      </c>
      <c r="BG48" s="2">
        <f t="shared" si="62"/>
        <v>-0.14058391590852093</v>
      </c>
      <c r="BH48" s="2">
        <f t="shared" si="62"/>
        <v>3.8992431123221311E-4</v>
      </c>
      <c r="BI48" s="2">
        <f t="shared" si="62"/>
        <v>0.10702861523822468</v>
      </c>
      <c r="BJ48" s="2">
        <f t="shared" si="62"/>
        <v>-0.55938152872828972</v>
      </c>
      <c r="BK48" s="2">
        <f t="shared" si="62"/>
        <v>2.4262774140460068E-3</v>
      </c>
      <c r="BL48" s="2">
        <f t="shared" si="62"/>
        <v>8.2425608859954369E-2</v>
      </c>
      <c r="BM48" s="2">
        <f t="shared" si="62"/>
        <v>-0.12615323516348909</v>
      </c>
      <c r="BN48" s="2">
        <f t="shared" si="62"/>
        <v>-4.3698048932107714E-2</v>
      </c>
      <c r="BO48" s="2">
        <f t="shared" si="62"/>
        <v>-1.2348627913724357</v>
      </c>
      <c r="BP48" s="2">
        <f>BP16-BP$28</f>
        <v>7.3320003896231025</v>
      </c>
      <c r="BQ48" s="2">
        <f t="shared" si="62"/>
        <v>-0.48933480303833266</v>
      </c>
      <c r="BR48" s="2">
        <v>0</v>
      </c>
      <c r="BS48" s="2">
        <v>-3.0707354368628755E-2</v>
      </c>
    </row>
    <row r="58" spans="46:71" ht="15" x14ac:dyDescent="0.25">
      <c r="AT58" s="32" t="s">
        <v>147</v>
      </c>
      <c r="AU58" s="32"/>
      <c r="AX58" s="93" t="s">
        <v>151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</row>
    <row r="59" spans="46:71" ht="13.5" thickBot="1" x14ac:dyDescent="0.3">
      <c r="AT59" s="2" t="s">
        <v>136</v>
      </c>
      <c r="AU59" s="2">
        <v>15753942740.033005</v>
      </c>
      <c r="AX59" s="7" t="s">
        <v>13</v>
      </c>
      <c r="AY59" s="7" t="s">
        <v>34</v>
      </c>
      <c r="AZ59" s="7" t="s">
        <v>11</v>
      </c>
      <c r="BA59" s="7" t="s">
        <v>12</v>
      </c>
      <c r="BB59" s="7" t="s">
        <v>7</v>
      </c>
      <c r="BC59" s="7" t="s">
        <v>20</v>
      </c>
      <c r="BD59" s="7" t="s">
        <v>15</v>
      </c>
      <c r="BE59" s="7" t="s">
        <v>19</v>
      </c>
      <c r="BF59" s="7" t="s">
        <v>26</v>
      </c>
      <c r="BG59" s="7" t="s">
        <v>43</v>
      </c>
      <c r="BH59" s="7" t="s">
        <v>31</v>
      </c>
      <c r="BI59" s="7" t="s">
        <v>35</v>
      </c>
      <c r="BJ59" s="7" t="s">
        <v>30</v>
      </c>
      <c r="BK59" s="7" t="s">
        <v>37</v>
      </c>
      <c r="BL59" s="7" t="s">
        <v>27</v>
      </c>
      <c r="BM59" s="7" t="s">
        <v>44</v>
      </c>
      <c r="BN59" s="7" t="s">
        <v>33</v>
      </c>
      <c r="BO59" s="7" t="s">
        <v>91</v>
      </c>
      <c r="BP59" s="7" t="s">
        <v>8</v>
      </c>
      <c r="BQ59" s="7" t="s">
        <v>4</v>
      </c>
      <c r="BR59" s="3" t="s">
        <v>42</v>
      </c>
      <c r="BS59" s="3" t="s">
        <v>40</v>
      </c>
    </row>
    <row r="60" spans="46:71" x14ac:dyDescent="0.25">
      <c r="AT60" s="2" t="s">
        <v>138</v>
      </c>
      <c r="AU60" s="2">
        <v>14771585561.069231</v>
      </c>
      <c r="AV60" s="4">
        <v>1</v>
      </c>
      <c r="AW60" s="2" t="s">
        <v>136</v>
      </c>
      <c r="AX60" s="2">
        <f>1000000000*(AX39/$AU$59)</f>
        <v>-5.9701507712387573E-3</v>
      </c>
      <c r="AY60" s="2">
        <f t="shared" ref="AY60:BS64" si="63">1000000000*AY39/$AU$59</f>
        <v>-1.7006255504019737E-2</v>
      </c>
      <c r="AZ60" s="2">
        <f t="shared" si="63"/>
        <v>-4.1338916406918544E-2</v>
      </c>
      <c r="BA60" s="2">
        <f t="shared" si="63"/>
        <v>-1.7162291445626043E-2</v>
      </c>
      <c r="BB60" s="2">
        <f t="shared" si="63"/>
        <v>-1.3301538331710378E-2</v>
      </c>
      <c r="BC60" s="2">
        <f t="shared" si="63"/>
        <v>-1.8041586288944342E-2</v>
      </c>
      <c r="BD60" s="2">
        <f t="shared" si="63"/>
        <v>-1.9748305400580546E-3</v>
      </c>
      <c r="BE60" s="2">
        <f t="shared" si="63"/>
        <v>1.5682041713600552E-3</v>
      </c>
      <c r="BF60" s="2">
        <f t="shared" si="63"/>
        <v>-1.2298926670022189E-2</v>
      </c>
      <c r="BG60" s="2">
        <f t="shared" si="63"/>
        <v>-1.7221821162156471E-2</v>
      </c>
      <c r="BH60" s="2">
        <f t="shared" si="63"/>
        <v>4.8087770634013108E-4</v>
      </c>
      <c r="BI60" s="2">
        <f t="shared" si="63"/>
        <v>2.2180951998215872E-2</v>
      </c>
      <c r="BJ60" s="2">
        <f t="shared" si="63"/>
        <v>-0.10658906290595693</v>
      </c>
      <c r="BK60" s="2">
        <f t="shared" si="63"/>
        <v>-5.6745623281086126E-5</v>
      </c>
      <c r="BL60" s="2">
        <f t="shared" si="63"/>
        <v>1.9397052418711101E-3</v>
      </c>
      <c r="BM60" s="2">
        <f t="shared" si="63"/>
        <v>-2.3974802638368591E-2</v>
      </c>
      <c r="BN60" s="2">
        <f t="shared" si="63"/>
        <v>-6.8092643413014825E-3</v>
      </c>
      <c r="BO60" s="2">
        <f t="shared" si="63"/>
        <v>-0.45830503906974424</v>
      </c>
      <c r="BP60" s="2">
        <f t="shared" si="63"/>
        <v>0.5125910787805511</v>
      </c>
      <c r="BQ60" s="2">
        <f t="shared" si="63"/>
        <v>-3.6795587000815318E-2</v>
      </c>
      <c r="BR60" s="2">
        <f>1000000000*BR39/$AU$59</f>
        <v>4.2730023657079245E-4</v>
      </c>
      <c r="BS60" s="2">
        <f>1000000000*BS39/$AU$59</f>
        <v>-5.1168689205455177E-4</v>
      </c>
    </row>
    <row r="61" spans="46:71" x14ac:dyDescent="0.25">
      <c r="AV61" s="4">
        <v>2</v>
      </c>
      <c r="AW61" s="2" t="s">
        <v>136</v>
      </c>
      <c r="AX61" s="2">
        <f t="shared" ref="AX61:AX64" si="64">1000000000*(AX40/$AU$59)</f>
        <v>-1.5556330380281059E-2</v>
      </c>
      <c r="AY61" s="2">
        <f t="shared" ref="AY61:BM61" si="65">1000000000*AY40/$AU$59</f>
        <v>-2.4764083680537834E-2</v>
      </c>
      <c r="AZ61" s="2">
        <f t="shared" si="65"/>
        <v>-9.4684891454068651E-2</v>
      </c>
      <c r="BA61" s="2">
        <f t="shared" si="65"/>
        <v>-4.6338895668984699E-2</v>
      </c>
      <c r="BB61" s="2">
        <f t="shared" si="65"/>
        <v>-3.0304872352006781E-2</v>
      </c>
      <c r="BC61" s="2">
        <f t="shared" si="65"/>
        <v>-3.4970894085748862E-2</v>
      </c>
      <c r="BD61" s="2">
        <f t="shared" si="65"/>
        <v>-3.9487731741313318E-3</v>
      </c>
      <c r="BE61" s="2">
        <f t="shared" si="65"/>
        <v>3.7624245983203724E-4</v>
      </c>
      <c r="BF61" s="2">
        <f t="shared" si="65"/>
        <v>-4.0375639790355064E-2</v>
      </c>
      <c r="BG61" s="2">
        <f t="shared" si="65"/>
        <v>-4.7443750661287726E-2</v>
      </c>
      <c r="BH61" s="2">
        <f t="shared" si="65"/>
        <v>3.0717625022994565E-7</v>
      </c>
      <c r="BI61" s="2">
        <f t="shared" si="65"/>
        <v>1.7071441252780081E-2</v>
      </c>
      <c r="BJ61" s="2">
        <f t="shared" si="65"/>
        <v>-0.15710780617842232</v>
      </c>
      <c r="BK61" s="2">
        <f t="shared" si="65"/>
        <v>-1.5746574809597367E-4</v>
      </c>
      <c r="BL61" s="2">
        <f t="shared" si="65"/>
        <v>-1.0127832334593273E-3</v>
      </c>
      <c r="BM61" s="2">
        <f t="shared" si="65"/>
        <v>-4.1092478966618412E-2</v>
      </c>
      <c r="BN61" s="2">
        <f t="shared" si="63"/>
        <v>-1.7440739201957982E-2</v>
      </c>
      <c r="BO61" s="2">
        <f t="shared" si="63"/>
        <v>-0.37832141381368423</v>
      </c>
      <c r="BP61" s="2">
        <f t="shared" si="63"/>
        <v>0.33313776252985705</v>
      </c>
      <c r="BQ61" s="2">
        <f t="shared" si="63"/>
        <v>-5.4635780754704301E-2</v>
      </c>
      <c r="BR61" s="2">
        <f t="shared" si="63"/>
        <v>8.144086933114552E-4</v>
      </c>
      <c r="BS61" s="2">
        <f t="shared" si="63"/>
        <v>1.096424573273976E-3</v>
      </c>
    </row>
    <row r="62" spans="46:71" x14ac:dyDescent="0.25">
      <c r="AV62" s="4">
        <v>3</v>
      </c>
      <c r="AW62" s="2" t="s">
        <v>136</v>
      </c>
      <c r="AX62" s="2">
        <f t="shared" si="64"/>
        <v>-1.6917064322041198E-2</v>
      </c>
      <c r="AY62" s="2">
        <f t="shared" si="63"/>
        <v>-3.1910821640514078E-2</v>
      </c>
      <c r="AZ62" s="2">
        <f t="shared" si="63"/>
        <v>-9.2417785138664291E-2</v>
      </c>
      <c r="BA62" s="2">
        <f t="shared" si="63"/>
        <v>-4.9804247609139818E-2</v>
      </c>
      <c r="BB62" s="2">
        <f t="shared" si="63"/>
        <v>-2.5557129020753692E-2</v>
      </c>
      <c r="BC62" s="2">
        <f t="shared" si="63"/>
        <v>-3.7424735317909075E-2</v>
      </c>
      <c r="BD62" s="2">
        <f t="shared" si="63"/>
        <v>-4.418008093658869E-3</v>
      </c>
      <c r="BE62" s="2">
        <f t="shared" si="63"/>
        <v>2.7879436341453161E-4</v>
      </c>
      <c r="BF62" s="2">
        <f t="shared" si="63"/>
        <v>-4.1446646619161746E-2</v>
      </c>
      <c r="BG62" s="2">
        <f t="shared" si="63"/>
        <v>-4.7244506946886172E-2</v>
      </c>
      <c r="BH62" s="2">
        <f t="shared" si="63"/>
        <v>-1.4089878388717502E-5</v>
      </c>
      <c r="BI62" s="2">
        <f t="shared" si="63"/>
        <v>1.3135916504477846E-2</v>
      </c>
      <c r="BJ62" s="2">
        <f t="shared" si="63"/>
        <v>-0.19880905782180811</v>
      </c>
      <c r="BK62" s="2">
        <f t="shared" si="63"/>
        <v>-2.8269763633637015E-4</v>
      </c>
      <c r="BL62" s="2">
        <f t="shared" si="63"/>
        <v>-2.5247886746628299E-4</v>
      </c>
      <c r="BM62" s="2">
        <f t="shared" si="63"/>
        <v>-3.0674136241975042E-2</v>
      </c>
      <c r="BN62" s="2">
        <f t="shared" si="63"/>
        <v>-2.0423492619560939E-2</v>
      </c>
      <c r="BO62" s="2">
        <f t="shared" si="63"/>
        <v>-0.23685915483008607</v>
      </c>
      <c r="BP62" s="2">
        <f t="shared" si="63"/>
        <v>0.37467748083474683</v>
      </c>
      <c r="BQ62" s="2">
        <f t="shared" si="63"/>
        <v>-5.2925484584013853E-2</v>
      </c>
      <c r="BR62" s="2">
        <f t="shared" si="63"/>
        <v>1.8899248914138097E-5</v>
      </c>
      <c r="BS62" s="2">
        <f t="shared" si="63"/>
        <v>-2.1260021712993043E-3</v>
      </c>
    </row>
    <row r="63" spans="46:71" x14ac:dyDescent="0.25">
      <c r="AV63" s="4">
        <v>4</v>
      </c>
      <c r="AW63" s="2" t="s">
        <v>136</v>
      </c>
      <c r="AX63" s="2">
        <f t="shared" si="64"/>
        <v>-9.2092528818919165E-3</v>
      </c>
      <c r="AY63" s="2">
        <f t="shared" si="63"/>
        <v>-2.0066061309530755E-2</v>
      </c>
      <c r="AZ63" s="2">
        <f t="shared" si="63"/>
        <v>-6.4824815372967706E-2</v>
      </c>
      <c r="BA63" s="2">
        <f t="shared" si="63"/>
        <v>-3.2635533881078885E-2</v>
      </c>
      <c r="BB63" s="2">
        <f t="shared" si="63"/>
        <v>-1.9347647573091053E-2</v>
      </c>
      <c r="BC63" s="2">
        <f t="shared" si="63"/>
        <v>-2.5803382978153482E-2</v>
      </c>
      <c r="BD63" s="2">
        <f t="shared" si="63"/>
        <v>-2.8348016958404756E-3</v>
      </c>
      <c r="BE63" s="2">
        <f t="shared" si="63"/>
        <v>6.4412284552901205E-4</v>
      </c>
      <c r="BF63" s="2">
        <f t="shared" si="63"/>
        <v>-2.5217249434293008E-2</v>
      </c>
      <c r="BG63" s="2">
        <f t="shared" si="63"/>
        <v>-2.3674354274204109E-2</v>
      </c>
      <c r="BH63" s="2">
        <f t="shared" si="63"/>
        <v>-1.861147794394587E-5</v>
      </c>
      <c r="BI63" s="2">
        <f t="shared" si="63"/>
        <v>2.14763790202111E-2</v>
      </c>
      <c r="BJ63" s="2">
        <f t="shared" si="63"/>
        <v>-0.11581263476705375</v>
      </c>
      <c r="BK63" s="2">
        <f t="shared" si="63"/>
        <v>-2.2770117666757217E-4</v>
      </c>
      <c r="BL63" s="2">
        <f t="shared" si="63"/>
        <v>1.1370118735004298E-3</v>
      </c>
      <c r="BM63" s="2">
        <f t="shared" si="63"/>
        <v>-1.7366055731525335E-2</v>
      </c>
      <c r="BN63" s="2">
        <f t="shared" si="63"/>
        <v>-1.3750908395693076E-2</v>
      </c>
      <c r="BO63" s="2">
        <f t="shared" si="63"/>
        <v>-0.14697757597030692</v>
      </c>
      <c r="BP63" s="2">
        <f t="shared" si="63"/>
        <v>0.49344018641966025</v>
      </c>
      <c r="BQ63" s="2">
        <f t="shared" si="63"/>
        <v>-4.1740041152652743E-2</v>
      </c>
      <c r="BR63" s="2">
        <f t="shared" si="63"/>
        <v>1.007730196202816E-3</v>
      </c>
      <c r="BS63" s="2">
        <f t="shared" si="63"/>
        <v>2.2277350863532707E-3</v>
      </c>
    </row>
    <row r="64" spans="46:71" x14ac:dyDescent="0.25">
      <c r="AV64" s="5">
        <v>5</v>
      </c>
      <c r="AW64" s="6" t="s">
        <v>136</v>
      </c>
      <c r="AX64" s="2">
        <f t="shared" si="64"/>
        <v>-6.596689879068438E-3</v>
      </c>
      <c r="AY64" s="2">
        <f t="shared" si="63"/>
        <v>-1.6051982978154623E-2</v>
      </c>
      <c r="AZ64" s="2">
        <f t="shared" si="63"/>
        <v>-3.6660395552210352E-2</v>
      </c>
      <c r="BA64" s="2">
        <f t="shared" si="63"/>
        <v>-2.4809237773671569E-2</v>
      </c>
      <c r="BB64" s="2">
        <f t="shared" si="63"/>
        <v>-1.3957615501916111E-2</v>
      </c>
      <c r="BC64" s="2">
        <f t="shared" si="63"/>
        <v>-1.8096488922373453E-2</v>
      </c>
      <c r="BD64" s="2">
        <f t="shared" si="63"/>
        <v>-1.821857357147446E-3</v>
      </c>
      <c r="BE64" s="2">
        <f t="shared" si="63"/>
        <v>1.215887694992386E-3</v>
      </c>
      <c r="BF64" s="2">
        <f t="shared" si="63"/>
        <v>-1.3045664636085329E-2</v>
      </c>
      <c r="BG64" s="2">
        <f t="shared" si="63"/>
        <v>-2.4074916615611508E-2</v>
      </c>
      <c r="BH64" s="2">
        <f t="shared" si="63"/>
        <v>-8.8142774705206087E-6</v>
      </c>
      <c r="BI64" s="2">
        <f t="shared" si="63"/>
        <v>2.1012313513834889E-2</v>
      </c>
      <c r="BJ64" s="2">
        <f t="shared" si="63"/>
        <v>-0.10907366362789432</v>
      </c>
      <c r="BK64" s="2">
        <f t="shared" si="63"/>
        <v>-4.4659138538781643E-5</v>
      </c>
      <c r="BL64" s="2">
        <f t="shared" si="63"/>
        <v>1.1234238541870741E-3</v>
      </c>
      <c r="BM64" s="2">
        <f t="shared" si="63"/>
        <v>-1.0804010197953262E-2</v>
      </c>
      <c r="BN64" s="2">
        <f t="shared" si="63"/>
        <v>-8.2281786055634614E-3</v>
      </c>
      <c r="BO64" s="2">
        <f t="shared" si="63"/>
        <v>-0.42028153673371621</v>
      </c>
      <c r="BP64" s="2">
        <f t="shared" si="63"/>
        <v>0.39243418066040892</v>
      </c>
      <c r="BQ64" s="2">
        <f t="shared" si="63"/>
        <v>-3.7542424714644133E-2</v>
      </c>
      <c r="BR64" s="2">
        <f t="shared" si="63"/>
        <v>3.2160574654089484E-4</v>
      </c>
      <c r="BS64" s="2">
        <f t="shared" si="63"/>
        <v>-7.2946732731742059E-4</v>
      </c>
    </row>
    <row r="65" spans="48:71" x14ac:dyDescent="0.25">
      <c r="AV65" s="4">
        <v>6</v>
      </c>
      <c r="AW65" s="2" t="s">
        <v>138</v>
      </c>
      <c r="AX65" s="2">
        <f>1000000000*AX44/$AU$60</f>
        <v>-7.3776322944820606E-3</v>
      </c>
      <c r="AY65" s="2">
        <f t="shared" ref="AY65:BQ69" si="66">1000000000*AY44/$AU$60</f>
        <v>-1.4517243849590199E-2</v>
      </c>
      <c r="AZ65" s="2">
        <f t="shared" si="66"/>
        <v>-3.6427540682004357E-2</v>
      </c>
      <c r="BA65" s="2">
        <f t="shared" si="66"/>
        <v>-2.1198692493959566E-2</v>
      </c>
      <c r="BB65" s="2">
        <f t="shared" si="66"/>
        <v>-1.4058394212114085E-2</v>
      </c>
      <c r="BC65" s="2">
        <f t="shared" si="66"/>
        <v>-1.5578174569568519E-2</v>
      </c>
      <c r="BD65" s="2">
        <f t="shared" si="66"/>
        <v>-1.8135067311296365E-3</v>
      </c>
      <c r="BE65" s="2">
        <f t="shared" si="66"/>
        <v>4.8030538202963746E-4</v>
      </c>
      <c r="BF65" s="2">
        <f t="shared" si="66"/>
        <v>-1.1046651444338848E-2</v>
      </c>
      <c r="BG65" s="2">
        <f t="shared" si="66"/>
        <v>-2.7120302288719918E-2</v>
      </c>
      <c r="BH65" s="2">
        <f t="shared" si="66"/>
        <v>2.3280083280903225E-5</v>
      </c>
      <c r="BI65" s="2">
        <f t="shared" si="66"/>
        <v>5.3845215295040497E-3</v>
      </c>
      <c r="BJ65" s="2">
        <f t="shared" si="66"/>
        <v>-8.9444265272689991E-2</v>
      </c>
      <c r="BK65" s="2">
        <f t="shared" si="66"/>
        <v>4.7451860340724251E-5</v>
      </c>
      <c r="BL65" s="2">
        <f t="shared" si="66"/>
        <v>3.6033552309832563E-3</v>
      </c>
      <c r="BM65" s="2">
        <f t="shared" si="66"/>
        <v>-2.2647035228154051E-2</v>
      </c>
      <c r="BN65" s="2">
        <f t="shared" si="66"/>
        <v>-5.5049375187066997E-3</v>
      </c>
      <c r="BO65" s="2">
        <f t="shared" si="66"/>
        <v>-0.12901806238269531</v>
      </c>
      <c r="BP65" s="2">
        <f t="shared" si="66"/>
        <v>0.39962390930025787</v>
      </c>
      <c r="BQ65" s="2">
        <f t="shared" si="66"/>
        <v>-4.0314141114455401E-2</v>
      </c>
      <c r="BR65" s="2">
        <f t="shared" ref="BR65:BS69" si="67">1000000000*BR44/$AU$59</f>
        <v>1.0125674254690314E-4</v>
      </c>
      <c r="BS65" s="2">
        <f t="shared" si="67"/>
        <v>1.6184014351019729E-3</v>
      </c>
    </row>
    <row r="66" spans="48:71" x14ac:dyDescent="0.25">
      <c r="AV66" s="4">
        <v>7</v>
      </c>
      <c r="AW66" s="2" t="s">
        <v>138</v>
      </c>
      <c r="AX66" s="2">
        <f t="shared" ref="AX66:BM69" si="68">1000000000*AX45/$AU$60</f>
        <v>-8.4583662172561525E-3</v>
      </c>
      <c r="AY66" s="2">
        <f t="shared" si="68"/>
        <v>-2.4563551698444396E-2</v>
      </c>
      <c r="AZ66" s="2">
        <f t="shared" si="68"/>
        <v>-5.9830025468013949E-2</v>
      </c>
      <c r="BA66" s="2">
        <f t="shared" si="68"/>
        <v>-3.171159785305188E-2</v>
      </c>
      <c r="BB66" s="2">
        <f t="shared" si="68"/>
        <v>-2.1994427174337701E-2</v>
      </c>
      <c r="BC66" s="2">
        <f t="shared" si="68"/>
        <v>-2.8580816771950977E-2</v>
      </c>
      <c r="BD66" s="2">
        <f t="shared" si="68"/>
        <v>-3.3030173884272349E-3</v>
      </c>
      <c r="BE66" s="2">
        <f t="shared" si="68"/>
        <v>-5.1680595422207558E-5</v>
      </c>
      <c r="BF66" s="2">
        <f t="shared" si="68"/>
        <v>-3.0197289195023291E-2</v>
      </c>
      <c r="BG66" s="2">
        <f t="shared" si="68"/>
        <v>-3.1423477189888742E-2</v>
      </c>
      <c r="BH66" s="2">
        <f t="shared" si="68"/>
        <v>3.4786738427746455E-5</v>
      </c>
      <c r="BI66" s="2">
        <f t="shared" si="68"/>
        <v>3.1495649935728049E-3</v>
      </c>
      <c r="BJ66" s="2">
        <f t="shared" si="68"/>
        <v>-0.13069380720852106</v>
      </c>
      <c r="BK66" s="2">
        <f t="shared" si="68"/>
        <v>-1.2015495385291378E-4</v>
      </c>
      <c r="BL66" s="2">
        <f t="shared" si="68"/>
        <v>1.9621804856774509E-3</v>
      </c>
      <c r="BM66" s="2">
        <f t="shared" si="68"/>
        <v>-2.2152281328289666E-2</v>
      </c>
      <c r="BN66" s="2">
        <f t="shared" si="66"/>
        <v>-1.7541087178114836E-2</v>
      </c>
      <c r="BO66" s="2">
        <f t="shared" si="66"/>
        <v>-0.18786258391462429</v>
      </c>
      <c r="BP66" s="2">
        <f t="shared" si="66"/>
        <v>0.29155674527338521</v>
      </c>
      <c r="BQ66" s="2">
        <f t="shared" si="66"/>
        <v>-5.4481425474000464E-2</v>
      </c>
      <c r="BR66" s="2">
        <f t="shared" si="67"/>
        <v>5.636269655647978E-5</v>
      </c>
      <c r="BS66" s="2">
        <f t="shared" si="67"/>
        <v>6.3866986830869287E-4</v>
      </c>
    </row>
    <row r="67" spans="48:71" x14ac:dyDescent="0.25">
      <c r="AV67" s="4">
        <v>8</v>
      </c>
      <c r="AW67" s="2" t="s">
        <v>138</v>
      </c>
      <c r="AX67" s="2">
        <f t="shared" si="68"/>
        <v>-1.5904407330070959E-2</v>
      </c>
      <c r="AY67" s="2">
        <f t="shared" si="66"/>
        <v>-2.3553069022015819E-2</v>
      </c>
      <c r="AZ67" s="2">
        <f t="shared" si="66"/>
        <v>-9.2737266546069091E-2</v>
      </c>
      <c r="BA67" s="2">
        <f t="shared" si="66"/>
        <v>-5.1731748518618927E-2</v>
      </c>
      <c r="BB67" s="2">
        <f t="shared" si="66"/>
        <v>-3.3510951782714328E-2</v>
      </c>
      <c r="BC67" s="2">
        <f t="shared" si="66"/>
        <v>-4.0461111256366609E-2</v>
      </c>
      <c r="BD67" s="2">
        <f t="shared" si="66"/>
        <v>-4.2367811453030719E-3</v>
      </c>
      <c r="BE67" s="2">
        <f t="shared" si="66"/>
        <v>-5.8378309284684462E-4</v>
      </c>
      <c r="BF67" s="2">
        <f t="shared" si="66"/>
        <v>-3.9906157539344345E-2</v>
      </c>
      <c r="BG67" s="2">
        <f t="shared" si="66"/>
        <v>-4.9604164337337837E-2</v>
      </c>
      <c r="BH67" s="2">
        <f t="shared" si="66"/>
        <v>2.5329114071880113E-5</v>
      </c>
      <c r="BI67" s="2">
        <f t="shared" si="66"/>
        <v>3.1088161267953428E-3</v>
      </c>
      <c r="BJ67" s="2">
        <f t="shared" si="66"/>
        <v>-0.14671033539932452</v>
      </c>
      <c r="BK67" s="2">
        <f t="shared" si="66"/>
        <v>-1.2186648018887732E-4</v>
      </c>
      <c r="BL67" s="2">
        <f t="shared" si="66"/>
        <v>1.3242344945995133E-4</v>
      </c>
      <c r="BM67" s="2">
        <f t="shared" si="66"/>
        <v>-3.2642051527917479E-2</v>
      </c>
      <c r="BN67" s="2">
        <f t="shared" si="66"/>
        <v>-1.677943493730924E-2</v>
      </c>
      <c r="BO67" s="2">
        <f t="shared" si="66"/>
        <v>-0.13544999101764751</v>
      </c>
      <c r="BP67" s="2">
        <f t="shared" si="66"/>
        <v>0.30746778968494559</v>
      </c>
      <c r="BQ67" s="2">
        <f t="shared" si="66"/>
        <v>-5.3848355024467935E-2</v>
      </c>
      <c r="BR67" s="2">
        <f t="shared" si="67"/>
        <v>4.8948249766881161E-5</v>
      </c>
      <c r="BS67" s="2">
        <f t="shared" si="67"/>
        <v>4.1562434474424445E-4</v>
      </c>
    </row>
    <row r="68" spans="48:71" x14ac:dyDescent="0.25">
      <c r="AV68" s="4">
        <v>9</v>
      </c>
      <c r="AW68" s="2" t="s">
        <v>138</v>
      </c>
      <c r="AX68" s="2">
        <f t="shared" si="68"/>
        <v>-1.4121898343005201E-2</v>
      </c>
      <c r="AY68" s="2">
        <f t="shared" si="66"/>
        <v>-2.6666450679079259E-2</v>
      </c>
      <c r="AZ68" s="2">
        <f t="shared" si="66"/>
        <v>-9.0730069888373996E-2</v>
      </c>
      <c r="BA68" s="2">
        <f t="shared" si="66"/>
        <v>-4.5412378287992161E-2</v>
      </c>
      <c r="BB68" s="2">
        <f t="shared" si="66"/>
        <v>-3.1919555892050096E-2</v>
      </c>
      <c r="BC68" s="2">
        <f t="shared" si="66"/>
        <v>-3.3376089929580986E-2</v>
      </c>
      <c r="BD68" s="2">
        <f t="shared" si="66"/>
        <v>-4.1020007567727293E-3</v>
      </c>
      <c r="BE68" s="2">
        <f t="shared" si="66"/>
        <v>-4.2215634284369834E-4</v>
      </c>
      <c r="BF68" s="2">
        <f t="shared" si="66"/>
        <v>-4.142879568979508E-2</v>
      </c>
      <c r="BG68" s="2">
        <f t="shared" si="66"/>
        <v>-3.0640683022525948E-2</v>
      </c>
      <c r="BH68" s="2">
        <f t="shared" si="66"/>
        <v>2.395977778387971E-5</v>
      </c>
      <c r="BI68" s="2">
        <f t="shared" si="66"/>
        <v>2.792648656350909E-3</v>
      </c>
      <c r="BJ68" s="2">
        <f t="shared" si="66"/>
        <v>-0.16463462708325072</v>
      </c>
      <c r="BK68" s="2">
        <f t="shared" si="66"/>
        <v>-1.2734634062713156E-4</v>
      </c>
      <c r="BL68" s="2">
        <f t="shared" si="66"/>
        <v>9.9141226480737124E-4</v>
      </c>
      <c r="BM68" s="2">
        <f t="shared" si="66"/>
        <v>-2.0264696753807664E-2</v>
      </c>
      <c r="BN68" s="2">
        <f t="shared" si="66"/>
        <v>-2.0810448912339498E-2</v>
      </c>
      <c r="BO68" s="2">
        <f t="shared" si="66"/>
        <v>-0.4348773252438724</v>
      </c>
      <c r="BP68" s="2">
        <f t="shared" si="66"/>
        <v>0.37840489265996824</v>
      </c>
      <c r="BQ68" s="2">
        <f t="shared" si="66"/>
        <v>-5.3215964369141333E-2</v>
      </c>
      <c r="BR68" s="2">
        <f t="shared" si="67"/>
        <v>0</v>
      </c>
      <c r="BS68" s="2">
        <f t="shared" si="67"/>
        <v>-2.1737229306343538E-3</v>
      </c>
    </row>
    <row r="69" spans="48:71" x14ac:dyDescent="0.25">
      <c r="AV69" s="5">
        <v>10</v>
      </c>
      <c r="AW69" s="6" t="s">
        <v>138</v>
      </c>
      <c r="AX69" s="2">
        <f t="shared" si="68"/>
        <v>-1.0081759044929923E-4</v>
      </c>
      <c r="AY69" s="2">
        <f t="shared" si="66"/>
        <v>-9.6702293594514138E-3</v>
      </c>
      <c r="AZ69" s="2">
        <f t="shared" si="66"/>
        <v>-7.3780329779868422E-3</v>
      </c>
      <c r="BA69" s="2">
        <f t="shared" si="66"/>
        <v>-7.7777319774531596E-3</v>
      </c>
      <c r="BB69" s="2">
        <f t="shared" si="66"/>
        <v>-4.0064832985247162E-3</v>
      </c>
      <c r="BC69" s="2">
        <f t="shared" si="66"/>
        <v>-7.7164320463996771E-3</v>
      </c>
      <c r="BD69" s="2">
        <f t="shared" si="66"/>
        <v>-7.245561745448224E-4</v>
      </c>
      <c r="BE69" s="2">
        <f t="shared" si="66"/>
        <v>8.1569285898462293E-4</v>
      </c>
      <c r="BF69" s="2">
        <f t="shared" si="66"/>
        <v>-3.0832759134986759E-3</v>
      </c>
      <c r="BG69" s="2">
        <f t="shared" si="66"/>
        <v>-9.5171852288512809E-3</v>
      </c>
      <c r="BH69" s="2">
        <f t="shared" si="66"/>
        <v>2.6396916540893575E-5</v>
      </c>
      <c r="BI69" s="2">
        <f t="shared" si="66"/>
        <v>7.2455739294704051E-3</v>
      </c>
      <c r="BJ69" s="2">
        <f t="shared" si="66"/>
        <v>-3.7868753250331462E-2</v>
      </c>
      <c r="BK69" s="2">
        <f t="shared" si="66"/>
        <v>1.6425301156840623E-4</v>
      </c>
      <c r="BL69" s="2">
        <f t="shared" si="66"/>
        <v>5.5800109283588679E-3</v>
      </c>
      <c r="BM69" s="2">
        <f t="shared" si="66"/>
        <v>-8.5402636461699901E-3</v>
      </c>
      <c r="BN69" s="2">
        <f t="shared" si="66"/>
        <v>-2.9582504025346258E-3</v>
      </c>
      <c r="BO69" s="2">
        <f t="shared" si="66"/>
        <v>-8.3597172846964926E-2</v>
      </c>
      <c r="BP69" s="2">
        <f t="shared" si="66"/>
        <v>0.49635838748053668</v>
      </c>
      <c r="BQ69" s="2">
        <f t="shared" si="66"/>
        <v>-3.3126762256855014E-2</v>
      </c>
      <c r="BR69" s="2">
        <f t="shared" si="67"/>
        <v>0</v>
      </c>
      <c r="BS69" s="2">
        <f>1000000000*BS48/$AU$59</f>
        <v>-1.9491853484142107E-3</v>
      </c>
    </row>
    <row r="71" spans="48:71" x14ac:dyDescent="0.25">
      <c r="AV71" s="3" t="s">
        <v>82</v>
      </c>
    </row>
    <row r="72" spans="48:71" x14ac:dyDescent="0.25">
      <c r="AV72" s="9" t="s">
        <v>136</v>
      </c>
      <c r="AW72" s="9"/>
      <c r="AX72" s="9">
        <f>AVERAGE(AX60:AX64)</f>
        <v>-1.0849897646904274E-2</v>
      </c>
      <c r="AY72" s="9">
        <f t="shared" ref="AY72:BO72" si="69">AVERAGE(AY60:AY64)</f>
        <v>-2.1959841022551406E-2</v>
      </c>
      <c r="AZ72" s="9">
        <f t="shared" si="69"/>
        <v>-6.5985360784965905E-2</v>
      </c>
      <c r="BA72" s="9">
        <f t="shared" si="69"/>
        <v>-3.4150041275700205E-2</v>
      </c>
      <c r="BB72" s="9">
        <f t="shared" si="69"/>
        <v>-2.0493760555895604E-2</v>
      </c>
      <c r="BC72" s="9">
        <f t="shared" si="69"/>
        <v>-2.6867417518625841E-2</v>
      </c>
      <c r="BD72" s="9">
        <f t="shared" si="69"/>
        <v>-2.9996541721672354E-3</v>
      </c>
      <c r="BE72" s="9">
        <f t="shared" si="69"/>
        <v>8.1665030702560441E-4</v>
      </c>
      <c r="BF72" s="9">
        <f t="shared" si="69"/>
        <v>-2.6476825429983468E-2</v>
      </c>
      <c r="BG72" s="9">
        <f t="shared" si="69"/>
        <v>-3.1931869932029192E-2</v>
      </c>
      <c r="BH72" s="9">
        <f t="shared" si="69"/>
        <v>8.7933849757435397E-5</v>
      </c>
      <c r="BI72" s="9">
        <f t="shared" si="69"/>
        <v>1.8975400457903958E-2</v>
      </c>
      <c r="BJ72" s="9">
        <f t="shared" si="69"/>
        <v>-0.13747844506022708</v>
      </c>
      <c r="BK72" s="9">
        <f t="shared" si="69"/>
        <v>-1.5385386458395675E-4</v>
      </c>
      <c r="BL72" s="9">
        <f t="shared" si="69"/>
        <v>5.8697577372660069E-4</v>
      </c>
      <c r="BM72" s="9">
        <f t="shared" si="69"/>
        <v>-2.4782296755288129E-2</v>
      </c>
      <c r="BN72" s="9">
        <f t="shared" si="69"/>
        <v>-1.3330516632815387E-2</v>
      </c>
      <c r="BO72" s="9">
        <f t="shared" si="69"/>
        <v>-0.32814894408350753</v>
      </c>
      <c r="BP72" s="9">
        <f>AVERAGE(BP60:BP64)</f>
        <v>0.4212561378450449</v>
      </c>
      <c r="BQ72" s="9">
        <f>AVERAGE(BQ60:BQ64)</f>
        <v>-4.4727863641366071E-2</v>
      </c>
      <c r="BR72" s="9">
        <f>AVERAGE(BR60:BR64)</f>
        <v>5.1798882430801935E-4</v>
      </c>
      <c r="BS72" s="9">
        <f>AVERAGE(BS60:BS64)</f>
        <v>-8.5993462088059797E-6</v>
      </c>
    </row>
    <row r="73" spans="48:71" x14ac:dyDescent="0.25"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</row>
    <row r="74" spans="48:71" x14ac:dyDescent="0.25">
      <c r="AV74" s="9" t="s">
        <v>138</v>
      </c>
      <c r="AW74" s="9"/>
      <c r="AX74" s="9">
        <f>AVERAGE(AX65:AX69)</f>
        <v>-9.1926243550527337E-3</v>
      </c>
      <c r="AY74" s="9">
        <f t="shared" ref="AY74:BP74" si="70">AVERAGE(AY65:AY69)</f>
        <v>-1.9794108921716215E-2</v>
      </c>
      <c r="AZ74" s="9">
        <f t="shared" si="70"/>
        <v>-5.7420587112489652E-2</v>
      </c>
      <c r="BA74" s="9">
        <f t="shared" si="70"/>
        <v>-3.1566429826215138E-2</v>
      </c>
      <c r="BB74" s="9">
        <f t="shared" si="70"/>
        <v>-2.1097962471948183E-2</v>
      </c>
      <c r="BC74" s="9">
        <f t="shared" si="70"/>
        <v>-2.5142524914773357E-2</v>
      </c>
      <c r="BD74" s="9">
        <f t="shared" si="70"/>
        <v>-2.8359724392354986E-3</v>
      </c>
      <c r="BE74" s="9">
        <f t="shared" si="70"/>
        <v>4.7675641980301988E-5</v>
      </c>
      <c r="BF74" s="9">
        <f t="shared" si="70"/>
        <v>-2.5132433956400045E-2</v>
      </c>
      <c r="BG74" s="9">
        <f t="shared" si="70"/>
        <v>-2.9661162413464746E-2</v>
      </c>
      <c r="BH74" s="9">
        <f t="shared" si="70"/>
        <v>2.6750526021060612E-5</v>
      </c>
      <c r="BI74" s="9">
        <f t="shared" si="70"/>
        <v>4.3362250471387026E-3</v>
      </c>
      <c r="BJ74" s="9">
        <f t="shared" si="70"/>
        <v>-0.11387035764282354</v>
      </c>
      <c r="BK74" s="9">
        <f t="shared" si="70"/>
        <v>-3.1532580551958438E-5</v>
      </c>
      <c r="BL74" s="9">
        <f t="shared" si="70"/>
        <v>2.4538764718573794E-3</v>
      </c>
      <c r="BM74" s="9">
        <f t="shared" si="70"/>
        <v>-2.1249265696867768E-2</v>
      </c>
      <c r="BN74" s="9">
        <f t="shared" si="70"/>
        <v>-1.271883178980098E-2</v>
      </c>
      <c r="BO74" s="9">
        <f t="shared" si="70"/>
        <v>-0.1941610270811609</v>
      </c>
      <c r="BP74" s="9">
        <f t="shared" si="70"/>
        <v>0.37468234487981872</v>
      </c>
      <c r="BQ74" s="9">
        <f>AVERAGE(BQ65:BQ69)</f>
        <v>-4.6997329647784032E-2</v>
      </c>
      <c r="BR74" s="9">
        <f>AVERAGE(BR65:BR69)</f>
        <v>4.1313537774052817E-5</v>
      </c>
      <c r="BS74" s="9">
        <f>AVERAGE(BS65:BS69)</f>
        <v>-2.9004252617873086E-4</v>
      </c>
    </row>
    <row r="77" spans="48:71" x14ac:dyDescent="0.25">
      <c r="AV77" s="3" t="s">
        <v>83</v>
      </c>
    </row>
    <row r="78" spans="48:71" x14ac:dyDescent="0.25">
      <c r="AV78" s="9" t="s">
        <v>136</v>
      </c>
      <c r="AW78" s="9"/>
      <c r="AX78" s="9">
        <f>STDEV(AX60:AX64)</f>
        <v>5.0880851425069862E-3</v>
      </c>
      <c r="AY78" s="9">
        <f t="shared" ref="AY78:BS78" si="71">STDEV(AY60:AY64)</f>
        <v>6.5175338493086996E-3</v>
      </c>
      <c r="AZ78" s="9">
        <f t="shared" si="71"/>
        <v>2.7345400846744635E-2</v>
      </c>
      <c r="BA78" s="9">
        <f t="shared" si="71"/>
        <v>1.38901973919708E-2</v>
      </c>
      <c r="BB78" s="9">
        <f t="shared" si="71"/>
        <v>7.3766259655886797E-3</v>
      </c>
      <c r="BC78" s="9">
        <f t="shared" si="71"/>
        <v>9.1252389890302699E-3</v>
      </c>
      <c r="BD78" s="9">
        <f t="shared" si="71"/>
        <v>1.159439506814747E-3</v>
      </c>
      <c r="BE78" s="9">
        <f t="shared" si="71"/>
        <v>5.5615589448114108E-4</v>
      </c>
      <c r="BF78" s="9">
        <f t="shared" si="71"/>
        <v>1.4144504341512106E-2</v>
      </c>
      <c r="BG78" s="9">
        <f t="shared" si="71"/>
        <v>1.4330030627803443E-2</v>
      </c>
      <c r="BH78" s="9">
        <f t="shared" si="71"/>
        <v>2.1977503066657281E-4</v>
      </c>
      <c r="BI78" s="9">
        <f t="shared" si="71"/>
        <v>3.8211288496082826E-3</v>
      </c>
      <c r="BJ78" s="9">
        <f t="shared" si="71"/>
        <v>3.9928525997619951E-2</v>
      </c>
      <c r="BK78" s="9">
        <f t="shared" si="71"/>
        <v>1.0418815605538456E-4</v>
      </c>
      <c r="BL78" s="9">
        <f t="shared" si="71"/>
        <v>1.1920681863638756E-3</v>
      </c>
      <c r="BM78" s="9">
        <f t="shared" si="71"/>
        <v>1.1745009462044377E-2</v>
      </c>
      <c r="BN78" s="9">
        <f t="shared" si="71"/>
        <v>5.8296987903460789E-3</v>
      </c>
      <c r="BO78" s="9">
        <f t="shared" si="71"/>
        <v>0.13143742870210537</v>
      </c>
      <c r="BP78" s="9">
        <f t="shared" si="71"/>
        <v>7.797072026943648E-2</v>
      </c>
      <c r="BQ78" s="9">
        <f t="shared" si="71"/>
        <v>8.4977414519985077E-3</v>
      </c>
      <c r="BR78" s="9">
        <f t="shared" si="71"/>
        <v>3.9483936212443327E-4</v>
      </c>
      <c r="BS78" s="9">
        <f t="shared" si="71"/>
        <v>1.6939902601229564E-3</v>
      </c>
    </row>
    <row r="79" spans="48:71" x14ac:dyDescent="0.25"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</row>
    <row r="80" spans="48:71" x14ac:dyDescent="0.25">
      <c r="AV80" s="9" t="s">
        <v>138</v>
      </c>
      <c r="AW80" s="9"/>
      <c r="AX80" s="9">
        <f>STDEV(AX65:AX69)</f>
        <v>6.2417956989514085E-3</v>
      </c>
      <c r="AY80" s="9">
        <f t="shared" ref="AY80:BP80" si="72">STDEV(AY65:AY69)</f>
        <v>7.3219650546624306E-3</v>
      </c>
      <c r="AZ80" s="9">
        <f t="shared" si="72"/>
        <v>3.6426501701842626E-2</v>
      </c>
      <c r="BA80" s="9">
        <f t="shared" si="72"/>
        <v>1.7830897083845425E-2</v>
      </c>
      <c r="BB80" s="9">
        <f t="shared" si="72"/>
        <v>1.2386151726446861E-2</v>
      </c>
      <c r="BC80" s="9">
        <f t="shared" si="72"/>
        <v>1.3317451346222829E-2</v>
      </c>
      <c r="BD80" s="9">
        <f t="shared" si="72"/>
        <v>1.5237075247089844E-3</v>
      </c>
      <c r="BE80" s="9">
        <f t="shared" si="72"/>
        <v>5.9295295497496293E-4</v>
      </c>
      <c r="BF80" s="9">
        <f t="shared" si="72"/>
        <v>1.7277599024582726E-2</v>
      </c>
      <c r="BG80" s="9">
        <f t="shared" si="72"/>
        <v>1.426555577885181E-2</v>
      </c>
      <c r="BH80" s="9">
        <f t="shared" si="72"/>
        <v>4.6518386143316496E-6</v>
      </c>
      <c r="BI80" s="9">
        <f t="shared" si="72"/>
        <v>1.9274697954007756E-3</v>
      </c>
      <c r="BJ80" s="9">
        <f t="shared" si="72"/>
        <v>5.0772486409630661E-2</v>
      </c>
      <c r="BK80" s="9">
        <f t="shared" si="72"/>
        <v>1.3206528222615995E-4</v>
      </c>
      <c r="BL80" s="9">
        <f t="shared" si="72"/>
        <v>2.1716197119162829E-3</v>
      </c>
      <c r="BM80" s="9">
        <f t="shared" si="72"/>
        <v>8.588551609753978E-3</v>
      </c>
      <c r="BN80" s="9">
        <f t="shared" si="72"/>
        <v>7.9455354159020004E-3</v>
      </c>
      <c r="BO80" s="9">
        <f t="shared" si="72"/>
        <v>0.13955192945276565</v>
      </c>
      <c r="BP80" s="9">
        <f t="shared" si="72"/>
        <v>8.1958312697157074E-2</v>
      </c>
      <c r="BQ80" s="9">
        <f>STDEV(BQ65:BQ69)</f>
        <v>9.7298163595715519E-3</v>
      </c>
      <c r="BR80" s="9">
        <f>STDEV(BR65:BR69)</f>
        <v>4.2695346972849917E-5</v>
      </c>
      <c r="BS80" s="9">
        <f>STDEV(BS65:BS69)</f>
        <v>1.6810441374668888E-3</v>
      </c>
    </row>
    <row r="84" spans="48:71" x14ac:dyDescent="0.25">
      <c r="AV84" s="3" t="s">
        <v>153</v>
      </c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spans="48:71" x14ac:dyDescent="0.25">
      <c r="AV85" s="9" t="s">
        <v>136</v>
      </c>
      <c r="AW85" s="73">
        <v>0.75</v>
      </c>
      <c r="AX85" s="9">
        <f>PERCENTILE(AX60:AX64, 0.75)</f>
        <v>-6.596689879068438E-3</v>
      </c>
      <c r="AY85" s="9">
        <f t="shared" ref="AY85:BS85" si="73">PERCENTILE(AY60:AY64, 0.75)</f>
        <v>-1.7006255504019737E-2</v>
      </c>
      <c r="AZ85" s="9">
        <f t="shared" si="73"/>
        <v>-4.1338916406918544E-2</v>
      </c>
      <c r="BA85" s="9">
        <f t="shared" si="73"/>
        <v>-2.4809237773671569E-2</v>
      </c>
      <c r="BB85" s="9">
        <f t="shared" si="73"/>
        <v>-1.3957615501916111E-2</v>
      </c>
      <c r="BC85" s="9">
        <f t="shared" si="73"/>
        <v>-1.8096488922373453E-2</v>
      </c>
      <c r="BD85" s="9">
        <f t="shared" si="73"/>
        <v>-1.9748305400580546E-3</v>
      </c>
      <c r="BE85" s="9">
        <f t="shared" si="73"/>
        <v>1.215887694992386E-3</v>
      </c>
      <c r="BF85" s="9">
        <f t="shared" si="73"/>
        <v>-1.3045664636085329E-2</v>
      </c>
      <c r="BG85" s="9">
        <f t="shared" si="73"/>
        <v>-2.3674354274204109E-2</v>
      </c>
      <c r="BH85" s="9">
        <f t="shared" si="73"/>
        <v>3.0717625022994565E-7</v>
      </c>
      <c r="BI85" s="9">
        <f t="shared" si="73"/>
        <v>2.14763790202111E-2</v>
      </c>
      <c r="BJ85" s="9">
        <f t="shared" si="73"/>
        <v>-0.10907366362789432</v>
      </c>
      <c r="BK85" s="9">
        <f t="shared" si="73"/>
        <v>-5.6745623281086126E-5</v>
      </c>
      <c r="BL85" s="9">
        <f t="shared" si="73"/>
        <v>1.1370118735004298E-3</v>
      </c>
      <c r="BM85" s="9">
        <f t="shared" si="73"/>
        <v>-1.7366055731525335E-2</v>
      </c>
      <c r="BN85" s="9">
        <f t="shared" si="73"/>
        <v>-8.2281786055634614E-3</v>
      </c>
      <c r="BO85" s="9">
        <f t="shared" si="73"/>
        <v>-0.23685915483008607</v>
      </c>
      <c r="BP85" s="9">
        <f t="shared" si="73"/>
        <v>0.49344018641966025</v>
      </c>
      <c r="BQ85" s="9">
        <f t="shared" si="73"/>
        <v>-3.7542424714644133E-2</v>
      </c>
      <c r="BR85" s="9">
        <f t="shared" si="73"/>
        <v>8.144086933114552E-4</v>
      </c>
      <c r="BS85" s="9">
        <f t="shared" si="73"/>
        <v>1.096424573273976E-3</v>
      </c>
    </row>
    <row r="86" spans="48:71" x14ac:dyDescent="0.25">
      <c r="AV86" s="9" t="s">
        <v>138</v>
      </c>
      <c r="AW86" s="9"/>
      <c r="AX86" s="9">
        <f>PERCENTILE(AX65:AX69, 0.75)</f>
        <v>-7.3776322944820606E-3</v>
      </c>
      <c r="AY86" s="9">
        <f t="shared" ref="AY86:BS86" si="74">PERCENTILE(AY65:AY69, 0.75)</f>
        <v>-1.4517243849590199E-2</v>
      </c>
      <c r="AZ86" s="9">
        <f t="shared" si="74"/>
        <v>-3.6427540682004357E-2</v>
      </c>
      <c r="BA86" s="9">
        <f t="shared" si="74"/>
        <v>-2.1198692493959566E-2</v>
      </c>
      <c r="BB86" s="9">
        <f t="shared" si="74"/>
        <v>-1.4058394212114085E-2</v>
      </c>
      <c r="BC86" s="9">
        <f t="shared" si="74"/>
        <v>-1.5578174569568519E-2</v>
      </c>
      <c r="BD86" s="9">
        <f t="shared" si="74"/>
        <v>-1.8135067311296365E-3</v>
      </c>
      <c r="BE86" s="9">
        <f t="shared" si="74"/>
        <v>4.8030538202963746E-4</v>
      </c>
      <c r="BF86" s="9">
        <f t="shared" si="74"/>
        <v>-1.1046651444338848E-2</v>
      </c>
      <c r="BG86" s="9">
        <f t="shared" si="74"/>
        <v>-2.7120302288719918E-2</v>
      </c>
      <c r="BH86" s="9">
        <f t="shared" si="74"/>
        <v>2.6396916540893575E-5</v>
      </c>
      <c r="BI86" s="9">
        <f t="shared" si="74"/>
        <v>5.3845215295040497E-3</v>
      </c>
      <c r="BJ86" s="9">
        <f t="shared" si="74"/>
        <v>-8.9444265272689991E-2</v>
      </c>
      <c r="BK86" s="9">
        <f t="shared" si="74"/>
        <v>4.7451860340724251E-5</v>
      </c>
      <c r="BL86" s="9">
        <f t="shared" si="74"/>
        <v>3.6033552309832563E-3</v>
      </c>
      <c r="BM86" s="9">
        <f t="shared" si="74"/>
        <v>-2.0264696753807664E-2</v>
      </c>
      <c r="BN86" s="9">
        <f t="shared" si="74"/>
        <v>-5.5049375187066997E-3</v>
      </c>
      <c r="BO86" s="9">
        <f t="shared" si="74"/>
        <v>-0.12901806238269531</v>
      </c>
      <c r="BP86" s="9">
        <f t="shared" si="74"/>
        <v>0.39962390930025787</v>
      </c>
      <c r="BQ86" s="9">
        <f t="shared" si="74"/>
        <v>-4.0314141114455401E-2</v>
      </c>
      <c r="BR86" s="9">
        <f t="shared" si="74"/>
        <v>5.636269655647978E-5</v>
      </c>
      <c r="BS86" s="9">
        <f t="shared" si="74"/>
        <v>6.3866986830869287E-4</v>
      </c>
    </row>
    <row r="87" spans="48:71" ht="15" x14ac:dyDescent="0.25"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48:71" x14ac:dyDescent="0.25">
      <c r="AV88" s="9" t="s">
        <v>136</v>
      </c>
      <c r="AW88" s="73">
        <v>0.25</v>
      </c>
      <c r="AX88" s="9">
        <f>PERCENTILE(AX60:AX64, 0.25)</f>
        <v>-1.5556330380281059E-2</v>
      </c>
      <c r="AY88" s="9">
        <f t="shared" ref="AY88:BS88" si="75">PERCENTILE(AY60:AY64, 0.25)</f>
        <v>-2.4764083680537834E-2</v>
      </c>
      <c r="AZ88" s="9">
        <f t="shared" si="75"/>
        <v>-9.2417785138664291E-2</v>
      </c>
      <c r="BA88" s="9">
        <f t="shared" si="75"/>
        <v>-4.6338895668984699E-2</v>
      </c>
      <c r="BB88" s="9">
        <f t="shared" si="75"/>
        <v>-2.5557129020753692E-2</v>
      </c>
      <c r="BC88" s="9">
        <f t="shared" si="75"/>
        <v>-3.4970894085748862E-2</v>
      </c>
      <c r="BD88" s="9">
        <f t="shared" si="75"/>
        <v>-3.9487731741313318E-3</v>
      </c>
      <c r="BE88" s="9">
        <f t="shared" si="75"/>
        <v>3.7624245983203724E-4</v>
      </c>
      <c r="BF88" s="9">
        <f t="shared" si="75"/>
        <v>-4.0375639790355064E-2</v>
      </c>
      <c r="BG88" s="9">
        <f t="shared" si="75"/>
        <v>-4.7244506946886172E-2</v>
      </c>
      <c r="BH88" s="9">
        <f t="shared" si="75"/>
        <v>-1.4089878388717502E-5</v>
      </c>
      <c r="BI88" s="9">
        <f t="shared" si="75"/>
        <v>1.7071441252780081E-2</v>
      </c>
      <c r="BJ88" s="9">
        <f t="shared" si="75"/>
        <v>-0.15710780617842232</v>
      </c>
      <c r="BK88" s="9">
        <f t="shared" si="75"/>
        <v>-2.2770117666757217E-4</v>
      </c>
      <c r="BL88" s="9">
        <f t="shared" si="75"/>
        <v>-2.5247886746628299E-4</v>
      </c>
      <c r="BM88" s="9">
        <f t="shared" si="75"/>
        <v>-3.0674136241975042E-2</v>
      </c>
      <c r="BN88" s="9">
        <f t="shared" si="75"/>
        <v>-1.7440739201957982E-2</v>
      </c>
      <c r="BO88" s="9">
        <f t="shared" si="75"/>
        <v>-0.42028153673371621</v>
      </c>
      <c r="BP88" s="9">
        <f t="shared" si="75"/>
        <v>0.37467748083474683</v>
      </c>
      <c r="BQ88" s="9">
        <f t="shared" si="75"/>
        <v>-5.2925484584013853E-2</v>
      </c>
      <c r="BR88" s="9">
        <f t="shared" si="75"/>
        <v>3.2160574654089484E-4</v>
      </c>
      <c r="BS88" s="9">
        <f t="shared" si="75"/>
        <v>-7.2946732731742059E-4</v>
      </c>
    </row>
    <row r="89" spans="48:71" x14ac:dyDescent="0.25">
      <c r="AV89" s="9" t="s">
        <v>138</v>
      </c>
      <c r="AW89" s="9"/>
      <c r="AX89" s="9">
        <f>PERCENTILE(AX65:AX69, 0.25)</f>
        <v>-1.4121898343005201E-2</v>
      </c>
      <c r="AY89" s="9">
        <f t="shared" ref="AY89:BS89" si="76">PERCENTILE(AY65:AY69, 0.25)</f>
        <v>-2.4563551698444396E-2</v>
      </c>
      <c r="AZ89" s="9">
        <f t="shared" si="76"/>
        <v>-9.0730069888373996E-2</v>
      </c>
      <c r="BA89" s="9">
        <f t="shared" si="76"/>
        <v>-4.5412378287992161E-2</v>
      </c>
      <c r="BB89" s="9">
        <f t="shared" si="76"/>
        <v>-3.1919555892050096E-2</v>
      </c>
      <c r="BC89" s="9">
        <f t="shared" si="76"/>
        <v>-3.3376089929580986E-2</v>
      </c>
      <c r="BD89" s="9">
        <f t="shared" si="76"/>
        <v>-4.1020007567727293E-3</v>
      </c>
      <c r="BE89" s="9">
        <f t="shared" si="76"/>
        <v>-4.2215634284369834E-4</v>
      </c>
      <c r="BF89" s="9">
        <f t="shared" si="76"/>
        <v>-3.9906157539344345E-2</v>
      </c>
      <c r="BG89" s="9">
        <f t="shared" si="76"/>
        <v>-3.1423477189888742E-2</v>
      </c>
      <c r="BH89" s="9">
        <f t="shared" si="76"/>
        <v>2.395977778387971E-5</v>
      </c>
      <c r="BI89" s="9">
        <f t="shared" si="76"/>
        <v>3.1088161267953428E-3</v>
      </c>
      <c r="BJ89" s="9">
        <f t="shared" si="76"/>
        <v>-0.14671033539932452</v>
      </c>
      <c r="BK89" s="9">
        <f t="shared" si="76"/>
        <v>-1.2186648018887732E-4</v>
      </c>
      <c r="BL89" s="9">
        <f t="shared" si="76"/>
        <v>9.9141226480737124E-4</v>
      </c>
      <c r="BM89" s="9">
        <f t="shared" si="76"/>
        <v>-2.2647035228154051E-2</v>
      </c>
      <c r="BN89" s="9">
        <f t="shared" si="76"/>
        <v>-1.7541087178114836E-2</v>
      </c>
      <c r="BO89" s="9">
        <f t="shared" si="76"/>
        <v>-0.18786258391462429</v>
      </c>
      <c r="BP89" s="9">
        <f t="shared" si="76"/>
        <v>0.30746778968494559</v>
      </c>
      <c r="BQ89" s="9">
        <f t="shared" si="76"/>
        <v>-5.3848355024467935E-2</v>
      </c>
      <c r="BR89" s="9">
        <f t="shared" si="76"/>
        <v>0</v>
      </c>
      <c r="BS89" s="9">
        <f t="shared" si="76"/>
        <v>-1.9491853484142107E-3</v>
      </c>
    </row>
  </sheetData>
  <mergeCells count="4">
    <mergeCell ref="AA4:AT4"/>
    <mergeCell ref="AX4:BQ4"/>
    <mergeCell ref="AX37:BQ37"/>
    <mergeCell ref="AX58:BQ5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51"/>
  <sheetViews>
    <sheetView topLeftCell="H28" workbookViewId="0">
      <selection activeCell="Q100" sqref="Q100"/>
    </sheetView>
  </sheetViews>
  <sheetFormatPr defaultRowHeight="15" x14ac:dyDescent="0.25"/>
  <cols>
    <col min="5" max="6" width="10.85546875" bestFit="1" customWidth="1"/>
    <col min="7" max="16" width="9.7109375" bestFit="1" customWidth="1"/>
    <col min="17" max="17" width="11.7109375" bestFit="1" customWidth="1"/>
    <col min="18" max="23" width="9.7109375" bestFit="1" customWidth="1"/>
    <col min="24" max="24" width="11" bestFit="1" customWidth="1"/>
    <col min="25" max="26" width="9.7109375" bestFit="1" customWidth="1"/>
  </cols>
  <sheetData>
    <row r="3" spans="5:28" x14ac:dyDescent="0.25">
      <c r="F3" s="34"/>
      <c r="G3" s="95" t="s">
        <v>71</v>
      </c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5:28" x14ac:dyDescent="0.25">
      <c r="E4" s="35"/>
      <c r="F4" s="35"/>
      <c r="G4" s="36" t="s">
        <v>13</v>
      </c>
      <c r="H4" s="36" t="s">
        <v>34</v>
      </c>
      <c r="I4" s="36" t="s">
        <v>11</v>
      </c>
      <c r="J4" s="36" t="s">
        <v>12</v>
      </c>
      <c r="K4" s="36" t="s">
        <v>7</v>
      </c>
      <c r="L4" s="36" t="s">
        <v>20</v>
      </c>
      <c r="M4" s="36" t="s">
        <v>15</v>
      </c>
      <c r="N4" s="36" t="s">
        <v>19</v>
      </c>
      <c r="O4" s="36" t="s">
        <v>26</v>
      </c>
      <c r="P4" s="36" t="s">
        <v>43</v>
      </c>
      <c r="Q4" s="36" t="s">
        <v>31</v>
      </c>
      <c r="R4" s="36" t="s">
        <v>35</v>
      </c>
      <c r="S4" s="36" t="s">
        <v>30</v>
      </c>
      <c r="T4" s="36" t="s">
        <v>37</v>
      </c>
      <c r="U4" s="36" t="s">
        <v>27</v>
      </c>
      <c r="V4" s="36" t="s">
        <v>44</v>
      </c>
      <c r="W4" s="36" t="s">
        <v>33</v>
      </c>
      <c r="X4" s="36" t="s">
        <v>91</v>
      </c>
      <c r="Y4" s="36" t="s">
        <v>8</v>
      </c>
      <c r="Z4" s="36" t="s">
        <v>4</v>
      </c>
      <c r="AA4" s="36" t="s">
        <v>42</v>
      </c>
      <c r="AB4" s="36" t="s">
        <v>40</v>
      </c>
    </row>
    <row r="5" spans="5:28" x14ac:dyDescent="0.25">
      <c r="E5" s="35">
        <v>1</v>
      </c>
      <c r="F5" s="2" t="s">
        <v>136</v>
      </c>
      <c r="G5" s="44">
        <v>-9.4053413399459274E-2</v>
      </c>
      <c r="H5" s="44">
        <v>-0.26791557543269806</v>
      </c>
      <c r="I5" s="44">
        <v>-0.65125092200960566</v>
      </c>
      <c r="J5" s="44">
        <v>-0.27037375672215092</v>
      </c>
      <c r="K5" s="44">
        <v>-0.20955167323211943</v>
      </c>
      <c r="L5" s="44">
        <v>-0.28422611733539371</v>
      </c>
      <c r="M5" s="44">
        <v>-3.1111367249343047E-2</v>
      </c>
      <c r="N5" s="44">
        <v>2.4705398720287215E-2</v>
      </c>
      <c r="O5" s="44">
        <v>-0.19375658652339434</v>
      </c>
      <c r="P5" s="44">
        <v>-0.27131158446770165</v>
      </c>
      <c r="Q5" s="44">
        <v>7.5757198506408319E-3</v>
      </c>
      <c r="R5" s="44">
        <v>0.34943744769931351</v>
      </c>
      <c r="S5" s="44">
        <v>-1.6791979937342214</v>
      </c>
      <c r="T5" s="44">
        <v>-8.9396729991771465E-4</v>
      </c>
      <c r="U5" s="44">
        <v>3.0558005312979336E-2</v>
      </c>
      <c r="V5" s="44">
        <v>-0.37769766796845095</v>
      </c>
      <c r="W5" s="44">
        <v>-0.1072727605346121</v>
      </c>
      <c r="X5" s="44">
        <v>-7.2201113429733397</v>
      </c>
      <c r="Y5" s="44">
        <v>8.075330504160549</v>
      </c>
      <c r="Z5" s="44">
        <v>-0.57967557069674736</v>
      </c>
      <c r="AA5" s="35">
        <v>6.7316634597388205E-3</v>
      </c>
      <c r="AB5" s="35">
        <v>-8.0610859982528579E-3</v>
      </c>
    </row>
    <row r="6" spans="5:28" x14ac:dyDescent="0.25">
      <c r="E6" s="35">
        <v>2</v>
      </c>
      <c r="F6" s="2" t="s">
        <v>136</v>
      </c>
      <c r="G6" s="44">
        <v>-0.24507353805598364</v>
      </c>
      <c r="H6" s="44">
        <v>-0.3901319563125788</v>
      </c>
      <c r="I6" s="44">
        <v>-1.4916603583136379</v>
      </c>
      <c r="J6" s="44">
        <v>-0.73002030900554837</v>
      </c>
      <c r="K6" s="44">
        <v>-0.47742122377752416</v>
      </c>
      <c r="L6" s="44">
        <v>-0.5509294629946464</v>
      </c>
      <c r="M6" s="44">
        <v>-6.220874647864337E-2</v>
      </c>
      <c r="N6" s="44">
        <v>5.9273021685630825E-3</v>
      </c>
      <c r="O6" s="44">
        <v>-0.63607551734945189</v>
      </c>
      <c r="P6" s="44">
        <v>-0.74742613129032986</v>
      </c>
      <c r="Q6" s="44">
        <v>4.8392370572206134E-6</v>
      </c>
      <c r="R6" s="44">
        <v>0.26894250798613473</v>
      </c>
      <c r="S6" s="44">
        <v>-2.4750673825470688</v>
      </c>
      <c r="T6" s="44">
        <v>-2.4807063790204305E-3</v>
      </c>
      <c r="U6" s="44">
        <v>-1.595532906798372E-2</v>
      </c>
      <c r="V6" s="44">
        <v>-0.64736856068611703</v>
      </c>
      <c r="W6" s="44">
        <v>-0.27476040673149499</v>
      </c>
      <c r="X6" s="44">
        <v>-5.9600538905491121</v>
      </c>
      <c r="Y6" s="44">
        <v>5.2482332354380805</v>
      </c>
      <c r="Z6" s="44">
        <v>-0.86072896156660883</v>
      </c>
      <c r="AA6" s="35">
        <v>1.2830147921413767E-2</v>
      </c>
      <c r="AB6" s="35">
        <v>1.7273009946123338E-2</v>
      </c>
    </row>
    <row r="7" spans="5:28" x14ac:dyDescent="0.25">
      <c r="E7" s="35">
        <v>3</v>
      </c>
      <c r="F7" s="2" t="s">
        <v>136</v>
      </c>
      <c r="G7" s="44">
        <v>-0.26651046265889228</v>
      </c>
      <c r="H7" s="44">
        <v>-0.50272125691206493</v>
      </c>
      <c r="I7" s="44">
        <v>-1.4559444952351903</v>
      </c>
      <c r="J7" s="44">
        <v>-0.78461326504481432</v>
      </c>
      <c r="K7" s="44">
        <v>-0.40262554719258947</v>
      </c>
      <c r="L7" s="44">
        <v>-0.58958713725923051</v>
      </c>
      <c r="M7" s="44">
        <v>-6.9601046532504207E-2</v>
      </c>
      <c r="N7" s="44">
        <v>4.3921104374764833E-3</v>
      </c>
      <c r="O7" s="44">
        <v>-0.65294809760465666</v>
      </c>
      <c r="P7" s="44">
        <v>-0.74428725722233624</v>
      </c>
      <c r="Q7" s="44">
        <v>-2.2197113734988402E-4</v>
      </c>
      <c r="R7" s="44">
        <v>0.20694247644939848</v>
      </c>
      <c r="S7" s="44">
        <v>-3.1320265131246758</v>
      </c>
      <c r="T7" s="44">
        <v>-4.4536023755858498E-3</v>
      </c>
      <c r="U7" s="44">
        <v>-3.9775376211322044E-3</v>
      </c>
      <c r="V7" s="44">
        <v>-0.48323858595604596</v>
      </c>
      <c r="W7" s="44">
        <v>-0.32175053328004971</v>
      </c>
      <c r="X7" s="44">
        <v>-3.7314655626457878</v>
      </c>
      <c r="Y7" s="44">
        <v>5.9026475790504147</v>
      </c>
      <c r="Z7" s="44">
        <v>-0.83378505362505373</v>
      </c>
      <c r="AA7" s="35">
        <v>2.9773768522296253E-4</v>
      </c>
      <c r="AB7" s="35">
        <v>-3.3492916471835076E-2</v>
      </c>
    </row>
    <row r="8" spans="5:28" x14ac:dyDescent="0.25">
      <c r="E8" s="37">
        <v>4</v>
      </c>
      <c r="F8" s="2" t="s">
        <v>136</v>
      </c>
      <c r="G8" s="2">
        <v>-0.14508204257980917</v>
      </c>
      <c r="H8" s="2">
        <v>-0.31611958088833925</v>
      </c>
      <c r="I8" s="2">
        <v>-1.0212464295189445</v>
      </c>
      <c r="J8" s="2">
        <v>-0.51413833205292381</v>
      </c>
      <c r="K8" s="2">
        <v>-0.30480173202081495</v>
      </c>
      <c r="L8" s="2">
        <v>-0.40650501793697225</v>
      </c>
      <c r="M8" s="2">
        <v>-4.4659303595619315E-2</v>
      </c>
      <c r="N8" s="2">
        <v>1.0147474426011181E-2</v>
      </c>
      <c r="O8" s="2">
        <v>-0.39727110364898177</v>
      </c>
      <c r="P8" s="2">
        <v>-0.3729644216430672</v>
      </c>
      <c r="Q8" s="2">
        <v>-2.9320415783631046E-4</v>
      </c>
      <c r="R8" s="2">
        <v>0.33833764534765176</v>
      </c>
      <c r="S8" s="2">
        <v>-1.8245056166925204</v>
      </c>
      <c r="T8" s="2">
        <v>-3.5871912990590709E-3</v>
      </c>
      <c r="U8" s="2">
        <v>1.7912419949863423E-2</v>
      </c>
      <c r="V8" s="2">
        <v>-0.27358384761467214</v>
      </c>
      <c r="W8" s="2">
        <v>-0.21663102348918784</v>
      </c>
      <c r="X8" s="2">
        <v>-2.315476315905066</v>
      </c>
      <c r="Y8" s="2">
        <v>7.7736284424865385</v>
      </c>
      <c r="Z8" s="2">
        <v>-0.65757021828551254</v>
      </c>
      <c r="AA8" s="35">
        <v>1.5875723808381387E-2</v>
      </c>
      <c r="AB8" s="35">
        <v>3.5095610990371902E-2</v>
      </c>
    </row>
    <row r="9" spans="5:28" x14ac:dyDescent="0.25">
      <c r="E9" s="36">
        <v>5</v>
      </c>
      <c r="F9" s="6" t="s">
        <v>136</v>
      </c>
      <c r="G9" s="6">
        <v>-0.10392387462859942</v>
      </c>
      <c r="H9" s="6">
        <v>-0.25288202070183241</v>
      </c>
      <c r="I9" s="6">
        <v>-0.57754577235648252</v>
      </c>
      <c r="J9" s="6">
        <v>-0.39084331131028582</v>
      </c>
      <c r="K9" s="6">
        <v>-0.21988747540458342</v>
      </c>
      <c r="L9" s="6">
        <v>-0.28509105027871295</v>
      </c>
      <c r="M9" s="6">
        <v>-2.8701436485008724E-2</v>
      </c>
      <c r="N9" s="6">
        <v>1.9155025125220763E-2</v>
      </c>
      <c r="O9" s="6">
        <v>-0.20552065368256178</v>
      </c>
      <c r="P9" s="6">
        <v>-0.37927485783341286</v>
      </c>
      <c r="Q9" s="6">
        <v>-1.3885962256534462E-4</v>
      </c>
      <c r="R9" s="6">
        <v>0.33102678393257656</v>
      </c>
      <c r="S9" s="6">
        <v>-1.7183402512394679</v>
      </c>
      <c r="T9" s="6">
        <v>-7.035575113591673E-4</v>
      </c>
      <c r="U9" s="6">
        <v>1.7698355071650351E-2</v>
      </c>
      <c r="V9" s="6">
        <v>-0.17020575802128834</v>
      </c>
      <c r="W9" s="6">
        <v>-0.12962625460681138</v>
      </c>
      <c r="X9" s="6">
        <v>-6.6210912643960427</v>
      </c>
      <c r="Y9" s="6">
        <v>6.1823856113558495</v>
      </c>
      <c r="Z9" s="6">
        <v>-0.59144120927650357</v>
      </c>
      <c r="AA9" s="36">
        <v>5.066558515870824E-3</v>
      </c>
      <c r="AB9" s="36">
        <v>-1.1491986505283557E-2</v>
      </c>
    </row>
    <row r="10" spans="5:28" x14ac:dyDescent="0.25">
      <c r="E10" s="35">
        <v>6</v>
      </c>
      <c r="F10" s="2" t="s">
        <v>138</v>
      </c>
      <c r="G10" s="44">
        <v>-0.10897932667604926</v>
      </c>
      <c r="H10" s="44">
        <v>-0.21444270963512768</v>
      </c>
      <c r="I10" s="44">
        <v>-0.53809253396355761</v>
      </c>
      <c r="J10" s="44">
        <v>-0.31313829995731979</v>
      </c>
      <c r="K10" s="44">
        <v>-0.20766477295548369</v>
      </c>
      <c r="L10" s="44">
        <v>-0.23011433853965424</v>
      </c>
      <c r="M10" s="44">
        <v>-2.67883698444564E-2</v>
      </c>
      <c r="N10" s="44">
        <v>7.094872046092833E-3</v>
      </c>
      <c r="O10" s="44">
        <v>-0.16317655697336031</v>
      </c>
      <c r="P10" s="44">
        <v>-0.40060986569988799</v>
      </c>
      <c r="Q10" s="44">
        <v>3.438837420526793E-4</v>
      </c>
      <c r="R10" s="44">
        <v>7.9537920478488428E-2</v>
      </c>
      <c r="S10" s="44">
        <v>-1.3212336174225134</v>
      </c>
      <c r="T10" s="44">
        <v>7.0093921505491597E-4</v>
      </c>
      <c r="U10" s="44">
        <v>5.3227270101395552E-2</v>
      </c>
      <c r="V10" s="44">
        <v>-0.3345326185772266</v>
      </c>
      <c r="W10" s="44">
        <v>-8.1316655565916163E-2</v>
      </c>
      <c r="X10" s="44">
        <v>-1.9058013474093514</v>
      </c>
      <c r="Y10" s="44">
        <v>5.9030787684777284</v>
      </c>
      <c r="Z10" s="44">
        <v>-0.59550378479319677</v>
      </c>
      <c r="AA10" s="35">
        <v>1.5951929241261758E-3</v>
      </c>
      <c r="AB10" s="35">
        <v>2.5496203538983721E-2</v>
      </c>
    </row>
    <row r="11" spans="5:28" x14ac:dyDescent="0.25">
      <c r="E11" s="35">
        <v>7</v>
      </c>
      <c r="F11" s="2" t="s">
        <v>138</v>
      </c>
      <c r="G11" s="44">
        <v>-0.12494348028505675</v>
      </c>
      <c r="H11" s="44">
        <v>-0.36284260559731885</v>
      </c>
      <c r="I11" s="44">
        <v>-0.88378434032171915</v>
      </c>
      <c r="J11" s="44">
        <v>-0.46843058096457524</v>
      </c>
      <c r="K11" s="44">
        <v>-0.32489256287243551</v>
      </c>
      <c r="L11" s="44">
        <v>-0.42218398035211635</v>
      </c>
      <c r="M11" s="44">
        <v>-4.8790803962852347E-2</v>
      </c>
      <c r="N11" s="44">
        <v>-7.6340433712614175E-4</v>
      </c>
      <c r="O11" s="44">
        <v>-0.44606184105663793</v>
      </c>
      <c r="P11" s="44">
        <v>-0.46417458193674888</v>
      </c>
      <c r="Q11" s="44">
        <v>5.138552830759917E-4</v>
      </c>
      <c r="R11" s="44">
        <v>4.6524068782709149E-2</v>
      </c>
      <c r="S11" s="44">
        <v>-1.9305547554825555</v>
      </c>
      <c r="T11" s="44">
        <v>-1.774879181424641E-3</v>
      </c>
      <c r="U11" s="44">
        <v>2.8984516930444848E-2</v>
      </c>
      <c r="V11" s="44">
        <v>-0.32722431901370719</v>
      </c>
      <c r="W11" s="44">
        <v>-0.25910967008569774</v>
      </c>
      <c r="X11" s="44">
        <v>-2.7750282320184212</v>
      </c>
      <c r="Y11" s="44">
        <v>4.3067554087126769</v>
      </c>
      <c r="Z11" s="44">
        <v>-0.80477703787821464</v>
      </c>
      <c r="AA11" s="35">
        <v>8.8793469422463779E-4</v>
      </c>
      <c r="AB11" s="35">
        <v>1.0061568535119567E-2</v>
      </c>
    </row>
    <row r="12" spans="5:28" x14ac:dyDescent="0.25">
      <c r="E12" s="35">
        <v>8</v>
      </c>
      <c r="F12" s="2" t="s">
        <v>138</v>
      </c>
      <c r="G12" s="44">
        <v>-0.23493331367423981</v>
      </c>
      <c r="H12" s="44">
        <v>-0.34791617428447585</v>
      </c>
      <c r="I12" s="44">
        <v>-1.3698764674849429</v>
      </c>
      <c r="J12" s="44">
        <v>-0.7641599494664959</v>
      </c>
      <c r="K12" s="44">
        <v>-0.4950098914912302</v>
      </c>
      <c r="L12" s="44">
        <v>-0.59767476681936071</v>
      </c>
      <c r="M12" s="44">
        <v>-6.2583975191369212E-2</v>
      </c>
      <c r="N12" s="44">
        <v>-8.6234019050927882E-3</v>
      </c>
      <c r="O12" s="44">
        <v>-0.58947722050593288</v>
      </c>
      <c r="P12" s="44">
        <v>-0.73273215769432487</v>
      </c>
      <c r="Q12" s="44">
        <v>3.7415117569885973E-4</v>
      </c>
      <c r="R12" s="44">
        <v>4.5922143410589256E-2</v>
      </c>
      <c r="S12" s="44">
        <v>-2.1671442720442862</v>
      </c>
      <c r="T12" s="44">
        <v>-1.8001611391363498E-3</v>
      </c>
      <c r="U12" s="44">
        <v>1.9561043139895984E-3</v>
      </c>
      <c r="V12" s="44">
        <v>-0.48217485703346363</v>
      </c>
      <c r="W12" s="44">
        <v>-0.24785885884285774</v>
      </c>
      <c r="X12" s="44">
        <v>-2.0008111315632391</v>
      </c>
      <c r="Y12" s="44">
        <v>4.5417867626040138</v>
      </c>
      <c r="Z12" s="44">
        <v>-0.7954255835667603</v>
      </c>
      <c r="AA12" s="35">
        <v>7.7112792405227971E-4</v>
      </c>
      <c r="AB12" s="35">
        <v>6.5477221284645643E-3</v>
      </c>
    </row>
    <row r="13" spans="5:28" x14ac:dyDescent="0.25">
      <c r="E13" s="35">
        <v>9</v>
      </c>
      <c r="F13" s="2" t="s">
        <v>138</v>
      </c>
      <c r="G13" s="44">
        <v>-0.20860282965842314</v>
      </c>
      <c r="H13" s="44">
        <v>-0.39390575781605197</v>
      </c>
      <c r="I13" s="44">
        <v>-1.3402269903179076</v>
      </c>
      <c r="J13" s="44">
        <v>-0.67081283141271886</v>
      </c>
      <c r="K13" s="44">
        <v>-0.47150245093074949</v>
      </c>
      <c r="L13" s="44">
        <v>-0.49301776808874664</v>
      </c>
      <c r="M13" s="44">
        <v>-6.0593055150239106E-2</v>
      </c>
      <c r="N13" s="44">
        <v>-6.2359185384637666E-3</v>
      </c>
      <c r="O13" s="44">
        <v>-0.61196900022386425</v>
      </c>
      <c r="P13" s="44">
        <v>-0.45261147091684339</v>
      </c>
      <c r="Q13" s="44">
        <v>3.5392390755878487E-4</v>
      </c>
      <c r="R13" s="44">
        <v>4.1251848569292482E-2</v>
      </c>
      <c r="S13" s="44">
        <v>-2.4319144802749637</v>
      </c>
      <c r="T13" s="44">
        <v>-1.8811073664627403E-3</v>
      </c>
      <c r="U13" s="44">
        <v>1.4644731095895508E-2</v>
      </c>
      <c r="V13" s="44">
        <v>-0.29934170196799181</v>
      </c>
      <c r="W13" s="44">
        <v>-0.30740332667288306</v>
      </c>
      <c r="X13" s="44">
        <v>-6.4238276184087937</v>
      </c>
      <c r="Y13" s="44">
        <v>5.5896402486539394</v>
      </c>
      <c r="Z13" s="44">
        <v>-0.78608417089358285</v>
      </c>
      <c r="AA13" s="35">
        <v>0</v>
      </c>
      <c r="AB13" s="35">
        <v>-3.4244706581910339E-2</v>
      </c>
    </row>
    <row r="14" spans="5:28" x14ac:dyDescent="0.25">
      <c r="E14" s="35">
        <v>10</v>
      </c>
      <c r="F14" s="2" t="s">
        <v>138</v>
      </c>
      <c r="G14" s="44">
        <v>-1.4892356633826598E-3</v>
      </c>
      <c r="H14" s="44">
        <v>-0.14284462037830026</v>
      </c>
      <c r="I14" s="44">
        <v>-0.10898524540672305</v>
      </c>
      <c r="J14" s="44">
        <v>-0.11488943337601354</v>
      </c>
      <c r="K14" s="44">
        <v>-5.9182110843152724E-2</v>
      </c>
      <c r="L14" s="44">
        <v>-0.11398393619956937</v>
      </c>
      <c r="M14" s="44">
        <v>-1.0702843526089856E-2</v>
      </c>
      <c r="N14" s="44">
        <v>1.2049076858044537E-2</v>
      </c>
      <c r="O14" s="44">
        <v>-4.5544873964629584E-2</v>
      </c>
      <c r="P14" s="44">
        <v>-0.14058391590852093</v>
      </c>
      <c r="Q14" s="44">
        <v>3.8992431123221311E-4</v>
      </c>
      <c r="R14" s="44">
        <v>0.10702861523822468</v>
      </c>
      <c r="S14" s="44">
        <v>-0.55938152872828972</v>
      </c>
      <c r="T14" s="44">
        <v>2.4262774140460068E-3</v>
      </c>
      <c r="U14" s="44">
        <v>8.2425608859954369E-2</v>
      </c>
      <c r="V14" s="44">
        <v>-0.12615323516348909</v>
      </c>
      <c r="W14" s="44">
        <v>-4.3698048932107714E-2</v>
      </c>
      <c r="X14" s="44">
        <v>-1.2348627913724357</v>
      </c>
      <c r="Y14" s="44">
        <v>7.3320003896231025</v>
      </c>
      <c r="Z14" s="44">
        <v>-0.48933480303833266</v>
      </c>
      <c r="AA14" s="35">
        <v>0</v>
      </c>
      <c r="AB14" s="35">
        <v>-3.0707354368628755E-2</v>
      </c>
    </row>
    <row r="15" spans="5:28" x14ac:dyDescent="0.25"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64"/>
    </row>
    <row r="16" spans="5:28" x14ac:dyDescent="0.25">
      <c r="Z16" s="64"/>
    </row>
    <row r="18" spans="2:28" x14ac:dyDescent="0.25">
      <c r="B18" s="38" t="s">
        <v>90</v>
      </c>
      <c r="C18" s="39"/>
      <c r="D18" s="43"/>
      <c r="E18" s="34"/>
      <c r="F18" s="34"/>
      <c r="G18" s="95" t="s">
        <v>92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2:28" x14ac:dyDescent="0.25">
      <c r="B19" s="40"/>
      <c r="C19" s="40"/>
      <c r="D19" s="40"/>
      <c r="E19" s="35"/>
      <c r="F19" s="35"/>
      <c r="G19" s="36" t="s">
        <v>13</v>
      </c>
      <c r="H19" s="36" t="s">
        <v>34</v>
      </c>
      <c r="I19" s="36" t="s">
        <v>11</v>
      </c>
      <c r="J19" s="36" t="s">
        <v>12</v>
      </c>
      <c r="K19" s="36" t="s">
        <v>7</v>
      </c>
      <c r="L19" s="36" t="s">
        <v>20</v>
      </c>
      <c r="M19" s="36" t="s">
        <v>15</v>
      </c>
      <c r="N19" s="36" t="s">
        <v>19</v>
      </c>
      <c r="O19" s="36" t="s">
        <v>26</v>
      </c>
      <c r="P19" s="36" t="s">
        <v>43</v>
      </c>
      <c r="Q19" s="36" t="s">
        <v>31</v>
      </c>
      <c r="R19" s="36" t="s">
        <v>35</v>
      </c>
      <c r="S19" s="36" t="s">
        <v>30</v>
      </c>
      <c r="T19" s="36" t="s">
        <v>37</v>
      </c>
      <c r="U19" s="36" t="s">
        <v>27</v>
      </c>
      <c r="V19" s="36" t="s">
        <v>44</v>
      </c>
      <c r="W19" s="36" t="s">
        <v>33</v>
      </c>
      <c r="X19" s="36" t="s">
        <v>91</v>
      </c>
      <c r="Y19" s="36" t="s">
        <v>8</v>
      </c>
      <c r="Z19" s="36" t="s">
        <v>4</v>
      </c>
      <c r="AA19" s="36" t="s">
        <v>42</v>
      </c>
      <c r="AB19" s="36" t="s">
        <v>40</v>
      </c>
    </row>
    <row r="20" spans="2:28" x14ac:dyDescent="0.25">
      <c r="B20" s="41" t="s">
        <v>45</v>
      </c>
      <c r="C20" s="65">
        <v>3498708.233105564</v>
      </c>
      <c r="D20" s="42"/>
      <c r="E20" s="35">
        <v>1</v>
      </c>
      <c r="F20" s="2" t="s">
        <v>136</v>
      </c>
      <c r="G20" s="45">
        <f>1000000000*G5/$C$20</f>
        <v>-26.882325456436959</v>
      </c>
      <c r="H20" s="45">
        <f t="shared" ref="H20:X20" si="0">1000000000*H5/$C$20</f>
        <v>-76.575569490939728</v>
      </c>
      <c r="I20" s="45">
        <f t="shared" si="0"/>
        <v>-186.14039200163162</v>
      </c>
      <c r="J20" s="45">
        <f t="shared" si="0"/>
        <v>-77.278166314016602</v>
      </c>
      <c r="K20" s="45">
        <f t="shared" si="0"/>
        <v>-59.894012095462656</v>
      </c>
      <c r="L20" s="45">
        <f t="shared" si="0"/>
        <v>-81.237444907804061</v>
      </c>
      <c r="M20" s="45">
        <f t="shared" si="0"/>
        <v>-8.8922439873551884</v>
      </c>
      <c r="N20" s="45">
        <f t="shared" si="0"/>
        <v>7.061291503681038</v>
      </c>
      <c r="O20" s="45">
        <f t="shared" si="0"/>
        <v>-55.379463966164984</v>
      </c>
      <c r="P20" s="45">
        <f t="shared" si="0"/>
        <v>-77.54621602924486</v>
      </c>
      <c r="Q20" s="45">
        <f t="shared" si="0"/>
        <v>2.1652905432232581</v>
      </c>
      <c r="R20" s="45">
        <f t="shared" si="0"/>
        <v>99.876132680301211</v>
      </c>
      <c r="S20" s="45">
        <f t="shared" si="0"/>
        <v>-479.94799276066306</v>
      </c>
      <c r="T20" s="45">
        <f t="shared" si="0"/>
        <v>-0.25551353252574621</v>
      </c>
      <c r="U20" s="45">
        <f t="shared" si="0"/>
        <v>8.7340822032064924</v>
      </c>
      <c r="V20" s="45">
        <f t="shared" si="0"/>
        <v>-107.95346247926327</v>
      </c>
      <c r="W20" s="45">
        <f t="shared" si="0"/>
        <v>-30.660676280340592</v>
      </c>
      <c r="X20" s="45">
        <f t="shared" si="0"/>
        <v>-2063.6505995712996</v>
      </c>
      <c r="Y20" s="45">
        <f>1000000000*Y5/$C$20</f>
        <v>2308.0891478031681</v>
      </c>
      <c r="Z20" s="45">
        <f>1000000000*Z5/$C$20</f>
        <v>-165.68274119337153</v>
      </c>
      <c r="AA20" s="45">
        <f>1000000000*AA5/$C$20</f>
        <v>1.9240425354827555</v>
      </c>
      <c r="AB20" s="45">
        <f>1000000000*AB5/$C$20</f>
        <v>-2.3040177863295512</v>
      </c>
    </row>
    <row r="21" spans="2:28" x14ac:dyDescent="0.25">
      <c r="B21" s="40" t="s">
        <v>46</v>
      </c>
      <c r="C21" s="42">
        <v>2969853.6804204532</v>
      </c>
      <c r="D21" s="42"/>
      <c r="E21" s="35">
        <v>2</v>
      </c>
      <c r="F21" s="2" t="s">
        <v>136</v>
      </c>
      <c r="G21" s="45">
        <f t="shared" ref="G21:AB21" si="1">1000000000*G6/$C$20</f>
        <v>-70.046863507234676</v>
      </c>
      <c r="H21" s="45">
        <f t="shared" si="1"/>
        <v>-111.50742797614917</v>
      </c>
      <c r="I21" s="45">
        <f t="shared" si="1"/>
        <v>-426.34602799948055</v>
      </c>
      <c r="J21" s="45">
        <f t="shared" si="1"/>
        <v>-208.65424047022043</v>
      </c>
      <c r="K21" s="45">
        <f t="shared" si="1"/>
        <v>-136.45642676347151</v>
      </c>
      <c r="L21" s="45">
        <f t="shared" si="1"/>
        <v>-157.46653515764132</v>
      </c>
      <c r="M21" s="45">
        <f t="shared" si="1"/>
        <v>-17.780489921968979</v>
      </c>
      <c r="N21" s="45">
        <f t="shared" si="1"/>
        <v>1.6941401722148812</v>
      </c>
      <c r="O21" s="45">
        <f t="shared" si="1"/>
        <v>-181.80296125603226</v>
      </c>
      <c r="P21" s="45">
        <f t="shared" si="1"/>
        <v>-213.62916867946166</v>
      </c>
      <c r="Q21" s="45">
        <f t="shared" si="1"/>
        <v>1.3831496468984365E-3</v>
      </c>
      <c r="R21" s="45">
        <f t="shared" si="1"/>
        <v>76.869087122309949</v>
      </c>
      <c r="S21" s="45">
        <f t="shared" si="1"/>
        <v>-707.42320240579784</v>
      </c>
      <c r="T21" s="45">
        <f t="shared" si="1"/>
        <v>-0.70903493910907722</v>
      </c>
      <c r="U21" s="45">
        <f t="shared" si="1"/>
        <v>-4.5603485643675024</v>
      </c>
      <c r="V21" s="45">
        <f t="shared" si="1"/>
        <v>-185.03073636165774</v>
      </c>
      <c r="W21" s="45">
        <f t="shared" si="1"/>
        <v>-78.531957632720051</v>
      </c>
      <c r="X21" s="45">
        <f t="shared" si="1"/>
        <v>-1703.501262024007</v>
      </c>
      <c r="Y21" s="45">
        <f t="shared" si="1"/>
        <v>1500.0488425351157</v>
      </c>
      <c r="Z21" s="45">
        <f t="shared" si="1"/>
        <v>-246.01335813663962</v>
      </c>
      <c r="AA21" s="45">
        <f t="shared" si="1"/>
        <v>3.6671099921999843</v>
      </c>
      <c r="AB21" s="45">
        <f t="shared" si="1"/>
        <v>4.9369678164878783</v>
      </c>
    </row>
    <row r="22" spans="2:28" x14ac:dyDescent="0.25">
      <c r="E22" s="35">
        <v>3</v>
      </c>
      <c r="F22" s="2" t="s">
        <v>136</v>
      </c>
      <c r="G22" s="45">
        <f t="shared" ref="G22:AB22" si="2">1000000000*G7/$C$20</f>
        <v>-76.173960474071649</v>
      </c>
      <c r="H22" s="45">
        <f t="shared" si="2"/>
        <v>-143.68767654164566</v>
      </c>
      <c r="I22" s="45">
        <f t="shared" si="2"/>
        <v>-416.13772805023183</v>
      </c>
      <c r="J22" s="45">
        <f t="shared" si="2"/>
        <v>-224.25798688230907</v>
      </c>
      <c r="K22" s="45">
        <f t="shared" si="2"/>
        <v>-115.07834331049843</v>
      </c>
      <c r="L22" s="45">
        <f t="shared" si="2"/>
        <v>-168.51566291822348</v>
      </c>
      <c r="M22" s="45">
        <f t="shared" si="2"/>
        <v>-19.893355460144818</v>
      </c>
      <c r="N22" s="45">
        <f t="shared" si="2"/>
        <v>1.2553520170437038</v>
      </c>
      <c r="O22" s="45">
        <f t="shared" si="2"/>
        <v>-186.62547834835581</v>
      </c>
      <c r="P22" s="45">
        <f t="shared" si="2"/>
        <v>-212.73201639957367</v>
      </c>
      <c r="Q22" s="45">
        <f t="shared" si="2"/>
        <v>-6.3443740535304771E-2</v>
      </c>
      <c r="R22" s="45">
        <f t="shared" si="2"/>
        <v>59.148252058077389</v>
      </c>
      <c r="S22" s="45">
        <f t="shared" si="2"/>
        <v>-895.19511329602642</v>
      </c>
      <c r="T22" s="45">
        <f t="shared" si="2"/>
        <v>-1.2729276289588431</v>
      </c>
      <c r="U22" s="45">
        <f t="shared" si="2"/>
        <v>-1.1368589079523261</v>
      </c>
      <c r="V22" s="45">
        <f t="shared" si="2"/>
        <v>-138.11914391246856</v>
      </c>
      <c r="W22" s="45">
        <f t="shared" si="2"/>
        <v>-91.96266503036</v>
      </c>
      <c r="X22" s="45">
        <f t="shared" si="2"/>
        <v>-1066.5266475603257</v>
      </c>
      <c r="Y22" s="45">
        <f t="shared" si="2"/>
        <v>1687.0934029874902</v>
      </c>
      <c r="Z22" s="45">
        <f t="shared" si="2"/>
        <v>-238.31225643098563</v>
      </c>
      <c r="AA22" s="45">
        <f t="shared" si="2"/>
        <v>8.5099318201415475E-2</v>
      </c>
      <c r="AB22" s="45">
        <f t="shared" si="2"/>
        <v>-9.5729378502950233</v>
      </c>
    </row>
    <row r="23" spans="2:28" x14ac:dyDescent="0.25">
      <c r="E23" s="37">
        <v>4</v>
      </c>
      <c r="F23" s="2" t="s">
        <v>136</v>
      </c>
      <c r="G23" s="8">
        <f t="shared" ref="G23:AB23" si="3">1000000000*G8/$C$20</f>
        <v>-41.467316767660201</v>
      </c>
      <c r="H23" s="8">
        <f t="shared" si="3"/>
        <v>-90.353227484688389</v>
      </c>
      <c r="I23" s="8">
        <f t="shared" si="3"/>
        <v>-291.89242471140665</v>
      </c>
      <c r="J23" s="8">
        <f t="shared" si="3"/>
        <v>-146.95090238963948</v>
      </c>
      <c r="K23" s="8">
        <f t="shared" si="3"/>
        <v>-87.11836246781381</v>
      </c>
      <c r="L23" s="8">
        <f t="shared" si="3"/>
        <v>-116.18717276580264</v>
      </c>
      <c r="M23" s="8">
        <f t="shared" si="3"/>
        <v>-12.76451210565172</v>
      </c>
      <c r="N23" s="8">
        <f t="shared" si="3"/>
        <v>2.9003488573278262</v>
      </c>
      <c r="O23" s="8">
        <f t="shared" si="3"/>
        <v>-113.54793746157888</v>
      </c>
      <c r="P23" s="8">
        <f t="shared" si="3"/>
        <v>-106.60060707949121</v>
      </c>
      <c r="Q23" s="8">
        <f t="shared" si="3"/>
        <v>-8.3803546423776284E-2</v>
      </c>
      <c r="R23" s="8">
        <f t="shared" si="3"/>
        <v>96.703589669531425</v>
      </c>
      <c r="S23" s="8">
        <f t="shared" si="3"/>
        <v>-521.47978486134912</v>
      </c>
      <c r="T23" s="8">
        <f t="shared" si="3"/>
        <v>-1.0252902100027264</v>
      </c>
      <c r="U23" s="8">
        <f t="shared" si="3"/>
        <v>5.1197238398938438</v>
      </c>
      <c r="V23" s="8">
        <f t="shared" si="3"/>
        <v>-78.195673770667767</v>
      </c>
      <c r="W23" s="8">
        <f t="shared" si="3"/>
        <v>-61.917430393130921</v>
      </c>
      <c r="X23" s="8">
        <f t="shared" si="3"/>
        <v>-661.80891964511602</v>
      </c>
      <c r="Y23" s="8">
        <f t="shared" si="3"/>
        <v>2221.8567324164728</v>
      </c>
      <c r="Z23" s="8">
        <f t="shared" si="3"/>
        <v>-187.94657184141144</v>
      </c>
      <c r="AA23" s="45">
        <f t="shared" si="3"/>
        <v>4.5375958069786213</v>
      </c>
      <c r="AB23" s="45">
        <f t="shared" si="3"/>
        <v>10.031019636987544</v>
      </c>
    </row>
    <row r="24" spans="2:28" x14ac:dyDescent="0.25">
      <c r="E24" s="36">
        <v>5</v>
      </c>
      <c r="F24" s="6" t="s">
        <v>136</v>
      </c>
      <c r="G24" s="63">
        <f t="shared" ref="G24:AB24" si="4">1000000000*G9/$C$20</f>
        <v>-29.703498464161243</v>
      </c>
      <c r="H24" s="63">
        <f t="shared" si="4"/>
        <v>-72.278682260214183</v>
      </c>
      <c r="I24" s="63">
        <f t="shared" si="4"/>
        <v>-165.07400271094758</v>
      </c>
      <c r="J24" s="63">
        <f t="shared" si="4"/>
        <v>-111.71074730154361</v>
      </c>
      <c r="K24" s="63">
        <f t="shared" si="4"/>
        <v>-62.84818874690913</v>
      </c>
      <c r="L24" s="63">
        <f t="shared" si="4"/>
        <v>-81.484659847059348</v>
      </c>
      <c r="M24" s="63">
        <f t="shared" si="4"/>
        <v>-8.2034381185116487</v>
      </c>
      <c r="N24" s="63">
        <f t="shared" si="4"/>
        <v>5.4748849715365262</v>
      </c>
      <c r="O24" s="63">
        <f t="shared" si="4"/>
        <v>-58.741866994760848</v>
      </c>
      <c r="P24" s="63">
        <f t="shared" si="4"/>
        <v>-108.40425453160938</v>
      </c>
      <c r="Q24" s="63">
        <f t="shared" si="4"/>
        <v>-3.9688826079129332E-2</v>
      </c>
      <c r="R24" s="63">
        <f t="shared" si="4"/>
        <v>94.614000904770137</v>
      </c>
      <c r="S24" s="63">
        <f t="shared" si="4"/>
        <v>-491.13562399406328</v>
      </c>
      <c r="T24" s="63">
        <f t="shared" si="4"/>
        <v>-0.20109064960088638</v>
      </c>
      <c r="U24" s="63">
        <f t="shared" si="4"/>
        <v>5.0585398645661668</v>
      </c>
      <c r="V24" s="63">
        <f t="shared" si="4"/>
        <v>-48.648171462473833</v>
      </c>
      <c r="W24" s="63">
        <f t="shared" si="4"/>
        <v>-37.049746926668135</v>
      </c>
      <c r="X24" s="63">
        <f t="shared" si="4"/>
        <v>-1892.4388154878959</v>
      </c>
      <c r="Y24" s="63">
        <f t="shared" si="4"/>
        <v>1767.0480644418208</v>
      </c>
      <c r="Z24" s="63">
        <f t="shared" si="4"/>
        <v>-169.04559336504653</v>
      </c>
      <c r="AA24" s="63">
        <f t="shared" si="4"/>
        <v>1.4481226150640139</v>
      </c>
      <c r="AB24" s="63">
        <f t="shared" si="4"/>
        <v>-3.2846369973191236</v>
      </c>
    </row>
    <row r="25" spans="2:28" x14ac:dyDescent="0.25">
      <c r="E25" s="35">
        <v>6</v>
      </c>
      <c r="F25" s="2" t="s">
        <v>138</v>
      </c>
      <c r="G25" s="45">
        <f>1000000000*G10/$C$21</f>
        <v>-36.695183804685172</v>
      </c>
      <c r="H25" s="45">
        <f t="shared" ref="H25:Z25" si="5">1000000000*H10/$C$21</f>
        <v>-72.206489851300773</v>
      </c>
      <c r="I25" s="45">
        <f t="shared" si="5"/>
        <v>-181.1848635880869</v>
      </c>
      <c r="J25" s="45">
        <f t="shared" si="5"/>
        <v>-105.4389655698417</v>
      </c>
      <c r="K25" s="45">
        <f t="shared" si="5"/>
        <v>-69.924243852338137</v>
      </c>
      <c r="L25" s="45">
        <f t="shared" si="5"/>
        <v>-77.483392551203423</v>
      </c>
      <c r="M25" s="45">
        <f t="shared" si="5"/>
        <v>-9.0200975290687957</v>
      </c>
      <c r="N25" s="45">
        <f t="shared" si="5"/>
        <v>2.3889635010868231</v>
      </c>
      <c r="O25" s="45">
        <f t="shared" si="5"/>
        <v>-54.944308552688966</v>
      </c>
      <c r="P25" s="45">
        <f t="shared" si="5"/>
        <v>-134.89212224191871</v>
      </c>
      <c r="Q25" s="45">
        <f t="shared" si="5"/>
        <v>0.11579147630060832</v>
      </c>
      <c r="R25" s="45">
        <f t="shared" si="5"/>
        <v>26.781764031966702</v>
      </c>
      <c r="S25" s="45">
        <f t="shared" si="5"/>
        <v>-444.88172132287053</v>
      </c>
      <c r="T25" s="45">
        <f t="shared" si="5"/>
        <v>0.23601809734804222</v>
      </c>
      <c r="U25" s="45">
        <f t="shared" si="5"/>
        <v>17.922522733126694</v>
      </c>
      <c r="V25" s="45">
        <f t="shared" si="5"/>
        <v>-112.64279475541892</v>
      </c>
      <c r="W25" s="45">
        <f t="shared" si="5"/>
        <v>-27.380694241611213</v>
      </c>
      <c r="X25" s="45">
        <f t="shared" si="5"/>
        <v>-641.71557002078976</v>
      </c>
      <c r="Y25" s="45">
        <f t="shared" si="5"/>
        <v>1987.6665329997027</v>
      </c>
      <c r="Z25" s="45">
        <f t="shared" si="5"/>
        <v>-200.51620344773656</v>
      </c>
      <c r="AA25" s="45">
        <f t="shared" ref="AA25:AB29" si="6">1000000000*AA10/$C$20</f>
        <v>0.45593768266587698</v>
      </c>
      <c r="AB25" s="45">
        <f t="shared" si="6"/>
        <v>7.2873191590350146</v>
      </c>
    </row>
    <row r="26" spans="2:28" x14ac:dyDescent="0.25">
      <c r="E26" s="35">
        <v>7</v>
      </c>
      <c r="F26" s="2" t="s">
        <v>138</v>
      </c>
      <c r="G26" s="45">
        <f t="shared" ref="G26:Z26" si="7">1000000000*G11/$C$21</f>
        <v>-42.070584523668536</v>
      </c>
      <c r="H26" s="45">
        <f t="shared" si="7"/>
        <v>-122.17524654142215</v>
      </c>
      <c r="I26" s="45">
        <f t="shared" si="7"/>
        <v>-297.58514574246584</v>
      </c>
      <c r="J26" s="45">
        <f t="shared" si="7"/>
        <v>-157.72850496064095</v>
      </c>
      <c r="K26" s="45">
        <f t="shared" si="7"/>
        <v>-109.3968248383332</v>
      </c>
      <c r="L26" s="45">
        <f t="shared" si="7"/>
        <v>-142.15649179468875</v>
      </c>
      <c r="M26" s="45">
        <f t="shared" si="7"/>
        <v>-16.428689495552806</v>
      </c>
      <c r="N26" s="45">
        <f t="shared" si="7"/>
        <v>-0.25705116119325577</v>
      </c>
      <c r="O26" s="45">
        <f t="shared" si="7"/>
        <v>-150.19657163496598</v>
      </c>
      <c r="P26" s="45">
        <f t="shared" si="7"/>
        <v>-156.29543805371378</v>
      </c>
      <c r="Q26" s="45">
        <f t="shared" si="7"/>
        <v>0.1730237709903753</v>
      </c>
      <c r="R26" s="45">
        <f t="shared" si="7"/>
        <v>15.66544139512037</v>
      </c>
      <c r="S26" s="45">
        <f t="shared" si="7"/>
        <v>-650.05046147904488</v>
      </c>
      <c r="T26" s="45">
        <f t="shared" si="7"/>
        <v>-0.59763186083072106</v>
      </c>
      <c r="U26" s="45">
        <f t="shared" si="7"/>
        <v>9.7595774234713826</v>
      </c>
      <c r="V26" s="45">
        <f t="shared" si="7"/>
        <v>-110.18196659687989</v>
      </c>
      <c r="W26" s="45">
        <f t="shared" si="7"/>
        <v>-87.246611438787994</v>
      </c>
      <c r="X26" s="45">
        <f t="shared" si="7"/>
        <v>-934.39897403482519</v>
      </c>
      <c r="Y26" s="45">
        <f t="shared" si="7"/>
        <v>1450.1574394409067</v>
      </c>
      <c r="Z26" s="45">
        <f t="shared" si="7"/>
        <v>-270.98204978377231</v>
      </c>
      <c r="AA26" s="45">
        <f t="shared" si="6"/>
        <v>0.25378929452384741</v>
      </c>
      <c r="AB26" s="45">
        <f t="shared" si="6"/>
        <v>2.8757952549214432</v>
      </c>
    </row>
    <row r="27" spans="2:28" x14ac:dyDescent="0.25">
      <c r="E27" s="35">
        <v>8</v>
      </c>
      <c r="F27" s="2" t="s">
        <v>138</v>
      </c>
      <c r="G27" s="45">
        <f t="shared" ref="G27:Z27" si="8">1000000000*G12/$C$21</f>
        <v>-79.106023041842064</v>
      </c>
      <c r="H27" s="45">
        <f t="shared" si="8"/>
        <v>-117.14926448336676</v>
      </c>
      <c r="I27" s="45">
        <f t="shared" si="8"/>
        <v>-461.26059223597991</v>
      </c>
      <c r="J27" s="45">
        <f t="shared" si="8"/>
        <v>-257.30558865725362</v>
      </c>
      <c r="K27" s="45">
        <f t="shared" si="8"/>
        <v>-166.67820867900463</v>
      </c>
      <c r="L27" s="45">
        <f t="shared" si="8"/>
        <v>-201.24720984056887</v>
      </c>
      <c r="M27" s="45">
        <f t="shared" si="8"/>
        <v>-21.073083702396062</v>
      </c>
      <c r="N27" s="45">
        <f t="shared" si="8"/>
        <v>-2.903645375509524</v>
      </c>
      <c r="O27" s="45">
        <f t="shared" si="8"/>
        <v>-198.48695725052639</v>
      </c>
      <c r="P27" s="45">
        <f t="shared" si="8"/>
        <v>-246.72331924129986</v>
      </c>
      <c r="Q27" s="45">
        <f t="shared" si="8"/>
        <v>0.12598303349607776</v>
      </c>
      <c r="R27" s="45">
        <f t="shared" si="8"/>
        <v>15.462762934532144</v>
      </c>
      <c r="S27" s="45">
        <f t="shared" si="8"/>
        <v>-729.7141560649128</v>
      </c>
      <c r="T27" s="45">
        <f t="shared" si="8"/>
        <v>-0.60614472389814644</v>
      </c>
      <c r="U27" s="45">
        <f t="shared" si="8"/>
        <v>0.65865343026349543</v>
      </c>
      <c r="V27" s="45">
        <f t="shared" si="8"/>
        <v>-162.35643533966979</v>
      </c>
      <c r="W27" s="45">
        <f t="shared" si="8"/>
        <v>-83.458272869445693</v>
      </c>
      <c r="X27" s="45">
        <f t="shared" si="8"/>
        <v>-673.70697241891628</v>
      </c>
      <c r="Y27" s="45">
        <f t="shared" si="8"/>
        <v>1529.2964742832098</v>
      </c>
      <c r="Z27" s="45">
        <f t="shared" si="8"/>
        <v>-267.83325684050163</v>
      </c>
      <c r="AA27" s="45">
        <f t="shared" si="6"/>
        <v>0.22040360975393541</v>
      </c>
      <c r="AB27" s="45">
        <f t="shared" si="6"/>
        <v>1.8714684655635316</v>
      </c>
    </row>
    <row r="28" spans="2:28" x14ac:dyDescent="0.25">
      <c r="E28" s="35">
        <v>9</v>
      </c>
      <c r="F28" s="2" t="s">
        <v>138</v>
      </c>
      <c r="G28" s="45">
        <f t="shared" ref="G28:Z28" si="9">1000000000*G13/$C$21</f>
        <v>-70.24010342115254</v>
      </c>
      <c r="H28" s="45">
        <f t="shared" si="9"/>
        <v>-132.6347356480826</v>
      </c>
      <c r="I28" s="45">
        <f t="shared" si="9"/>
        <v>-451.27711144616615</v>
      </c>
      <c r="J28" s="45">
        <f t="shared" si="9"/>
        <v>-225.87403407623415</v>
      </c>
      <c r="K28" s="45">
        <f t="shared" si="9"/>
        <v>-158.76285557071523</v>
      </c>
      <c r="L28" s="45">
        <f t="shared" si="9"/>
        <v>-166.00742701200966</v>
      </c>
      <c r="M28" s="45">
        <f t="shared" si="9"/>
        <v>-20.402707227536112</v>
      </c>
      <c r="N28" s="45">
        <f t="shared" si="9"/>
        <v>-2.0997393169824194</v>
      </c>
      <c r="O28" s="45">
        <f t="shared" si="9"/>
        <v>-206.06032016271774</v>
      </c>
      <c r="P28" s="45">
        <f t="shared" si="9"/>
        <v>-152.40194286365164</v>
      </c>
      <c r="Q28" s="45">
        <f t="shared" si="9"/>
        <v>0.11917216995979363</v>
      </c>
      <c r="R28" s="45">
        <f t="shared" si="9"/>
        <v>13.890195615109327</v>
      </c>
      <c r="S28" s="45">
        <f t="shared" si="9"/>
        <v>-818.86676650368474</v>
      </c>
      <c r="T28" s="45">
        <f t="shared" si="9"/>
        <v>-0.63340068868188315</v>
      </c>
      <c r="U28" s="45">
        <f t="shared" si="9"/>
        <v>4.9311288271354163</v>
      </c>
      <c r="V28" s="45">
        <f t="shared" si="9"/>
        <v>-100.79341751463423</v>
      </c>
      <c r="W28" s="45">
        <f t="shared" si="9"/>
        <v>-103.50790299856214</v>
      </c>
      <c r="X28" s="45">
        <f t="shared" si="9"/>
        <v>-2163.0114846261881</v>
      </c>
      <c r="Y28" s="45">
        <f t="shared" si="9"/>
        <v>1882.1264783194952</v>
      </c>
      <c r="Z28" s="45">
        <f t="shared" si="9"/>
        <v>-264.68784508679698</v>
      </c>
      <c r="AA28" s="45">
        <f t="shared" si="6"/>
        <v>0</v>
      </c>
      <c r="AB28" s="45">
        <f t="shared" si="6"/>
        <v>-9.7878143304089278</v>
      </c>
    </row>
    <row r="29" spans="2:28" x14ac:dyDescent="0.25">
      <c r="E29" s="35">
        <v>10</v>
      </c>
      <c r="F29" s="2" t="s">
        <v>138</v>
      </c>
      <c r="G29" s="45">
        <f t="shared" ref="G29:Y29" si="10">1000000000*G14/$C$21</f>
        <v>-0.50145085369048314</v>
      </c>
      <c r="H29" s="45">
        <f t="shared" si="10"/>
        <v>-48.098201376061468</v>
      </c>
      <c r="I29" s="45">
        <f t="shared" si="10"/>
        <v>-36.697176741479602</v>
      </c>
      <c r="J29" s="45">
        <f t="shared" si="10"/>
        <v>-38.685216761166565</v>
      </c>
      <c r="K29" s="45">
        <f t="shared" si="10"/>
        <v>-19.927618398618915</v>
      </c>
      <c r="L29" s="45">
        <f t="shared" si="10"/>
        <v>-38.380320536004405</v>
      </c>
      <c r="M29" s="45">
        <f t="shared" si="10"/>
        <v>-3.6038285645690853</v>
      </c>
      <c r="N29" s="45">
        <f t="shared" si="10"/>
        <v>4.057128112903766</v>
      </c>
      <c r="O29" s="45">
        <f t="shared" si="10"/>
        <v>-15.335729926661447</v>
      </c>
      <c r="P29" s="45">
        <f t="shared" si="10"/>
        <v>-47.33698391788041</v>
      </c>
      <c r="Q29" s="45">
        <f t="shared" si="10"/>
        <v>0.13129411519594125</v>
      </c>
      <c r="R29" s="45">
        <f t="shared" si="10"/>
        <v>36.038346247102737</v>
      </c>
      <c r="S29" s="45">
        <f t="shared" si="10"/>
        <v>-188.35322844898405</v>
      </c>
      <c r="T29" s="45">
        <f t="shared" si="10"/>
        <v>0.81696867089509595</v>
      </c>
      <c r="U29" s="45">
        <f t="shared" si="10"/>
        <v>27.75409758513257</v>
      </c>
      <c r="V29" s="45">
        <f t="shared" si="10"/>
        <v>-42.477929466757132</v>
      </c>
      <c r="W29" s="45">
        <f t="shared" si="10"/>
        <v>-14.713872680057834</v>
      </c>
      <c r="X29" s="45">
        <f t="shared" si="10"/>
        <v>-415.79920233565571</v>
      </c>
      <c r="Y29" s="45">
        <f t="shared" si="10"/>
        <v>2468.808627832831</v>
      </c>
      <c r="Z29" s="45">
        <f>1000000000*Z14/$C$21</f>
        <v>-164.76731034407584</v>
      </c>
      <c r="AA29" s="45">
        <f t="shared" si="6"/>
        <v>0</v>
      </c>
      <c r="AB29" s="45">
        <f t="shared" si="6"/>
        <v>-8.7767691166896586</v>
      </c>
    </row>
    <row r="33" spans="2:28" x14ac:dyDescent="0.25">
      <c r="E33" s="3" t="s">
        <v>82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8" x14ac:dyDescent="0.25">
      <c r="E34" s="9" t="s">
        <v>136</v>
      </c>
      <c r="F34" s="9"/>
      <c r="G34" s="59">
        <f>AVERAGE(G20:G24)</f>
        <v>-48.854792933912947</v>
      </c>
      <c r="H34" s="59">
        <f t="shared" ref="H34:X34" si="11">AVERAGE(H20:H24)</f>
        <v>-98.880516750727423</v>
      </c>
      <c r="I34" s="59">
        <f t="shared" si="11"/>
        <v>-297.11811509473966</v>
      </c>
      <c r="J34" s="59">
        <f t="shared" si="11"/>
        <v>-153.77040867154585</v>
      </c>
      <c r="K34" s="59">
        <f t="shared" si="11"/>
        <v>-92.279066676831121</v>
      </c>
      <c r="L34" s="59">
        <f t="shared" si="11"/>
        <v>-120.97829511930615</v>
      </c>
      <c r="M34" s="59">
        <f t="shared" si="11"/>
        <v>-13.506807918726469</v>
      </c>
      <c r="N34" s="59">
        <f t="shared" si="11"/>
        <v>3.6772035043607949</v>
      </c>
      <c r="O34" s="59">
        <f t="shared" si="11"/>
        <v>-119.21954160537855</v>
      </c>
      <c r="P34" s="59">
        <f t="shared" si="11"/>
        <v>-143.78245254387613</v>
      </c>
      <c r="Q34" s="59">
        <f t="shared" si="11"/>
        <v>0.39594751596638927</v>
      </c>
      <c r="R34" s="59">
        <f t="shared" si="11"/>
        <v>85.442212486998031</v>
      </c>
      <c r="S34" s="59">
        <f t="shared" si="11"/>
        <v>-619.0363434635799</v>
      </c>
      <c r="T34" s="59">
        <f t="shared" si="11"/>
        <v>-0.69277139203945581</v>
      </c>
      <c r="U34" s="59">
        <f t="shared" si="11"/>
        <v>2.6430276870693348</v>
      </c>
      <c r="V34" s="59">
        <f t="shared" si="11"/>
        <v>-111.58943759730623</v>
      </c>
      <c r="W34" s="59">
        <f t="shared" si="11"/>
        <v>-60.024495252643945</v>
      </c>
      <c r="X34" s="59">
        <f t="shared" si="11"/>
        <v>-1477.5852488577289</v>
      </c>
      <c r="Y34" s="59">
        <f>AVERAGE(Y20:Y24)</f>
        <v>1896.8272380368132</v>
      </c>
      <c r="Z34" s="59">
        <f>AVERAGE(Z20:Z24)</f>
        <v>-201.40010419349096</v>
      </c>
      <c r="AA34" s="59">
        <f>AVERAGE(AA20:AA24)</f>
        <v>2.3323940535853578</v>
      </c>
      <c r="AB34" s="59">
        <f>AVERAGE(AB20:AB24)</f>
        <v>-3.8721036093655223E-2</v>
      </c>
    </row>
    <row r="35" spans="2:28" x14ac:dyDescent="0.25">
      <c r="E35" s="18"/>
      <c r="F35" s="1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2:28" x14ac:dyDescent="0.25">
      <c r="E36" s="9" t="s">
        <v>138</v>
      </c>
      <c r="F36" s="9"/>
      <c r="G36" s="59">
        <f>AVERAGE(G25:G29)</f>
        <v>-45.722669129007762</v>
      </c>
      <c r="H36" s="59">
        <f t="shared" ref="H36:Y36" si="12">AVERAGE(H25:H29)</f>
        <v>-98.45278758004676</v>
      </c>
      <c r="I36" s="59">
        <f t="shared" si="12"/>
        <v>-285.60097795083567</v>
      </c>
      <c r="J36" s="59">
        <f t="shared" si="12"/>
        <v>-157.00646200502737</v>
      </c>
      <c r="K36" s="59">
        <f t="shared" si="12"/>
        <v>-104.93795026780204</v>
      </c>
      <c r="L36" s="59">
        <f t="shared" si="12"/>
        <v>-125.05496834689502</v>
      </c>
      <c r="M36" s="59">
        <f t="shared" si="12"/>
        <v>-14.105681303824571</v>
      </c>
      <c r="N36" s="59">
        <f t="shared" si="12"/>
        <v>0.23713115206107799</v>
      </c>
      <c r="O36" s="59">
        <f t="shared" si="12"/>
        <v>-125.00477750551211</v>
      </c>
      <c r="P36" s="59">
        <f t="shared" si="12"/>
        <v>-147.52996126369285</v>
      </c>
      <c r="Q36" s="59">
        <f t="shared" si="12"/>
        <v>0.13305291318855925</v>
      </c>
      <c r="R36" s="59">
        <f t="shared" si="12"/>
        <v>21.567702044766257</v>
      </c>
      <c r="S36" s="59">
        <f t="shared" si="12"/>
        <v>-566.37326676389932</v>
      </c>
      <c r="T36" s="59">
        <f t="shared" si="12"/>
        <v>-0.1568381010335225</v>
      </c>
      <c r="U36" s="59">
        <f t="shared" si="12"/>
        <v>12.205195999825911</v>
      </c>
      <c r="V36" s="59">
        <f t="shared" si="12"/>
        <v>-105.69050873467199</v>
      </c>
      <c r="W36" s="59">
        <f t="shared" si="12"/>
        <v>-63.261470845692976</v>
      </c>
      <c r="X36" s="59">
        <f t="shared" si="12"/>
        <v>-965.72644068727493</v>
      </c>
      <c r="Y36" s="59">
        <f t="shared" si="12"/>
        <v>1863.6111105752293</v>
      </c>
      <c r="Z36" s="59">
        <f>AVERAGE(Z25:Z29)</f>
        <v>-233.75733310057666</v>
      </c>
      <c r="AA36" s="59">
        <f>AVERAGE(AA25:AA29)</f>
        <v>0.18602611738873195</v>
      </c>
      <c r="AB36" s="59">
        <f>AVERAGE(AB25:AB29)</f>
        <v>-1.3060001135157198</v>
      </c>
    </row>
    <row r="37" spans="2:28" x14ac:dyDescent="0.25">
      <c r="E37" s="2"/>
      <c r="F37" s="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2:28" x14ac:dyDescent="0.25">
      <c r="E38" s="2"/>
      <c r="F38" s="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2:28" x14ac:dyDescent="0.25">
      <c r="E39" s="3" t="s">
        <v>83</v>
      </c>
      <c r="F39" s="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2:28" x14ac:dyDescent="0.25">
      <c r="E40" s="9" t="s">
        <v>136</v>
      </c>
      <c r="F40" s="9"/>
      <c r="G40" s="59">
        <f>STDEV(G20:G24)</f>
        <v>22.910570602315548</v>
      </c>
      <c r="H40" s="59">
        <f t="shared" ref="H40:Y40" si="13">STDEV(H20:H24)</f>
        <v>29.347075613989404</v>
      </c>
      <c r="I40" s="59">
        <f t="shared" si="13"/>
        <v>123.13055288993777</v>
      </c>
      <c r="J40" s="59">
        <f t="shared" si="13"/>
        <v>62.544619265558843</v>
      </c>
      <c r="K40" s="59">
        <f t="shared" si="13"/>
        <v>33.215385603438037</v>
      </c>
      <c r="L40" s="59">
        <f t="shared" si="13"/>
        <v>41.089019988012851</v>
      </c>
      <c r="M40" s="59">
        <f t="shared" si="13"/>
        <v>5.2207107263352457</v>
      </c>
      <c r="N40" s="59">
        <f t="shared" si="13"/>
        <v>2.5042522932558517</v>
      </c>
      <c r="O40" s="59">
        <f t="shared" si="13"/>
        <v>63.689709640217096</v>
      </c>
      <c r="P40" s="59">
        <f t="shared" si="13"/>
        <v>64.525095244351874</v>
      </c>
      <c r="Q40" s="59">
        <f t="shared" si="13"/>
        <v>0.98960045197507618</v>
      </c>
      <c r="R40" s="59">
        <f t="shared" si="13"/>
        <v>17.205734542083693</v>
      </c>
      <c r="S40" s="59">
        <f t="shared" si="13"/>
        <v>179.78970247029554</v>
      </c>
      <c r="T40" s="59">
        <f t="shared" si="13"/>
        <v>0.46913721731783731</v>
      </c>
      <c r="U40" s="59">
        <f t="shared" si="13"/>
        <v>5.367630765118693</v>
      </c>
      <c r="V40" s="59">
        <f t="shared" si="13"/>
        <v>52.885292004459153</v>
      </c>
      <c r="W40" s="59">
        <f t="shared" si="13"/>
        <v>26.249899910410925</v>
      </c>
      <c r="X40" s="59">
        <f t="shared" si="13"/>
        <v>591.83492526673331</v>
      </c>
      <c r="Y40" s="59">
        <f t="shared" si="13"/>
        <v>351.08565238477377</v>
      </c>
      <c r="Z40" s="59">
        <f>STDEV(Z20:Z24)</f>
        <v>38.263531376424453</v>
      </c>
      <c r="AA40" s="59">
        <f>STDEV(AA20:AA24)</f>
        <v>1.7778780875643823</v>
      </c>
      <c r="AB40" s="59">
        <f>STDEV(AB20:AB24)</f>
        <v>7.627679641197866</v>
      </c>
    </row>
    <row r="41" spans="2:28" x14ac:dyDescent="0.25">
      <c r="E41" s="18"/>
      <c r="F41" s="18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2:28" x14ac:dyDescent="0.25">
      <c r="E42" s="9" t="s">
        <v>138</v>
      </c>
      <c r="F42" s="9"/>
      <c r="G42" s="59">
        <f>STDEV(G25:G29)</f>
        <v>31.045711049549539</v>
      </c>
      <c r="H42" s="59">
        <f t="shared" ref="H42:Y42" si="14">STDEV(H25:H29)</f>
        <v>36.418303700670123</v>
      </c>
      <c r="I42" s="59">
        <f t="shared" si="14"/>
        <v>181.17969586401472</v>
      </c>
      <c r="J42" s="59">
        <f t="shared" si="14"/>
        <v>88.688080372819385</v>
      </c>
      <c r="K42" s="59">
        <f t="shared" si="14"/>
        <v>61.606772483717869</v>
      </c>
      <c r="L42" s="59">
        <f t="shared" si="14"/>
        <v>66.238910459809873</v>
      </c>
      <c r="M42" s="59">
        <f t="shared" si="14"/>
        <v>7.578681811723901</v>
      </c>
      <c r="N42" s="59">
        <f t="shared" si="14"/>
        <v>2.9492548288983298</v>
      </c>
      <c r="O42" s="59">
        <f t="shared" si="14"/>
        <v>85.936062764323751</v>
      </c>
      <c r="P42" s="59">
        <f t="shared" si="14"/>
        <v>70.954632934536491</v>
      </c>
      <c r="Q42" s="59">
        <f t="shared" si="14"/>
        <v>2.3137514336449561E-2</v>
      </c>
      <c r="R42" s="59">
        <f t="shared" si="14"/>
        <v>9.5869319040351844</v>
      </c>
      <c r="S42" s="59">
        <f t="shared" si="14"/>
        <v>252.53436965349263</v>
      </c>
      <c r="T42" s="59">
        <f t="shared" si="14"/>
        <v>0.65687196272049786</v>
      </c>
      <c r="U42" s="59">
        <f t="shared" si="14"/>
        <v>10.801295226145436</v>
      </c>
      <c r="V42" s="59">
        <f t="shared" si="14"/>
        <v>42.718106210262448</v>
      </c>
      <c r="W42" s="59">
        <f t="shared" si="14"/>
        <v>39.519844697495664</v>
      </c>
      <c r="X42" s="59">
        <f t="shared" si="14"/>
        <v>694.10936966833481</v>
      </c>
      <c r="Y42" s="59">
        <f t="shared" si="14"/>
        <v>407.64776946031844</v>
      </c>
      <c r="Z42" s="59">
        <f>STDEV(Z25:Z29)</f>
        <v>48.394577751909708</v>
      </c>
      <c r="AA42" s="59">
        <f>STDEV(AA25:AA29)</f>
        <v>0.19224811177783763</v>
      </c>
      <c r="AB42" s="59">
        <f>STDEV(AB25:AB29)</f>
        <v>7.5693859906729983</v>
      </c>
    </row>
    <row r="43" spans="2:28" x14ac:dyDescent="0.25"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6" spans="2:28" x14ac:dyDescent="0.25">
      <c r="B46" s="1"/>
      <c r="E46" s="3" t="s">
        <v>153</v>
      </c>
      <c r="F46" s="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2:28" x14ac:dyDescent="0.25">
      <c r="B47" s="1"/>
      <c r="E47" s="9" t="s">
        <v>136</v>
      </c>
      <c r="F47" s="73">
        <v>0.75</v>
      </c>
      <c r="G47" s="9">
        <f>PERCENTILE(G20:G24, 0.75)</f>
        <v>-29.703498464161243</v>
      </c>
      <c r="H47" s="9">
        <f t="shared" ref="H47:AB47" si="15">PERCENTILE(H20:H24, 0.75)</f>
        <v>-76.575569490939728</v>
      </c>
      <c r="I47" s="9">
        <f t="shared" si="15"/>
        <v>-186.14039200163162</v>
      </c>
      <c r="J47" s="9">
        <f t="shared" si="15"/>
        <v>-111.71074730154361</v>
      </c>
      <c r="K47" s="9">
        <f t="shared" si="15"/>
        <v>-62.84818874690913</v>
      </c>
      <c r="L47" s="9">
        <f t="shared" si="15"/>
        <v>-81.484659847059348</v>
      </c>
      <c r="M47" s="9">
        <f t="shared" si="15"/>
        <v>-8.8922439873551884</v>
      </c>
      <c r="N47" s="9">
        <f t="shared" si="15"/>
        <v>5.4748849715365262</v>
      </c>
      <c r="O47" s="9">
        <f t="shared" si="15"/>
        <v>-58.741866994760848</v>
      </c>
      <c r="P47" s="9">
        <f t="shared" si="15"/>
        <v>-106.60060707949121</v>
      </c>
      <c r="Q47" s="9">
        <f t="shared" si="15"/>
        <v>1.3831496468984365E-3</v>
      </c>
      <c r="R47" s="9">
        <f t="shared" si="15"/>
        <v>96.703589669531425</v>
      </c>
      <c r="S47" s="9">
        <f t="shared" si="15"/>
        <v>-491.13562399406328</v>
      </c>
      <c r="T47" s="9">
        <f t="shared" si="15"/>
        <v>-0.25551353252574621</v>
      </c>
      <c r="U47" s="9">
        <f t="shared" si="15"/>
        <v>5.1197238398938438</v>
      </c>
      <c r="V47" s="9">
        <f t="shared" si="15"/>
        <v>-78.195673770667767</v>
      </c>
      <c r="W47" s="9">
        <f t="shared" si="15"/>
        <v>-37.049746926668135</v>
      </c>
      <c r="X47" s="9">
        <f t="shared" si="15"/>
        <v>-1066.5266475603257</v>
      </c>
      <c r="Y47" s="9">
        <f t="shared" si="15"/>
        <v>2221.8567324164728</v>
      </c>
      <c r="Z47" s="9">
        <f t="shared" si="15"/>
        <v>-169.04559336504653</v>
      </c>
      <c r="AA47" s="9">
        <f t="shared" si="15"/>
        <v>3.6671099921999843</v>
      </c>
      <c r="AB47" s="9">
        <f t="shared" si="15"/>
        <v>4.9369678164878783</v>
      </c>
    </row>
    <row r="48" spans="2:28" x14ac:dyDescent="0.25">
      <c r="B48" s="1"/>
      <c r="E48" s="9" t="s">
        <v>138</v>
      </c>
      <c r="F48" s="9"/>
      <c r="G48" s="9">
        <f>PERCENTILE(G25:G29, 0.75)</f>
        <v>-36.695183804685172</v>
      </c>
      <c r="H48" s="9">
        <f t="shared" ref="H48:AB48" si="16">PERCENTILE(H25:H29, 0.75)</f>
        <v>-72.206489851300773</v>
      </c>
      <c r="I48" s="9">
        <f t="shared" si="16"/>
        <v>-181.1848635880869</v>
      </c>
      <c r="J48" s="9">
        <f t="shared" si="16"/>
        <v>-105.4389655698417</v>
      </c>
      <c r="K48" s="9">
        <f t="shared" si="16"/>
        <v>-69.924243852338137</v>
      </c>
      <c r="L48" s="9">
        <f t="shared" si="16"/>
        <v>-77.483392551203423</v>
      </c>
      <c r="M48" s="9">
        <f t="shared" si="16"/>
        <v>-9.0200975290687957</v>
      </c>
      <c r="N48" s="9">
        <f t="shared" si="16"/>
        <v>2.3889635010868231</v>
      </c>
      <c r="O48" s="9">
        <f t="shared" si="16"/>
        <v>-54.944308552688966</v>
      </c>
      <c r="P48" s="9">
        <f t="shared" si="16"/>
        <v>-134.89212224191871</v>
      </c>
      <c r="Q48" s="9">
        <f t="shared" si="16"/>
        <v>0.13129411519594125</v>
      </c>
      <c r="R48" s="9">
        <f t="shared" si="16"/>
        <v>26.781764031966702</v>
      </c>
      <c r="S48" s="9">
        <f t="shared" si="16"/>
        <v>-444.88172132287053</v>
      </c>
      <c r="T48" s="9">
        <f t="shared" si="16"/>
        <v>0.23601809734804222</v>
      </c>
      <c r="U48" s="9">
        <f t="shared" si="16"/>
        <v>17.922522733126694</v>
      </c>
      <c r="V48" s="9">
        <f t="shared" si="16"/>
        <v>-100.79341751463423</v>
      </c>
      <c r="W48" s="9">
        <f t="shared" si="16"/>
        <v>-27.380694241611213</v>
      </c>
      <c r="X48" s="9">
        <f t="shared" si="16"/>
        <v>-641.71557002078976</v>
      </c>
      <c r="Y48" s="9">
        <f t="shared" si="16"/>
        <v>1987.6665329997027</v>
      </c>
      <c r="Z48" s="9">
        <f t="shared" si="16"/>
        <v>-200.51620344773656</v>
      </c>
      <c r="AA48" s="9">
        <f t="shared" si="16"/>
        <v>0.25378929452384741</v>
      </c>
      <c r="AB48" s="9">
        <f t="shared" si="16"/>
        <v>2.8757952549214432</v>
      </c>
    </row>
    <row r="49" spans="2:28" x14ac:dyDescent="0.25">
      <c r="B49" s="1"/>
    </row>
    <row r="50" spans="2:28" x14ac:dyDescent="0.25">
      <c r="B50" s="1"/>
      <c r="E50" s="9" t="s">
        <v>136</v>
      </c>
      <c r="F50" s="73">
        <v>0.25</v>
      </c>
      <c r="G50" s="9">
        <f>PERCENTILE(G20:G24, 0.25)</f>
        <v>-70.046863507234676</v>
      </c>
      <c r="H50" s="9">
        <f t="shared" ref="H50:AB50" si="17">PERCENTILE(H20:H24, 0.25)</f>
        <v>-111.50742797614917</v>
      </c>
      <c r="I50" s="9">
        <f t="shared" si="17"/>
        <v>-416.13772805023183</v>
      </c>
      <c r="J50" s="9">
        <f t="shared" si="17"/>
        <v>-208.65424047022043</v>
      </c>
      <c r="K50" s="9">
        <f t="shared" si="17"/>
        <v>-115.07834331049843</v>
      </c>
      <c r="L50" s="9">
        <f t="shared" si="17"/>
        <v>-157.46653515764132</v>
      </c>
      <c r="M50" s="9">
        <f t="shared" si="17"/>
        <v>-17.780489921968979</v>
      </c>
      <c r="N50" s="9">
        <f t="shared" si="17"/>
        <v>1.6941401722148812</v>
      </c>
      <c r="O50" s="9">
        <f t="shared" si="17"/>
        <v>-181.80296125603226</v>
      </c>
      <c r="P50" s="9">
        <f t="shared" si="17"/>
        <v>-212.73201639957367</v>
      </c>
      <c r="Q50" s="9">
        <f t="shared" si="17"/>
        <v>-6.3443740535304771E-2</v>
      </c>
      <c r="R50" s="9">
        <f t="shared" si="17"/>
        <v>76.869087122309949</v>
      </c>
      <c r="S50" s="9">
        <f t="shared" si="17"/>
        <v>-707.42320240579784</v>
      </c>
      <c r="T50" s="9">
        <f t="shared" si="17"/>
        <v>-1.0252902100027264</v>
      </c>
      <c r="U50" s="9">
        <f t="shared" si="17"/>
        <v>-1.1368589079523261</v>
      </c>
      <c r="V50" s="9">
        <f t="shared" si="17"/>
        <v>-138.11914391246856</v>
      </c>
      <c r="W50" s="9">
        <f t="shared" si="17"/>
        <v>-78.531957632720051</v>
      </c>
      <c r="X50" s="9">
        <f t="shared" si="17"/>
        <v>-1892.4388154878959</v>
      </c>
      <c r="Y50" s="9">
        <f t="shared" si="17"/>
        <v>1687.0934029874902</v>
      </c>
      <c r="Z50" s="9">
        <f t="shared" si="17"/>
        <v>-238.31225643098563</v>
      </c>
      <c r="AA50" s="9">
        <f t="shared" si="17"/>
        <v>1.4481226150640139</v>
      </c>
      <c r="AB50" s="9">
        <f t="shared" si="17"/>
        <v>-3.2846369973191236</v>
      </c>
    </row>
    <row r="51" spans="2:28" x14ac:dyDescent="0.25">
      <c r="B51" s="1"/>
      <c r="E51" s="9" t="s">
        <v>138</v>
      </c>
      <c r="F51" s="9"/>
      <c r="G51" s="9">
        <f>PERCENTILE(G25:G29, 0.25)</f>
        <v>-70.24010342115254</v>
      </c>
      <c r="H51" s="9">
        <f t="shared" ref="H51:Z51" si="18">PERCENTILE(H25:H29, 0.25)</f>
        <v>-122.17524654142215</v>
      </c>
      <c r="I51" s="9">
        <f t="shared" si="18"/>
        <v>-451.27711144616615</v>
      </c>
      <c r="J51" s="9">
        <f t="shared" si="18"/>
        <v>-225.87403407623415</v>
      </c>
      <c r="K51" s="9">
        <f t="shared" si="18"/>
        <v>-158.76285557071523</v>
      </c>
      <c r="L51" s="9">
        <f t="shared" si="18"/>
        <v>-166.00742701200966</v>
      </c>
      <c r="M51" s="9">
        <f t="shared" si="18"/>
        <v>-20.402707227536112</v>
      </c>
      <c r="N51" s="9">
        <f t="shared" si="18"/>
        <v>-2.0997393169824194</v>
      </c>
      <c r="O51" s="9">
        <f t="shared" si="18"/>
        <v>-198.48695725052639</v>
      </c>
      <c r="P51" s="9">
        <f t="shared" si="18"/>
        <v>-156.29543805371378</v>
      </c>
      <c r="Q51" s="9">
        <f t="shared" si="18"/>
        <v>0.11917216995979363</v>
      </c>
      <c r="R51" s="9">
        <f t="shared" si="18"/>
        <v>15.462762934532144</v>
      </c>
      <c r="S51" s="9">
        <f t="shared" si="18"/>
        <v>-729.7141560649128</v>
      </c>
      <c r="T51" s="9">
        <f t="shared" si="18"/>
        <v>-0.60614472389814644</v>
      </c>
      <c r="U51" s="9">
        <f t="shared" si="18"/>
        <v>4.9311288271354163</v>
      </c>
      <c r="V51" s="9">
        <f t="shared" si="18"/>
        <v>-112.64279475541892</v>
      </c>
      <c r="W51" s="9">
        <f t="shared" si="18"/>
        <v>-87.246611438787994</v>
      </c>
      <c r="X51" s="9">
        <f t="shared" si="18"/>
        <v>-934.39897403482519</v>
      </c>
      <c r="Y51" s="9">
        <f t="shared" si="18"/>
        <v>1529.2964742832098</v>
      </c>
      <c r="Z51" s="9">
        <f t="shared" si="18"/>
        <v>-267.83325684050163</v>
      </c>
      <c r="AA51" s="9">
        <f>PERCENTILE(AA25:AA29, 0.25)</f>
        <v>0</v>
      </c>
      <c r="AB51" s="9">
        <f>PERCENTILE(AB25:AB29, 0.25)</f>
        <v>-8.7767691166896586</v>
      </c>
    </row>
  </sheetData>
  <mergeCells count="2">
    <mergeCell ref="G3:Z3"/>
    <mergeCell ref="G18:Z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7"/>
  <sheetViews>
    <sheetView tabSelected="1" topLeftCell="C10" workbookViewId="0">
      <selection activeCell="N36" sqref="N36"/>
    </sheetView>
  </sheetViews>
  <sheetFormatPr defaultRowHeight="15" x14ac:dyDescent="0.25"/>
  <cols>
    <col min="2" max="2" width="25.7109375" style="1" bestFit="1" customWidth="1"/>
    <col min="3" max="3" width="8.5703125" bestFit="1" customWidth="1"/>
    <col min="7" max="7" width="10.85546875" bestFit="1" customWidth="1"/>
    <col min="31" max="31" width="9.5703125" bestFit="1" customWidth="1"/>
  </cols>
  <sheetData>
    <row r="2" spans="2:29" x14ac:dyDescent="0.25">
      <c r="G2" s="34"/>
      <c r="H2" s="95" t="s">
        <v>71</v>
      </c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</row>
    <row r="3" spans="2:29" x14ac:dyDescent="0.25">
      <c r="F3" s="35"/>
      <c r="G3" s="35"/>
      <c r="H3" s="36" t="s">
        <v>13</v>
      </c>
      <c r="I3" s="36" t="s">
        <v>34</v>
      </c>
      <c r="J3" s="36" t="s">
        <v>11</v>
      </c>
      <c r="K3" s="36" t="s">
        <v>12</v>
      </c>
      <c r="L3" s="36" t="s">
        <v>7</v>
      </c>
      <c r="M3" s="36" t="s">
        <v>20</v>
      </c>
      <c r="N3" s="36" t="s">
        <v>15</v>
      </c>
      <c r="O3" s="36" t="s">
        <v>19</v>
      </c>
      <c r="P3" s="36" t="s">
        <v>26</v>
      </c>
      <c r="Q3" s="36" t="s">
        <v>43</v>
      </c>
      <c r="R3" s="36" t="s">
        <v>31</v>
      </c>
      <c r="S3" s="36" t="s">
        <v>35</v>
      </c>
      <c r="T3" s="36" t="s">
        <v>30</v>
      </c>
      <c r="U3" s="36" t="s">
        <v>37</v>
      </c>
      <c r="V3" s="36" t="s">
        <v>27</v>
      </c>
      <c r="W3" s="36" t="s">
        <v>44</v>
      </c>
      <c r="X3" s="36" t="s">
        <v>33</v>
      </c>
      <c r="Y3" s="36" t="s">
        <v>91</v>
      </c>
      <c r="Z3" s="36" t="s">
        <v>8</v>
      </c>
      <c r="AA3" s="36" t="s">
        <v>4</v>
      </c>
      <c r="AB3" s="36" t="s">
        <v>42</v>
      </c>
      <c r="AC3" s="36" t="s">
        <v>40</v>
      </c>
    </row>
    <row r="4" spans="2:29" x14ac:dyDescent="0.25">
      <c r="F4" s="35">
        <v>1</v>
      </c>
      <c r="G4" s="2" t="s">
        <v>136</v>
      </c>
      <c r="H4" s="44">
        <v>-9.4053413399459274E-2</v>
      </c>
      <c r="I4" s="44">
        <v>-0.26791557543269806</v>
      </c>
      <c r="J4" s="44">
        <v>-0.65125092200960566</v>
      </c>
      <c r="K4" s="44">
        <v>-0.27037375672215092</v>
      </c>
      <c r="L4" s="44">
        <v>-0.20955167323211943</v>
      </c>
      <c r="M4" s="44">
        <v>-0.28422611733539371</v>
      </c>
      <c r="N4" s="44">
        <v>-3.1111367249343047E-2</v>
      </c>
      <c r="O4" s="44">
        <v>2.4705398720287215E-2</v>
      </c>
      <c r="P4" s="44">
        <v>-0.19375658652339434</v>
      </c>
      <c r="Q4" s="44">
        <v>-0.27131158446770165</v>
      </c>
      <c r="R4" s="44">
        <v>7.5757198506408319E-3</v>
      </c>
      <c r="S4" s="44">
        <v>0.34943744769931351</v>
      </c>
      <c r="T4" s="44">
        <v>-1.6791979937342214</v>
      </c>
      <c r="U4" s="44">
        <v>-8.9396729991771465E-4</v>
      </c>
      <c r="V4" s="44">
        <v>3.0558005312979336E-2</v>
      </c>
      <c r="W4" s="44">
        <v>-0.37769766796845095</v>
      </c>
      <c r="X4" s="44">
        <v>-0.1072727605346121</v>
      </c>
      <c r="Y4" s="44">
        <v>-7.2201113429733397</v>
      </c>
      <c r="Z4" s="44">
        <v>8.075330504160549</v>
      </c>
      <c r="AA4" s="44">
        <v>-0.57967557069674736</v>
      </c>
      <c r="AB4" s="35">
        <v>6.7316634597388205E-3</v>
      </c>
      <c r="AC4" s="35">
        <v>-8.0610859982528579E-3</v>
      </c>
    </row>
    <row r="5" spans="2:29" x14ac:dyDescent="0.25">
      <c r="F5" s="35">
        <v>2</v>
      </c>
      <c r="G5" s="2" t="s">
        <v>136</v>
      </c>
      <c r="H5" s="44">
        <v>-0.24507353805598364</v>
      </c>
      <c r="I5" s="44">
        <v>-0.3901319563125788</v>
      </c>
      <c r="J5" s="44">
        <v>-1.4916603583136379</v>
      </c>
      <c r="K5" s="44">
        <v>-0.73002030900554837</v>
      </c>
      <c r="L5" s="44">
        <v>-0.47742122377752416</v>
      </c>
      <c r="M5" s="44">
        <v>-0.5509294629946464</v>
      </c>
      <c r="N5" s="44">
        <v>-6.220874647864337E-2</v>
      </c>
      <c r="O5" s="44">
        <v>5.9273021685630825E-3</v>
      </c>
      <c r="P5" s="44">
        <v>-0.63607551734945189</v>
      </c>
      <c r="Q5" s="44">
        <v>-0.74742613129032986</v>
      </c>
      <c r="R5" s="44">
        <v>4.8392370572206134E-6</v>
      </c>
      <c r="S5" s="44">
        <v>0.26894250798613473</v>
      </c>
      <c r="T5" s="44">
        <v>-2.4750673825470688</v>
      </c>
      <c r="U5" s="44">
        <v>-2.4807063790204305E-3</v>
      </c>
      <c r="V5" s="44">
        <v>-1.595532906798372E-2</v>
      </c>
      <c r="W5" s="44">
        <v>-0.64736856068611703</v>
      </c>
      <c r="X5" s="44">
        <v>-0.27476040673149499</v>
      </c>
      <c r="Y5" s="44">
        <v>-5.9600538905491121</v>
      </c>
      <c r="Z5" s="44">
        <v>5.2482332354380805</v>
      </c>
      <c r="AA5" s="44">
        <v>-0.86072896156660883</v>
      </c>
      <c r="AB5" s="35">
        <v>1.2830147921413767E-2</v>
      </c>
      <c r="AC5" s="35">
        <v>1.7273009946123338E-2</v>
      </c>
    </row>
    <row r="6" spans="2:29" x14ac:dyDescent="0.25">
      <c r="F6" s="35">
        <v>3</v>
      </c>
      <c r="G6" s="2" t="s">
        <v>136</v>
      </c>
      <c r="H6" s="44">
        <v>-0.26651046265889228</v>
      </c>
      <c r="I6" s="44">
        <v>-0.50272125691206493</v>
      </c>
      <c r="J6" s="44">
        <v>-1.4559444952351903</v>
      </c>
      <c r="K6" s="44">
        <v>-0.78461326504481432</v>
      </c>
      <c r="L6" s="44">
        <v>-0.40262554719258947</v>
      </c>
      <c r="M6" s="44">
        <v>-0.58958713725923051</v>
      </c>
      <c r="N6" s="44">
        <v>-6.9601046532504207E-2</v>
      </c>
      <c r="O6" s="44">
        <v>4.3921104374764833E-3</v>
      </c>
      <c r="P6" s="44">
        <v>-0.65294809760465666</v>
      </c>
      <c r="Q6" s="44">
        <v>-0.74428725722233624</v>
      </c>
      <c r="R6" s="44">
        <v>-2.2197113734988402E-4</v>
      </c>
      <c r="S6" s="44">
        <v>0.20694247644939848</v>
      </c>
      <c r="T6" s="44">
        <v>-3.1320265131246758</v>
      </c>
      <c r="U6" s="44">
        <v>-4.4536023755858498E-3</v>
      </c>
      <c r="V6" s="44">
        <v>-3.9775376211322044E-3</v>
      </c>
      <c r="W6" s="44">
        <v>-0.48323858595604596</v>
      </c>
      <c r="X6" s="44">
        <v>-0.32175053328004971</v>
      </c>
      <c r="Y6" s="44">
        <v>-3.7314655626457878</v>
      </c>
      <c r="Z6" s="44">
        <v>5.9026475790504147</v>
      </c>
      <c r="AA6" s="44">
        <v>-0.83378505362505373</v>
      </c>
      <c r="AB6" s="35">
        <v>2.9773768522296253E-4</v>
      </c>
      <c r="AC6" s="35">
        <v>-3.3492916471835076E-2</v>
      </c>
    </row>
    <row r="7" spans="2:29" x14ac:dyDescent="0.25">
      <c r="F7" s="37">
        <v>4</v>
      </c>
      <c r="G7" s="2" t="s">
        <v>136</v>
      </c>
      <c r="H7" s="2">
        <v>-0.14508204257980917</v>
      </c>
      <c r="I7" s="2">
        <v>-0.31611958088833925</v>
      </c>
      <c r="J7" s="2">
        <v>-1.0212464295189445</v>
      </c>
      <c r="K7" s="2">
        <v>-0.51413833205292381</v>
      </c>
      <c r="L7" s="2">
        <v>-0.30480173202081495</v>
      </c>
      <c r="M7" s="2">
        <v>-0.40650501793697225</v>
      </c>
      <c r="N7" s="2">
        <v>-4.4659303595619315E-2</v>
      </c>
      <c r="O7" s="2">
        <v>1.0147474426011181E-2</v>
      </c>
      <c r="P7" s="2">
        <v>-0.39727110364898177</v>
      </c>
      <c r="Q7" s="2">
        <v>-0.3729644216430672</v>
      </c>
      <c r="R7" s="2">
        <v>-2.9320415783631046E-4</v>
      </c>
      <c r="S7" s="2">
        <v>0.33833764534765176</v>
      </c>
      <c r="T7" s="2">
        <v>-1.8245056166925204</v>
      </c>
      <c r="U7" s="2">
        <v>-3.5871912990590709E-3</v>
      </c>
      <c r="V7" s="2">
        <v>1.7912419949863423E-2</v>
      </c>
      <c r="W7" s="2">
        <v>-0.27358384761467214</v>
      </c>
      <c r="X7" s="2">
        <v>-0.21663102348918784</v>
      </c>
      <c r="Y7" s="2">
        <v>-2.315476315905066</v>
      </c>
      <c r="Z7" s="2">
        <v>7.7736284424865385</v>
      </c>
      <c r="AA7" s="2">
        <v>-0.65757021828551254</v>
      </c>
      <c r="AB7" s="35">
        <v>1.5875723808381387E-2</v>
      </c>
      <c r="AC7" s="35">
        <v>3.5095610990371902E-2</v>
      </c>
    </row>
    <row r="8" spans="2:29" x14ac:dyDescent="0.25">
      <c r="B8" s="68" t="s">
        <v>173</v>
      </c>
      <c r="C8" s="67"/>
      <c r="F8" s="36">
        <v>5</v>
      </c>
      <c r="G8" s="6" t="s">
        <v>136</v>
      </c>
      <c r="H8" s="6">
        <v>-0.10392387462859942</v>
      </c>
      <c r="I8" s="6">
        <v>-0.25288202070183241</v>
      </c>
      <c r="J8" s="6">
        <v>-0.57754577235648252</v>
      </c>
      <c r="K8" s="6">
        <v>-0.39084331131028582</v>
      </c>
      <c r="L8" s="6">
        <v>-0.21988747540458342</v>
      </c>
      <c r="M8" s="6">
        <v>-0.28509105027871295</v>
      </c>
      <c r="N8" s="6">
        <v>-2.8701436485008724E-2</v>
      </c>
      <c r="O8" s="6">
        <v>1.9155025125220763E-2</v>
      </c>
      <c r="P8" s="6">
        <v>-0.20552065368256178</v>
      </c>
      <c r="Q8" s="6">
        <v>-0.37927485783341286</v>
      </c>
      <c r="R8" s="6">
        <v>-1.3885962256534462E-4</v>
      </c>
      <c r="S8" s="6">
        <v>0.33102678393257656</v>
      </c>
      <c r="T8" s="6">
        <v>-1.7183402512394679</v>
      </c>
      <c r="U8" s="6">
        <v>-7.035575113591673E-4</v>
      </c>
      <c r="V8" s="6">
        <v>1.7698355071650351E-2</v>
      </c>
      <c r="W8" s="6">
        <v>-0.17020575802128834</v>
      </c>
      <c r="X8" s="6">
        <v>-0.12962625460681138</v>
      </c>
      <c r="Y8" s="6">
        <v>-6.6210912643960427</v>
      </c>
      <c r="Z8" s="6">
        <v>6.1823856113558495</v>
      </c>
      <c r="AA8" s="6">
        <v>-0.59144120927650357</v>
      </c>
      <c r="AB8" s="36">
        <v>5.066558515870824E-3</v>
      </c>
      <c r="AC8" s="36">
        <v>-1.1491986505283557E-2</v>
      </c>
    </row>
    <row r="9" spans="2:29" x14ac:dyDescent="0.25">
      <c r="B9" s="36" t="s">
        <v>136</v>
      </c>
      <c r="C9" s="8">
        <f>info!R60</f>
        <v>69.198479636999991</v>
      </c>
      <c r="F9" s="35">
        <v>6</v>
      </c>
      <c r="G9" s="2" t="s">
        <v>138</v>
      </c>
      <c r="H9" s="44">
        <v>-0.10897932667604926</v>
      </c>
      <c r="I9" s="44">
        <v>-0.21444270963512768</v>
      </c>
      <c r="J9" s="44">
        <v>-0.53809253396355761</v>
      </c>
      <c r="K9" s="44">
        <v>-0.31313829995731979</v>
      </c>
      <c r="L9" s="44">
        <v>-0.20766477295548369</v>
      </c>
      <c r="M9" s="44">
        <v>-0.23011433853965424</v>
      </c>
      <c r="N9" s="44">
        <v>-2.67883698444564E-2</v>
      </c>
      <c r="O9" s="44">
        <v>7.094872046092833E-3</v>
      </c>
      <c r="P9" s="44">
        <v>-0.16317655697336031</v>
      </c>
      <c r="Q9" s="44">
        <v>-0.40060986569988799</v>
      </c>
      <c r="R9" s="44">
        <v>3.438837420526793E-4</v>
      </c>
      <c r="S9" s="44">
        <v>7.9537920478488428E-2</v>
      </c>
      <c r="T9" s="44">
        <v>-1.3212336174225134</v>
      </c>
      <c r="U9" s="44">
        <v>7.0093921505491597E-4</v>
      </c>
      <c r="V9" s="44">
        <v>5.3227270101395552E-2</v>
      </c>
      <c r="W9" s="44">
        <v>-0.3345326185772266</v>
      </c>
      <c r="X9" s="44">
        <v>-8.1316655565916163E-2</v>
      </c>
      <c r="Y9" s="44">
        <v>-1.9058013474093514</v>
      </c>
      <c r="Z9" s="44">
        <v>5.9030787684777284</v>
      </c>
      <c r="AA9" s="44">
        <v>-0.59550378479319677</v>
      </c>
      <c r="AB9" s="35">
        <v>1.5951929241261758E-3</v>
      </c>
      <c r="AC9" s="35">
        <v>2.5496203538983721E-2</v>
      </c>
    </row>
    <row r="10" spans="2:29" x14ac:dyDescent="0.25">
      <c r="B10" s="35" t="s">
        <v>137</v>
      </c>
      <c r="C10" s="8">
        <f>info!R61</f>
        <v>103.35830429392594</v>
      </c>
      <c r="F10" s="35">
        <v>7</v>
      </c>
      <c r="G10" s="2" t="s">
        <v>138</v>
      </c>
      <c r="H10" s="44">
        <v>-0.12494348028505675</v>
      </c>
      <c r="I10" s="44">
        <v>-0.36284260559731885</v>
      </c>
      <c r="J10" s="44">
        <v>-0.88378434032171915</v>
      </c>
      <c r="K10" s="44">
        <v>-0.46843058096457524</v>
      </c>
      <c r="L10" s="44">
        <v>-0.32489256287243551</v>
      </c>
      <c r="M10" s="44">
        <v>-0.42218398035211635</v>
      </c>
      <c r="N10" s="44">
        <v>-4.8790803962852347E-2</v>
      </c>
      <c r="O10" s="44">
        <v>-7.6340433712614175E-4</v>
      </c>
      <c r="P10" s="44">
        <v>-0.44606184105663793</v>
      </c>
      <c r="Q10" s="44">
        <v>-0.46417458193674888</v>
      </c>
      <c r="R10" s="44">
        <v>5.138552830759917E-4</v>
      </c>
      <c r="S10" s="44">
        <v>4.6524068782709149E-2</v>
      </c>
      <c r="T10" s="44">
        <v>-1.9305547554825555</v>
      </c>
      <c r="U10" s="44">
        <v>-1.774879181424641E-3</v>
      </c>
      <c r="V10" s="44">
        <v>2.8984516930444848E-2</v>
      </c>
      <c r="W10" s="44">
        <v>-0.32722431901370719</v>
      </c>
      <c r="X10" s="44">
        <v>-0.25910967008569774</v>
      </c>
      <c r="Y10" s="44">
        <v>-2.7750282320184212</v>
      </c>
      <c r="Z10" s="44">
        <v>4.3067554087126769</v>
      </c>
      <c r="AA10" s="44">
        <v>-0.80477703787821464</v>
      </c>
      <c r="AB10" s="35">
        <v>8.8793469422463779E-4</v>
      </c>
      <c r="AC10" s="35">
        <v>1.0061568535119567E-2</v>
      </c>
    </row>
    <row r="11" spans="2:29" x14ac:dyDescent="0.25">
      <c r="F11" s="35">
        <v>8</v>
      </c>
      <c r="G11" s="2" t="s">
        <v>138</v>
      </c>
      <c r="H11" s="44">
        <v>-0.23493331367423981</v>
      </c>
      <c r="I11" s="44">
        <v>-0.34791617428447585</v>
      </c>
      <c r="J11" s="44">
        <v>-1.3698764674849429</v>
      </c>
      <c r="K11" s="44">
        <v>-0.7641599494664959</v>
      </c>
      <c r="L11" s="44">
        <v>-0.4950098914912302</v>
      </c>
      <c r="M11" s="44">
        <v>-0.59767476681936071</v>
      </c>
      <c r="N11" s="44">
        <v>-6.2583975191369212E-2</v>
      </c>
      <c r="O11" s="44">
        <v>-8.6234019050927882E-3</v>
      </c>
      <c r="P11" s="44">
        <v>-0.58947722050593288</v>
      </c>
      <c r="Q11" s="44">
        <v>-0.73273215769432487</v>
      </c>
      <c r="R11" s="44">
        <v>3.7415117569885973E-4</v>
      </c>
      <c r="S11" s="44">
        <v>4.5922143410589256E-2</v>
      </c>
      <c r="T11" s="44">
        <v>-2.1671442720442862</v>
      </c>
      <c r="U11" s="44">
        <v>-1.8001611391363498E-3</v>
      </c>
      <c r="V11" s="44">
        <v>1.9561043139895984E-3</v>
      </c>
      <c r="W11" s="44">
        <v>-0.48217485703346363</v>
      </c>
      <c r="X11" s="44">
        <v>-0.24785885884285774</v>
      </c>
      <c r="Y11" s="44">
        <v>-2.0008111315632391</v>
      </c>
      <c r="Z11" s="44">
        <v>4.5417867626040138</v>
      </c>
      <c r="AA11" s="44">
        <v>-0.7954255835667603</v>
      </c>
      <c r="AB11" s="35">
        <v>7.7112792405227971E-4</v>
      </c>
      <c r="AC11" s="35">
        <v>6.5477221284645643E-3</v>
      </c>
    </row>
    <row r="12" spans="2:29" x14ac:dyDescent="0.25">
      <c r="F12" s="35">
        <v>9</v>
      </c>
      <c r="G12" s="2" t="s">
        <v>138</v>
      </c>
      <c r="H12" s="44">
        <v>-0.20860282965842314</v>
      </c>
      <c r="I12" s="44">
        <v>-0.39390575781605197</v>
      </c>
      <c r="J12" s="44">
        <v>-1.3402269903179076</v>
      </c>
      <c r="K12" s="44">
        <v>-0.67081283141271886</v>
      </c>
      <c r="L12" s="44">
        <v>-0.47150245093074949</v>
      </c>
      <c r="M12" s="44">
        <v>-0.49301776808874664</v>
      </c>
      <c r="N12" s="44">
        <v>-6.0593055150239106E-2</v>
      </c>
      <c r="O12" s="44">
        <v>-6.2359185384637666E-3</v>
      </c>
      <c r="P12" s="44">
        <v>-0.61196900022386425</v>
      </c>
      <c r="Q12" s="44">
        <v>-0.45261147091684339</v>
      </c>
      <c r="R12" s="44">
        <v>3.5392390755878487E-4</v>
      </c>
      <c r="S12" s="44">
        <v>4.1251848569292482E-2</v>
      </c>
      <c r="T12" s="44">
        <v>-2.4319144802749637</v>
      </c>
      <c r="U12" s="44">
        <v>-1.8811073664627403E-3</v>
      </c>
      <c r="V12" s="44">
        <v>1.4644731095895508E-2</v>
      </c>
      <c r="W12" s="44">
        <v>-0.29934170196799181</v>
      </c>
      <c r="X12" s="44">
        <v>-0.30740332667288306</v>
      </c>
      <c r="Y12" s="44">
        <v>-6.4238276184087937</v>
      </c>
      <c r="Z12" s="44">
        <v>5.5896402486539394</v>
      </c>
      <c r="AA12" s="44">
        <v>-0.78608417089358285</v>
      </c>
      <c r="AB12" s="35">
        <v>0</v>
      </c>
      <c r="AC12" s="35">
        <v>-3.4244706581910339E-2</v>
      </c>
    </row>
    <row r="13" spans="2:29" x14ac:dyDescent="0.25">
      <c r="F13" s="35">
        <v>10</v>
      </c>
      <c r="G13" s="2" t="s">
        <v>138</v>
      </c>
      <c r="H13" s="44">
        <v>-1.4892356633826598E-3</v>
      </c>
      <c r="I13" s="44">
        <v>-0.14284462037830026</v>
      </c>
      <c r="J13" s="44">
        <v>-0.10898524540672305</v>
      </c>
      <c r="K13" s="44">
        <v>-0.11488943337601354</v>
      </c>
      <c r="L13" s="44">
        <v>-5.9182110843152724E-2</v>
      </c>
      <c r="M13" s="44">
        <v>-0.11398393619956937</v>
      </c>
      <c r="N13" s="44">
        <v>-1.0702843526089856E-2</v>
      </c>
      <c r="O13" s="44">
        <v>1.2049076858044537E-2</v>
      </c>
      <c r="P13" s="44">
        <v>-4.5544873964629584E-2</v>
      </c>
      <c r="Q13" s="44">
        <v>-0.14058391590852093</v>
      </c>
      <c r="R13" s="44">
        <v>3.8992431123221311E-4</v>
      </c>
      <c r="S13" s="44">
        <v>0.10702861523822468</v>
      </c>
      <c r="T13" s="44">
        <v>-0.55938152872828972</v>
      </c>
      <c r="U13" s="44">
        <v>2.4262774140460068E-3</v>
      </c>
      <c r="V13" s="44">
        <v>8.2425608859954369E-2</v>
      </c>
      <c r="W13" s="44">
        <v>-0.12615323516348909</v>
      </c>
      <c r="X13" s="44">
        <v>-4.3698048932107714E-2</v>
      </c>
      <c r="Y13" s="44">
        <v>-1.2348627913724357</v>
      </c>
      <c r="Z13" s="44">
        <v>7.3320003896231025</v>
      </c>
      <c r="AA13" s="44">
        <v>-0.48933480303833266</v>
      </c>
      <c r="AB13" s="35">
        <v>0</v>
      </c>
      <c r="AC13" s="35">
        <v>-3.0707354368628755E-2</v>
      </c>
    </row>
    <row r="16" spans="2:29" x14ac:dyDescent="0.25">
      <c r="H16" s="95" t="s">
        <v>145</v>
      </c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6:31" x14ac:dyDescent="0.25">
      <c r="H17" s="36" t="s">
        <v>13</v>
      </c>
      <c r="I17" s="36" t="s">
        <v>34</v>
      </c>
      <c r="J17" s="36" t="s">
        <v>11</v>
      </c>
      <c r="K17" s="36" t="s">
        <v>12</v>
      </c>
      <c r="L17" s="36" t="s">
        <v>7</v>
      </c>
      <c r="M17" s="36" t="s">
        <v>20</v>
      </c>
      <c r="N17" s="36" t="s">
        <v>15</v>
      </c>
      <c r="O17" s="36" t="s">
        <v>19</v>
      </c>
      <c r="P17" s="36" t="s">
        <v>26</v>
      </c>
      <c r="Q17" s="36" t="s">
        <v>43</v>
      </c>
      <c r="R17" s="36" t="s">
        <v>31</v>
      </c>
      <c r="S17" s="36" t="s">
        <v>35</v>
      </c>
      <c r="T17" s="36" t="s">
        <v>30</v>
      </c>
      <c r="U17" s="36" t="s">
        <v>37</v>
      </c>
      <c r="V17" s="36" t="s">
        <v>27</v>
      </c>
      <c r="W17" s="36" t="s">
        <v>44</v>
      </c>
      <c r="X17" s="36" t="s">
        <v>33</v>
      </c>
      <c r="Y17" s="36" t="s">
        <v>91</v>
      </c>
      <c r="Z17" s="36" t="s">
        <v>8</v>
      </c>
      <c r="AA17" s="36" t="s">
        <v>4</v>
      </c>
      <c r="AB17" s="36" t="s">
        <v>42</v>
      </c>
      <c r="AC17" s="36" t="s">
        <v>40</v>
      </c>
    </row>
    <row r="18" spans="6:31" x14ac:dyDescent="0.25">
      <c r="F18" s="35">
        <v>1</v>
      </c>
      <c r="G18" s="2" t="s">
        <v>136</v>
      </c>
      <c r="H18" s="44">
        <f>H4/$C$9/24</f>
        <v>-5.6632634785259976E-5</v>
      </c>
      <c r="I18" s="44">
        <f t="shared" ref="I18:AC22" si="0">I4/$C$9/24</f>
        <v>-1.6132072604661035E-4</v>
      </c>
      <c r="J18" s="44">
        <f t="shared" si="0"/>
        <v>-3.9213946933632356E-4</v>
      </c>
      <c r="K18" s="44">
        <f t="shared" si="0"/>
        <v>-1.6280087735818776E-4</v>
      </c>
      <c r="L18" s="44">
        <f t="shared" si="0"/>
        <v>-1.2617791263345033E-4</v>
      </c>
      <c r="M18" s="44">
        <f t="shared" si="0"/>
        <v>-1.7114183651287175E-4</v>
      </c>
      <c r="N18" s="44">
        <f t="shared" si="0"/>
        <v>-1.8733171241951678E-5</v>
      </c>
      <c r="O18" s="44">
        <f t="shared" si="0"/>
        <v>1.4875928181446512E-5</v>
      </c>
      <c r="P18" s="44">
        <f t="shared" si="0"/>
        <v>-1.1666717458955191E-4</v>
      </c>
      <c r="Q18" s="44">
        <f>Q4/$C$9/24</f>
        <v>-1.6336557410108729E-4</v>
      </c>
      <c r="R18" s="44">
        <f t="shared" si="0"/>
        <v>4.5615885700460188E-6</v>
      </c>
      <c r="S18" s="44">
        <f t="shared" si="0"/>
        <v>2.1040771026352117E-4</v>
      </c>
      <c r="T18" s="44">
        <f t="shared" si="0"/>
        <v>-1.0111000044984882E-3</v>
      </c>
      <c r="U18" s="44">
        <f t="shared" si="0"/>
        <v>-5.3828693479928467E-7</v>
      </c>
      <c r="V18" s="44">
        <f t="shared" si="0"/>
        <v>1.839997393083388E-5</v>
      </c>
      <c r="W18" s="44">
        <f t="shared" si="0"/>
        <v>-2.2742411270556441E-4</v>
      </c>
      <c r="X18" s="44">
        <f t="shared" si="0"/>
        <v>-6.4592435831768157E-5</v>
      </c>
      <c r="Y18" s="44">
        <f>Y4/$C$9/24</f>
        <v>-4.3474650628455855E-3</v>
      </c>
      <c r="Z18" s="44">
        <f t="shared" si="0"/>
        <v>4.8624204766503764E-3</v>
      </c>
      <c r="AA18" s="44">
        <f t="shared" si="0"/>
        <v>-3.4904161053441124E-4</v>
      </c>
      <c r="AB18" s="44">
        <f t="shared" si="0"/>
        <v>4.0533546251375074E-6</v>
      </c>
      <c r="AC18" s="44">
        <f t="shared" si="0"/>
        <v>-4.8538433939947946E-6</v>
      </c>
    </row>
    <row r="19" spans="6:31" x14ac:dyDescent="0.25">
      <c r="F19" s="35">
        <v>2</v>
      </c>
      <c r="G19" s="2" t="s">
        <v>136</v>
      </c>
      <c r="H19" s="44">
        <f t="shared" ref="H19:W22" si="1">H5/$C$9/24</f>
        <v>-1.4756678864284394E-4</v>
      </c>
      <c r="I19" s="44">
        <f t="shared" si="1"/>
        <v>-2.3491120419066362E-4</v>
      </c>
      <c r="J19" s="44">
        <f t="shared" si="1"/>
        <v>-8.9817746366355645E-4</v>
      </c>
      <c r="K19" s="44">
        <f t="shared" si="1"/>
        <v>-4.3956909219385699E-4</v>
      </c>
      <c r="L19" s="44">
        <f t="shared" si="1"/>
        <v>-2.8747092559088178E-4</v>
      </c>
      <c r="M19" s="44">
        <f t="shared" si="1"/>
        <v>-3.317326393854684E-4</v>
      </c>
      <c r="N19" s="44">
        <f t="shared" si="1"/>
        <v>-3.7457919839771515E-5</v>
      </c>
      <c r="O19" s="44">
        <f t="shared" si="1"/>
        <v>3.5690223973949082E-6</v>
      </c>
      <c r="P19" s="44">
        <f t="shared" si="1"/>
        <v>-3.8300186211108744E-4</v>
      </c>
      <c r="Q19" s="44">
        <f t="shared" si="1"/>
        <v>-4.5004970678255447E-4</v>
      </c>
      <c r="R19" s="44">
        <f t="shared" si="1"/>
        <v>2.9138628253384246E-9</v>
      </c>
      <c r="S19" s="44">
        <f t="shared" si="1"/>
        <v>1.6193907570714704E-4</v>
      </c>
      <c r="T19" s="44">
        <f t="shared" si="1"/>
        <v>-1.4903189802306881E-3</v>
      </c>
      <c r="U19" s="44">
        <f t="shared" si="1"/>
        <v>-1.4937144043443771E-6</v>
      </c>
      <c r="V19" s="44">
        <f t="shared" si="1"/>
        <v>-9.6072252066819651E-6</v>
      </c>
      <c r="W19" s="44">
        <f t="shared" si="1"/>
        <v>-3.8980177267024154E-4</v>
      </c>
      <c r="X19" s="44">
        <f t="shared" si="0"/>
        <v>-1.6544222272706693E-4</v>
      </c>
      <c r="Y19" s="44">
        <f t="shared" si="0"/>
        <v>-3.5887432798465155E-3</v>
      </c>
      <c r="Z19" s="44">
        <f t="shared" si="0"/>
        <v>3.1601327942036915E-3</v>
      </c>
      <c r="AA19" s="44">
        <f t="shared" si="0"/>
        <v>-5.1827304472692396E-4</v>
      </c>
      <c r="AB19" s="44">
        <f t="shared" si="0"/>
        <v>7.7254514771121074E-6</v>
      </c>
      <c r="AC19" s="44">
        <f t="shared" si="0"/>
        <v>1.0400643937996513E-5</v>
      </c>
    </row>
    <row r="20" spans="6:31" x14ac:dyDescent="0.25">
      <c r="F20" s="35">
        <v>3</v>
      </c>
      <c r="G20" s="2" t="s">
        <v>136</v>
      </c>
      <c r="H20" s="44">
        <f t="shared" si="1"/>
        <v>-1.6047466171279314E-4</v>
      </c>
      <c r="I20" s="44">
        <f t="shared" si="0"/>
        <v>-3.0270490259156832E-4</v>
      </c>
      <c r="J20" s="44">
        <f t="shared" si="0"/>
        <v>-8.7667177496333437E-4</v>
      </c>
      <c r="K20" s="44">
        <f t="shared" si="0"/>
        <v>-4.7244129565220881E-4</v>
      </c>
      <c r="L20" s="44">
        <f t="shared" si="0"/>
        <v>-2.4243400367119974E-4</v>
      </c>
      <c r="M20" s="44">
        <f t="shared" si="0"/>
        <v>-3.5500968876777533E-4</v>
      </c>
      <c r="N20" s="44">
        <f t="shared" si="0"/>
        <v>-4.190906535423899E-5</v>
      </c>
      <c r="O20" s="44">
        <f t="shared" si="0"/>
        <v>2.6446332711574305E-6</v>
      </c>
      <c r="P20" s="44">
        <f t="shared" si="0"/>
        <v>-3.9316139424225722E-4</v>
      </c>
      <c r="Q20" s="44">
        <f t="shared" si="0"/>
        <v>-4.4815968809737796E-4</v>
      </c>
      <c r="R20" s="44">
        <f t="shared" si="0"/>
        <v>-1.3365607796725676E-7</v>
      </c>
      <c r="S20" s="44">
        <f t="shared" si="0"/>
        <v>1.2460682995672569E-4</v>
      </c>
      <c r="T20" s="44">
        <f t="shared" si="0"/>
        <v>-1.8858955485454053E-3</v>
      </c>
      <c r="U20" s="44">
        <f t="shared" si="0"/>
        <v>-2.6816595772458131E-6</v>
      </c>
      <c r="V20" s="44">
        <f t="shared" si="0"/>
        <v>-2.395005426177408E-6</v>
      </c>
      <c r="W20" s="44">
        <f t="shared" si="0"/>
        <v>-2.9097374952636803E-4</v>
      </c>
      <c r="X20" s="44">
        <f t="shared" si="0"/>
        <v>-1.9373651401488048E-4</v>
      </c>
      <c r="Y20" s="44">
        <f t="shared" si="0"/>
        <v>-2.2468373957420713E-3</v>
      </c>
      <c r="Z20" s="44">
        <f t="shared" si="0"/>
        <v>3.5541770630983065E-3</v>
      </c>
      <c r="AA20" s="44">
        <f t="shared" si="0"/>
        <v>-5.0204923696716721E-4</v>
      </c>
      <c r="AB20" s="44">
        <f t="shared" si="0"/>
        <v>1.7927759322701704E-7</v>
      </c>
      <c r="AC20" s="44">
        <f t="shared" si="0"/>
        <v>-2.0167179880933047E-5</v>
      </c>
    </row>
    <row r="21" spans="6:31" x14ac:dyDescent="0.25">
      <c r="F21" s="37">
        <v>4</v>
      </c>
      <c r="G21" s="2" t="s">
        <v>136</v>
      </c>
      <c r="H21" s="44">
        <f t="shared" si="1"/>
        <v>-8.7358640525098767E-5</v>
      </c>
      <c r="I21" s="44">
        <f t="shared" si="0"/>
        <v>-1.903459335057125E-4</v>
      </c>
      <c r="J21" s="44">
        <f t="shared" si="0"/>
        <v>-6.1492585944817647E-4</v>
      </c>
      <c r="K21" s="44">
        <f t="shared" si="0"/>
        <v>-3.0957949675458938E-4</v>
      </c>
      <c r="L21" s="44">
        <f t="shared" si="0"/>
        <v>-1.8353108672554286E-4</v>
      </c>
      <c r="M21" s="44">
        <f t="shared" si="0"/>
        <v>-2.4476995982510995E-4</v>
      </c>
      <c r="N21" s="44">
        <f t="shared" si="0"/>
        <v>-2.6890826593958545E-5</v>
      </c>
      <c r="O21" s="44">
        <f t="shared" si="0"/>
        <v>6.1101260697504964E-6</v>
      </c>
      <c r="P21" s="44">
        <f t="shared" si="0"/>
        <v>-2.3920991817846446E-4</v>
      </c>
      <c r="Q21" s="44">
        <f t="shared" si="0"/>
        <v>-2.2457407036466969E-4</v>
      </c>
      <c r="R21" s="44">
        <f t="shared" si="0"/>
        <v>-1.7654780818788397E-7</v>
      </c>
      <c r="S21" s="44">
        <f t="shared" si="0"/>
        <v>2.0372415641842654E-4</v>
      </c>
      <c r="T21" s="44">
        <f t="shared" si="0"/>
        <v>-1.0985944743436293E-3</v>
      </c>
      <c r="U21" s="44">
        <f t="shared" si="0"/>
        <v>-2.159965145354763E-6</v>
      </c>
      <c r="V21" s="44">
        <f t="shared" si="0"/>
        <v>1.0785653603366746E-5</v>
      </c>
      <c r="W21" s="44">
        <f t="shared" si="0"/>
        <v>-1.6473377802146859E-4</v>
      </c>
      <c r="X21" s="44">
        <f t="shared" si="0"/>
        <v>-1.3044062084503552E-4</v>
      </c>
      <c r="Y21" s="44">
        <f t="shared" si="0"/>
        <v>-1.3942239820221639E-3</v>
      </c>
      <c r="Z21" s="44">
        <f t="shared" si="0"/>
        <v>4.6807558027679242E-3</v>
      </c>
      <c r="AA21" s="44">
        <f>AA7/$C$9/24</f>
        <v>-3.9594452419991819E-4</v>
      </c>
      <c r="AB21" s="44">
        <f>AB7/$C$9/24</f>
        <v>9.5592922776037032E-6</v>
      </c>
      <c r="AC21" s="44">
        <f>AC7/$C$9/24</f>
        <v>2.1132214642139878E-5</v>
      </c>
    </row>
    <row r="22" spans="6:31" x14ac:dyDescent="0.25">
      <c r="F22" s="36">
        <v>5</v>
      </c>
      <c r="G22" s="6" t="s">
        <v>136</v>
      </c>
      <c r="H22" s="6">
        <f t="shared" si="1"/>
        <v>-6.2575962153697362E-5</v>
      </c>
      <c r="I22" s="6">
        <f t="shared" si="0"/>
        <v>-1.5226853130082956E-4</v>
      </c>
      <c r="J22" s="6">
        <f t="shared" si="0"/>
        <v>-3.4775918933127858E-4</v>
      </c>
      <c r="K22" s="6">
        <f t="shared" si="0"/>
        <v>-2.3533953428876131E-4</v>
      </c>
      <c r="L22" s="6">
        <f t="shared" si="0"/>
        <v>-1.3240143699571675E-4</v>
      </c>
      <c r="M22" s="6">
        <f t="shared" si="0"/>
        <v>-1.7166264091243884E-4</v>
      </c>
      <c r="N22" s="6">
        <f t="shared" si="0"/>
        <v>-1.7282073148843101E-5</v>
      </c>
      <c r="O22" s="6">
        <f t="shared" si="0"/>
        <v>1.153386679983422E-5</v>
      </c>
      <c r="P22" s="6">
        <f t="shared" si="0"/>
        <v>-1.2375070398986E-4</v>
      </c>
      <c r="Q22" s="6">
        <f t="shared" si="0"/>
        <v>-2.2837379028111442E-4</v>
      </c>
      <c r="R22" s="6">
        <f t="shared" si="0"/>
        <v>-8.3611918025374051E-8</v>
      </c>
      <c r="S22" s="6">
        <f t="shared" si="0"/>
        <v>1.9932204777057619E-4</v>
      </c>
      <c r="T22" s="6">
        <f t="shared" si="0"/>
        <v>-1.0346688372908763E-3</v>
      </c>
      <c r="U22" s="6">
        <f t="shared" si="0"/>
        <v>-4.2363497667017357E-7</v>
      </c>
      <c r="V22" s="6">
        <f t="shared" si="0"/>
        <v>1.0656758142478966E-5</v>
      </c>
      <c r="W22" s="6">
        <f t="shared" si="0"/>
        <v>-1.0248645087902119E-4</v>
      </c>
      <c r="X22" s="6">
        <f t="shared" si="0"/>
        <v>-7.8052205341554108E-5</v>
      </c>
      <c r="Y22" s="6">
        <f t="shared" si="0"/>
        <v>-3.9867754917502227E-3</v>
      </c>
      <c r="Z22" s="6">
        <f t="shared" si="0"/>
        <v>3.7226164769005071E-3</v>
      </c>
      <c r="AA22" s="6">
        <f t="shared" si="0"/>
        <v>-3.5612608613842513E-4</v>
      </c>
      <c r="AB22" s="6">
        <f>AB8/$C$9/24</f>
        <v>3.0507405066609822E-6</v>
      </c>
      <c r="AC22" s="6">
        <f>AC8/$C$9/24</f>
        <v>-6.9197007443708735E-6</v>
      </c>
    </row>
    <row r="23" spans="6:31" x14ac:dyDescent="0.25">
      <c r="F23" s="35">
        <v>6</v>
      </c>
      <c r="G23" s="2" t="s">
        <v>138</v>
      </c>
      <c r="H23" s="44">
        <f>H9/$C$10/24</f>
        <v>-4.3932660362304036E-5</v>
      </c>
      <c r="I23" s="44">
        <f t="shared" ref="I23:AC23" si="2">I9/$C$10/24</f>
        <v>-8.644794399929744E-5</v>
      </c>
      <c r="J23" s="44">
        <f t="shared" si="2"/>
        <v>-2.1692037617725463E-4</v>
      </c>
      <c r="K23" s="44">
        <f t="shared" si="2"/>
        <v>-1.2623493829566518E-4</v>
      </c>
      <c r="L23" s="44">
        <f t="shared" si="2"/>
        <v>-8.3715565307060163E-5</v>
      </c>
      <c r="M23" s="44">
        <f t="shared" si="2"/>
        <v>-9.2765622507563953E-5</v>
      </c>
      <c r="N23" s="44">
        <f t="shared" si="2"/>
        <v>-1.079915237074903E-5</v>
      </c>
      <c r="O23" s="44">
        <f t="shared" si="2"/>
        <v>2.8601443358293765E-6</v>
      </c>
      <c r="P23" s="44">
        <f t="shared" si="2"/>
        <v>-6.5781102482956514E-5</v>
      </c>
      <c r="Q23" s="44">
        <f t="shared" si="2"/>
        <v>-1.6149720964874883E-4</v>
      </c>
      <c r="R23" s="44">
        <f t="shared" si="2"/>
        <v>1.3862929882680955E-7</v>
      </c>
      <c r="S23" s="44">
        <f t="shared" si="2"/>
        <v>3.2063993721419598E-5</v>
      </c>
      <c r="T23" s="44">
        <f t="shared" si="2"/>
        <v>-5.3262677926086365E-4</v>
      </c>
      <c r="U23" s="44">
        <f>U9/$C$10/24</f>
        <v>2.8256849632743543E-7</v>
      </c>
      <c r="V23" s="44">
        <f t="shared" si="2"/>
        <v>2.1457423629789706E-5</v>
      </c>
      <c r="W23" s="44">
        <f t="shared" si="2"/>
        <v>-1.3485959548780626E-4</v>
      </c>
      <c r="X23" s="44">
        <f t="shared" si="2"/>
        <v>-3.2781052331102224E-5</v>
      </c>
      <c r="Y23" s="44">
        <f t="shared" si="2"/>
        <v>-7.6828262632455202E-4</v>
      </c>
      <c r="Z23" s="44">
        <f t="shared" si="2"/>
        <v>2.3796986321852139E-3</v>
      </c>
      <c r="AA23" s="44">
        <f t="shared" si="2"/>
        <v>-2.4006448121628772E-4</v>
      </c>
      <c r="AB23" s="44">
        <f t="shared" si="2"/>
        <v>6.4306755313609264E-7</v>
      </c>
      <c r="AC23" s="44">
        <f t="shared" si="2"/>
        <v>1.027824345011775E-5</v>
      </c>
    </row>
    <row r="24" spans="6:31" x14ac:dyDescent="0.25">
      <c r="F24" s="35">
        <v>7</v>
      </c>
      <c r="G24" s="2" t="s">
        <v>138</v>
      </c>
      <c r="H24" s="44">
        <f>H10/$C$10/24</f>
        <v>-5.0368263883336931E-5</v>
      </c>
      <c r="I24" s="44">
        <f t="shared" ref="H24:W27" si="3">I10/$C$10/24</f>
        <v>-1.4627215493875659E-4</v>
      </c>
      <c r="J24" s="44">
        <f t="shared" si="3"/>
        <v>-3.5627855705416237E-4</v>
      </c>
      <c r="K24" s="44">
        <f t="shared" si="3"/>
        <v>-1.8883766531250048E-4</v>
      </c>
      <c r="L24" s="44">
        <f t="shared" si="3"/>
        <v>-1.3097341536475219E-4</v>
      </c>
      <c r="M24" s="44">
        <f t="shared" si="3"/>
        <v>-1.7019434772569069E-4</v>
      </c>
      <c r="N24" s="44">
        <f t="shared" si="3"/>
        <v>-1.9668958183927153E-5</v>
      </c>
      <c r="O24" s="44">
        <f t="shared" si="3"/>
        <v>-3.0774996033668353E-7</v>
      </c>
      <c r="P24" s="44">
        <f t="shared" si="3"/>
        <v>-1.7982019123662053E-4</v>
      </c>
      <c r="Q24" s="44">
        <f t="shared" si="3"/>
        <v>-1.8712195128219088E-4</v>
      </c>
      <c r="R24" s="44">
        <f t="shared" si="3"/>
        <v>2.0714965228092685E-7</v>
      </c>
      <c r="S24" s="44">
        <f t="shared" si="3"/>
        <v>1.8755172883192655E-5</v>
      </c>
      <c r="T24" s="44">
        <f t="shared" si="3"/>
        <v>-7.782614278354314E-4</v>
      </c>
      <c r="U24" s="44">
        <f t="shared" si="3"/>
        <v>-7.1550418450869199E-7</v>
      </c>
      <c r="V24" s="44">
        <f t="shared" si="3"/>
        <v>1.1684481606826963E-5</v>
      </c>
      <c r="W24" s="44">
        <f t="shared" si="3"/>
        <v>-1.3191341246077682E-4</v>
      </c>
      <c r="X24" s="44">
        <f t="shared" ref="X24:AC24" si="4">X10/$C$10/24</f>
        <v>-1.0445446379295139E-4</v>
      </c>
      <c r="Y24" s="44">
        <f t="shared" si="4"/>
        <v>-1.1186926597139993E-3</v>
      </c>
      <c r="Z24" s="44">
        <f t="shared" si="4"/>
        <v>1.7361753683515153E-3</v>
      </c>
      <c r="AA24" s="44">
        <f t="shared" si="4"/>
        <v>-3.2442847052619015E-4</v>
      </c>
      <c r="AB24" s="44">
        <f t="shared" si="4"/>
        <v>3.5795168253549604E-7</v>
      </c>
      <c r="AC24" s="44">
        <f t="shared" si="4"/>
        <v>4.0561039111521647E-6</v>
      </c>
    </row>
    <row r="25" spans="6:31" x14ac:dyDescent="0.25">
      <c r="F25" s="35">
        <v>8</v>
      </c>
      <c r="G25" s="2" t="s">
        <v>138</v>
      </c>
      <c r="H25" s="44">
        <f t="shared" si="3"/>
        <v>-9.4708288188656521E-5</v>
      </c>
      <c r="I25" s="44">
        <f t="shared" si="3"/>
        <v>-1.4025488673487338E-4</v>
      </c>
      <c r="J25" s="44">
        <f t="shared" si="3"/>
        <v>-5.5223609302731437E-4</v>
      </c>
      <c r="K25" s="44">
        <f t="shared" si="3"/>
        <v>-3.080545691219169E-4</v>
      </c>
      <c r="L25" s="44">
        <f t="shared" si="3"/>
        <v>-1.9955253993732576E-4</v>
      </c>
      <c r="M25" s="44">
        <f t="shared" si="3"/>
        <v>-2.4093966570234754E-4</v>
      </c>
      <c r="N25" s="44">
        <f t="shared" si="3"/>
        <v>-2.5229377076061048E-5</v>
      </c>
      <c r="O25" s="44">
        <f t="shared" si="3"/>
        <v>-3.4763381149366923E-6</v>
      </c>
      <c r="P25" s="44">
        <f t="shared" si="3"/>
        <v>-2.3763500206588895E-4</v>
      </c>
      <c r="Q25" s="44">
        <f t="shared" si="3"/>
        <v>-2.9538513406504341E-4</v>
      </c>
      <c r="R25" s="44">
        <f t="shared" si="3"/>
        <v>1.5083096058206113E-7</v>
      </c>
      <c r="S25" s="44">
        <f t="shared" si="3"/>
        <v>1.8512519677824589E-5</v>
      </c>
      <c r="T25" s="44">
        <f t="shared" si="3"/>
        <v>-8.7363737842544866E-4</v>
      </c>
      <c r="U25" s="44">
        <f t="shared" si="3"/>
        <v>-7.2569605938367902E-7</v>
      </c>
      <c r="V25" s="44">
        <f t="shared" si="3"/>
        <v>7.88561180187851E-7</v>
      </c>
      <c r="W25" s="44">
        <f t="shared" si="3"/>
        <v>-1.9437837317771913E-4</v>
      </c>
      <c r="X25" s="44">
        <f t="shared" ref="X25:AC25" si="5">X11/$C$10/24</f>
        <v>-9.9918942385286927E-5</v>
      </c>
      <c r="Y25" s="44">
        <f t="shared" si="5"/>
        <v>-8.0658376751930585E-4</v>
      </c>
      <c r="Z25" s="44">
        <f t="shared" si="5"/>
        <v>1.830923179334916E-3</v>
      </c>
      <c r="AA25" s="44">
        <f t="shared" si="5"/>
        <v>-3.2065863381780258E-4</v>
      </c>
      <c r="AB25" s="44">
        <f t="shared" si="5"/>
        <v>3.1086355748904438E-7</v>
      </c>
      <c r="AC25" s="44">
        <f t="shared" si="5"/>
        <v>2.6395726711697134E-6</v>
      </c>
    </row>
    <row r="26" spans="6:31" x14ac:dyDescent="0.25">
      <c r="F26" s="35">
        <v>9</v>
      </c>
      <c r="G26" s="2" t="s">
        <v>138</v>
      </c>
      <c r="H26" s="44">
        <f t="shared" si="3"/>
        <v>-8.4093722594206241E-5</v>
      </c>
      <c r="I26" s="44">
        <f t="shared" si="3"/>
        <v>-1.5879459344000379E-4</v>
      </c>
      <c r="J26" s="44">
        <f t="shared" si="3"/>
        <v>-5.4028354707177473E-4</v>
      </c>
      <c r="K26" s="44">
        <f t="shared" si="3"/>
        <v>-2.704236958330129E-4</v>
      </c>
      <c r="L26" s="44">
        <f t="shared" si="3"/>
        <v>-1.9007602330219759E-4</v>
      </c>
      <c r="M26" s="44">
        <f t="shared" si="3"/>
        <v>-1.9874945844003164E-4</v>
      </c>
      <c r="N26" s="44">
        <f t="shared" si="3"/>
        <v>-2.4426780687890334E-5</v>
      </c>
      <c r="O26" s="44">
        <f t="shared" si="3"/>
        <v>-2.5138757923481759E-6</v>
      </c>
      <c r="P26" s="44">
        <f t="shared" si="3"/>
        <v>-2.4670207698211525E-4</v>
      </c>
      <c r="Q26" s="44">
        <f t="shared" si="3"/>
        <v>-1.8246053296861299E-4</v>
      </c>
      <c r="R26" s="44">
        <f t="shared" si="3"/>
        <v>1.4267677456936245E-7</v>
      </c>
      <c r="S26" s="44">
        <f t="shared" si="3"/>
        <v>1.6629791243793948E-5</v>
      </c>
      <c r="T26" s="44">
        <f t="shared" si="3"/>
        <v>-9.8037376583984519E-4</v>
      </c>
      <c r="U26" s="44">
        <f t="shared" si="3"/>
        <v>-7.5832778157545977E-7</v>
      </c>
      <c r="V26" s="44">
        <f t="shared" si="3"/>
        <v>5.9037068493344625E-6</v>
      </c>
      <c r="W26" s="44">
        <f t="shared" si="3"/>
        <v>-1.2067313797896709E-4</v>
      </c>
      <c r="X26" s="44">
        <f t="shared" ref="X26:AC26" si="6">X12/$C$10/24</f>
        <v>-1.2392300775638959E-4</v>
      </c>
      <c r="Y26" s="44">
        <f t="shared" si="6"/>
        <v>-2.5896272769646818E-3</v>
      </c>
      <c r="Z26" s="44">
        <f t="shared" si="6"/>
        <v>2.2533426667385296E-3</v>
      </c>
      <c r="AA26" s="44">
        <f t="shared" si="6"/>
        <v>-3.1689284517887333E-4</v>
      </c>
      <c r="AB26" s="44">
        <f t="shared" si="6"/>
        <v>0</v>
      </c>
      <c r="AC26" s="44">
        <f t="shared" si="6"/>
        <v>-1.3805013385171382E-5</v>
      </c>
    </row>
    <row r="27" spans="6:31" x14ac:dyDescent="0.25">
      <c r="F27" s="35">
        <v>10</v>
      </c>
      <c r="G27" s="2" t="s">
        <v>138</v>
      </c>
      <c r="H27" s="44">
        <f t="shared" si="3"/>
        <v>-6.0035317334365436E-7</v>
      </c>
      <c r="I27" s="44">
        <f t="shared" si="3"/>
        <v>-5.7584721644654057E-5</v>
      </c>
      <c r="J27" s="44">
        <f t="shared" si="3"/>
        <v>-4.3935046370663594E-5</v>
      </c>
      <c r="K27" s="44">
        <f t="shared" si="3"/>
        <v>-4.6315192153185168E-5</v>
      </c>
      <c r="L27" s="44">
        <f t="shared" si="3"/>
        <v>-2.3857988982857941E-5</v>
      </c>
      <c r="M27" s="44">
        <f t="shared" si="3"/>
        <v>-4.5950160535491298E-5</v>
      </c>
      <c r="N27" s="44">
        <f t="shared" si="3"/>
        <v>-4.3146200649625463E-6</v>
      </c>
      <c r="O27" s="44">
        <f t="shared" si="3"/>
        <v>4.8573249388602125E-6</v>
      </c>
      <c r="P27" s="44">
        <f t="shared" si="3"/>
        <v>-1.8360431653976821E-5</v>
      </c>
      <c r="Q27" s="44">
        <f t="shared" si="3"/>
        <v>-5.6673367494471138E-5</v>
      </c>
      <c r="R27" s="44">
        <f t="shared" si="3"/>
        <v>1.5718955929404689E-7</v>
      </c>
      <c r="S27" s="44">
        <f t="shared" si="3"/>
        <v>4.3146273203594936E-5</v>
      </c>
      <c r="T27" s="44">
        <f t="shared" si="3"/>
        <v>-2.2550257433336964E-4</v>
      </c>
      <c r="U27" s="44">
        <f t="shared" si="3"/>
        <v>9.7810130441408568E-7</v>
      </c>
      <c r="V27" s="44">
        <f t="shared" si="3"/>
        <v>3.322810288564878E-5</v>
      </c>
      <c r="W27" s="44">
        <f t="shared" si="3"/>
        <v>-5.0855950418176648E-5</v>
      </c>
      <c r="X27" s="44">
        <f t="shared" ref="X27:AC27" si="7">X13/$C$10/24</f>
        <v>-1.7615924054443118E-5</v>
      </c>
      <c r="Y27" s="44">
        <f t="shared" si="7"/>
        <v>-4.9780824732636932E-4</v>
      </c>
      <c r="Z27" s="44">
        <f t="shared" si="7"/>
        <v>2.9557375028669976E-3</v>
      </c>
      <c r="AA27" s="44">
        <f t="shared" si="7"/>
        <v>-1.9726475067369494E-4</v>
      </c>
      <c r="AB27" s="44">
        <f t="shared" si="7"/>
        <v>0</v>
      </c>
      <c r="AC27" s="44">
        <f t="shared" si="7"/>
        <v>-1.2379006287238941E-5</v>
      </c>
    </row>
    <row r="30" spans="6:31" x14ac:dyDescent="0.25">
      <c r="F30" s="3" t="s">
        <v>82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6:31" x14ac:dyDescent="0.25">
      <c r="F31" s="9" t="s">
        <v>136</v>
      </c>
      <c r="G31" s="9"/>
      <c r="H31" s="9">
        <f>AVERAGE(H18:H22)</f>
        <v>-1.0292173756393866E-4</v>
      </c>
      <c r="I31" s="9">
        <f t="shared" ref="I31:AC31" si="8">AVERAGE(I18:I22)</f>
        <v>-2.0831025952707687E-4</v>
      </c>
      <c r="J31" s="9">
        <f t="shared" si="8"/>
        <v>-6.2593475134853382E-4</v>
      </c>
      <c r="K31" s="9">
        <f t="shared" si="8"/>
        <v>-3.2394605924952085E-4</v>
      </c>
      <c r="L31" s="9">
        <f t="shared" si="8"/>
        <v>-1.9440307312335831E-4</v>
      </c>
      <c r="M31" s="9">
        <f t="shared" si="8"/>
        <v>-2.5486335308073287E-4</v>
      </c>
      <c r="N31" s="9">
        <f t="shared" si="8"/>
        <v>-2.845461123575277E-5</v>
      </c>
      <c r="O31" s="9">
        <f t="shared" si="8"/>
        <v>7.7467153439167126E-6</v>
      </c>
      <c r="P31" s="9">
        <f t="shared" si="8"/>
        <v>-2.5115821062224422E-4</v>
      </c>
      <c r="Q31" s="9">
        <f t="shared" si="8"/>
        <v>-3.0290456592536077E-4</v>
      </c>
      <c r="R31" s="9">
        <f t="shared" si="8"/>
        <v>8.3413732573816853E-7</v>
      </c>
      <c r="S31" s="9">
        <f t="shared" si="8"/>
        <v>1.7999996402327933E-4</v>
      </c>
      <c r="T31" s="9">
        <f t="shared" si="8"/>
        <v>-1.3041155689818174E-3</v>
      </c>
      <c r="U31" s="9">
        <f t="shared" si="8"/>
        <v>-1.4594522076828821E-6</v>
      </c>
      <c r="V31" s="9">
        <f t="shared" si="8"/>
        <v>5.5680310087640446E-6</v>
      </c>
      <c r="W31" s="9">
        <f t="shared" si="8"/>
        <v>-2.3508397276053274E-4</v>
      </c>
      <c r="X31" s="9">
        <f t="shared" si="8"/>
        <v>-1.2645279975206103E-4</v>
      </c>
      <c r="Y31" s="9">
        <f t="shared" si="8"/>
        <v>-3.1128090424413111E-3</v>
      </c>
      <c r="Z31" s="9">
        <f t="shared" si="8"/>
        <v>3.9960205227241611E-3</v>
      </c>
      <c r="AA31" s="9">
        <f t="shared" si="8"/>
        <v>-4.2428690051336912E-4</v>
      </c>
      <c r="AB31" s="9">
        <f t="shared" si="8"/>
        <v>4.9136232959482637E-6</v>
      </c>
      <c r="AC31" s="9">
        <f t="shared" si="8"/>
        <v>-8.1573087832464837E-8</v>
      </c>
      <c r="AE31" s="61"/>
    </row>
    <row r="32" spans="6:31" x14ac:dyDescent="0.25"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9" x14ac:dyDescent="0.25">
      <c r="F33" s="9" t="s">
        <v>138</v>
      </c>
      <c r="G33" s="9"/>
      <c r="H33" s="9">
        <f>AVERAGE(H23:H27)</f>
        <v>-5.4740657640369483E-5</v>
      </c>
      <c r="I33" s="9">
        <f t="shared" ref="I33:AC33" si="9">AVERAGE(I23:I27)</f>
        <v>-1.1787086015151705E-4</v>
      </c>
      <c r="J33" s="9">
        <f t="shared" si="9"/>
        <v>-3.4193072394023393E-4</v>
      </c>
      <c r="K33" s="9">
        <f t="shared" si="9"/>
        <v>-1.8797321214325614E-4</v>
      </c>
      <c r="L33" s="9">
        <f t="shared" si="9"/>
        <v>-1.2563510657883872E-4</v>
      </c>
      <c r="M33" s="9">
        <f t="shared" si="9"/>
        <v>-1.4971985098222502E-4</v>
      </c>
      <c r="N33" s="9">
        <f t="shared" si="9"/>
        <v>-1.6887777676718022E-5</v>
      </c>
      <c r="O33" s="9">
        <f t="shared" si="9"/>
        <v>2.839010814136074E-7</v>
      </c>
      <c r="P33" s="9">
        <f t="shared" si="9"/>
        <v>-1.496597608843116E-4</v>
      </c>
      <c r="Q33" s="9">
        <f t="shared" si="9"/>
        <v>-1.7662763909181343E-4</v>
      </c>
      <c r="R33" s="9">
        <f t="shared" si="9"/>
        <v>1.5929524911064135E-7</v>
      </c>
      <c r="S33" s="9">
        <f t="shared" si="9"/>
        <v>2.5821550145965149E-5</v>
      </c>
      <c r="T33" s="9">
        <f t="shared" si="9"/>
        <v>-6.7808038513899173E-4</v>
      </c>
      <c r="U33" s="9">
        <f t="shared" si="9"/>
        <v>-1.8777164494526193E-7</v>
      </c>
      <c r="V33" s="9">
        <f t="shared" si="9"/>
        <v>1.4612455230357552E-5</v>
      </c>
      <c r="W33" s="9">
        <f t="shared" si="9"/>
        <v>-1.2653609390468918E-4</v>
      </c>
      <c r="X33" s="9">
        <f t="shared" si="9"/>
        <v>-7.5738678064034648E-5</v>
      </c>
      <c r="Y33" s="9">
        <f t="shared" si="9"/>
        <v>-1.1561989155697817E-3</v>
      </c>
      <c r="Z33" s="9">
        <f t="shared" si="9"/>
        <v>2.2311754698954344E-3</v>
      </c>
      <c r="AA33" s="9">
        <f t="shared" si="9"/>
        <v>-2.7986183628256973E-4</v>
      </c>
      <c r="AB33" s="9">
        <f t="shared" si="9"/>
        <v>2.6237655863212661E-7</v>
      </c>
      <c r="AC33" s="9">
        <f t="shared" si="9"/>
        <v>-1.8420199279941387E-6</v>
      </c>
    </row>
    <row r="34" spans="2:29" x14ac:dyDescent="0.25">
      <c r="F34" s="2"/>
      <c r="G34" s="2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2:29" x14ac:dyDescent="0.25">
      <c r="F35" s="2"/>
      <c r="G35" s="2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2:29" x14ac:dyDescent="0.25">
      <c r="F36" s="3" t="s">
        <v>83</v>
      </c>
      <c r="G36" s="2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2:29" x14ac:dyDescent="0.25">
      <c r="F37" s="9" t="s">
        <v>136</v>
      </c>
      <c r="G37" s="9"/>
      <c r="H37" s="9">
        <f>STDEV(H18:H22)</f>
        <v>4.8265392060126571E-5</v>
      </c>
      <c r="I37" s="9">
        <f t="shared" ref="I37:AC37" si="10">STDEV(I18:I22)</f>
        <v>6.1825090911712916E-5</v>
      </c>
      <c r="J37" s="9">
        <f t="shared" si="10"/>
        <v>2.5939748568341392E-4</v>
      </c>
      <c r="K37" s="9">
        <f t="shared" si="10"/>
        <v>1.3176191123753342E-4</v>
      </c>
      <c r="L37" s="9">
        <f t="shared" si="10"/>
        <v>6.9974407726719511E-5</v>
      </c>
      <c r="M37" s="9">
        <f t="shared" si="10"/>
        <v>8.6561687769023726E-5</v>
      </c>
      <c r="N37" s="9">
        <f t="shared" si="10"/>
        <v>1.0998401323693399E-5</v>
      </c>
      <c r="O37" s="9">
        <f t="shared" si="10"/>
        <v>5.2756747463657046E-6</v>
      </c>
      <c r="P37" s="9">
        <f t="shared" si="10"/>
        <v>1.3417425778430893E-4</v>
      </c>
      <c r="Q37" s="9">
        <f t="shared" si="10"/>
        <v>1.3593415344142004E-4</v>
      </c>
      <c r="R37" s="9">
        <f t="shared" si="10"/>
        <v>2.0847780104013682E-6</v>
      </c>
      <c r="S37" s="9">
        <f t="shared" si="10"/>
        <v>3.6247090383344716E-5</v>
      </c>
      <c r="T37" s="9">
        <f t="shared" si="10"/>
        <v>3.7876055680713969E-4</v>
      </c>
      <c r="U37" s="9">
        <f t="shared" si="10"/>
        <v>9.8832508874980572E-7</v>
      </c>
      <c r="V37" s="9">
        <f t="shared" si="10"/>
        <v>1.1307915800502441E-5</v>
      </c>
      <c r="W37" s="9">
        <f t="shared" si="10"/>
        <v>1.1141273594257466E-4</v>
      </c>
      <c r="X37" s="9">
        <f t="shared" si="10"/>
        <v>5.5300312362670454E-5</v>
      </c>
      <c r="Y37" s="9">
        <f t="shared" si="10"/>
        <v>1.2468107057965433E-3</v>
      </c>
      <c r="Z37" s="9">
        <f t="shared" si="10"/>
        <v>7.3962743893090461E-4</v>
      </c>
      <c r="AA37" s="9">
        <f t="shared" si="10"/>
        <v>8.0609268775760397E-5</v>
      </c>
      <c r="AB37" s="9">
        <f t="shared" si="10"/>
        <v>3.7454319414781474E-6</v>
      </c>
      <c r="AC37" s="9">
        <f t="shared" si="10"/>
        <v>1.6069130480506301E-5</v>
      </c>
    </row>
    <row r="38" spans="2:29" x14ac:dyDescent="0.25"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9" x14ac:dyDescent="0.25">
      <c r="F39" s="9" t="s">
        <v>138</v>
      </c>
      <c r="G39" s="9"/>
      <c r="H39" s="9">
        <f>STDEV(H23:H27)</f>
        <v>3.7168928939169043E-5</v>
      </c>
      <c r="I39" s="9">
        <f t="shared" ref="I39:AC39" si="11">STDEV(I23:I27)</f>
        <v>4.3601170550575166E-5</v>
      </c>
      <c r="J39" s="9">
        <f t="shared" si="11"/>
        <v>2.1691418921092906E-4</v>
      </c>
      <c r="K39" s="9">
        <f t="shared" si="11"/>
        <v>1.0618023700173764E-4</v>
      </c>
      <c r="L39" s="9">
        <f t="shared" si="11"/>
        <v>7.3757619690662221E-5</v>
      </c>
      <c r="M39" s="9">
        <f t="shared" si="11"/>
        <v>7.9303365027111412E-5</v>
      </c>
      <c r="N39" s="9">
        <f t="shared" si="11"/>
        <v>9.0734428747002622E-6</v>
      </c>
      <c r="O39" s="9">
        <f t="shared" si="11"/>
        <v>3.5309432270327621E-6</v>
      </c>
      <c r="P39" s="9">
        <f t="shared" si="11"/>
        <v>1.0288543255141405E-4</v>
      </c>
      <c r="Q39" s="9">
        <f t="shared" si="11"/>
        <v>8.4949180427512614E-5</v>
      </c>
      <c r="R39" s="9">
        <f t="shared" si="11"/>
        <v>2.7700980171719275E-8</v>
      </c>
      <c r="S39" s="9">
        <f t="shared" si="11"/>
        <v>1.1477784809535117E-5</v>
      </c>
      <c r="T39" s="9">
        <f t="shared" si="11"/>
        <v>3.0234231148281891E-4</v>
      </c>
      <c r="U39" s="9">
        <f t="shared" si="11"/>
        <v>7.8642834965266274E-7</v>
      </c>
      <c r="V39" s="9">
        <f t="shared" si="11"/>
        <v>1.2931659837677014E-5</v>
      </c>
      <c r="W39" s="9">
        <f t="shared" si="11"/>
        <v>5.1143497780127611E-5</v>
      </c>
      <c r="X39" s="9">
        <f t="shared" si="11"/>
        <v>4.7314435701079715E-5</v>
      </c>
      <c r="Y39" s="9">
        <f t="shared" si="11"/>
        <v>8.310101770913729E-4</v>
      </c>
      <c r="Z39" s="9">
        <f t="shared" si="11"/>
        <v>4.88049088361958E-4</v>
      </c>
      <c r="AA39" s="9">
        <f t="shared" si="11"/>
        <v>5.7939553023312693E-5</v>
      </c>
      <c r="AB39" s="9">
        <f t="shared" si="11"/>
        <v>2.7115223754516089E-7</v>
      </c>
      <c r="AC39" s="9">
        <f t="shared" si="11"/>
        <v>1.0676078580089261E-5</v>
      </c>
    </row>
    <row r="42" spans="2:29" x14ac:dyDescent="0.25">
      <c r="F42" s="3" t="s">
        <v>153</v>
      </c>
      <c r="G42" s="2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2:29" x14ac:dyDescent="0.25">
      <c r="F43" s="9" t="s">
        <v>136</v>
      </c>
      <c r="G43" s="73">
        <v>0.75</v>
      </c>
      <c r="H43" s="9">
        <f>PERCENTILE(H18:H22, 0.75)</f>
        <v>-6.2575962153697362E-5</v>
      </c>
      <c r="I43" s="9">
        <f t="shared" ref="I43:AC43" si="12">PERCENTILE(I18:I22, 0.75)</f>
        <v>-1.6132072604661035E-4</v>
      </c>
      <c r="J43" s="9">
        <f t="shared" si="12"/>
        <v>-3.9213946933632356E-4</v>
      </c>
      <c r="K43" s="9">
        <f t="shared" si="12"/>
        <v>-2.3533953428876131E-4</v>
      </c>
      <c r="L43" s="9">
        <f t="shared" si="12"/>
        <v>-1.3240143699571675E-4</v>
      </c>
      <c r="M43" s="9">
        <f t="shared" si="12"/>
        <v>-1.7166264091243884E-4</v>
      </c>
      <c r="N43" s="9">
        <f t="shared" si="12"/>
        <v>-1.8733171241951678E-5</v>
      </c>
      <c r="O43" s="9">
        <f t="shared" si="12"/>
        <v>1.153386679983422E-5</v>
      </c>
      <c r="P43" s="9">
        <f t="shared" si="12"/>
        <v>-1.2375070398986E-4</v>
      </c>
      <c r="Q43" s="9">
        <f t="shared" si="12"/>
        <v>-2.2457407036466969E-4</v>
      </c>
      <c r="R43" s="9">
        <f t="shared" si="12"/>
        <v>2.9138628253384246E-9</v>
      </c>
      <c r="S43" s="9">
        <f t="shared" si="12"/>
        <v>2.0372415641842654E-4</v>
      </c>
      <c r="T43" s="9">
        <f t="shared" si="12"/>
        <v>-1.0346688372908763E-3</v>
      </c>
      <c r="U43" s="9">
        <f t="shared" si="12"/>
        <v>-5.3828693479928467E-7</v>
      </c>
      <c r="V43" s="9">
        <f t="shared" si="12"/>
        <v>1.0785653603366746E-5</v>
      </c>
      <c r="W43" s="9">
        <f t="shared" si="12"/>
        <v>-1.6473377802146859E-4</v>
      </c>
      <c r="X43" s="9">
        <f t="shared" si="12"/>
        <v>-7.8052205341554108E-5</v>
      </c>
      <c r="Y43" s="9">
        <f t="shared" si="12"/>
        <v>-2.2468373957420713E-3</v>
      </c>
      <c r="Z43" s="9">
        <f t="shared" si="12"/>
        <v>4.6807558027679242E-3</v>
      </c>
      <c r="AA43" s="9">
        <f t="shared" si="12"/>
        <v>-3.5612608613842513E-4</v>
      </c>
      <c r="AB43" s="9">
        <f t="shared" si="12"/>
        <v>7.7254514771121074E-6</v>
      </c>
      <c r="AC43" s="9">
        <f t="shared" si="12"/>
        <v>1.0400643937996513E-5</v>
      </c>
    </row>
    <row r="44" spans="2:29" x14ac:dyDescent="0.25">
      <c r="F44" s="9" t="s">
        <v>138</v>
      </c>
      <c r="G44" s="9"/>
      <c r="H44" s="9">
        <f>PERCENTILE(H23:H27, 0.75)</f>
        <v>-4.3932660362304036E-5</v>
      </c>
      <c r="I44" s="9">
        <f t="shared" ref="I44:AC44" si="13">PERCENTILE(I23:I27, 0.75)</f>
        <v>-8.644794399929744E-5</v>
      </c>
      <c r="J44" s="9">
        <f t="shared" si="13"/>
        <v>-2.1692037617725463E-4</v>
      </c>
      <c r="K44" s="9">
        <f t="shared" si="13"/>
        <v>-1.2623493829566518E-4</v>
      </c>
      <c r="L44" s="9">
        <f t="shared" si="13"/>
        <v>-8.3715565307060163E-5</v>
      </c>
      <c r="M44" s="9">
        <f t="shared" si="13"/>
        <v>-9.2765622507563953E-5</v>
      </c>
      <c r="N44" s="9">
        <f t="shared" si="13"/>
        <v>-1.079915237074903E-5</v>
      </c>
      <c r="O44" s="9">
        <f t="shared" si="13"/>
        <v>2.8601443358293765E-6</v>
      </c>
      <c r="P44" s="9">
        <f t="shared" si="13"/>
        <v>-6.5781102482956514E-5</v>
      </c>
      <c r="Q44" s="9">
        <f t="shared" si="13"/>
        <v>-1.6149720964874883E-4</v>
      </c>
      <c r="R44" s="9">
        <f t="shared" si="13"/>
        <v>1.5718955929404689E-7</v>
      </c>
      <c r="S44" s="9">
        <f t="shared" si="13"/>
        <v>3.2063993721419598E-5</v>
      </c>
      <c r="T44" s="9">
        <f t="shared" si="13"/>
        <v>-5.3262677926086365E-4</v>
      </c>
      <c r="U44" s="9">
        <f t="shared" si="13"/>
        <v>2.8256849632743543E-7</v>
      </c>
      <c r="V44" s="9">
        <f t="shared" si="13"/>
        <v>2.1457423629789706E-5</v>
      </c>
      <c r="W44" s="9">
        <f t="shared" si="13"/>
        <v>-1.2067313797896709E-4</v>
      </c>
      <c r="X44" s="9">
        <f t="shared" si="13"/>
        <v>-3.2781052331102224E-5</v>
      </c>
      <c r="Y44" s="9">
        <f t="shared" si="13"/>
        <v>-7.6828262632455202E-4</v>
      </c>
      <c r="Z44" s="9">
        <f t="shared" si="13"/>
        <v>2.3796986321852139E-3</v>
      </c>
      <c r="AA44" s="9">
        <f t="shared" si="13"/>
        <v>-2.4006448121628772E-4</v>
      </c>
      <c r="AB44" s="9">
        <f t="shared" si="13"/>
        <v>3.5795168253549604E-7</v>
      </c>
      <c r="AC44" s="9">
        <f t="shared" si="13"/>
        <v>4.0561039111521647E-6</v>
      </c>
    </row>
    <row r="46" spans="2:29" x14ac:dyDescent="0.25">
      <c r="F46" s="9" t="s">
        <v>136</v>
      </c>
      <c r="G46" s="73">
        <v>0.25</v>
      </c>
      <c r="H46" s="9">
        <f>PERCENTILE(H18:H22, 0.25)</f>
        <v>-1.4756678864284394E-4</v>
      </c>
      <c r="I46" s="9">
        <f t="shared" ref="I46:AC46" si="14">PERCENTILE(I18:I22, 0.25)</f>
        <v>-2.3491120419066362E-4</v>
      </c>
      <c r="J46" s="9">
        <f t="shared" si="14"/>
        <v>-8.7667177496333437E-4</v>
      </c>
      <c r="K46" s="9">
        <f t="shared" si="14"/>
        <v>-4.3956909219385699E-4</v>
      </c>
      <c r="L46" s="9">
        <f t="shared" si="14"/>
        <v>-2.4243400367119974E-4</v>
      </c>
      <c r="M46" s="9">
        <f t="shared" si="14"/>
        <v>-3.317326393854684E-4</v>
      </c>
      <c r="N46" s="9">
        <f t="shared" si="14"/>
        <v>-3.7457919839771515E-5</v>
      </c>
      <c r="O46" s="9">
        <f t="shared" si="14"/>
        <v>3.5690223973949082E-6</v>
      </c>
      <c r="P46" s="9">
        <f t="shared" si="14"/>
        <v>-3.8300186211108744E-4</v>
      </c>
      <c r="Q46" s="9">
        <f t="shared" si="14"/>
        <v>-4.4815968809737796E-4</v>
      </c>
      <c r="R46" s="9">
        <f t="shared" si="14"/>
        <v>-1.3365607796725676E-7</v>
      </c>
      <c r="S46" s="9">
        <f t="shared" si="14"/>
        <v>1.6193907570714704E-4</v>
      </c>
      <c r="T46" s="9">
        <f t="shared" si="14"/>
        <v>-1.4903189802306881E-3</v>
      </c>
      <c r="U46" s="9">
        <f t="shared" si="14"/>
        <v>-2.159965145354763E-6</v>
      </c>
      <c r="V46" s="9">
        <f t="shared" si="14"/>
        <v>-2.395005426177408E-6</v>
      </c>
      <c r="W46" s="9">
        <f t="shared" si="14"/>
        <v>-2.9097374952636803E-4</v>
      </c>
      <c r="X46" s="9">
        <f t="shared" si="14"/>
        <v>-1.6544222272706693E-4</v>
      </c>
      <c r="Y46" s="9">
        <f t="shared" si="14"/>
        <v>-3.9867754917502227E-3</v>
      </c>
      <c r="Z46" s="9">
        <f t="shared" si="14"/>
        <v>3.5541770630983065E-3</v>
      </c>
      <c r="AA46" s="9">
        <f t="shared" si="14"/>
        <v>-5.0204923696716721E-4</v>
      </c>
      <c r="AB46" s="9">
        <f t="shared" si="14"/>
        <v>3.0507405066609822E-6</v>
      </c>
      <c r="AC46" s="9">
        <f t="shared" si="14"/>
        <v>-6.9197007443708735E-6</v>
      </c>
    </row>
    <row r="47" spans="2:29" x14ac:dyDescent="0.25">
      <c r="F47" s="9" t="s">
        <v>138</v>
      </c>
      <c r="G47" s="9"/>
      <c r="H47" s="9">
        <f>PERCENTILE(H23:H27, 0.25)</f>
        <v>-8.4093722594206241E-5</v>
      </c>
      <c r="I47" s="9">
        <f t="shared" ref="I47:AC47" si="15">PERCENTILE(I23:I27, 0.25)</f>
        <v>-1.4627215493875659E-4</v>
      </c>
      <c r="J47" s="9">
        <f t="shared" si="15"/>
        <v>-5.4028354707177473E-4</v>
      </c>
      <c r="K47" s="9">
        <f t="shared" si="15"/>
        <v>-2.704236958330129E-4</v>
      </c>
      <c r="L47" s="9">
        <f t="shared" si="15"/>
        <v>-1.9007602330219759E-4</v>
      </c>
      <c r="M47" s="9">
        <f t="shared" si="15"/>
        <v>-1.9874945844003164E-4</v>
      </c>
      <c r="N47" s="9">
        <f t="shared" si="15"/>
        <v>-2.4426780687890334E-5</v>
      </c>
      <c r="O47" s="9">
        <f t="shared" si="15"/>
        <v>-2.5138757923481759E-6</v>
      </c>
      <c r="P47" s="9">
        <f t="shared" si="15"/>
        <v>-2.3763500206588895E-4</v>
      </c>
      <c r="Q47" s="9">
        <f t="shared" si="15"/>
        <v>-1.8712195128219088E-4</v>
      </c>
      <c r="R47" s="9">
        <f t="shared" si="15"/>
        <v>1.4267677456936245E-7</v>
      </c>
      <c r="S47" s="9">
        <f t="shared" si="15"/>
        <v>1.8512519677824589E-5</v>
      </c>
      <c r="T47" s="9">
        <f t="shared" si="15"/>
        <v>-8.7363737842544866E-4</v>
      </c>
      <c r="U47" s="9">
        <f t="shared" si="15"/>
        <v>-7.2569605938367902E-7</v>
      </c>
      <c r="V47" s="9">
        <f t="shared" si="15"/>
        <v>5.9037068493344625E-6</v>
      </c>
      <c r="W47" s="9">
        <f t="shared" si="15"/>
        <v>-1.3485959548780626E-4</v>
      </c>
      <c r="X47" s="9">
        <f t="shared" si="15"/>
        <v>-1.0445446379295139E-4</v>
      </c>
      <c r="Y47" s="9">
        <f t="shared" si="15"/>
        <v>-1.1186926597139993E-3</v>
      </c>
      <c r="Z47" s="9">
        <f t="shared" si="15"/>
        <v>1.830923179334916E-3</v>
      </c>
      <c r="AA47" s="9">
        <f t="shared" si="15"/>
        <v>-3.2065863381780258E-4</v>
      </c>
      <c r="AB47" s="9">
        <f t="shared" si="15"/>
        <v>0</v>
      </c>
      <c r="AC47" s="9">
        <f t="shared" si="15"/>
        <v>-1.2379006287238941E-5</v>
      </c>
    </row>
    <row r="48" spans="2:29" s="55" customFormat="1" x14ac:dyDescent="0.25">
      <c r="B48" s="7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s="55" customFormat="1" x14ac:dyDescent="0.25">
      <c r="B49" s="72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s="55" customFormat="1" x14ac:dyDescent="0.25">
      <c r="B50" s="7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s="55" customFormat="1" x14ac:dyDescent="0.25">
      <c r="B51" s="7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s="55" customFormat="1" x14ac:dyDescent="0.25">
      <c r="B52" s="72"/>
    </row>
    <row r="66" spans="14:22" x14ac:dyDescent="0.25">
      <c r="N66" s="69"/>
      <c r="V66" s="69"/>
    </row>
    <row r="67" spans="14:22" x14ac:dyDescent="0.25">
      <c r="O67" s="70"/>
    </row>
  </sheetData>
  <mergeCells count="2">
    <mergeCell ref="H2:AA2"/>
    <mergeCell ref="H16:A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0"/>
  <sheetViews>
    <sheetView topLeftCell="H1" workbookViewId="0">
      <selection activeCell="S37" sqref="S37"/>
    </sheetView>
  </sheetViews>
  <sheetFormatPr defaultRowHeight="15" x14ac:dyDescent="0.25"/>
  <cols>
    <col min="1" max="1" width="19.7109375" bestFit="1" customWidth="1"/>
    <col min="4" max="4" width="3" bestFit="1" customWidth="1"/>
    <col min="5" max="5" width="11.7109375" bestFit="1" customWidth="1"/>
    <col min="6" max="9" width="12.7109375" bestFit="1" customWidth="1"/>
    <col min="10" max="10" width="13.85546875" bestFit="1" customWidth="1"/>
    <col min="11" max="16" width="12.7109375" bestFit="1" customWidth="1"/>
    <col min="17" max="17" width="12" bestFit="1" customWidth="1"/>
    <col min="18" max="23" width="12.7109375" bestFit="1" customWidth="1"/>
    <col min="24" max="24" width="12" bestFit="1" customWidth="1"/>
    <col min="25" max="25" width="12.7109375" bestFit="1" customWidth="1"/>
  </cols>
  <sheetData>
    <row r="2" spans="4:27" x14ac:dyDescent="0.25">
      <c r="F2" s="97" t="s">
        <v>71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spans="4:27" x14ac:dyDescent="0.25">
      <c r="F3" s="69" t="s">
        <v>13</v>
      </c>
      <c r="G3" s="69" t="s">
        <v>34</v>
      </c>
      <c r="H3" s="69" t="s">
        <v>11</v>
      </c>
      <c r="I3" s="69" t="s">
        <v>12</v>
      </c>
      <c r="J3" s="69" t="s">
        <v>7</v>
      </c>
      <c r="K3" s="69" t="s">
        <v>20</v>
      </c>
      <c r="L3" s="69" t="s">
        <v>15</v>
      </c>
      <c r="M3" s="69" t="s">
        <v>19</v>
      </c>
      <c r="N3" s="69" t="s">
        <v>26</v>
      </c>
      <c r="O3" s="69" t="s">
        <v>43</v>
      </c>
      <c r="P3" s="69" t="s">
        <v>31</v>
      </c>
      <c r="Q3" s="69" t="s">
        <v>35</v>
      </c>
      <c r="R3" s="69" t="s">
        <v>30</v>
      </c>
      <c r="S3" s="69" t="s">
        <v>37</v>
      </c>
      <c r="T3" s="69" t="s">
        <v>27</v>
      </c>
      <c r="U3" s="69" t="s">
        <v>44</v>
      </c>
      <c r="V3" s="69" t="s">
        <v>33</v>
      </c>
      <c r="W3" s="69" t="s">
        <v>91</v>
      </c>
      <c r="X3" s="69" t="s">
        <v>8</v>
      </c>
      <c r="Y3" s="69" t="s">
        <v>4</v>
      </c>
      <c r="Z3" s="69" t="s">
        <v>42</v>
      </c>
      <c r="AA3" s="69" t="s">
        <v>40</v>
      </c>
    </row>
    <row r="4" spans="4:27" x14ac:dyDescent="0.25">
      <c r="D4">
        <v>1</v>
      </c>
      <c r="E4" t="s">
        <v>136</v>
      </c>
      <c r="F4">
        <v>-9.4053413399459274E-2</v>
      </c>
      <c r="G4">
        <v>-0.26791557543269806</v>
      </c>
      <c r="H4">
        <v>-0.65125092200960566</v>
      </c>
      <c r="I4">
        <v>-0.27037375672215092</v>
      </c>
      <c r="J4">
        <v>-0.20955167323211943</v>
      </c>
      <c r="K4">
        <v>-0.28422611733539371</v>
      </c>
      <c r="L4">
        <v>-3.1111367249343047E-2</v>
      </c>
      <c r="M4">
        <v>2.4705398720287215E-2</v>
      </c>
      <c r="N4">
        <v>-0.19375658652339434</v>
      </c>
      <c r="O4">
        <v>-0.27131158446770165</v>
      </c>
      <c r="P4">
        <v>7.5757198506408319E-3</v>
      </c>
      <c r="Q4">
        <v>0.34943744769931351</v>
      </c>
      <c r="R4">
        <v>-1.6791979937342214</v>
      </c>
      <c r="S4">
        <v>-8.9396729991771465E-4</v>
      </c>
      <c r="T4">
        <v>3.0558005312979336E-2</v>
      </c>
      <c r="U4">
        <v>-0.37769766796845095</v>
      </c>
      <c r="V4">
        <v>-0.1072727605346121</v>
      </c>
      <c r="W4">
        <v>-7.2201113429733397</v>
      </c>
      <c r="X4">
        <v>8.075330504160549</v>
      </c>
      <c r="Y4">
        <v>-0.57967557069674736</v>
      </c>
      <c r="Z4">
        <v>6.7316634597388205E-3</v>
      </c>
      <c r="AA4">
        <v>-8.0610859982528579E-3</v>
      </c>
    </row>
    <row r="5" spans="4:27" x14ac:dyDescent="0.25">
      <c r="D5">
        <v>2</v>
      </c>
      <c r="E5" t="s">
        <v>136</v>
      </c>
      <c r="F5">
        <v>-0.24507353805598364</v>
      </c>
      <c r="G5">
        <v>-0.3901319563125788</v>
      </c>
      <c r="H5">
        <v>-1.4916603583136379</v>
      </c>
      <c r="I5">
        <v>-0.73002030900554837</v>
      </c>
      <c r="J5">
        <v>-0.47742122377752416</v>
      </c>
      <c r="K5">
        <v>-0.5509294629946464</v>
      </c>
      <c r="L5">
        <v>-6.220874647864337E-2</v>
      </c>
      <c r="M5">
        <v>5.9273021685630825E-3</v>
      </c>
      <c r="N5">
        <v>-0.63607551734945189</v>
      </c>
      <c r="O5">
        <v>-0.74742613129032986</v>
      </c>
      <c r="P5">
        <v>4.8392370572206134E-6</v>
      </c>
      <c r="Q5">
        <v>0.26894250798613473</v>
      </c>
      <c r="R5">
        <v>-2.4750673825470688</v>
      </c>
      <c r="S5">
        <v>-2.4807063790204305E-3</v>
      </c>
      <c r="T5">
        <v>-1.595532906798372E-2</v>
      </c>
      <c r="U5">
        <v>-0.64736856068611703</v>
      </c>
      <c r="V5">
        <v>-0.27476040673149499</v>
      </c>
      <c r="W5">
        <v>-5.9600538905491121</v>
      </c>
      <c r="X5">
        <v>5.2482332354380805</v>
      </c>
      <c r="Y5">
        <v>-0.86072896156660883</v>
      </c>
      <c r="Z5">
        <v>1.2830147921413767E-2</v>
      </c>
      <c r="AA5">
        <v>1.7273009946123338E-2</v>
      </c>
    </row>
    <row r="6" spans="4:27" x14ac:dyDescent="0.25">
      <c r="D6">
        <v>3</v>
      </c>
      <c r="E6" t="s">
        <v>136</v>
      </c>
      <c r="F6">
        <v>-0.26651046265889228</v>
      </c>
      <c r="G6">
        <v>-0.50272125691206493</v>
      </c>
      <c r="H6">
        <v>-1.4559444952351903</v>
      </c>
      <c r="I6">
        <v>-0.78461326504481432</v>
      </c>
      <c r="J6">
        <v>-0.40262554719258947</v>
      </c>
      <c r="K6">
        <v>-0.58958713725923051</v>
      </c>
      <c r="L6">
        <v>-6.9601046532504207E-2</v>
      </c>
      <c r="M6">
        <v>4.3921104374764833E-3</v>
      </c>
      <c r="N6">
        <v>-0.65294809760465666</v>
      </c>
      <c r="O6">
        <v>-0.74428725722233624</v>
      </c>
      <c r="P6">
        <v>-2.2197113734988402E-4</v>
      </c>
      <c r="Q6">
        <v>0.20694247644939848</v>
      </c>
      <c r="R6">
        <v>-3.1320265131246758</v>
      </c>
      <c r="S6">
        <v>-4.4536023755858498E-3</v>
      </c>
      <c r="T6">
        <v>-3.9775376211322044E-3</v>
      </c>
      <c r="U6">
        <v>-0.48323858595604596</v>
      </c>
      <c r="V6">
        <v>-0.32175053328004971</v>
      </c>
      <c r="W6">
        <v>-3.7314655626457878</v>
      </c>
      <c r="X6">
        <v>5.9026475790504147</v>
      </c>
      <c r="Y6">
        <v>-0.83378505362505373</v>
      </c>
      <c r="Z6">
        <v>2.9773768522296253E-4</v>
      </c>
      <c r="AA6">
        <v>-3.3492916471835076E-2</v>
      </c>
    </row>
    <row r="7" spans="4:27" x14ac:dyDescent="0.25">
      <c r="D7">
        <v>4</v>
      </c>
      <c r="E7" t="s">
        <v>136</v>
      </c>
      <c r="F7">
        <v>-0.14508204257980917</v>
      </c>
      <c r="G7">
        <v>-0.31611958088833925</v>
      </c>
      <c r="H7">
        <v>-1.0212464295189445</v>
      </c>
      <c r="I7">
        <v>-0.51413833205292381</v>
      </c>
      <c r="J7">
        <v>-0.30480173202081495</v>
      </c>
      <c r="K7">
        <v>-0.40650501793697225</v>
      </c>
      <c r="L7">
        <v>-4.4659303595619315E-2</v>
      </c>
      <c r="M7">
        <v>1.0147474426011181E-2</v>
      </c>
      <c r="N7">
        <v>-0.39727110364898177</v>
      </c>
      <c r="O7">
        <v>-0.3729644216430672</v>
      </c>
      <c r="P7">
        <v>-2.9320415783631046E-4</v>
      </c>
      <c r="Q7">
        <v>0.33833764534765176</v>
      </c>
      <c r="R7">
        <v>-1.8245056166925204</v>
      </c>
      <c r="S7">
        <v>-3.5871912990590709E-3</v>
      </c>
      <c r="T7">
        <v>1.7912419949863423E-2</v>
      </c>
      <c r="U7">
        <v>-0.27358384761467214</v>
      </c>
      <c r="V7">
        <v>-0.21663102348918784</v>
      </c>
      <c r="W7">
        <v>-2.315476315905066</v>
      </c>
      <c r="X7">
        <v>7.7736284424865385</v>
      </c>
      <c r="Y7">
        <v>-0.65757021828551254</v>
      </c>
      <c r="Z7">
        <v>1.5875723808381387E-2</v>
      </c>
      <c r="AA7">
        <v>3.5095610990371902E-2</v>
      </c>
    </row>
    <row r="8" spans="4:27" x14ac:dyDescent="0.25">
      <c r="D8">
        <v>5</v>
      </c>
      <c r="E8" t="s">
        <v>136</v>
      </c>
      <c r="F8">
        <v>-0.10392387462859942</v>
      </c>
      <c r="G8">
        <v>-0.25288202070183241</v>
      </c>
      <c r="H8">
        <v>-0.57754577235648252</v>
      </c>
      <c r="I8">
        <v>-0.39084331131028582</v>
      </c>
      <c r="J8">
        <v>-0.21988747540458342</v>
      </c>
      <c r="K8">
        <v>-0.28509105027871295</v>
      </c>
      <c r="L8">
        <v>-2.8701436485008724E-2</v>
      </c>
      <c r="M8">
        <v>1.9155025125220763E-2</v>
      </c>
      <c r="N8">
        <v>-0.20552065368256178</v>
      </c>
      <c r="O8">
        <v>-0.37927485783341286</v>
      </c>
      <c r="P8">
        <v>-1.3885962256534462E-4</v>
      </c>
      <c r="Q8">
        <v>0.33102678393257656</v>
      </c>
      <c r="R8">
        <v>-1.7183402512394679</v>
      </c>
      <c r="S8">
        <v>-7.035575113591673E-4</v>
      </c>
      <c r="T8">
        <v>1.7698355071650351E-2</v>
      </c>
      <c r="U8">
        <v>-0.17020575802128834</v>
      </c>
      <c r="V8">
        <v>-0.12962625460681138</v>
      </c>
      <c r="W8">
        <v>-6.6210912643960427</v>
      </c>
      <c r="X8">
        <v>6.1823856113558495</v>
      </c>
      <c r="Y8">
        <v>-0.59144120927650357</v>
      </c>
      <c r="Z8">
        <v>5.066558515870824E-3</v>
      </c>
      <c r="AA8">
        <v>-1.1491986505283557E-2</v>
      </c>
    </row>
    <row r="9" spans="4:27" x14ac:dyDescent="0.25">
      <c r="D9">
        <v>6</v>
      </c>
      <c r="E9" t="s">
        <v>138</v>
      </c>
      <c r="F9">
        <v>-0.10897932667604926</v>
      </c>
      <c r="G9">
        <v>-0.21444270963512768</v>
      </c>
      <c r="H9">
        <v>-0.53809253396355761</v>
      </c>
      <c r="I9">
        <v>-0.31313829995731979</v>
      </c>
      <c r="J9">
        <v>-0.20766477295548369</v>
      </c>
      <c r="K9">
        <v>-0.23011433853965424</v>
      </c>
      <c r="L9">
        <v>-2.67883698444564E-2</v>
      </c>
      <c r="M9">
        <v>7.094872046092833E-3</v>
      </c>
      <c r="N9">
        <v>-0.16317655697336031</v>
      </c>
      <c r="O9">
        <v>-0.40060986569988799</v>
      </c>
      <c r="P9">
        <v>3.438837420526793E-4</v>
      </c>
      <c r="Q9">
        <v>7.9537920478488428E-2</v>
      </c>
      <c r="R9">
        <v>-1.3212336174225134</v>
      </c>
      <c r="S9">
        <v>7.0093921505491597E-4</v>
      </c>
      <c r="T9">
        <v>5.3227270101395552E-2</v>
      </c>
      <c r="U9">
        <v>-0.3345326185772266</v>
      </c>
      <c r="V9">
        <v>-8.1316655565916163E-2</v>
      </c>
      <c r="W9">
        <v>-1.9058013474093514</v>
      </c>
      <c r="X9">
        <v>5.9030787684777284</v>
      </c>
      <c r="Y9">
        <v>-0.59550378479319677</v>
      </c>
      <c r="Z9">
        <v>1.5951929241261758E-3</v>
      </c>
      <c r="AA9">
        <v>2.5496203538983721E-2</v>
      </c>
    </row>
    <row r="10" spans="4:27" x14ac:dyDescent="0.25">
      <c r="D10">
        <v>7</v>
      </c>
      <c r="E10" t="s">
        <v>138</v>
      </c>
      <c r="F10">
        <v>-0.12494348028505675</v>
      </c>
      <c r="G10">
        <v>-0.36284260559731885</v>
      </c>
      <c r="H10">
        <v>-0.88378434032171915</v>
      </c>
      <c r="I10">
        <v>-0.46843058096457524</v>
      </c>
      <c r="J10">
        <v>-0.32489256287243551</v>
      </c>
      <c r="K10">
        <v>-0.42218398035211635</v>
      </c>
      <c r="L10">
        <v>-4.8790803962852347E-2</v>
      </c>
      <c r="M10">
        <v>-7.6340433712614175E-4</v>
      </c>
      <c r="N10">
        <v>-0.44606184105663793</v>
      </c>
      <c r="O10">
        <v>-0.46417458193674888</v>
      </c>
      <c r="P10">
        <v>5.138552830759917E-4</v>
      </c>
      <c r="Q10">
        <v>4.6524068782709149E-2</v>
      </c>
      <c r="R10">
        <v>-1.9305547554825555</v>
      </c>
      <c r="S10">
        <v>-1.774879181424641E-3</v>
      </c>
      <c r="T10">
        <v>2.8984516930444848E-2</v>
      </c>
      <c r="U10">
        <v>-0.32722431901370719</v>
      </c>
      <c r="V10">
        <v>-0.25910967008569774</v>
      </c>
      <c r="W10">
        <v>-2.7750282320184212</v>
      </c>
      <c r="X10">
        <v>4.3067554087126769</v>
      </c>
      <c r="Y10">
        <v>-0.80477703787821464</v>
      </c>
      <c r="Z10">
        <v>8.8793469422463779E-4</v>
      </c>
      <c r="AA10">
        <v>1.0061568535119567E-2</v>
      </c>
    </row>
    <row r="11" spans="4:27" x14ac:dyDescent="0.25">
      <c r="D11">
        <v>8</v>
      </c>
      <c r="E11" t="s">
        <v>138</v>
      </c>
      <c r="F11">
        <v>-0.23493331367423981</v>
      </c>
      <c r="G11">
        <v>-0.34791617428447585</v>
      </c>
      <c r="H11">
        <v>-1.3698764674849429</v>
      </c>
      <c r="I11">
        <v>-0.7641599494664959</v>
      </c>
      <c r="J11">
        <v>-0.4950098914912302</v>
      </c>
      <c r="K11">
        <v>-0.59767476681936071</v>
      </c>
      <c r="L11">
        <v>-6.2583975191369212E-2</v>
      </c>
      <c r="M11">
        <v>-8.6234019050927882E-3</v>
      </c>
      <c r="N11">
        <v>-0.58947722050593288</v>
      </c>
      <c r="O11">
        <v>-0.73273215769432487</v>
      </c>
      <c r="P11">
        <v>3.7415117569885973E-4</v>
      </c>
      <c r="Q11">
        <v>4.5922143410589256E-2</v>
      </c>
      <c r="R11">
        <v>-2.1671442720442862</v>
      </c>
      <c r="S11">
        <v>-1.8001611391363498E-3</v>
      </c>
      <c r="T11">
        <v>1.9561043139895984E-3</v>
      </c>
      <c r="U11">
        <v>-0.48217485703346363</v>
      </c>
      <c r="V11">
        <v>-0.24785885884285774</v>
      </c>
      <c r="W11">
        <v>-2.0008111315632391</v>
      </c>
      <c r="X11">
        <v>4.5417867626040138</v>
      </c>
      <c r="Y11">
        <v>-0.7954255835667603</v>
      </c>
      <c r="Z11">
        <v>7.7112792405227971E-4</v>
      </c>
      <c r="AA11">
        <v>6.5477221284645643E-3</v>
      </c>
    </row>
    <row r="12" spans="4:27" x14ac:dyDescent="0.25">
      <c r="D12">
        <v>9</v>
      </c>
      <c r="E12" t="s">
        <v>138</v>
      </c>
      <c r="F12">
        <v>-0.20860282965842314</v>
      </c>
      <c r="G12">
        <v>-0.39390575781605197</v>
      </c>
      <c r="H12">
        <v>-1.3402269903179076</v>
      </c>
      <c r="I12">
        <v>-0.67081283141271886</v>
      </c>
      <c r="J12">
        <v>-0.47150245093074949</v>
      </c>
      <c r="K12">
        <v>-0.49301776808874664</v>
      </c>
      <c r="L12">
        <v>-6.0593055150239106E-2</v>
      </c>
      <c r="M12">
        <v>-6.2359185384637666E-3</v>
      </c>
      <c r="N12">
        <v>-0.61196900022386425</v>
      </c>
      <c r="O12">
        <v>-0.45261147091684339</v>
      </c>
      <c r="P12">
        <v>3.5392390755878487E-4</v>
      </c>
      <c r="Q12">
        <v>4.1251848569292482E-2</v>
      </c>
      <c r="R12">
        <v>-2.4319144802749637</v>
      </c>
      <c r="S12">
        <v>-1.8811073664627403E-3</v>
      </c>
      <c r="T12">
        <v>1.4644731095895508E-2</v>
      </c>
      <c r="U12">
        <v>-0.29934170196799181</v>
      </c>
      <c r="V12">
        <v>-0.30740332667288306</v>
      </c>
      <c r="W12">
        <v>-6.4238276184087937</v>
      </c>
      <c r="X12">
        <v>5.5896402486539394</v>
      </c>
      <c r="Y12">
        <v>-0.78608417089358285</v>
      </c>
      <c r="Z12">
        <v>0</v>
      </c>
      <c r="AA12">
        <v>-3.4244706581910339E-2</v>
      </c>
    </row>
    <row r="13" spans="4:27" x14ac:dyDescent="0.25">
      <c r="D13">
        <v>10</v>
      </c>
      <c r="E13" t="s">
        <v>138</v>
      </c>
      <c r="F13">
        <v>-1.4892356633826598E-3</v>
      </c>
      <c r="G13">
        <v>-0.14284462037830026</v>
      </c>
      <c r="H13">
        <v>-0.10898524540672305</v>
      </c>
      <c r="I13">
        <v>-0.11488943337601354</v>
      </c>
      <c r="J13">
        <v>-5.9182110843152724E-2</v>
      </c>
      <c r="K13">
        <v>-0.11398393619956937</v>
      </c>
      <c r="L13">
        <v>-1.0702843526089856E-2</v>
      </c>
      <c r="M13">
        <v>1.2049076858044537E-2</v>
      </c>
      <c r="N13">
        <v>-4.5544873964629584E-2</v>
      </c>
      <c r="O13">
        <v>-0.14058391590852093</v>
      </c>
      <c r="P13">
        <v>3.8992431123221311E-4</v>
      </c>
      <c r="Q13">
        <v>0.10702861523822468</v>
      </c>
      <c r="R13">
        <v>-0.55938152872828972</v>
      </c>
      <c r="S13">
        <v>2.4262774140460068E-3</v>
      </c>
      <c r="T13">
        <v>8.2425608859954369E-2</v>
      </c>
      <c r="U13">
        <v>-0.12615323516348909</v>
      </c>
      <c r="V13">
        <v>-4.3698048932107714E-2</v>
      </c>
      <c r="W13">
        <v>-1.2348627913724357</v>
      </c>
      <c r="X13">
        <v>7.3320003896231025</v>
      </c>
      <c r="Y13">
        <v>-0.48933480303833266</v>
      </c>
      <c r="Z13">
        <v>0</v>
      </c>
      <c r="AA13">
        <v>-3.0707354368628755E-2</v>
      </c>
    </row>
    <row r="18" spans="1:27" x14ac:dyDescent="0.25">
      <c r="A18" s="79" t="s">
        <v>160</v>
      </c>
      <c r="B18" s="80"/>
    </row>
    <row r="19" spans="1:27" x14ac:dyDescent="0.25">
      <c r="A19" t="s">
        <v>136</v>
      </c>
      <c r="B19" s="1">
        <v>101038</v>
      </c>
      <c r="F19" s="97" t="s">
        <v>159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spans="1:27" x14ac:dyDescent="0.25">
      <c r="A20" t="s">
        <v>138</v>
      </c>
      <c r="B20" s="78">
        <v>118101.33333333333</v>
      </c>
      <c r="F20" s="69" t="s">
        <v>13</v>
      </c>
      <c r="G20" s="69" t="s">
        <v>34</v>
      </c>
      <c r="H20" s="69" t="s">
        <v>11</v>
      </c>
      <c r="I20" s="69" t="s">
        <v>12</v>
      </c>
      <c r="J20" s="69" t="s">
        <v>7</v>
      </c>
      <c r="K20" s="69" t="s">
        <v>20</v>
      </c>
      <c r="L20" s="69" t="s">
        <v>15</v>
      </c>
      <c r="M20" s="69" t="s">
        <v>19</v>
      </c>
      <c r="N20" s="69" t="s">
        <v>26</v>
      </c>
      <c r="O20" s="69" t="s">
        <v>43</v>
      </c>
      <c r="P20" s="69" t="s">
        <v>31</v>
      </c>
      <c r="Q20" s="69" t="s">
        <v>35</v>
      </c>
      <c r="R20" s="69" t="s">
        <v>30</v>
      </c>
      <c r="S20" s="69" t="s">
        <v>37</v>
      </c>
      <c r="T20" s="69" t="s">
        <v>27</v>
      </c>
      <c r="U20" s="69" t="s">
        <v>44</v>
      </c>
      <c r="V20" s="69" t="s">
        <v>33</v>
      </c>
      <c r="W20" s="69" t="s">
        <v>91</v>
      </c>
      <c r="X20" s="69" t="s">
        <v>8</v>
      </c>
      <c r="Y20" s="69" t="s">
        <v>4</v>
      </c>
      <c r="Z20" s="69" t="s">
        <v>42</v>
      </c>
      <c r="AA20" s="69" t="s">
        <v>40</v>
      </c>
    </row>
    <row r="21" spans="1:27" x14ac:dyDescent="0.25">
      <c r="D21">
        <v>1</v>
      </c>
      <c r="E21" t="s">
        <v>136</v>
      </c>
      <c r="F21">
        <f>1000000000*(F4/$B$19/24)</f>
        <v>-38.786320245625106</v>
      </c>
      <c r="G21">
        <f t="shared" ref="G21:AA21" si="0">1000000000*(G4/$B$19/24)</f>
        <v>-110.48465900317127</v>
      </c>
      <c r="H21">
        <f t="shared" si="0"/>
        <v>-268.56682717129763</v>
      </c>
      <c r="I21">
        <f t="shared" si="0"/>
        <v>-111.4983787956639</v>
      </c>
      <c r="J21">
        <f t="shared" si="0"/>
        <v>-86.416197054622785</v>
      </c>
      <c r="K21">
        <f t="shared" si="0"/>
        <v>-117.21089975033887</v>
      </c>
      <c r="L21">
        <f t="shared" si="0"/>
        <v>-12.829895373251915</v>
      </c>
      <c r="M21">
        <f t="shared" si="0"/>
        <v>10.188163001497463</v>
      </c>
      <c r="N21">
        <f t="shared" si="0"/>
        <v>-79.902522864085114</v>
      </c>
      <c r="O21">
        <f t="shared" si="0"/>
        <v>-111.88512592114751</v>
      </c>
      <c r="P21">
        <f t="shared" si="0"/>
        <v>3.1241215560155715</v>
      </c>
      <c r="Q21">
        <f t="shared" si="0"/>
        <v>144.1031458870728</v>
      </c>
      <c r="R21">
        <f t="shared" si="0"/>
        <v>-692.47791001661983</v>
      </c>
      <c r="S21">
        <f t="shared" si="0"/>
        <v>-0.36865968741039457</v>
      </c>
      <c r="T21">
        <f t="shared" si="0"/>
        <v>12.601696603002226</v>
      </c>
      <c r="U21">
        <f t="shared" si="0"/>
        <v>-155.75726787959769</v>
      </c>
      <c r="V21">
        <f t="shared" si="0"/>
        <v>-44.237795241481791</v>
      </c>
      <c r="W21">
        <f t="shared" si="0"/>
        <v>-2977.4735507817768</v>
      </c>
      <c r="X21">
        <f t="shared" si="0"/>
        <v>3330.1540444191583</v>
      </c>
      <c r="Y21">
        <f t="shared" si="0"/>
        <v>-239.05014726173457</v>
      </c>
      <c r="Z21">
        <f t="shared" si="0"/>
        <v>2.7760444336696843</v>
      </c>
      <c r="AA21">
        <f t="shared" si="0"/>
        <v>-3.3242798081962799</v>
      </c>
    </row>
    <row r="22" spans="1:27" x14ac:dyDescent="0.25">
      <c r="D22">
        <v>2</v>
      </c>
      <c r="E22" t="s">
        <v>136</v>
      </c>
      <c r="F22">
        <f t="shared" ref="F22:AA22" si="1">1000000000*(F5/$B$19/24)</f>
        <v>-101.06492031710167</v>
      </c>
      <c r="G22">
        <f t="shared" si="1"/>
        <v>-160.88499554316974</v>
      </c>
      <c r="H22">
        <f t="shared" si="1"/>
        <v>-615.13999613744249</v>
      </c>
      <c r="I22">
        <f t="shared" si="1"/>
        <v>-301.05022739198301</v>
      </c>
      <c r="J22">
        <f t="shared" si="1"/>
        <v>-196.88187603406809</v>
      </c>
      <c r="K22">
        <f t="shared" si="1"/>
        <v>-227.1956520461965</v>
      </c>
      <c r="L22">
        <f t="shared" si="1"/>
        <v>-25.654022281486242</v>
      </c>
      <c r="M22">
        <f t="shared" si="1"/>
        <v>2.4443370186477211</v>
      </c>
      <c r="N22">
        <f t="shared" si="1"/>
        <v>-262.30870124336548</v>
      </c>
      <c r="O22">
        <f t="shared" si="1"/>
        <v>-308.22814654318586</v>
      </c>
      <c r="P22">
        <f t="shared" si="1"/>
        <v>1.9956340919673014E-3</v>
      </c>
      <c r="Q22">
        <f t="shared" si="1"/>
        <v>110.90815171277752</v>
      </c>
      <c r="R22">
        <f t="shared" si="1"/>
        <v>-1020.6833825504054</v>
      </c>
      <c r="S22">
        <f t="shared" si="1"/>
        <v>-1.0230088263081014</v>
      </c>
      <c r="T22">
        <f t="shared" si="1"/>
        <v>-6.5797559119604001</v>
      </c>
      <c r="U22">
        <f t="shared" si="1"/>
        <v>-266.96579533035305</v>
      </c>
      <c r="V22">
        <f t="shared" si="1"/>
        <v>-113.30737228051781</v>
      </c>
      <c r="W22">
        <f t="shared" si="1"/>
        <v>-2457.8433735117446</v>
      </c>
      <c r="X22">
        <f t="shared" si="1"/>
        <v>2164.2984303917337</v>
      </c>
      <c r="Y22">
        <f t="shared" si="1"/>
        <v>-354.95265872188713</v>
      </c>
      <c r="Z22">
        <f t="shared" si="1"/>
        <v>5.2909746503847428</v>
      </c>
      <c r="AA22">
        <f t="shared" si="1"/>
        <v>7.123149188969883</v>
      </c>
    </row>
    <row r="23" spans="1:27" x14ac:dyDescent="0.25">
      <c r="D23">
        <v>3</v>
      </c>
      <c r="E23" t="s">
        <v>136</v>
      </c>
      <c r="F23">
        <f t="shared" ref="F23:AA23" si="2">1000000000*(F6/$B$19/24)</f>
        <v>-109.90521002778338</v>
      </c>
      <c r="G23">
        <f t="shared" si="2"/>
        <v>-207.31525800196667</v>
      </c>
      <c r="H23">
        <f t="shared" si="2"/>
        <v>-600.41127069155107</v>
      </c>
      <c r="I23">
        <f t="shared" si="2"/>
        <v>-323.56360356368157</v>
      </c>
      <c r="J23">
        <f t="shared" si="2"/>
        <v>-166.03717874817289</v>
      </c>
      <c r="K23">
        <f t="shared" si="2"/>
        <v>-243.13753953101411</v>
      </c>
      <c r="L23">
        <f t="shared" si="2"/>
        <v>-28.702504063035775</v>
      </c>
      <c r="M23">
        <f t="shared" si="2"/>
        <v>1.8112452895100866</v>
      </c>
      <c r="N23">
        <f t="shared" si="2"/>
        <v>-269.26671879418996</v>
      </c>
      <c r="O23">
        <f t="shared" si="2"/>
        <v>-306.93371851116092</v>
      </c>
      <c r="P23">
        <f t="shared" si="2"/>
        <v>-9.1537811413314796E-2</v>
      </c>
      <c r="Q23">
        <f t="shared" si="2"/>
        <v>85.340200571978883</v>
      </c>
      <c r="R23">
        <f t="shared" si="2"/>
        <v>-1291.6041955851081</v>
      </c>
      <c r="S23">
        <f t="shared" si="2"/>
        <v>-1.8366037099844652</v>
      </c>
      <c r="T23">
        <f t="shared" si="2"/>
        <v>-1.6402812230432298</v>
      </c>
      <c r="U23">
        <f t="shared" si="2"/>
        <v>-199.28087532910305</v>
      </c>
      <c r="V23">
        <f t="shared" si="2"/>
        <v>-132.68544725748799</v>
      </c>
      <c r="W23">
        <f t="shared" si="2"/>
        <v>-1538.8045267810905</v>
      </c>
      <c r="X23">
        <f t="shared" si="2"/>
        <v>2434.1698086571446</v>
      </c>
      <c r="Y23">
        <f t="shared" si="2"/>
        <v>-343.84136563514625</v>
      </c>
      <c r="Z23">
        <f t="shared" si="2"/>
        <v>0.12278288252231938</v>
      </c>
      <c r="AA23">
        <f t="shared" si="2"/>
        <v>-13.812013166595355</v>
      </c>
    </row>
    <row r="24" spans="1:27" x14ac:dyDescent="0.25">
      <c r="D24">
        <v>4</v>
      </c>
      <c r="E24" t="s">
        <v>136</v>
      </c>
      <c r="F24">
        <f t="shared" ref="F24:AA24" si="3">1000000000*(F7/$B$19/24)</f>
        <v>-59.829817568558845</v>
      </c>
      <c r="G24">
        <f t="shared" si="3"/>
        <v>-130.36332076724403</v>
      </c>
      <c r="H24">
        <f t="shared" si="3"/>
        <v>-421.1478311456022</v>
      </c>
      <c r="I24">
        <f t="shared" si="3"/>
        <v>-212.02350108083255</v>
      </c>
      <c r="J24">
        <f t="shared" si="3"/>
        <v>-125.69599722415285</v>
      </c>
      <c r="K24">
        <f t="shared" si="3"/>
        <v>-167.63701855447627</v>
      </c>
      <c r="L24">
        <f t="shared" si="3"/>
        <v>-18.416875992043963</v>
      </c>
      <c r="M24">
        <f t="shared" si="3"/>
        <v>4.184677392833712</v>
      </c>
      <c r="N24">
        <f t="shared" si="3"/>
        <v>-163.82908066312581</v>
      </c>
      <c r="O24">
        <f t="shared" si="3"/>
        <v>-153.80534289205843</v>
      </c>
      <c r="P24">
        <f t="shared" si="3"/>
        <v>-0.12091331884881203</v>
      </c>
      <c r="Q24">
        <f t="shared" si="3"/>
        <v>139.52574169604989</v>
      </c>
      <c r="R24">
        <f t="shared" si="3"/>
        <v>-752.40075379746577</v>
      </c>
      <c r="S24">
        <f t="shared" si="3"/>
        <v>-1.4793078260403143</v>
      </c>
      <c r="T24">
        <f t="shared" si="3"/>
        <v>7.3868329860479154</v>
      </c>
      <c r="U24">
        <f t="shared" si="3"/>
        <v>-112.82217565613604</v>
      </c>
      <c r="V24">
        <f t="shared" si="3"/>
        <v>-89.335622690302927</v>
      </c>
      <c r="W24">
        <f t="shared" si="3"/>
        <v>-954.87024514912957</v>
      </c>
      <c r="X24">
        <f t="shared" si="3"/>
        <v>3205.736308157384</v>
      </c>
      <c r="Y24">
        <f t="shared" si="3"/>
        <v>-271.17281711068796</v>
      </c>
      <c r="Z24">
        <f t="shared" si="3"/>
        <v>6.5469278094963395</v>
      </c>
      <c r="AA24">
        <f t="shared" si="3"/>
        <v>14.472942106918477</v>
      </c>
    </row>
    <row r="25" spans="1:27" x14ac:dyDescent="0.25">
      <c r="D25">
        <v>5</v>
      </c>
      <c r="E25" t="s">
        <v>136</v>
      </c>
      <c r="F25">
        <f t="shared" ref="F25:AA25" si="4">1000000000*(F8/$B$19/24)</f>
        <v>-42.856761246840883</v>
      </c>
      <c r="G25">
        <f t="shared" si="4"/>
        <v>-104.28503001421593</v>
      </c>
      <c r="H25">
        <f t="shared" si="4"/>
        <v>-238.17184803262245</v>
      </c>
      <c r="I25">
        <f t="shared" si="4"/>
        <v>-161.17834845564946</v>
      </c>
      <c r="J25">
        <f t="shared" si="4"/>
        <v>-90.678538192141986</v>
      </c>
      <c r="K25">
        <f t="shared" si="4"/>
        <v>-117.56758607269582</v>
      </c>
      <c r="L25">
        <f t="shared" si="4"/>
        <v>-11.836073426585678</v>
      </c>
      <c r="M25">
        <f t="shared" si="4"/>
        <v>7.8992660868603739</v>
      </c>
      <c r="N25">
        <f t="shared" si="4"/>
        <v>-84.753860627751351</v>
      </c>
      <c r="O25">
        <f t="shared" si="4"/>
        <v>-156.40767905532772</v>
      </c>
      <c r="P25">
        <f t="shared" si="4"/>
        <v>-5.7263778052706493E-2</v>
      </c>
      <c r="Q25">
        <f t="shared" si="4"/>
        <v>136.51084407705375</v>
      </c>
      <c r="R25">
        <f t="shared" si="4"/>
        <v>-708.61963289367532</v>
      </c>
      <c r="S25">
        <f t="shared" si="4"/>
        <v>-0.29013733750303816</v>
      </c>
      <c r="T25">
        <f t="shared" si="4"/>
        <v>7.2985556059973931</v>
      </c>
      <c r="U25">
        <f t="shared" si="4"/>
        <v>-70.190488570838184</v>
      </c>
      <c r="V25">
        <f t="shared" si="4"/>
        <v>-53.456065460029635</v>
      </c>
      <c r="W25">
        <f t="shared" si="4"/>
        <v>-2730.4459973788912</v>
      </c>
      <c r="X25">
        <f t="shared" si="4"/>
        <v>2549.5298845301809</v>
      </c>
      <c r="Y25">
        <f t="shared" si="4"/>
        <v>-243.90213305740724</v>
      </c>
      <c r="Z25">
        <f t="shared" si="4"/>
        <v>2.0893783015098379</v>
      </c>
      <c r="AA25">
        <f t="shared" si="4"/>
        <v>-4.7391354842087292</v>
      </c>
    </row>
    <row r="26" spans="1:27" x14ac:dyDescent="0.25">
      <c r="D26">
        <v>6</v>
      </c>
      <c r="E26" t="s">
        <v>138</v>
      </c>
      <c r="F26">
        <f>1000000000*(F9/$B$20/24)</f>
        <v>-38.448382842152952</v>
      </c>
      <c r="G26">
        <f t="shared" ref="G26:AA26" si="5">1000000000*(G9/$B$20/24)</f>
        <v>-75.656325371406922</v>
      </c>
      <c r="H26">
        <f t="shared" si="5"/>
        <v>-189.84139819320333</v>
      </c>
      <c r="I26">
        <f t="shared" si="5"/>
        <v>-110.47656107372474</v>
      </c>
      <c r="J26">
        <f t="shared" si="5"/>
        <v>-73.26503968184231</v>
      </c>
      <c r="K26">
        <f t="shared" si="5"/>
        <v>-81.185344555683201</v>
      </c>
      <c r="L26">
        <f t="shared" si="5"/>
        <v>-9.4510539834634955</v>
      </c>
      <c r="M26">
        <f t="shared" si="5"/>
        <v>2.5031018722949905</v>
      </c>
      <c r="N26">
        <f t="shared" si="5"/>
        <v>-57.569402608127596</v>
      </c>
      <c r="O26">
        <f t="shared" si="5"/>
        <v>-141.33691183979295</v>
      </c>
      <c r="P26">
        <f t="shared" si="5"/>
        <v>0.12132368744520219</v>
      </c>
      <c r="Q26">
        <f t="shared" si="5"/>
        <v>28.061326035864834</v>
      </c>
      <c r="R26">
        <f t="shared" si="5"/>
        <v>-466.13699585049619</v>
      </c>
      <c r="S26">
        <f t="shared" si="5"/>
        <v>0.2472944191481454</v>
      </c>
      <c r="T26">
        <f t="shared" si="5"/>
        <v>18.778813568783992</v>
      </c>
      <c r="U26">
        <f t="shared" si="5"/>
        <v>-118.02457020568023</v>
      </c>
      <c r="V26">
        <f t="shared" si="5"/>
        <v>-28.688871550249278</v>
      </c>
      <c r="W26">
        <f t="shared" si="5"/>
        <v>-672.37504636179358</v>
      </c>
      <c r="X26">
        <f t="shared" si="5"/>
        <v>2082.6319941624029</v>
      </c>
      <c r="Y26">
        <f t="shared" si="5"/>
        <v>-210.09633845271179</v>
      </c>
      <c r="Z26">
        <f t="shared" si="5"/>
        <v>0.56279103683777776</v>
      </c>
      <c r="AA26">
        <f t="shared" si="5"/>
        <v>8.9951720623333795</v>
      </c>
    </row>
    <row r="27" spans="1:27" x14ac:dyDescent="0.25">
      <c r="D27">
        <v>7</v>
      </c>
      <c r="E27" t="s">
        <v>138</v>
      </c>
      <c r="F27">
        <f t="shared" ref="F27:AA27" si="6">1000000000*(F10/$B$20/24)</f>
        <v>-44.080606020908867</v>
      </c>
      <c r="G27">
        <f t="shared" si="6"/>
        <v>-128.01245738028601</v>
      </c>
      <c r="H27">
        <f t="shared" si="6"/>
        <v>-311.80297862912892</v>
      </c>
      <c r="I27">
        <f t="shared" si="6"/>
        <v>-165.26435665578686</v>
      </c>
      <c r="J27">
        <f t="shared" si="6"/>
        <v>-114.623516412613</v>
      </c>
      <c r="K27">
        <f t="shared" si="6"/>
        <v>-148.94835379790953</v>
      </c>
      <c r="L27">
        <f t="shared" si="6"/>
        <v>-17.213608921594293</v>
      </c>
      <c r="M27">
        <f t="shared" si="6"/>
        <v>-0.26933238727411413</v>
      </c>
      <c r="N27">
        <f t="shared" si="6"/>
        <v>-157.3725674338414</v>
      </c>
      <c r="O27">
        <f t="shared" si="6"/>
        <v>-163.7628215941497</v>
      </c>
      <c r="P27">
        <f t="shared" si="6"/>
        <v>0.18129039012965975</v>
      </c>
      <c r="Q27">
        <f t="shared" si="6"/>
        <v>16.413894841262429</v>
      </c>
      <c r="R27">
        <f t="shared" si="6"/>
        <v>-681.10815693675329</v>
      </c>
      <c r="S27">
        <f t="shared" si="6"/>
        <v>-0.62618513389089625</v>
      </c>
      <c r="T27">
        <f t="shared" si="6"/>
        <v>10.225864275609663</v>
      </c>
      <c r="U27">
        <f t="shared" si="6"/>
        <v>-115.44617017226281</v>
      </c>
      <c r="V27">
        <f t="shared" si="6"/>
        <v>-91.415024274950937</v>
      </c>
      <c r="W27">
        <f t="shared" si="6"/>
        <v>-979.04209097922308</v>
      </c>
      <c r="X27">
        <f t="shared" si="6"/>
        <v>1519.4421346896581</v>
      </c>
      <c r="Y27">
        <f t="shared" si="6"/>
        <v>-283.92885695554332</v>
      </c>
      <c r="Z27">
        <f t="shared" si="6"/>
        <v>0.31326724162888286</v>
      </c>
      <c r="AA27">
        <f t="shared" si="6"/>
        <v>3.549765362202927</v>
      </c>
    </row>
    <row r="28" spans="1:27" x14ac:dyDescent="0.25">
      <c r="D28">
        <v>8</v>
      </c>
      <c r="E28" t="s">
        <v>138</v>
      </c>
      <c r="F28">
        <f t="shared" ref="F28:AA28" si="7">1000000000*(F11/$B$20/24)</f>
        <v>-82.885500048771618</v>
      </c>
      <c r="G28">
        <f t="shared" si="7"/>
        <v>-122.74634716390298</v>
      </c>
      <c r="H28">
        <f t="shared" si="7"/>
        <v>-483.29840598925745</v>
      </c>
      <c r="I28">
        <f t="shared" si="7"/>
        <v>-269.59897061086525</v>
      </c>
      <c r="J28">
        <f t="shared" si="7"/>
        <v>-174.64165359805077</v>
      </c>
      <c r="K28">
        <f t="shared" si="7"/>
        <v>-210.86227040174563</v>
      </c>
      <c r="L28">
        <f t="shared" si="7"/>
        <v>-22.079900026308344</v>
      </c>
      <c r="M28">
        <f t="shared" si="7"/>
        <v>-3.042373888346162</v>
      </c>
      <c r="N28">
        <f t="shared" si="7"/>
        <v>-207.97014022771862</v>
      </c>
      <c r="O28">
        <f t="shared" si="7"/>
        <v>-258.511108290594</v>
      </c>
      <c r="P28">
        <f t="shared" si="7"/>
        <v>0.13200217034624917</v>
      </c>
      <c r="Q28">
        <f t="shared" si="7"/>
        <v>16.201532938729613</v>
      </c>
      <c r="R28">
        <f t="shared" si="7"/>
        <v>-764.57797260413599</v>
      </c>
      <c r="S28">
        <f t="shared" si="7"/>
        <v>-0.63510471908881572</v>
      </c>
      <c r="T28">
        <f t="shared" si="7"/>
        <v>0.69012215286505318</v>
      </c>
      <c r="U28">
        <f t="shared" si="7"/>
        <v>-170.11339733444433</v>
      </c>
      <c r="V28">
        <f t="shared" si="7"/>
        <v>-87.445688886823802</v>
      </c>
      <c r="W28">
        <f t="shared" si="7"/>
        <v>-705.89491353584742</v>
      </c>
      <c r="X28">
        <f t="shared" si="7"/>
        <v>1602.3622237555933</v>
      </c>
      <c r="Y28">
        <f t="shared" si="7"/>
        <v>-280.62962299563384</v>
      </c>
      <c r="Z28">
        <f t="shared" si="7"/>
        <v>0.27205730250444521</v>
      </c>
      <c r="AA28">
        <f t="shared" si="7"/>
        <v>2.3100649895515453</v>
      </c>
    </row>
    <row r="29" spans="1:27" x14ac:dyDescent="0.25">
      <c r="D29">
        <v>9</v>
      </c>
      <c r="E29" t="s">
        <v>138</v>
      </c>
      <c r="F29">
        <f t="shared" ref="F29:AA29" si="8">1000000000*(F12/$B$20/24)</f>
        <v>-73.595990187248503</v>
      </c>
      <c r="G29">
        <f t="shared" si="8"/>
        <v>-138.97167327212367</v>
      </c>
      <c r="H29">
        <f t="shared" si="8"/>
        <v>-472.83794083537998</v>
      </c>
      <c r="I29">
        <f t="shared" si="8"/>
        <v>-236.66569930508791</v>
      </c>
      <c r="J29">
        <f t="shared" si="8"/>
        <v>-166.34812580818644</v>
      </c>
      <c r="K29">
        <f t="shared" si="8"/>
        <v>-173.93882375331165</v>
      </c>
      <c r="L29">
        <f t="shared" si="8"/>
        <v>-21.377494732715093</v>
      </c>
      <c r="M29">
        <f t="shared" si="8"/>
        <v>-2.2000593199850154</v>
      </c>
      <c r="N29">
        <f t="shared" si="8"/>
        <v>-215.90533843248463</v>
      </c>
      <c r="O29">
        <f t="shared" si="8"/>
        <v>-159.68330547949057</v>
      </c>
      <c r="P29">
        <f t="shared" si="8"/>
        <v>0.12486590172520805</v>
      </c>
      <c r="Q29">
        <f t="shared" si="8"/>
        <v>14.553832503052634</v>
      </c>
      <c r="R29">
        <f t="shared" si="8"/>
        <v>-857.99005948104025</v>
      </c>
      <c r="S29">
        <f t="shared" si="8"/>
        <v>-0.66366290193687505</v>
      </c>
      <c r="T29">
        <f t="shared" si="8"/>
        <v>5.1667251484232146</v>
      </c>
      <c r="U29">
        <f t="shared" si="8"/>
        <v>-105.60906099281684</v>
      </c>
      <c r="V29">
        <f t="shared" si="8"/>
        <v>-108.45323742918619</v>
      </c>
      <c r="W29">
        <f t="shared" si="8"/>
        <v>-2266.3544648129837</v>
      </c>
      <c r="X29">
        <f t="shared" si="8"/>
        <v>1972.0495142074105</v>
      </c>
      <c r="Y29">
        <f t="shared" si="8"/>
        <v>-277.33393176960425</v>
      </c>
      <c r="Z29">
        <f t="shared" si="8"/>
        <v>0</v>
      </c>
      <c r="AA29">
        <f t="shared" si="8"/>
        <v>-12.081682178972839</v>
      </c>
    </row>
    <row r="30" spans="1:27" x14ac:dyDescent="0.25">
      <c r="D30">
        <v>10</v>
      </c>
      <c r="E30" t="s">
        <v>138</v>
      </c>
      <c r="F30">
        <f t="shared" ref="F30:AA30" si="9">1000000000*(F13/$B$20/24)</f>
        <v>-0.52540885206724308</v>
      </c>
      <c r="G30">
        <f t="shared" si="9"/>
        <v>-50.396206498621332</v>
      </c>
      <c r="H30">
        <f t="shared" si="9"/>
        <v>-38.450470996207727</v>
      </c>
      <c r="I30">
        <f t="shared" si="9"/>
        <v>-40.533494321265614</v>
      </c>
      <c r="J30">
        <f t="shared" si="9"/>
        <v>-20.879707413391014</v>
      </c>
      <c r="K30">
        <f t="shared" si="9"/>
        <v>-40.214030959137268</v>
      </c>
      <c r="L30">
        <f t="shared" si="9"/>
        <v>-3.7760099822785862</v>
      </c>
      <c r="M30">
        <f t="shared" si="9"/>
        <v>4.2509669866994653</v>
      </c>
      <c r="N30">
        <f t="shared" si="9"/>
        <v>-16.068430629004183</v>
      </c>
      <c r="O30">
        <f t="shared" si="9"/>
        <v>-49.598620079268414</v>
      </c>
      <c r="P30">
        <f t="shared" si="9"/>
        <v>0.13756700151290033</v>
      </c>
      <c r="Q30">
        <f t="shared" si="9"/>
        <v>37.760163319573266</v>
      </c>
      <c r="R30">
        <f t="shared" si="9"/>
        <v>-197.35224860864179</v>
      </c>
      <c r="S30">
        <f t="shared" si="9"/>
        <v>0.85600127787366453</v>
      </c>
      <c r="T30">
        <f t="shared" si="9"/>
        <v>29.080115120050284</v>
      </c>
      <c r="U30">
        <f t="shared" si="9"/>
        <v>-44.507412830326885</v>
      </c>
      <c r="V30">
        <f t="shared" si="9"/>
        <v>-15.416862684343005</v>
      </c>
      <c r="W30">
        <f t="shared" si="9"/>
        <v>-435.66499085969815</v>
      </c>
      <c r="X30">
        <f t="shared" si="9"/>
        <v>2586.7617884722949</v>
      </c>
      <c r="Y30">
        <f t="shared" si="9"/>
        <v>-172.63945758385901</v>
      </c>
      <c r="Z30">
        <f t="shared" si="9"/>
        <v>0</v>
      </c>
      <c r="AA30">
        <f t="shared" si="9"/>
        <v>-10.833688854990614</v>
      </c>
    </row>
  </sheetData>
  <mergeCells count="2">
    <mergeCell ref="F2:Y2"/>
    <mergeCell ref="F19:Y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ion intensity</vt:lpstr>
      <vt:lpstr>standards</vt:lpstr>
      <vt:lpstr>std curves</vt:lpstr>
      <vt:lpstr>normalisedToVol</vt:lpstr>
      <vt:lpstr>normalisedToNumber</vt:lpstr>
      <vt:lpstr>normalised to DW</vt:lpstr>
      <vt:lpstr>linear growth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Henriques da Costa</dc:creator>
  <cp:lastModifiedBy>Sofia Henriques da Costa</cp:lastModifiedBy>
  <dcterms:created xsi:type="dcterms:W3CDTF">2015-01-06T14:10:22Z</dcterms:created>
  <dcterms:modified xsi:type="dcterms:W3CDTF">2015-07-01T16:44:54Z</dcterms:modified>
</cp:coreProperties>
</file>