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bas\ownCloud - Abbas Safdar (sabbas)@owncloud.tuwien.ac.at\My_research_work_and_progress\Escape 35\Github_repository data\"/>
    </mc:Choice>
  </mc:AlternateContent>
  <xr:revisionPtr revIDLastSave="0" documentId="13_ncr:1_{EB0453A6-2302-41DE-9623-B3FDEF6B8FAB}" xr6:coauthVersionLast="36" xr6:coauthVersionMax="36" xr10:uidLastSave="{00000000-0000-0000-0000-000000000000}"/>
  <bookViews>
    <workbookView xWindow="0" yWindow="0" windowWidth="12288" windowHeight="6672" firstSheet="4" activeTab="7" xr2:uid="{C0D52F54-5D23-4927-8276-37A9AF5B0EDD}"/>
  </bookViews>
  <sheets>
    <sheet name="OPEX_HTL_Scen1" sheetId="1" r:id="rId1"/>
    <sheet name="OPEX_Upgrading_scen1" sheetId="2" r:id="rId2"/>
    <sheet name="OPEX_HTL_scen2" sheetId="3" r:id="rId3"/>
    <sheet name="OPEX_Upgrading_scen2" sheetId="4" r:id="rId4"/>
    <sheet name="OPEX_HTL_Scen3" sheetId="9" r:id="rId5"/>
    <sheet name="OPEX_Upgrading_scen3" sheetId="6" r:id="rId6"/>
    <sheet name="OPEX_HTL_Technology4" sheetId="10" r:id="rId7"/>
    <sheet name="OPEX_upgrading_Scen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8" l="1"/>
  <c r="AB7" i="8"/>
  <c r="Y7" i="8"/>
  <c r="V7" i="8"/>
  <c r="S7" i="8"/>
  <c r="P7" i="8"/>
  <c r="M7" i="8"/>
  <c r="J7" i="8"/>
  <c r="G7" i="8"/>
  <c r="C4" i="8"/>
  <c r="AE7" i="6"/>
  <c r="AB7" i="6"/>
  <c r="Y7" i="6"/>
  <c r="V7" i="6"/>
  <c r="S7" i="6"/>
  <c r="P7" i="6"/>
  <c r="M7" i="6"/>
  <c r="J7" i="6"/>
  <c r="G7" i="6"/>
  <c r="C4" i="6"/>
  <c r="C4" i="10"/>
  <c r="G5" i="10" s="1"/>
  <c r="G7" i="10" s="1"/>
  <c r="C6" i="9"/>
  <c r="G7" i="9" s="1"/>
  <c r="G9" i="9" s="1"/>
  <c r="AE7" i="4"/>
  <c r="AB7" i="4"/>
  <c r="Y7" i="4"/>
  <c r="V7" i="4"/>
  <c r="S7" i="4"/>
  <c r="P7" i="4"/>
  <c r="M7" i="4"/>
  <c r="J7" i="4"/>
  <c r="G7" i="4"/>
  <c r="C4" i="4"/>
  <c r="AE7" i="3"/>
  <c r="AB7" i="3"/>
  <c r="Y7" i="3"/>
  <c r="V7" i="3"/>
  <c r="S7" i="3"/>
  <c r="P7" i="3"/>
  <c r="M7" i="3"/>
  <c r="J7" i="3"/>
  <c r="G7" i="3"/>
  <c r="C4" i="3"/>
  <c r="AE8" i="2"/>
  <c r="AB8" i="2"/>
  <c r="Y8" i="2"/>
  <c r="V8" i="2"/>
  <c r="S8" i="2"/>
  <c r="P8" i="2"/>
  <c r="M8" i="2"/>
  <c r="J8" i="2"/>
  <c r="G8" i="2"/>
  <c r="AE9" i="1"/>
  <c r="AB9" i="1"/>
  <c r="Y9" i="1"/>
  <c r="V9" i="1"/>
  <c r="S9" i="1"/>
  <c r="P9" i="1"/>
  <c r="M9" i="1"/>
  <c r="J9" i="1"/>
  <c r="G9" i="1"/>
  <c r="G5" i="4"/>
  <c r="J5" i="10" l="1"/>
  <c r="J7" i="10" s="1"/>
  <c r="P5" i="10"/>
  <c r="P7" i="10" s="1"/>
  <c r="M5" i="10"/>
  <c r="M7" i="10" s="1"/>
  <c r="S5" i="10"/>
  <c r="S7" i="10" s="1"/>
  <c r="V5" i="10"/>
  <c r="V7" i="10" s="1"/>
  <c r="Y5" i="10"/>
  <c r="Y7" i="10" s="1"/>
  <c r="AB5" i="10"/>
  <c r="AB7" i="10" s="1"/>
  <c r="AE5" i="10"/>
  <c r="AE7" i="10" s="1"/>
  <c r="D5" i="10"/>
  <c r="P7" i="9"/>
  <c r="P9" i="9" s="1"/>
  <c r="D7" i="9"/>
  <c r="J7" i="9"/>
  <c r="J9" i="9" s="1"/>
  <c r="M7" i="9"/>
  <c r="M9" i="9" s="1"/>
  <c r="S7" i="9"/>
  <c r="S9" i="9" s="1"/>
  <c r="V7" i="9"/>
  <c r="V9" i="9" s="1"/>
  <c r="Y7" i="9"/>
  <c r="Y9" i="9" s="1"/>
  <c r="AB7" i="9"/>
  <c r="AB9" i="9" s="1"/>
  <c r="AE7" i="9"/>
  <c r="AE9" i="9" s="1"/>
  <c r="Y5" i="4"/>
  <c r="AE5" i="4"/>
  <c r="D5" i="3"/>
  <c r="AB5" i="4"/>
  <c r="V5" i="4"/>
  <c r="S5" i="4"/>
  <c r="P5" i="4"/>
  <c r="M5" i="4"/>
  <c r="AE6" i="2"/>
  <c r="AB6" i="2"/>
  <c r="Y6" i="2"/>
  <c r="V6" i="2"/>
  <c r="S6" i="2"/>
  <c r="P6" i="2"/>
  <c r="M6" i="2"/>
  <c r="J6" i="2"/>
  <c r="G6" i="2"/>
  <c r="D6" i="2"/>
  <c r="AE5" i="3" l="1"/>
  <c r="P5" i="3"/>
  <c r="J5" i="3"/>
  <c r="AB5" i="3"/>
  <c r="S5" i="3"/>
  <c r="M5" i="3"/>
  <c r="G5" i="3"/>
  <c r="Y5" i="3"/>
  <c r="V5" i="3"/>
  <c r="AE5" i="8"/>
  <c r="AB5" i="8"/>
  <c r="Y5" i="8"/>
  <c r="S5" i="8"/>
  <c r="G5" i="8"/>
  <c r="V5" i="8"/>
  <c r="P5" i="8"/>
  <c r="M5" i="8"/>
  <c r="D5" i="8"/>
  <c r="J5" i="8"/>
  <c r="V5" i="6"/>
  <c r="AE5" i="6"/>
  <c r="Y5" i="6"/>
  <c r="S5" i="6"/>
  <c r="M5" i="6"/>
  <c r="G5" i="6"/>
  <c r="AB5" i="6"/>
  <c r="P5" i="6"/>
  <c r="J5" i="6"/>
  <c r="D5" i="6"/>
  <c r="D5" i="4"/>
  <c r="J5" i="4"/>
  <c r="AE7" i="1"/>
  <c r="AB7" i="1"/>
  <c r="Y7" i="1"/>
  <c r="V7" i="1"/>
  <c r="S7" i="1"/>
  <c r="P7" i="1"/>
  <c r="M7" i="1"/>
  <c r="J7" i="1"/>
  <c r="G7" i="1"/>
  <c r="D7" i="1"/>
  <c r="C6" i="1"/>
</calcChain>
</file>

<file path=xl/sharedStrings.xml><?xml version="1.0" encoding="utf-8"?>
<sst xmlns="http://schemas.openxmlformats.org/spreadsheetml/2006/main" count="317" uniqueCount="54">
  <si>
    <t>Units</t>
  </si>
  <si>
    <t>Input</t>
  </si>
  <si>
    <t>Price(2024)</t>
  </si>
  <si>
    <t>Price (SSP2-Base-2030)</t>
  </si>
  <si>
    <t>Price (SSP2-PKbudg1150-2030)</t>
  </si>
  <si>
    <t>Price (SSP2-PKBudg500-2030)</t>
  </si>
  <si>
    <t>Price (SSP2-Base-2040)</t>
  </si>
  <si>
    <t>Price (SSP2-PKbudg1150-2040)</t>
  </si>
  <si>
    <t>Price (SSP2-PKBudg500-2040)</t>
  </si>
  <si>
    <t>Price (SSP2-Base-2050)</t>
  </si>
  <si>
    <t>Price (SSP2-PKbudg1150-2050)</t>
  </si>
  <si>
    <t>Price (SSP2-PKbudg500-2050)</t>
  </si>
  <si>
    <t>Price source</t>
  </si>
  <si>
    <t>Future Price source</t>
  </si>
  <si>
    <t>Eco-invent database</t>
  </si>
  <si>
    <t>Future Price github repistory safdarabbas123</t>
  </si>
  <si>
    <t>Electricity</t>
  </si>
  <si>
    <t>0,15 Euro/kWh</t>
  </si>
  <si>
    <t>0,0963 Euro/kWh</t>
  </si>
  <si>
    <t>0,14504 Euro/kWh</t>
  </si>
  <si>
    <t>0,175 Euro/kWh</t>
  </si>
  <si>
    <t>0,0839 Euro/kWh</t>
  </si>
  <si>
    <t>0,0874 Euro/kWh</t>
  </si>
  <si>
    <t>0,09252 Euro/kWh</t>
  </si>
  <si>
    <t>0,087264 Euro/kWh</t>
  </si>
  <si>
    <t>0,082008 Euro/kWh</t>
  </si>
  <si>
    <t>0,08118 Euro/kWh</t>
  </si>
  <si>
    <t>https://github.com/safdarabbas123/Future_Price_of_Biomass_Electricity_based_on_REMIND2.1</t>
  </si>
  <si>
    <t>Natural_gas</t>
  </si>
  <si>
    <t>0.4 Euro/m3 of NG</t>
  </si>
  <si>
    <t>0.38 Euro/m3 of NG</t>
  </si>
  <si>
    <t>0.75  Euro/m3 of NG</t>
  </si>
  <si>
    <t>1.21 Euro/m3 of NG</t>
  </si>
  <si>
    <t>0.40 Euro/m3 of NG</t>
  </si>
  <si>
    <t>0.94 Euro/m3 of NG</t>
  </si>
  <si>
    <t>1.56 Euro/m3 of NG</t>
  </si>
  <si>
    <t>0.43 Euro/m3 of NG</t>
  </si>
  <si>
    <t>1.09 Euro/m3 of NG</t>
  </si>
  <si>
    <t>1.17 Euro/m3 of NG</t>
  </si>
  <si>
    <t>Scenario_1</t>
  </si>
  <si>
    <t>OPEX 10HTL_Plant</t>
  </si>
  <si>
    <t>Sewage sludge</t>
  </si>
  <si>
    <t>kg of sewage sludge/year</t>
  </si>
  <si>
    <t>OPEX 10_upgrading_Plant</t>
  </si>
  <si>
    <t>Scenario_2</t>
  </si>
  <si>
    <t>Scenario_3</t>
  </si>
  <si>
    <t>kwh/ton of sewage sludge</t>
  </si>
  <si>
    <t>m3 of natural gas/ton of sewage sludge</t>
  </si>
  <si>
    <t>m3 of natural gas/ton of biocrude</t>
  </si>
  <si>
    <t>kwh/ton of biocrude</t>
  </si>
  <si>
    <t>Total OPEX(Euro/ton of sewage sludge)</t>
  </si>
  <si>
    <t>Total OPEX(Euro/ton of biocrude)</t>
  </si>
  <si>
    <t>Annual sewage sludge processing 
Ton of sewage sludge/year</t>
  </si>
  <si>
    <t>Annual Biocrude Upgrading
Ton of biocrude/year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</si>
</sst>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2" fillId="0" borderId="0" xfId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  <xf numFmtId="0" fontId="0" fillId="7" borderId="0" xfId="0" applyFill="1"/>
    <xf numFmtId="0" fontId="0" fillId="0" borderId="0" xfId="0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darabbas123/Future_Price_of_Biomass_Electricity_based_on_REMIND2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C8FA-224B-43C9-A74E-8525B5EF97A3}">
  <dimension ref="A1:AM18"/>
  <sheetViews>
    <sheetView zoomScale="90" zoomScaleNormal="90" workbookViewId="0">
      <selection activeCell="B29" sqref="B29"/>
    </sheetView>
  </sheetViews>
  <sheetFormatPr defaultRowHeight="14.4" x14ac:dyDescent="0.3"/>
  <cols>
    <col min="1" max="1" width="27.109375" customWidth="1"/>
    <col min="2" max="2" width="36.88671875" customWidth="1"/>
    <col min="3" max="3" width="17.109375" customWidth="1"/>
    <col min="6" max="6" width="11" bestFit="1" customWidth="1"/>
  </cols>
  <sheetData>
    <row r="1" spans="1:39" ht="25.8" x14ac:dyDescent="0.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39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6" t="s">
        <v>28</v>
      </c>
      <c r="B4" s="7" t="s">
        <v>47</v>
      </c>
      <c r="C4" s="7">
        <v>77.922077922077932</v>
      </c>
      <c r="D4" s="22" t="s">
        <v>29</v>
      </c>
      <c r="E4" s="23"/>
      <c r="F4" s="24"/>
      <c r="G4" s="25" t="s">
        <v>30</v>
      </c>
      <c r="H4" s="26"/>
      <c r="I4" s="27"/>
      <c r="J4" s="25" t="s">
        <v>31</v>
      </c>
      <c r="K4" s="26"/>
      <c r="L4" s="27"/>
      <c r="M4" s="25" t="s">
        <v>32</v>
      </c>
      <c r="N4" s="26"/>
      <c r="O4" s="27"/>
      <c r="P4" s="25" t="s">
        <v>33</v>
      </c>
      <c r="Q4" s="26"/>
      <c r="R4" s="27"/>
      <c r="S4" s="25" t="s">
        <v>34</v>
      </c>
      <c r="T4" s="26"/>
      <c r="U4" s="27"/>
      <c r="V4" s="25" t="s">
        <v>35</v>
      </c>
      <c r="W4" s="26"/>
      <c r="X4" s="27"/>
      <c r="Y4" s="25" t="s">
        <v>36</v>
      </c>
      <c r="Z4" s="26"/>
      <c r="AA4" s="27"/>
      <c r="AB4" s="25" t="s">
        <v>37</v>
      </c>
      <c r="AC4" s="26"/>
      <c r="AD4" s="27"/>
      <c r="AE4" s="25" t="s">
        <v>38</v>
      </c>
      <c r="AF4" s="26"/>
      <c r="AG4" s="27"/>
      <c r="AH4" s="22" t="s">
        <v>14</v>
      </c>
      <c r="AI4" s="24"/>
      <c r="AJ4" s="28" t="s">
        <v>15</v>
      </c>
      <c r="AK4" s="29"/>
      <c r="AL4" s="29"/>
      <c r="AM4" s="30"/>
    </row>
    <row r="5" spans="1:39" x14ac:dyDescent="0.3">
      <c r="A5" s="5" t="s">
        <v>16</v>
      </c>
      <c r="B5" s="7" t="s">
        <v>46</v>
      </c>
      <c r="C5" s="8">
        <v>52.044252044252048</v>
      </c>
      <c r="D5" s="37" t="s">
        <v>17</v>
      </c>
      <c r="E5" s="38"/>
      <c r="F5" s="39"/>
      <c r="G5" s="25" t="s">
        <v>18</v>
      </c>
      <c r="H5" s="26"/>
      <c r="I5" s="27"/>
      <c r="J5" s="25" t="s">
        <v>19</v>
      </c>
      <c r="K5" s="26"/>
      <c r="L5" s="27"/>
      <c r="M5" s="25" t="s">
        <v>20</v>
      </c>
      <c r="N5" s="26"/>
      <c r="O5" s="27"/>
      <c r="P5" s="25" t="s">
        <v>21</v>
      </c>
      <c r="Q5" s="26"/>
      <c r="R5" s="27"/>
      <c r="S5" s="25" t="s">
        <v>22</v>
      </c>
      <c r="T5" s="26"/>
      <c r="U5" s="27"/>
      <c r="V5" s="25" t="s">
        <v>23</v>
      </c>
      <c r="W5" s="26"/>
      <c r="X5" s="27"/>
      <c r="Y5" s="25" t="s">
        <v>24</v>
      </c>
      <c r="Z5" s="26"/>
      <c r="AA5" s="27"/>
      <c r="AB5" s="25" t="s">
        <v>25</v>
      </c>
      <c r="AC5" s="26"/>
      <c r="AD5" s="27"/>
      <c r="AE5" s="25" t="s">
        <v>26</v>
      </c>
      <c r="AF5" s="26"/>
      <c r="AG5" s="27"/>
      <c r="AH5" s="37" t="s">
        <v>14</v>
      </c>
      <c r="AI5" s="39"/>
      <c r="AJ5" s="31"/>
      <c r="AK5" s="32"/>
      <c r="AL5" s="32"/>
      <c r="AM5" s="33"/>
    </row>
    <row r="6" spans="1:39" x14ac:dyDescent="0.3">
      <c r="A6" s="9" t="s">
        <v>41</v>
      </c>
      <c r="B6" s="7" t="s">
        <v>42</v>
      </c>
      <c r="C6" s="10">
        <f>(4158*10*24*350)</f>
        <v>349272000</v>
      </c>
      <c r="D6" s="40">
        <v>0</v>
      </c>
      <c r="E6" s="41"/>
      <c r="F6" s="42"/>
      <c r="G6" s="43">
        <v>0</v>
      </c>
      <c r="H6" s="44"/>
      <c r="I6" s="45"/>
      <c r="J6" s="43">
        <v>0</v>
      </c>
      <c r="K6" s="44"/>
      <c r="L6" s="45"/>
      <c r="M6" s="43">
        <v>0</v>
      </c>
      <c r="N6" s="44"/>
      <c r="O6" s="45"/>
      <c r="P6" s="43">
        <v>0</v>
      </c>
      <c r="Q6" s="44"/>
      <c r="R6" s="45"/>
      <c r="S6" s="43">
        <v>0</v>
      </c>
      <c r="T6" s="44"/>
      <c r="U6" s="45"/>
      <c r="V6" s="43">
        <v>0</v>
      </c>
      <c r="W6" s="44"/>
      <c r="X6" s="45"/>
      <c r="Y6" s="43">
        <v>0</v>
      </c>
      <c r="Z6" s="44"/>
      <c r="AA6" s="45"/>
      <c r="AB6" s="43">
        <v>0</v>
      </c>
      <c r="AC6" s="44"/>
      <c r="AD6" s="45"/>
      <c r="AE6" s="43">
        <v>0</v>
      </c>
      <c r="AF6" s="44"/>
      <c r="AG6" s="45"/>
      <c r="AH6" s="40" t="s">
        <v>14</v>
      </c>
      <c r="AI6" s="42"/>
      <c r="AJ6" s="34"/>
      <c r="AK6" s="35"/>
      <c r="AL6" s="35"/>
      <c r="AM6" s="36"/>
    </row>
    <row r="7" spans="1:39" x14ac:dyDescent="0.3">
      <c r="A7" s="49" t="s">
        <v>50</v>
      </c>
      <c r="B7" s="50"/>
      <c r="C7" s="51"/>
      <c r="D7" s="37">
        <f>(C4*0.4+C5*0.15+C6*0)</f>
        <v>38.975468975468985</v>
      </c>
      <c r="E7" s="38"/>
      <c r="F7" s="39"/>
      <c r="G7" s="37">
        <f>(C4*0.38+C5*0.0963+C6*0)</f>
        <v>34.622251082251083</v>
      </c>
      <c r="H7" s="38"/>
      <c r="I7" s="39"/>
      <c r="J7" s="37">
        <f>(C4*0.75+C5*0.145+C6*0)</f>
        <v>65.987974987974994</v>
      </c>
      <c r="K7" s="38"/>
      <c r="L7" s="39"/>
      <c r="M7" s="37">
        <f>(C4*1.21+C5*0.175+C6*0)</f>
        <v>103.3934583934584</v>
      </c>
      <c r="N7" s="38"/>
      <c r="O7" s="39"/>
      <c r="P7" s="37">
        <f>(C4*0.4+C5*0.0839+C6*0)</f>
        <v>35.535343915343923</v>
      </c>
      <c r="Q7" s="38"/>
      <c r="R7" s="39"/>
      <c r="S7" s="37">
        <f>(C4*0.94+C5*0.0874+C6*0)</f>
        <v>77.795420875420888</v>
      </c>
      <c r="T7" s="38"/>
      <c r="U7" s="39"/>
      <c r="V7" s="37">
        <f>(C4*1.56+C5*0.09252+C6*0)</f>
        <v>126.37357575757576</v>
      </c>
      <c r="W7" s="38"/>
      <c r="X7" s="39"/>
      <c r="Y7" s="37">
        <f>(C4*0.43+C5*0.087264+C6*0)</f>
        <v>38.04808311688312</v>
      </c>
      <c r="Z7" s="38"/>
      <c r="AA7" s="38"/>
      <c r="AB7" s="38">
        <f>(C4*1.09+C5*0.082008+C6*0)</f>
        <v>89.20310995670998</v>
      </c>
      <c r="AC7" s="38"/>
      <c r="AD7" s="38"/>
      <c r="AE7" s="38">
        <f>(C4*1.17+C5*0.08118+C6*0)</f>
        <v>95.393783549783564</v>
      </c>
      <c r="AF7" s="38"/>
      <c r="AG7" s="38"/>
      <c r="AH7" s="40" t="s">
        <v>14</v>
      </c>
      <c r="AI7" s="42"/>
      <c r="AJ7" s="11" t="s">
        <v>27</v>
      </c>
    </row>
    <row r="9" spans="1:39" ht="43.2" x14ac:dyDescent="0.3">
      <c r="A9" s="52" t="s">
        <v>52</v>
      </c>
      <c r="B9" s="53">
        <v>349272</v>
      </c>
      <c r="G9" s="26">
        <f>B9*G7</f>
        <v>12092582.880000001</v>
      </c>
      <c r="H9" s="26"/>
      <c r="I9" s="26"/>
      <c r="J9" s="26">
        <f>B9*J7</f>
        <v>23047752.000000004</v>
      </c>
      <c r="K9" s="26"/>
      <c r="L9" s="26"/>
      <c r="M9" s="26">
        <f>B9*M7</f>
        <v>36112440</v>
      </c>
      <c r="N9" s="26"/>
      <c r="O9" s="26"/>
      <c r="P9" s="26">
        <f>B9*P7</f>
        <v>12411500.640000002</v>
      </c>
      <c r="Q9" s="26"/>
      <c r="R9" s="26"/>
      <c r="S9" s="26">
        <f>B9*S7</f>
        <v>27171762.240000006</v>
      </c>
      <c r="T9" s="26"/>
      <c r="U9" s="26"/>
      <c r="V9" s="26">
        <f>B9*V7</f>
        <v>44138751.552000001</v>
      </c>
      <c r="W9" s="26"/>
      <c r="X9" s="26"/>
      <c r="Y9" s="26">
        <f>B9*Y7</f>
        <v>13289130.0864</v>
      </c>
      <c r="Z9" s="26"/>
      <c r="AA9" s="26"/>
      <c r="AB9" s="26">
        <f>B9*AB7</f>
        <v>31156148.620800007</v>
      </c>
      <c r="AC9" s="26"/>
      <c r="AD9" s="26"/>
      <c r="AE9" s="26">
        <f>B9*AE7</f>
        <v>33318377.568000004</v>
      </c>
      <c r="AF9" s="26"/>
      <c r="AG9" s="26"/>
    </row>
    <row r="18" spans="2:2" x14ac:dyDescent="0.3">
      <c r="B18">
        <v>6287835.1199999992</v>
      </c>
    </row>
  </sheetData>
  <mergeCells count="68">
    <mergeCell ref="V9:X9"/>
    <mergeCell ref="Y9:AA9"/>
    <mergeCell ref="AB9:AD9"/>
    <mergeCell ref="AE9:AG9"/>
    <mergeCell ref="G9:I9"/>
    <mergeCell ref="J9:L9"/>
    <mergeCell ref="M9:O9"/>
    <mergeCell ref="P9:R9"/>
    <mergeCell ref="S9:U9"/>
    <mergeCell ref="AH7:AI7"/>
    <mergeCell ref="P7:R7"/>
    <mergeCell ref="S7:U7"/>
    <mergeCell ref="V7:X7"/>
    <mergeCell ref="Y7:AA7"/>
    <mergeCell ref="AB7:AD7"/>
    <mergeCell ref="AE7:AG7"/>
    <mergeCell ref="V6:X6"/>
    <mergeCell ref="Y6:AA6"/>
    <mergeCell ref="AB6:AD6"/>
    <mergeCell ref="AE6:AG6"/>
    <mergeCell ref="AH6:AI6"/>
    <mergeCell ref="J6:L6"/>
    <mergeCell ref="M6:O6"/>
    <mergeCell ref="P6:R6"/>
    <mergeCell ref="S6:U6"/>
    <mergeCell ref="A7:C7"/>
    <mergeCell ref="D7:F7"/>
    <mergeCell ref="G7:I7"/>
    <mergeCell ref="J7:L7"/>
    <mergeCell ref="M7:O7"/>
    <mergeCell ref="AE4:AG4"/>
    <mergeCell ref="AH4:AI4"/>
    <mergeCell ref="AJ4:AM6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5:AI5"/>
    <mergeCell ref="D6:F6"/>
    <mergeCell ref="G6:I6"/>
    <mergeCell ref="AJ3:AM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S3:U3"/>
    <mergeCell ref="V3:X3"/>
    <mergeCell ref="Y3:AA3"/>
    <mergeCell ref="AB3:AD3"/>
    <mergeCell ref="AE3:AG3"/>
    <mergeCell ref="AH3:AI3"/>
    <mergeCell ref="P3:R3"/>
    <mergeCell ref="G2:I2"/>
    <mergeCell ref="D3:F3"/>
    <mergeCell ref="G3:I3"/>
    <mergeCell ref="J3:L3"/>
    <mergeCell ref="M3:O3"/>
  </mergeCells>
  <conditionalFormatting sqref="B4:B6 A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{9B159DD3-2679-4E14-9F30-F269478B2EE3}</x14:id>
        </ext>
      </extLst>
    </cfRule>
  </conditionalFormatting>
  <hyperlinks>
    <hyperlink ref="AJ7" r:id="rId1" xr:uid="{7ABA96C6-4684-4462-9C09-6113D977FFF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159DD3-2679-4E14-9F30-F269478B2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B4:B6 A9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1506-C83A-44B5-8B96-CD6335FEA1CD}">
  <dimension ref="A1:AM8"/>
  <sheetViews>
    <sheetView zoomScale="90" zoomScaleNormal="90" workbookViewId="0">
      <selection activeCell="A8" sqref="A8:B8"/>
    </sheetView>
  </sheetViews>
  <sheetFormatPr defaultRowHeight="14.4" x14ac:dyDescent="0.3"/>
  <cols>
    <col min="1" max="1" width="17.88671875" customWidth="1"/>
    <col min="2" max="2" width="32.44140625" customWidth="1"/>
    <col min="3" max="3" width="17.109375" customWidth="1"/>
  </cols>
  <sheetData>
    <row r="1" spans="1:39" ht="25.8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39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6" t="s">
        <v>28</v>
      </c>
      <c r="B4" s="7" t="s">
        <v>48</v>
      </c>
      <c r="C4" s="7">
        <v>97.340124504810404</v>
      </c>
      <c r="D4" s="22" t="s">
        <v>29</v>
      </c>
      <c r="E4" s="23"/>
      <c r="F4" s="24"/>
      <c r="G4" s="25" t="s">
        <v>30</v>
      </c>
      <c r="H4" s="26"/>
      <c r="I4" s="27"/>
      <c r="J4" s="25" t="s">
        <v>31</v>
      </c>
      <c r="K4" s="26"/>
      <c r="L4" s="27"/>
      <c r="M4" s="25" t="s">
        <v>32</v>
      </c>
      <c r="N4" s="26"/>
      <c r="O4" s="27"/>
      <c r="P4" s="25" t="s">
        <v>33</v>
      </c>
      <c r="Q4" s="26"/>
      <c r="R4" s="27"/>
      <c r="S4" s="25" t="s">
        <v>34</v>
      </c>
      <c r="T4" s="26"/>
      <c r="U4" s="27"/>
      <c r="V4" s="25" t="s">
        <v>35</v>
      </c>
      <c r="W4" s="26"/>
      <c r="X4" s="27"/>
      <c r="Y4" s="25" t="s">
        <v>36</v>
      </c>
      <c r="Z4" s="26"/>
      <c r="AA4" s="27"/>
      <c r="AB4" s="25" t="s">
        <v>37</v>
      </c>
      <c r="AC4" s="26"/>
      <c r="AD4" s="27"/>
      <c r="AE4" s="25" t="s">
        <v>38</v>
      </c>
      <c r="AF4" s="26"/>
      <c r="AG4" s="27"/>
      <c r="AH4" s="22" t="s">
        <v>14</v>
      </c>
      <c r="AI4" s="24"/>
      <c r="AJ4" s="28" t="s">
        <v>15</v>
      </c>
      <c r="AK4" s="29"/>
      <c r="AL4" s="29"/>
      <c r="AM4" s="30"/>
    </row>
    <row r="5" spans="1:39" x14ac:dyDescent="0.3">
      <c r="A5" s="5" t="s">
        <v>16</v>
      </c>
      <c r="B5" s="7" t="s">
        <v>49</v>
      </c>
      <c r="C5" s="8">
        <v>55.800792303338987</v>
      </c>
      <c r="D5" s="37" t="s">
        <v>17</v>
      </c>
      <c r="E5" s="38"/>
      <c r="F5" s="39"/>
      <c r="G5" s="25" t="s">
        <v>18</v>
      </c>
      <c r="H5" s="26"/>
      <c r="I5" s="27"/>
      <c r="J5" s="25" t="s">
        <v>19</v>
      </c>
      <c r="K5" s="26"/>
      <c r="L5" s="27"/>
      <c r="M5" s="25" t="s">
        <v>20</v>
      </c>
      <c r="N5" s="26"/>
      <c r="O5" s="27"/>
      <c r="P5" s="25" t="s">
        <v>21</v>
      </c>
      <c r="Q5" s="26"/>
      <c r="R5" s="27"/>
      <c r="S5" s="25" t="s">
        <v>22</v>
      </c>
      <c r="T5" s="26"/>
      <c r="U5" s="27"/>
      <c r="V5" s="25" t="s">
        <v>23</v>
      </c>
      <c r="W5" s="26"/>
      <c r="X5" s="27"/>
      <c r="Y5" s="25" t="s">
        <v>24</v>
      </c>
      <c r="Z5" s="26"/>
      <c r="AA5" s="27"/>
      <c r="AB5" s="25" t="s">
        <v>25</v>
      </c>
      <c r="AC5" s="26"/>
      <c r="AD5" s="27"/>
      <c r="AE5" s="25" t="s">
        <v>26</v>
      </c>
      <c r="AF5" s="26"/>
      <c r="AG5" s="27"/>
      <c r="AH5" s="37" t="s">
        <v>14</v>
      </c>
      <c r="AI5" s="39"/>
      <c r="AJ5" s="31"/>
      <c r="AK5" s="32"/>
      <c r="AL5" s="32"/>
      <c r="AM5" s="33"/>
    </row>
    <row r="6" spans="1:39" x14ac:dyDescent="0.3">
      <c r="A6" s="46" t="s">
        <v>51</v>
      </c>
      <c r="B6" s="47"/>
      <c r="C6" s="48"/>
      <c r="D6" s="37">
        <f>(C4*0.4+C5*0.15)</f>
        <v>47.306168647425011</v>
      </c>
      <c r="E6" s="38"/>
      <c r="F6" s="39"/>
      <c r="G6" s="37">
        <f>(C4*0.38+C5*0.0963)</f>
        <v>42.362863610639494</v>
      </c>
      <c r="H6" s="38"/>
      <c r="I6" s="39"/>
      <c r="J6" s="37">
        <f>(C4*0.75+C5*0.145)</f>
        <v>81.096208262591944</v>
      </c>
      <c r="K6" s="38"/>
      <c r="L6" s="39"/>
      <c r="M6" s="37">
        <f>(C4*1.21+C5*0.175)</f>
        <v>127.54668930390491</v>
      </c>
      <c r="N6" s="38"/>
      <c r="O6" s="39"/>
      <c r="P6" s="37">
        <f>(C4*0.4+C5*0.0839)</f>
        <v>43.617736276174305</v>
      </c>
      <c r="Q6" s="38"/>
      <c r="R6" s="39"/>
      <c r="S6" s="37">
        <f>(C4*0.94+C5*0.0874)</f>
        <v>96.376706281833606</v>
      </c>
      <c r="T6" s="38"/>
      <c r="U6" s="39"/>
      <c r="V6" s="37">
        <f>(C4*1.56+C5*0.09252)</f>
        <v>157.01328353140917</v>
      </c>
      <c r="W6" s="38"/>
      <c r="X6" s="39"/>
      <c r="Y6" s="37">
        <f>(C4*0.43+C5*0.087264)</f>
        <v>46.725653876627049</v>
      </c>
      <c r="Z6" s="38"/>
      <c r="AA6" s="38"/>
      <c r="AB6" s="38">
        <f>(C4*1.09+C5*0.082008)</f>
        <v>110.67684708545556</v>
      </c>
      <c r="AC6" s="38"/>
      <c r="AD6" s="38"/>
      <c r="AE6" s="38">
        <f>(C4*1.17+C5*0.08118)</f>
        <v>118.41785398981322</v>
      </c>
      <c r="AF6" s="38"/>
      <c r="AG6" s="38"/>
      <c r="AH6" s="40" t="s">
        <v>14</v>
      </c>
      <c r="AI6" s="42"/>
      <c r="AJ6" s="34"/>
      <c r="AK6" s="35"/>
      <c r="AL6" s="35"/>
      <c r="AM6" s="36"/>
    </row>
    <row r="7" spans="1:39" x14ac:dyDescent="0.3">
      <c r="AJ7" s="11" t="s">
        <v>27</v>
      </c>
    </row>
    <row r="8" spans="1:39" ht="57.6" x14ac:dyDescent="0.3">
      <c r="A8" s="52" t="s">
        <v>53</v>
      </c>
      <c r="B8" s="54">
        <v>148428</v>
      </c>
      <c r="G8" s="26">
        <f>B8*G6</f>
        <v>6287835.1199999992</v>
      </c>
      <c r="H8" s="26"/>
      <c r="I8" s="26"/>
      <c r="J8" s="26">
        <f>B8*J6</f>
        <v>12036947.999999996</v>
      </c>
      <c r="K8" s="26"/>
      <c r="L8" s="26"/>
      <c r="M8" s="26">
        <f>B8*M6</f>
        <v>18931500</v>
      </c>
      <c r="N8" s="26"/>
      <c r="O8" s="26"/>
      <c r="P8" s="26">
        <f>B8*P6</f>
        <v>6474093.3599999994</v>
      </c>
      <c r="Q8" s="26"/>
      <c r="R8" s="26"/>
      <c r="S8" s="26">
        <f>B8*S6</f>
        <v>14305001.759999998</v>
      </c>
      <c r="T8" s="26"/>
      <c r="U8" s="26"/>
      <c r="V8" s="26">
        <f>B8*V6</f>
        <v>23305167.648000002</v>
      </c>
      <c r="W8" s="26"/>
      <c r="X8" s="26"/>
      <c r="Y8" s="26">
        <f>B8*Y6</f>
        <v>6935395.3536</v>
      </c>
      <c r="Z8" s="26"/>
      <c r="AA8" s="26"/>
      <c r="AB8" s="26">
        <f>B8*AB6</f>
        <v>16427543.059199998</v>
      </c>
      <c r="AC8" s="26"/>
      <c r="AD8" s="26"/>
      <c r="AE8" s="26">
        <f>B8*AE6</f>
        <v>17576525.231999997</v>
      </c>
      <c r="AF8" s="26"/>
      <c r="AG8" s="26"/>
    </row>
  </sheetData>
  <mergeCells count="57">
    <mergeCell ref="S8:U8"/>
    <mergeCell ref="V8:X8"/>
    <mergeCell ref="Y8:AA8"/>
    <mergeCell ref="AB8:AD8"/>
    <mergeCell ref="AE8:AG8"/>
    <mergeCell ref="P3:R3"/>
    <mergeCell ref="G8:I8"/>
    <mergeCell ref="J8:L8"/>
    <mergeCell ref="M8:O8"/>
    <mergeCell ref="P8:R8"/>
    <mergeCell ref="G2:I2"/>
    <mergeCell ref="D3:F3"/>
    <mergeCell ref="G3:I3"/>
    <mergeCell ref="J3:L3"/>
    <mergeCell ref="M3:O3"/>
    <mergeCell ref="AJ3:AM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S3:U3"/>
    <mergeCell ref="V3:X3"/>
    <mergeCell ref="Y3:AA3"/>
    <mergeCell ref="AB3:AD3"/>
    <mergeCell ref="AE3:AG3"/>
    <mergeCell ref="AH3:AI3"/>
    <mergeCell ref="AJ4:AM6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5:AI5"/>
    <mergeCell ref="AE4:AG4"/>
    <mergeCell ref="AH4:AI4"/>
    <mergeCell ref="A6:C6"/>
    <mergeCell ref="D6:F6"/>
    <mergeCell ref="G6:I6"/>
    <mergeCell ref="J6:L6"/>
    <mergeCell ref="M6:O6"/>
    <mergeCell ref="AH6:AI6"/>
    <mergeCell ref="P6:R6"/>
    <mergeCell ref="S6:U6"/>
    <mergeCell ref="V6:X6"/>
    <mergeCell ref="Y6:AA6"/>
    <mergeCell ref="AB6:AD6"/>
    <mergeCell ref="AE6:AG6"/>
  </mergeCells>
  <conditionalFormatting sqref="B4:B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{F2E794B7-D0C4-40E8-8511-C76EFA18CC20}</x14:id>
        </ext>
      </extLst>
    </cfRule>
  </conditionalFormatting>
  <conditionalFormatting sqref="A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{51481EC4-92C6-4AF5-B62B-51781F25F530}</x14:id>
        </ext>
      </extLst>
    </cfRule>
  </conditionalFormatting>
  <hyperlinks>
    <hyperlink ref="AJ7" r:id="rId1" xr:uid="{ED3DB309-D9A0-48C2-AFFE-BA1EE382270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E794B7-D0C4-40E8-8511-C76EFA18C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B4:B5</xm:sqref>
        </x14:conditionalFormatting>
        <x14:conditionalFormatting xmlns:xm="http://schemas.microsoft.com/office/excel/2006/main">
          <x14:cfRule type="dataBar" id="{51481EC4-92C6-4AF5-B62B-51781F25F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2699-7392-4796-993F-9C4681BB0A16}">
  <dimension ref="A1:AM7"/>
  <sheetViews>
    <sheetView zoomScale="80" zoomScaleNormal="80" workbookViewId="0">
      <selection activeCell="C21" sqref="C21"/>
    </sheetView>
  </sheetViews>
  <sheetFormatPr defaultRowHeight="14.4" x14ac:dyDescent="0.3"/>
  <cols>
    <col min="1" max="1" width="17.88671875" customWidth="1"/>
    <col min="2" max="2" width="27.6640625" customWidth="1"/>
    <col min="3" max="3" width="17.109375" customWidth="1"/>
  </cols>
  <sheetData>
    <row r="1" spans="1:39" ht="25.8" x14ac:dyDescent="0.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44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5" t="s">
        <v>16</v>
      </c>
      <c r="B4" s="7" t="s">
        <v>46</v>
      </c>
      <c r="C4" s="8">
        <f>(122.4+38+0.18+1.129)*10/41.58</f>
        <v>38.891053391053397</v>
      </c>
      <c r="D4" s="37" t="s">
        <v>17</v>
      </c>
      <c r="E4" s="38"/>
      <c r="F4" s="39"/>
      <c r="G4" s="25" t="s">
        <v>18</v>
      </c>
      <c r="H4" s="26"/>
      <c r="I4" s="27"/>
      <c r="J4" s="25" t="s">
        <v>19</v>
      </c>
      <c r="K4" s="26"/>
      <c r="L4" s="27"/>
      <c r="M4" s="25" t="s">
        <v>20</v>
      </c>
      <c r="N4" s="26"/>
      <c r="O4" s="27"/>
      <c r="P4" s="25" t="s">
        <v>21</v>
      </c>
      <c r="Q4" s="26"/>
      <c r="R4" s="27"/>
      <c r="S4" s="25" t="s">
        <v>22</v>
      </c>
      <c r="T4" s="26"/>
      <c r="U4" s="27"/>
      <c r="V4" s="25" t="s">
        <v>23</v>
      </c>
      <c r="W4" s="26"/>
      <c r="X4" s="27"/>
      <c r="Y4" s="25" t="s">
        <v>24</v>
      </c>
      <c r="Z4" s="26"/>
      <c r="AA4" s="27"/>
      <c r="AB4" s="25" t="s">
        <v>25</v>
      </c>
      <c r="AC4" s="26"/>
      <c r="AD4" s="27"/>
      <c r="AE4" s="25" t="s">
        <v>26</v>
      </c>
      <c r="AF4" s="26"/>
      <c r="AG4" s="27"/>
      <c r="AH4" s="37" t="s">
        <v>14</v>
      </c>
      <c r="AI4" s="39"/>
      <c r="AJ4" s="28" t="s">
        <v>15</v>
      </c>
      <c r="AK4" s="29"/>
      <c r="AL4" s="29"/>
      <c r="AM4" s="30"/>
    </row>
    <row r="5" spans="1:39" x14ac:dyDescent="0.3">
      <c r="A5" s="46" t="s">
        <v>50</v>
      </c>
      <c r="B5" s="47"/>
      <c r="C5" s="48"/>
      <c r="D5" s="37">
        <f>(C4*0.15)</f>
        <v>5.8336580086580092</v>
      </c>
      <c r="E5" s="38"/>
      <c r="F5" s="39"/>
      <c r="G5" s="37">
        <f>(C4*0.0963)</f>
        <v>3.7452084415584421</v>
      </c>
      <c r="H5" s="38"/>
      <c r="I5" s="39"/>
      <c r="J5" s="37">
        <f>(C4*0.145)</f>
        <v>5.6392027417027419</v>
      </c>
      <c r="K5" s="38"/>
      <c r="L5" s="39"/>
      <c r="M5" s="37">
        <f>(C4*0.175)</f>
        <v>6.8059343434343438</v>
      </c>
      <c r="N5" s="38"/>
      <c r="O5" s="39"/>
      <c r="P5" s="37">
        <f>(C4*0.0839)</f>
        <v>3.2629593795093803</v>
      </c>
      <c r="Q5" s="38"/>
      <c r="R5" s="39"/>
      <c r="S5" s="37">
        <f>(C4*0.0874)</f>
        <v>3.3990780663780673</v>
      </c>
      <c r="T5" s="38"/>
      <c r="U5" s="39"/>
      <c r="V5" s="37">
        <f>(C4*0.09252)</f>
        <v>3.5982002597402607</v>
      </c>
      <c r="W5" s="38"/>
      <c r="X5" s="39"/>
      <c r="Y5" s="37">
        <f>(C4*0.087264)</f>
        <v>3.3937888831168834</v>
      </c>
      <c r="Z5" s="38"/>
      <c r="AA5" s="38"/>
      <c r="AB5" s="38">
        <f>(C4*0.082008)</f>
        <v>3.189377506493507</v>
      </c>
      <c r="AC5" s="38"/>
      <c r="AD5" s="38"/>
      <c r="AE5" s="38">
        <f>(C4*0.08118)</f>
        <v>3.1571757142857146</v>
      </c>
      <c r="AF5" s="38"/>
      <c r="AG5" s="38"/>
      <c r="AH5" s="40" t="s">
        <v>14</v>
      </c>
      <c r="AI5" s="42"/>
      <c r="AJ5" s="31"/>
      <c r="AK5" s="32"/>
      <c r="AL5" s="32"/>
      <c r="AM5" s="33"/>
    </row>
    <row r="6" spans="1:39" x14ac:dyDescent="0.3">
      <c r="AJ6" s="34"/>
      <c r="AK6" s="35"/>
      <c r="AL6" s="35"/>
      <c r="AM6" s="36"/>
    </row>
    <row r="7" spans="1:39" ht="57.6" x14ac:dyDescent="0.3">
      <c r="A7" s="52" t="s">
        <v>52</v>
      </c>
      <c r="B7" s="53">
        <v>349272</v>
      </c>
      <c r="G7" s="26">
        <f>B7*G5</f>
        <v>1308096.4428000003</v>
      </c>
      <c r="H7" s="26"/>
      <c r="I7" s="26"/>
      <c r="J7" s="26">
        <f>B7*J5</f>
        <v>1969615.62</v>
      </c>
      <c r="K7" s="26"/>
      <c r="L7" s="26"/>
      <c r="M7" s="26">
        <f>B7*M5</f>
        <v>2377122.3000000003</v>
      </c>
      <c r="N7" s="26"/>
      <c r="O7" s="26"/>
      <c r="P7" s="26">
        <f>B7*P5</f>
        <v>1139660.3484000002</v>
      </c>
      <c r="Q7" s="26"/>
      <c r="R7" s="26"/>
      <c r="S7" s="26">
        <f>B7*S5</f>
        <v>1187202.7944000002</v>
      </c>
      <c r="T7" s="26"/>
      <c r="U7" s="26"/>
      <c r="V7" s="26">
        <f>B7*V5</f>
        <v>1256750.6011200002</v>
      </c>
      <c r="W7" s="26"/>
      <c r="X7" s="26"/>
      <c r="Y7" s="26">
        <f>B7*Y5</f>
        <v>1185355.4307840001</v>
      </c>
      <c r="Z7" s="26"/>
      <c r="AA7" s="26"/>
      <c r="AB7" s="26">
        <f>B7*AB5</f>
        <v>1113960.2604480002</v>
      </c>
      <c r="AC7" s="26"/>
      <c r="AD7" s="26"/>
      <c r="AE7" s="26">
        <f>B7*AE5</f>
        <v>1102713.07608</v>
      </c>
      <c r="AF7" s="26"/>
      <c r="AG7" s="26"/>
      <c r="AJ7" s="11" t="s">
        <v>27</v>
      </c>
    </row>
  </sheetData>
  <mergeCells count="46">
    <mergeCell ref="S7:U7"/>
    <mergeCell ref="V7:X7"/>
    <mergeCell ref="Y7:AA7"/>
    <mergeCell ref="AB7:AD7"/>
    <mergeCell ref="AE7:AG7"/>
    <mergeCell ref="P3:R3"/>
    <mergeCell ref="G7:I7"/>
    <mergeCell ref="J7:L7"/>
    <mergeCell ref="M7:O7"/>
    <mergeCell ref="P7:R7"/>
    <mergeCell ref="G2:I2"/>
    <mergeCell ref="D3:F3"/>
    <mergeCell ref="G3:I3"/>
    <mergeCell ref="J3:L3"/>
    <mergeCell ref="M3:O3"/>
    <mergeCell ref="AJ3:AM3"/>
    <mergeCell ref="S3:U3"/>
    <mergeCell ref="V3:X3"/>
    <mergeCell ref="Y3:AA3"/>
    <mergeCell ref="AB3:AD3"/>
    <mergeCell ref="AE3:AG3"/>
    <mergeCell ref="AH3:AI3"/>
    <mergeCell ref="AJ4:AM6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H4:AI4"/>
    <mergeCell ref="A5:C5"/>
    <mergeCell ref="D5:F5"/>
    <mergeCell ref="G5:I5"/>
    <mergeCell ref="J5:L5"/>
    <mergeCell ref="M5:O5"/>
    <mergeCell ref="AH5:AI5"/>
    <mergeCell ref="P5:R5"/>
    <mergeCell ref="S5:U5"/>
    <mergeCell ref="V5:X5"/>
    <mergeCell ref="Y5:AA5"/>
    <mergeCell ref="AB5:AD5"/>
    <mergeCell ref="AE5:AG5"/>
  </mergeCells>
  <conditionalFormatting sqref="B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{D8C74822-D99C-4B6D-AFCE-E1D7260012C5}</x14:id>
        </ext>
      </extLst>
    </cfRule>
  </conditionalFormatting>
  <conditionalFormatting sqref="A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{BCBDCBCD-2CBE-40C2-8668-374BE0B01344}</x14:id>
        </ext>
      </extLst>
    </cfRule>
  </conditionalFormatting>
  <hyperlinks>
    <hyperlink ref="AJ7" r:id="rId1" xr:uid="{8FA0FE33-F58B-4024-86D8-D72E3B53C10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C74822-D99C-4B6D-AFCE-E1D726001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BCBDCBCD-2CBE-40C2-8668-374BE0B0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471A-1AD6-4FAF-B148-339F1392DE34}">
  <dimension ref="A1:AM7"/>
  <sheetViews>
    <sheetView zoomScale="80" zoomScaleNormal="80" workbookViewId="0">
      <selection activeCell="AE8" sqref="AE8"/>
    </sheetView>
  </sheetViews>
  <sheetFormatPr defaultRowHeight="14.4" x14ac:dyDescent="0.3"/>
  <cols>
    <col min="1" max="1" width="17.88671875" customWidth="1"/>
    <col min="2" max="2" width="27.6640625" customWidth="1"/>
    <col min="3" max="3" width="17.109375" customWidth="1"/>
  </cols>
  <sheetData>
    <row r="1" spans="1:39" ht="25.8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44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5" t="s">
        <v>16</v>
      </c>
      <c r="B4" s="7" t="s">
        <v>49</v>
      </c>
      <c r="C4" s="8">
        <f>(98.6)*10/17.67</f>
        <v>55.800792303338987</v>
      </c>
      <c r="D4" s="37" t="s">
        <v>17</v>
      </c>
      <c r="E4" s="38"/>
      <c r="F4" s="39"/>
      <c r="G4" s="25" t="s">
        <v>18</v>
      </c>
      <c r="H4" s="26"/>
      <c r="I4" s="27"/>
      <c r="J4" s="25" t="s">
        <v>19</v>
      </c>
      <c r="K4" s="26"/>
      <c r="L4" s="27"/>
      <c r="M4" s="25" t="s">
        <v>20</v>
      </c>
      <c r="N4" s="26"/>
      <c r="O4" s="27"/>
      <c r="P4" s="25" t="s">
        <v>21</v>
      </c>
      <c r="Q4" s="26"/>
      <c r="R4" s="27"/>
      <c r="S4" s="25" t="s">
        <v>22</v>
      </c>
      <c r="T4" s="26"/>
      <c r="U4" s="27"/>
      <c r="V4" s="25" t="s">
        <v>23</v>
      </c>
      <c r="W4" s="26"/>
      <c r="X4" s="27"/>
      <c r="Y4" s="25" t="s">
        <v>24</v>
      </c>
      <c r="Z4" s="26"/>
      <c r="AA4" s="27"/>
      <c r="AB4" s="25" t="s">
        <v>25</v>
      </c>
      <c r="AC4" s="26"/>
      <c r="AD4" s="27"/>
      <c r="AE4" s="25" t="s">
        <v>26</v>
      </c>
      <c r="AF4" s="26"/>
      <c r="AG4" s="27"/>
      <c r="AH4" s="37" t="s">
        <v>14</v>
      </c>
      <c r="AI4" s="39"/>
      <c r="AJ4" s="28" t="s">
        <v>15</v>
      </c>
      <c r="AK4" s="29"/>
      <c r="AL4" s="29"/>
      <c r="AM4" s="30"/>
    </row>
    <row r="5" spans="1:39" x14ac:dyDescent="0.3">
      <c r="A5" s="55" t="s">
        <v>51</v>
      </c>
      <c r="B5" s="56"/>
      <c r="C5" s="57"/>
      <c r="D5" s="37">
        <f>(C4*0.15)</f>
        <v>8.3701188455008477</v>
      </c>
      <c r="E5" s="38"/>
      <c r="F5" s="39"/>
      <c r="G5" s="37">
        <f>(C4*0.0963)</f>
        <v>5.3736162988115446</v>
      </c>
      <c r="H5" s="38"/>
      <c r="I5" s="39"/>
      <c r="J5" s="37">
        <f>(C4*0.145)</f>
        <v>8.0911148839841527</v>
      </c>
      <c r="K5" s="38"/>
      <c r="L5" s="39"/>
      <c r="M5" s="37">
        <f>(C4*0.175)</f>
        <v>9.7651386530843229</v>
      </c>
      <c r="N5" s="38"/>
      <c r="O5" s="39"/>
      <c r="P5" s="37">
        <f>(C4*0.0839)</f>
        <v>4.6816864742501414</v>
      </c>
      <c r="Q5" s="38"/>
      <c r="R5" s="39"/>
      <c r="S5" s="37">
        <f>(C4*0.0874)</f>
        <v>4.8769892473118279</v>
      </c>
      <c r="T5" s="38"/>
      <c r="U5" s="39"/>
      <c r="V5" s="37">
        <f>(C4*0.09252)</f>
        <v>5.1626893039049238</v>
      </c>
      <c r="W5" s="38"/>
      <c r="X5" s="39"/>
      <c r="Y5" s="37">
        <f>(C4*0.087264)</f>
        <v>4.869400339558573</v>
      </c>
      <c r="Z5" s="38"/>
      <c r="AA5" s="38"/>
      <c r="AB5" s="38">
        <f>(C4*0.082008)</f>
        <v>4.5761113752122231</v>
      </c>
      <c r="AC5" s="38"/>
      <c r="AD5" s="38"/>
      <c r="AE5" s="38">
        <f>(C4*0.08118)</f>
        <v>4.5299083191850595</v>
      </c>
      <c r="AF5" s="38"/>
      <c r="AG5" s="38"/>
      <c r="AH5" s="40" t="s">
        <v>14</v>
      </c>
      <c r="AI5" s="42"/>
      <c r="AJ5" s="31"/>
      <c r="AK5" s="32"/>
      <c r="AL5" s="32"/>
      <c r="AM5" s="33"/>
    </row>
    <row r="6" spans="1:39" x14ac:dyDescent="0.3">
      <c r="AJ6" s="34"/>
      <c r="AK6" s="35"/>
      <c r="AL6" s="35"/>
      <c r="AM6" s="36"/>
    </row>
    <row r="7" spans="1:39" ht="57.6" x14ac:dyDescent="0.3">
      <c r="A7" s="52" t="s">
        <v>53</v>
      </c>
      <c r="B7" s="54">
        <v>148428</v>
      </c>
      <c r="G7" s="26">
        <f>B7*G5</f>
        <v>797595.11999999988</v>
      </c>
      <c r="H7" s="26"/>
      <c r="I7" s="26"/>
      <c r="J7" s="26">
        <f>B7*J5</f>
        <v>1200947.9999999998</v>
      </c>
      <c r="K7" s="26"/>
      <c r="L7" s="26"/>
      <c r="M7" s="26">
        <f>B7*M5</f>
        <v>1449420</v>
      </c>
      <c r="N7" s="26"/>
      <c r="O7" s="26"/>
      <c r="P7" s="26">
        <f>B7*P5</f>
        <v>694893.36</v>
      </c>
      <c r="Q7" s="26"/>
      <c r="R7" s="26"/>
      <c r="S7" s="26">
        <f>B7*S5</f>
        <v>723881.76</v>
      </c>
      <c r="T7" s="26"/>
      <c r="U7" s="26"/>
      <c r="V7" s="26">
        <f>B7*V5</f>
        <v>766287.64800000004</v>
      </c>
      <c r="W7" s="26"/>
      <c r="X7" s="26"/>
      <c r="Y7" s="26">
        <f>B7*Y5</f>
        <v>722755.35359999991</v>
      </c>
      <c r="Z7" s="26"/>
      <c r="AA7" s="26"/>
      <c r="AB7" s="26">
        <f>B7*AB5</f>
        <v>679223.0591999999</v>
      </c>
      <c r="AC7" s="26"/>
      <c r="AD7" s="26"/>
      <c r="AE7" s="26">
        <f>B7*AE5</f>
        <v>672365.23199999996</v>
      </c>
      <c r="AF7" s="26"/>
      <c r="AG7" s="26"/>
      <c r="AJ7" s="11" t="s">
        <v>27</v>
      </c>
    </row>
  </sheetData>
  <mergeCells count="46">
    <mergeCell ref="S7:U7"/>
    <mergeCell ref="V7:X7"/>
    <mergeCell ref="Y7:AA7"/>
    <mergeCell ref="AB7:AD7"/>
    <mergeCell ref="AE7:AG7"/>
    <mergeCell ref="P3:R3"/>
    <mergeCell ref="G7:I7"/>
    <mergeCell ref="J7:L7"/>
    <mergeCell ref="M7:O7"/>
    <mergeCell ref="P7:R7"/>
    <mergeCell ref="G2:I2"/>
    <mergeCell ref="D3:F3"/>
    <mergeCell ref="G3:I3"/>
    <mergeCell ref="J3:L3"/>
    <mergeCell ref="M3:O3"/>
    <mergeCell ref="AJ3:AM3"/>
    <mergeCell ref="S3:U3"/>
    <mergeCell ref="V3:X3"/>
    <mergeCell ref="Y3:AA3"/>
    <mergeCell ref="AB3:AD3"/>
    <mergeCell ref="AE3:AG3"/>
    <mergeCell ref="AH3:AI3"/>
    <mergeCell ref="P5:R5"/>
    <mergeCell ref="AJ4:AM6"/>
    <mergeCell ref="D4:F4"/>
    <mergeCell ref="G4:I4"/>
    <mergeCell ref="J4:L4"/>
    <mergeCell ref="M4:O4"/>
    <mergeCell ref="P4:R4"/>
    <mergeCell ref="S4:U4"/>
    <mergeCell ref="V4:X4"/>
    <mergeCell ref="A5:C5"/>
    <mergeCell ref="D5:F5"/>
    <mergeCell ref="G5:I5"/>
    <mergeCell ref="J5:L5"/>
    <mergeCell ref="M5:O5"/>
    <mergeCell ref="AH5:AI5"/>
    <mergeCell ref="Y4:AA4"/>
    <mergeCell ref="AB4:AD4"/>
    <mergeCell ref="AE4:AG4"/>
    <mergeCell ref="AH4:AI4"/>
    <mergeCell ref="S5:U5"/>
    <mergeCell ref="V5:X5"/>
    <mergeCell ref="Y5:AA5"/>
    <mergeCell ref="AB5:AD5"/>
    <mergeCell ref="AE5:AG5"/>
  </mergeCells>
  <conditionalFormatting sqref="B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{9FEFCA46-A987-4BA1-BCFC-41DCE6F50316}</x14:id>
        </ext>
      </extLst>
    </cfRule>
  </conditionalFormatting>
  <conditionalFormatting sqref="A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{AA7D7F2F-9873-4099-9F80-E497B7043B24}</x14:id>
        </ext>
      </extLst>
    </cfRule>
  </conditionalFormatting>
  <hyperlinks>
    <hyperlink ref="AJ7" r:id="rId1" xr:uid="{1AF4DE8D-D268-400F-A4AC-4E7C7E38CAD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EFCA46-A987-4BA1-BCFC-41DCE6F50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AA7D7F2F-9873-4099-9F80-E497B704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9830-2793-467C-B754-EAFDC0B18239}">
  <dimension ref="A1:AM18"/>
  <sheetViews>
    <sheetView workbookViewId="0">
      <selection activeCell="C23" sqref="C23"/>
    </sheetView>
  </sheetViews>
  <sheetFormatPr defaultRowHeight="14.4" x14ac:dyDescent="0.3"/>
  <cols>
    <col min="1" max="1" width="27.109375" customWidth="1"/>
    <col min="2" max="2" width="36.88671875" customWidth="1"/>
    <col min="3" max="3" width="17.109375" customWidth="1"/>
    <col min="6" max="6" width="11" bestFit="1" customWidth="1"/>
  </cols>
  <sheetData>
    <row r="1" spans="1:39" ht="25.8" x14ac:dyDescent="0.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39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6" t="s">
        <v>28</v>
      </c>
      <c r="B4" s="7" t="s">
        <v>47</v>
      </c>
      <c r="C4" s="7">
        <v>77.922077922077932</v>
      </c>
      <c r="D4" s="22" t="s">
        <v>29</v>
      </c>
      <c r="E4" s="23"/>
      <c r="F4" s="24"/>
      <c r="G4" s="25" t="s">
        <v>30</v>
      </c>
      <c r="H4" s="26"/>
      <c r="I4" s="27"/>
      <c r="J4" s="25" t="s">
        <v>31</v>
      </c>
      <c r="K4" s="26"/>
      <c r="L4" s="27"/>
      <c r="M4" s="25" t="s">
        <v>32</v>
      </c>
      <c r="N4" s="26"/>
      <c r="O4" s="27"/>
      <c r="P4" s="25" t="s">
        <v>33</v>
      </c>
      <c r="Q4" s="26"/>
      <c r="R4" s="27"/>
      <c r="S4" s="25" t="s">
        <v>34</v>
      </c>
      <c r="T4" s="26"/>
      <c r="U4" s="27"/>
      <c r="V4" s="25" t="s">
        <v>35</v>
      </c>
      <c r="W4" s="26"/>
      <c r="X4" s="27"/>
      <c r="Y4" s="25" t="s">
        <v>36</v>
      </c>
      <c r="Z4" s="26"/>
      <c r="AA4" s="27"/>
      <c r="AB4" s="25" t="s">
        <v>37</v>
      </c>
      <c r="AC4" s="26"/>
      <c r="AD4" s="27"/>
      <c r="AE4" s="25" t="s">
        <v>38</v>
      </c>
      <c r="AF4" s="26"/>
      <c r="AG4" s="27"/>
      <c r="AH4" s="22" t="s">
        <v>14</v>
      </c>
      <c r="AI4" s="24"/>
      <c r="AJ4" s="28" t="s">
        <v>15</v>
      </c>
      <c r="AK4" s="29"/>
      <c r="AL4" s="29"/>
      <c r="AM4" s="30"/>
    </row>
    <row r="5" spans="1:39" x14ac:dyDescent="0.3">
      <c r="A5" s="5" t="s">
        <v>16</v>
      </c>
      <c r="B5" s="7" t="s">
        <v>46</v>
      </c>
      <c r="C5" s="8">
        <v>52.044252044252048</v>
      </c>
      <c r="D5" s="37" t="s">
        <v>17</v>
      </c>
      <c r="E5" s="38"/>
      <c r="F5" s="39"/>
      <c r="G5" s="25" t="s">
        <v>18</v>
      </c>
      <c r="H5" s="26"/>
      <c r="I5" s="27"/>
      <c r="J5" s="25" t="s">
        <v>19</v>
      </c>
      <c r="K5" s="26"/>
      <c r="L5" s="27"/>
      <c r="M5" s="25" t="s">
        <v>20</v>
      </c>
      <c r="N5" s="26"/>
      <c r="O5" s="27"/>
      <c r="P5" s="25" t="s">
        <v>21</v>
      </c>
      <c r="Q5" s="26"/>
      <c r="R5" s="27"/>
      <c r="S5" s="25" t="s">
        <v>22</v>
      </c>
      <c r="T5" s="26"/>
      <c r="U5" s="27"/>
      <c r="V5" s="25" t="s">
        <v>23</v>
      </c>
      <c r="W5" s="26"/>
      <c r="X5" s="27"/>
      <c r="Y5" s="25" t="s">
        <v>24</v>
      </c>
      <c r="Z5" s="26"/>
      <c r="AA5" s="27"/>
      <c r="AB5" s="25" t="s">
        <v>25</v>
      </c>
      <c r="AC5" s="26"/>
      <c r="AD5" s="27"/>
      <c r="AE5" s="25" t="s">
        <v>26</v>
      </c>
      <c r="AF5" s="26"/>
      <c r="AG5" s="27"/>
      <c r="AH5" s="37" t="s">
        <v>14</v>
      </c>
      <c r="AI5" s="39"/>
      <c r="AJ5" s="31"/>
      <c r="AK5" s="32"/>
      <c r="AL5" s="32"/>
      <c r="AM5" s="33"/>
    </row>
    <row r="6" spans="1:39" x14ac:dyDescent="0.3">
      <c r="A6" s="9" t="s">
        <v>41</v>
      </c>
      <c r="B6" s="7" t="s">
        <v>42</v>
      </c>
      <c r="C6" s="10">
        <f>(4158*10*24*350)</f>
        <v>349272000</v>
      </c>
      <c r="D6" s="40">
        <v>0</v>
      </c>
      <c r="E6" s="41"/>
      <c r="F6" s="42"/>
      <c r="G6" s="43">
        <v>0</v>
      </c>
      <c r="H6" s="44"/>
      <c r="I6" s="45"/>
      <c r="J6" s="43">
        <v>0</v>
      </c>
      <c r="K6" s="44"/>
      <c r="L6" s="45"/>
      <c r="M6" s="43">
        <v>0</v>
      </c>
      <c r="N6" s="44"/>
      <c r="O6" s="45"/>
      <c r="P6" s="43">
        <v>0</v>
      </c>
      <c r="Q6" s="44"/>
      <c r="R6" s="45"/>
      <c r="S6" s="43">
        <v>0</v>
      </c>
      <c r="T6" s="44"/>
      <c r="U6" s="45"/>
      <c r="V6" s="43">
        <v>0</v>
      </c>
      <c r="W6" s="44"/>
      <c r="X6" s="45"/>
      <c r="Y6" s="43">
        <v>0</v>
      </c>
      <c r="Z6" s="44"/>
      <c r="AA6" s="45"/>
      <c r="AB6" s="43">
        <v>0</v>
      </c>
      <c r="AC6" s="44"/>
      <c r="AD6" s="45"/>
      <c r="AE6" s="43">
        <v>0</v>
      </c>
      <c r="AF6" s="44"/>
      <c r="AG6" s="45"/>
      <c r="AH6" s="40" t="s">
        <v>14</v>
      </c>
      <c r="AI6" s="42"/>
      <c r="AJ6" s="34"/>
      <c r="AK6" s="35"/>
      <c r="AL6" s="35"/>
      <c r="AM6" s="36"/>
    </row>
    <row r="7" spans="1:39" x14ac:dyDescent="0.3">
      <c r="A7" s="49" t="s">
        <v>50</v>
      </c>
      <c r="B7" s="50"/>
      <c r="C7" s="51"/>
      <c r="D7" s="37">
        <f>(C4*0.4+C5*0.15+C6*0)</f>
        <v>38.975468975468985</v>
      </c>
      <c r="E7" s="38"/>
      <c r="F7" s="39"/>
      <c r="G7" s="37">
        <f>(C4*0.38+C5*0.0963+C6*0)</f>
        <v>34.622251082251083</v>
      </c>
      <c r="H7" s="38"/>
      <c r="I7" s="39"/>
      <c r="J7" s="37">
        <f>(C4*0.75+C5*0.145+C6*0)</f>
        <v>65.987974987974994</v>
      </c>
      <c r="K7" s="38"/>
      <c r="L7" s="39"/>
      <c r="M7" s="37">
        <f>(C4*1.21+C5*0.175+C6*0)</f>
        <v>103.3934583934584</v>
      </c>
      <c r="N7" s="38"/>
      <c r="O7" s="39"/>
      <c r="P7" s="37">
        <f>(C4*0.4+C5*0.0839+C6*0)</f>
        <v>35.535343915343923</v>
      </c>
      <c r="Q7" s="38"/>
      <c r="R7" s="39"/>
      <c r="S7" s="37">
        <f>(C4*0.94+C5*0.0874+C6*0)</f>
        <v>77.795420875420888</v>
      </c>
      <c r="T7" s="38"/>
      <c r="U7" s="39"/>
      <c r="V7" s="37">
        <f>(C4*1.56+C5*0.09252+C6*0)</f>
        <v>126.37357575757576</v>
      </c>
      <c r="W7" s="38"/>
      <c r="X7" s="39"/>
      <c r="Y7" s="37">
        <f>(C4*0.43+C5*0.087264+C6*0)</f>
        <v>38.04808311688312</v>
      </c>
      <c r="Z7" s="38"/>
      <c r="AA7" s="38"/>
      <c r="AB7" s="38">
        <f>(C4*1.09+C5*0.082008+C6*0)</f>
        <v>89.20310995670998</v>
      </c>
      <c r="AC7" s="38"/>
      <c r="AD7" s="38"/>
      <c r="AE7" s="38">
        <f>(C4*1.17+C5*0.08118+C6*0)</f>
        <v>95.393783549783564</v>
      </c>
      <c r="AF7" s="38"/>
      <c r="AG7" s="38"/>
      <c r="AH7" s="40" t="s">
        <v>14</v>
      </c>
      <c r="AI7" s="42"/>
      <c r="AJ7" s="11" t="s">
        <v>27</v>
      </c>
    </row>
    <row r="9" spans="1:39" ht="43.2" x14ac:dyDescent="0.3">
      <c r="A9" s="52" t="s">
        <v>52</v>
      </c>
      <c r="B9" s="53">
        <v>349272</v>
      </c>
      <c r="G9" s="26">
        <f>B9*G7</f>
        <v>12092582.880000001</v>
      </c>
      <c r="H9" s="26"/>
      <c r="I9" s="26"/>
      <c r="J9" s="26">
        <f>B9*J7</f>
        <v>23047752.000000004</v>
      </c>
      <c r="K9" s="26"/>
      <c r="L9" s="26"/>
      <c r="M9" s="26">
        <f>B9*M7</f>
        <v>36112440</v>
      </c>
      <c r="N9" s="26"/>
      <c r="O9" s="26"/>
      <c r="P9" s="26">
        <f>B9*P7</f>
        <v>12411500.640000002</v>
      </c>
      <c r="Q9" s="26"/>
      <c r="R9" s="26"/>
      <c r="S9" s="26">
        <f>B9*S7</f>
        <v>27171762.240000006</v>
      </c>
      <c r="T9" s="26"/>
      <c r="U9" s="26"/>
      <c r="V9" s="26">
        <f>B9*V7</f>
        <v>44138751.552000001</v>
      </c>
      <c r="W9" s="26"/>
      <c r="X9" s="26"/>
      <c r="Y9" s="26">
        <f>B9*Y7</f>
        <v>13289130.0864</v>
      </c>
      <c r="Z9" s="26"/>
      <c r="AA9" s="26"/>
      <c r="AB9" s="26">
        <f>B9*AB7</f>
        <v>31156148.620800007</v>
      </c>
      <c r="AC9" s="26"/>
      <c r="AD9" s="26"/>
      <c r="AE9" s="26">
        <f>B9*AE7</f>
        <v>33318377.568000004</v>
      </c>
      <c r="AF9" s="26"/>
      <c r="AG9" s="26"/>
    </row>
    <row r="18" spans="2:2" x14ac:dyDescent="0.3">
      <c r="B18">
        <v>6287835.1199999992</v>
      </c>
    </row>
  </sheetData>
  <mergeCells count="68">
    <mergeCell ref="AH7:AI7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P7:R7"/>
    <mergeCell ref="S7:U7"/>
    <mergeCell ref="V7:X7"/>
    <mergeCell ref="Y7:AA7"/>
    <mergeCell ref="AB7:AD7"/>
    <mergeCell ref="AE7:AG7"/>
    <mergeCell ref="V6:X6"/>
    <mergeCell ref="Y6:AA6"/>
    <mergeCell ref="AB6:AD6"/>
    <mergeCell ref="AE6:AG6"/>
    <mergeCell ref="AH6:AI6"/>
    <mergeCell ref="A7:C7"/>
    <mergeCell ref="D7:F7"/>
    <mergeCell ref="G7:I7"/>
    <mergeCell ref="J7:L7"/>
    <mergeCell ref="M7:O7"/>
    <mergeCell ref="Y5:AA5"/>
    <mergeCell ref="AB5:AD5"/>
    <mergeCell ref="AE5:AG5"/>
    <mergeCell ref="AH5:AI5"/>
    <mergeCell ref="D6:F6"/>
    <mergeCell ref="G6:I6"/>
    <mergeCell ref="J6:L6"/>
    <mergeCell ref="M6:O6"/>
    <mergeCell ref="P6:R6"/>
    <mergeCell ref="S6:U6"/>
    <mergeCell ref="AE4:AG4"/>
    <mergeCell ref="AH4:AI4"/>
    <mergeCell ref="AJ4:AM6"/>
    <mergeCell ref="D5:F5"/>
    <mergeCell ref="G5:I5"/>
    <mergeCell ref="J5:L5"/>
    <mergeCell ref="M5:O5"/>
    <mergeCell ref="P5:R5"/>
    <mergeCell ref="S5:U5"/>
    <mergeCell ref="V5:X5"/>
    <mergeCell ref="AJ3:AM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S3:U3"/>
    <mergeCell ref="V3:X3"/>
    <mergeCell ref="Y3:AA3"/>
    <mergeCell ref="AB3:AD3"/>
    <mergeCell ref="AE3:AG3"/>
    <mergeCell ref="AH3:AI3"/>
    <mergeCell ref="G2:I2"/>
    <mergeCell ref="D3:F3"/>
    <mergeCell ref="G3:I3"/>
    <mergeCell ref="J3:L3"/>
    <mergeCell ref="M3:O3"/>
    <mergeCell ref="P3:R3"/>
  </mergeCells>
  <conditionalFormatting sqref="B4:B6 A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{1FEAA34C-B744-4957-8BFE-8B6D3569B345}</x14:id>
        </ext>
      </extLst>
    </cfRule>
  </conditionalFormatting>
  <hyperlinks>
    <hyperlink ref="AJ7" r:id="rId1" xr:uid="{820674C9-F9F3-435C-982E-080C32F2982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EAA34C-B744-4957-8BFE-8B6D3569B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B4:B6 A9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7E36-D5D8-4284-9632-562B50EEA755}">
  <dimension ref="A1:AM7"/>
  <sheetViews>
    <sheetView zoomScale="80" zoomScaleNormal="80" workbookViewId="0">
      <selection activeCell="A7" sqref="A7:B7"/>
    </sheetView>
  </sheetViews>
  <sheetFormatPr defaultRowHeight="14.4" x14ac:dyDescent="0.3"/>
  <cols>
    <col min="1" max="1" width="17.88671875" customWidth="1"/>
    <col min="2" max="2" width="27.6640625" customWidth="1"/>
    <col min="3" max="3" width="17.109375" customWidth="1"/>
  </cols>
  <sheetData>
    <row r="1" spans="1:39" ht="25.8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45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5" t="s">
        <v>16</v>
      </c>
      <c r="B4" s="7" t="s">
        <v>49</v>
      </c>
      <c r="C4" s="8">
        <f>2128.6*10/17.67</f>
        <v>1204.6406338426711</v>
      </c>
      <c r="D4" s="37" t="s">
        <v>17</v>
      </c>
      <c r="E4" s="38"/>
      <c r="F4" s="39"/>
      <c r="G4" s="25" t="s">
        <v>18</v>
      </c>
      <c r="H4" s="26"/>
      <c r="I4" s="27"/>
      <c r="J4" s="25" t="s">
        <v>19</v>
      </c>
      <c r="K4" s="26"/>
      <c r="L4" s="27"/>
      <c r="M4" s="25" t="s">
        <v>20</v>
      </c>
      <c r="N4" s="26"/>
      <c r="O4" s="27"/>
      <c r="P4" s="25" t="s">
        <v>21</v>
      </c>
      <c r="Q4" s="26"/>
      <c r="R4" s="27"/>
      <c r="S4" s="25" t="s">
        <v>22</v>
      </c>
      <c r="T4" s="26"/>
      <c r="U4" s="27"/>
      <c r="V4" s="25" t="s">
        <v>23</v>
      </c>
      <c r="W4" s="26"/>
      <c r="X4" s="27"/>
      <c r="Y4" s="25" t="s">
        <v>24</v>
      </c>
      <c r="Z4" s="26"/>
      <c r="AA4" s="27"/>
      <c r="AB4" s="25" t="s">
        <v>25</v>
      </c>
      <c r="AC4" s="26"/>
      <c r="AD4" s="27"/>
      <c r="AE4" s="25" t="s">
        <v>26</v>
      </c>
      <c r="AF4" s="26"/>
      <c r="AG4" s="27"/>
      <c r="AH4" s="37" t="s">
        <v>14</v>
      </c>
      <c r="AI4" s="39"/>
      <c r="AJ4" s="28" t="s">
        <v>15</v>
      </c>
      <c r="AK4" s="29"/>
      <c r="AL4" s="29"/>
      <c r="AM4" s="30"/>
    </row>
    <row r="5" spans="1:39" x14ac:dyDescent="0.3">
      <c r="A5" s="46" t="s">
        <v>51</v>
      </c>
      <c r="B5" s="47"/>
      <c r="C5" s="48"/>
      <c r="D5" s="37">
        <f>(C4*0.15)</f>
        <v>180.69609507640067</v>
      </c>
      <c r="E5" s="38"/>
      <c r="F5" s="39"/>
      <c r="G5" s="37">
        <f>(C4*0.0963)</f>
        <v>116.00689303904923</v>
      </c>
      <c r="H5" s="38"/>
      <c r="I5" s="39"/>
      <c r="J5" s="37">
        <f>(C4*0.145)</f>
        <v>174.67289190718731</v>
      </c>
      <c r="K5" s="38"/>
      <c r="L5" s="39"/>
      <c r="M5" s="37">
        <f>(C4*0.175)</f>
        <v>210.81211092246744</v>
      </c>
      <c r="N5" s="38"/>
      <c r="O5" s="39"/>
      <c r="P5" s="37">
        <f>(C4*0.0839)</f>
        <v>101.06934917940011</v>
      </c>
      <c r="Q5" s="38"/>
      <c r="R5" s="39"/>
      <c r="S5" s="37">
        <f>(C4*0.0874)</f>
        <v>105.28559139784946</v>
      </c>
      <c r="T5" s="38"/>
      <c r="U5" s="39"/>
      <c r="V5" s="37">
        <f>(C4*0.09252)</f>
        <v>111.45335144312394</v>
      </c>
      <c r="W5" s="38"/>
      <c r="X5" s="39"/>
      <c r="Y5" s="37">
        <f>(C4*0.087264)</f>
        <v>105.12176027164685</v>
      </c>
      <c r="Z5" s="38"/>
      <c r="AA5" s="38"/>
      <c r="AB5" s="38">
        <f>(C4*0.082008)</f>
        <v>98.790169100169777</v>
      </c>
      <c r="AC5" s="38"/>
      <c r="AD5" s="38"/>
      <c r="AE5" s="38">
        <f>(C4*0.08118)</f>
        <v>97.792726655348048</v>
      </c>
      <c r="AF5" s="38"/>
      <c r="AG5" s="38"/>
      <c r="AH5" s="40" t="s">
        <v>14</v>
      </c>
      <c r="AI5" s="42"/>
      <c r="AJ5" s="31"/>
      <c r="AK5" s="32"/>
      <c r="AL5" s="32"/>
      <c r="AM5" s="33"/>
    </row>
    <row r="6" spans="1:39" x14ac:dyDescent="0.3">
      <c r="AJ6" s="34"/>
      <c r="AK6" s="35"/>
      <c r="AL6" s="35"/>
      <c r="AM6" s="36"/>
    </row>
    <row r="7" spans="1:39" ht="57.6" x14ac:dyDescent="0.3">
      <c r="A7" s="52" t="s">
        <v>53</v>
      </c>
      <c r="B7" s="54">
        <v>148428</v>
      </c>
      <c r="G7" s="26">
        <f>B7*G5</f>
        <v>17218671.120000001</v>
      </c>
      <c r="H7" s="26"/>
      <c r="I7" s="26"/>
      <c r="J7" s="26">
        <f>B7*J5</f>
        <v>25926347.999999996</v>
      </c>
      <c r="K7" s="26"/>
      <c r="L7" s="26"/>
      <c r="M7" s="26">
        <f>B7*M5</f>
        <v>31290419.999999996</v>
      </c>
      <c r="N7" s="26"/>
      <c r="O7" s="26"/>
      <c r="P7" s="26">
        <f>B7*P5</f>
        <v>15001521.359999999</v>
      </c>
      <c r="Q7" s="26"/>
      <c r="R7" s="26"/>
      <c r="S7" s="26">
        <f>B7*S5</f>
        <v>15627329.76</v>
      </c>
      <c r="T7" s="26"/>
      <c r="U7" s="26"/>
      <c r="V7" s="26">
        <f>B7*V5</f>
        <v>16542798.047999999</v>
      </c>
      <c r="W7" s="26"/>
      <c r="X7" s="26"/>
      <c r="Y7" s="26">
        <f>B7*Y5</f>
        <v>15603012.633599998</v>
      </c>
      <c r="Z7" s="26"/>
      <c r="AA7" s="26"/>
      <c r="AB7" s="26">
        <f>B7*AB5</f>
        <v>14663227.2192</v>
      </c>
      <c r="AC7" s="26"/>
      <c r="AD7" s="26"/>
      <c r="AE7" s="26">
        <f>B7*AE5</f>
        <v>14515178.832</v>
      </c>
      <c r="AF7" s="26"/>
      <c r="AG7" s="26"/>
      <c r="AJ7" s="11" t="s">
        <v>27</v>
      </c>
    </row>
  </sheetData>
  <mergeCells count="46">
    <mergeCell ref="S7:U7"/>
    <mergeCell ref="V7:X7"/>
    <mergeCell ref="Y7:AA7"/>
    <mergeCell ref="AB7:AD7"/>
    <mergeCell ref="AE7:AG7"/>
    <mergeCell ref="P3:R3"/>
    <mergeCell ref="G7:I7"/>
    <mergeCell ref="J7:L7"/>
    <mergeCell ref="M7:O7"/>
    <mergeCell ref="P7:R7"/>
    <mergeCell ref="G2:I2"/>
    <mergeCell ref="D3:F3"/>
    <mergeCell ref="G3:I3"/>
    <mergeCell ref="J3:L3"/>
    <mergeCell ref="M3:O3"/>
    <mergeCell ref="AJ3:AM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S3:U3"/>
    <mergeCell ref="V3:X3"/>
    <mergeCell ref="Y3:AA3"/>
    <mergeCell ref="AB3:AD3"/>
    <mergeCell ref="AE3:AG3"/>
    <mergeCell ref="AH3:AI3"/>
    <mergeCell ref="AE4:AG4"/>
    <mergeCell ref="AH4:AI4"/>
    <mergeCell ref="AJ4:AM6"/>
    <mergeCell ref="A5:C5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5:AI5"/>
  </mergeCells>
  <conditionalFormatting sqref="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{8E3F506F-28B4-40A2-B4FD-987A7587FBB6}</x14:id>
        </ext>
      </extLst>
    </cfRule>
  </conditionalFormatting>
  <conditionalFormatting sqref="A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{7E55B06F-F845-4DE4-8EBE-3F22F853BA20}</x14:id>
        </ext>
      </extLst>
    </cfRule>
  </conditionalFormatting>
  <hyperlinks>
    <hyperlink ref="AJ7" r:id="rId1" xr:uid="{BBEC8047-DE10-4D2F-A66E-B92C6BD1C1E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3F506F-28B4-40A2-B4FD-987A7587F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7E55B06F-F845-4DE4-8EBE-3F22F853B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E2A8-7884-420B-A18E-4F347859FCE3}">
  <dimension ref="A1:AM7"/>
  <sheetViews>
    <sheetView workbookViewId="0">
      <selection activeCell="G20" sqref="G20"/>
    </sheetView>
  </sheetViews>
  <sheetFormatPr defaultRowHeight="14.4" x14ac:dyDescent="0.3"/>
  <cols>
    <col min="1" max="1" width="17.88671875" customWidth="1"/>
    <col min="2" max="2" width="27.6640625" customWidth="1"/>
    <col min="3" max="3" width="17.109375" customWidth="1"/>
  </cols>
  <sheetData>
    <row r="1" spans="1:39" ht="25.8" x14ac:dyDescent="0.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44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5" t="s">
        <v>16</v>
      </c>
      <c r="B4" s="7" t="s">
        <v>46</v>
      </c>
      <c r="C4" s="8">
        <f>(122.4+38+0.18+1.129)*10/41.58</f>
        <v>38.891053391053397</v>
      </c>
      <c r="D4" s="37" t="s">
        <v>17</v>
      </c>
      <c r="E4" s="38"/>
      <c r="F4" s="39"/>
      <c r="G4" s="25" t="s">
        <v>18</v>
      </c>
      <c r="H4" s="26"/>
      <c r="I4" s="27"/>
      <c r="J4" s="25" t="s">
        <v>19</v>
      </c>
      <c r="K4" s="26"/>
      <c r="L4" s="27"/>
      <c r="M4" s="25" t="s">
        <v>20</v>
      </c>
      <c r="N4" s="26"/>
      <c r="O4" s="27"/>
      <c r="P4" s="25" t="s">
        <v>21</v>
      </c>
      <c r="Q4" s="26"/>
      <c r="R4" s="27"/>
      <c r="S4" s="25" t="s">
        <v>22</v>
      </c>
      <c r="T4" s="26"/>
      <c r="U4" s="27"/>
      <c r="V4" s="25" t="s">
        <v>23</v>
      </c>
      <c r="W4" s="26"/>
      <c r="X4" s="27"/>
      <c r="Y4" s="25" t="s">
        <v>24</v>
      </c>
      <c r="Z4" s="26"/>
      <c r="AA4" s="27"/>
      <c r="AB4" s="25" t="s">
        <v>25</v>
      </c>
      <c r="AC4" s="26"/>
      <c r="AD4" s="27"/>
      <c r="AE4" s="25" t="s">
        <v>26</v>
      </c>
      <c r="AF4" s="26"/>
      <c r="AG4" s="27"/>
      <c r="AH4" s="37" t="s">
        <v>14</v>
      </c>
      <c r="AI4" s="39"/>
      <c r="AJ4" s="28" t="s">
        <v>15</v>
      </c>
      <c r="AK4" s="29"/>
      <c r="AL4" s="29"/>
      <c r="AM4" s="30"/>
    </row>
    <row r="5" spans="1:39" x14ac:dyDescent="0.3">
      <c r="A5" s="46" t="s">
        <v>50</v>
      </c>
      <c r="B5" s="47"/>
      <c r="C5" s="48"/>
      <c r="D5" s="37">
        <f>(C4*0.15)</f>
        <v>5.8336580086580092</v>
      </c>
      <c r="E5" s="38"/>
      <c r="F5" s="39"/>
      <c r="G5" s="37">
        <f>(C4*0.0963)</f>
        <v>3.7452084415584421</v>
      </c>
      <c r="H5" s="38"/>
      <c r="I5" s="39"/>
      <c r="J5" s="37">
        <f>(C4*0.145)</f>
        <v>5.6392027417027419</v>
      </c>
      <c r="K5" s="38"/>
      <c r="L5" s="39"/>
      <c r="M5" s="37">
        <f>(C4*0.175)</f>
        <v>6.8059343434343438</v>
      </c>
      <c r="N5" s="38"/>
      <c r="O5" s="39"/>
      <c r="P5" s="37">
        <f>(C4*0.0839)</f>
        <v>3.2629593795093803</v>
      </c>
      <c r="Q5" s="38"/>
      <c r="R5" s="39"/>
      <c r="S5" s="37">
        <f>(C4*0.0874)</f>
        <v>3.3990780663780673</v>
      </c>
      <c r="T5" s="38"/>
      <c r="U5" s="39"/>
      <c r="V5" s="37">
        <f>(C4*0.09252)</f>
        <v>3.5982002597402607</v>
      </c>
      <c r="W5" s="38"/>
      <c r="X5" s="39"/>
      <c r="Y5" s="37">
        <f>(C4*0.087264)</f>
        <v>3.3937888831168834</v>
      </c>
      <c r="Z5" s="38"/>
      <c r="AA5" s="38"/>
      <c r="AB5" s="38">
        <f>(C4*0.082008)</f>
        <v>3.189377506493507</v>
      </c>
      <c r="AC5" s="38"/>
      <c r="AD5" s="38"/>
      <c r="AE5" s="38">
        <f>(C4*0.08118)</f>
        <v>3.1571757142857146</v>
      </c>
      <c r="AF5" s="38"/>
      <c r="AG5" s="38"/>
      <c r="AH5" s="40" t="s">
        <v>14</v>
      </c>
      <c r="AI5" s="42"/>
      <c r="AJ5" s="31"/>
      <c r="AK5" s="32"/>
      <c r="AL5" s="32"/>
      <c r="AM5" s="33"/>
    </row>
    <row r="6" spans="1:39" x14ac:dyDescent="0.3">
      <c r="AJ6" s="34"/>
      <c r="AK6" s="35"/>
      <c r="AL6" s="35"/>
      <c r="AM6" s="36"/>
    </row>
    <row r="7" spans="1:39" ht="57.6" x14ac:dyDescent="0.3">
      <c r="A7" s="52" t="s">
        <v>52</v>
      </c>
      <c r="B7" s="53">
        <v>349272</v>
      </c>
      <c r="G7" s="26">
        <f>B7*G5</f>
        <v>1308096.4428000003</v>
      </c>
      <c r="H7" s="26"/>
      <c r="I7" s="26"/>
      <c r="J7" s="26">
        <f>B7*J5</f>
        <v>1969615.62</v>
      </c>
      <c r="K7" s="26"/>
      <c r="L7" s="26"/>
      <c r="M7" s="26">
        <f>B7*M5</f>
        <v>2377122.3000000003</v>
      </c>
      <c r="N7" s="26"/>
      <c r="O7" s="26"/>
      <c r="P7" s="26">
        <f>B7*P5</f>
        <v>1139660.3484000002</v>
      </c>
      <c r="Q7" s="26"/>
      <c r="R7" s="26"/>
      <c r="S7" s="26">
        <f>B7*S5</f>
        <v>1187202.7944000002</v>
      </c>
      <c r="T7" s="26"/>
      <c r="U7" s="26"/>
      <c r="V7" s="26">
        <f>B7*V5</f>
        <v>1256750.6011200002</v>
      </c>
      <c r="W7" s="26"/>
      <c r="X7" s="26"/>
      <c r="Y7" s="26">
        <f>B7*Y5</f>
        <v>1185355.4307840001</v>
      </c>
      <c r="Z7" s="26"/>
      <c r="AA7" s="26"/>
      <c r="AB7" s="26">
        <f>B7*AB5</f>
        <v>1113960.2604480002</v>
      </c>
      <c r="AC7" s="26"/>
      <c r="AD7" s="26"/>
      <c r="AE7" s="26">
        <f>B7*AE5</f>
        <v>1102713.07608</v>
      </c>
      <c r="AF7" s="26"/>
      <c r="AG7" s="26"/>
      <c r="AJ7" s="11" t="s">
        <v>27</v>
      </c>
    </row>
  </sheetData>
  <mergeCells count="46">
    <mergeCell ref="V7:X7"/>
    <mergeCell ref="Y7:AA7"/>
    <mergeCell ref="AB7:AD7"/>
    <mergeCell ref="AE7:AG7"/>
    <mergeCell ref="V5:X5"/>
    <mergeCell ref="Y5:AA5"/>
    <mergeCell ref="AB5:AD5"/>
    <mergeCell ref="AE5:AG5"/>
    <mergeCell ref="AH5:AI5"/>
    <mergeCell ref="G7:I7"/>
    <mergeCell ref="J7:L7"/>
    <mergeCell ref="M7:O7"/>
    <mergeCell ref="P7:R7"/>
    <mergeCell ref="S7:U7"/>
    <mergeCell ref="AE4:AG4"/>
    <mergeCell ref="AH4:AI4"/>
    <mergeCell ref="AJ4:AM6"/>
    <mergeCell ref="A5:C5"/>
    <mergeCell ref="D5:F5"/>
    <mergeCell ref="G5:I5"/>
    <mergeCell ref="J5:L5"/>
    <mergeCell ref="M5:O5"/>
    <mergeCell ref="P5:R5"/>
    <mergeCell ref="S5:U5"/>
    <mergeCell ref="AJ3:AM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S3:U3"/>
    <mergeCell ref="V3:X3"/>
    <mergeCell ref="Y3:AA3"/>
    <mergeCell ref="AB3:AD3"/>
    <mergeCell ref="AE3:AG3"/>
    <mergeCell ref="AH3:AI3"/>
    <mergeCell ref="G2:I2"/>
    <mergeCell ref="D3:F3"/>
    <mergeCell ref="G3:I3"/>
    <mergeCell ref="J3:L3"/>
    <mergeCell ref="M3:O3"/>
    <mergeCell ref="P3:R3"/>
  </mergeCells>
  <conditionalFormatting sqref="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{1AE6AC9F-ADFC-4C3D-B6BF-096936DF3FEF}</x14:id>
        </ext>
      </extLst>
    </cfRule>
  </conditionalFormatting>
  <conditionalFormatting sqref="A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{56C4414B-AC6B-48B1-A484-7C0C912E06E0}</x14:id>
        </ext>
      </extLst>
    </cfRule>
  </conditionalFormatting>
  <hyperlinks>
    <hyperlink ref="AJ7" r:id="rId1" xr:uid="{75FABB18-39F7-426A-BF71-0DF9C9B8CCB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E6AC9F-ADFC-4C3D-B6BF-096936DF3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56C4414B-AC6B-48B1-A484-7C0C912E0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C208-944F-4743-AB68-4F61FD70A34D}">
  <dimension ref="A1:AM7"/>
  <sheetViews>
    <sheetView tabSelected="1" zoomScale="90" zoomScaleNormal="90" workbookViewId="0">
      <selection activeCell="AE8" sqref="AE8"/>
    </sheetView>
  </sheetViews>
  <sheetFormatPr defaultRowHeight="14.4" x14ac:dyDescent="0.3"/>
  <cols>
    <col min="1" max="1" width="17.88671875" customWidth="1"/>
    <col min="2" max="2" width="27.6640625" customWidth="1"/>
    <col min="3" max="3" width="17.109375" customWidth="1"/>
  </cols>
  <sheetData>
    <row r="1" spans="1:39" ht="25.8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35">
      <c r="A2" s="3" t="s">
        <v>45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3">
      <c r="A3" s="5"/>
      <c r="B3" s="5" t="s">
        <v>0</v>
      </c>
      <c r="C3" s="5" t="s">
        <v>1</v>
      </c>
      <c r="D3" s="16" t="s">
        <v>2</v>
      </c>
      <c r="E3" s="17"/>
      <c r="F3" s="18"/>
      <c r="G3" s="12" t="s">
        <v>3</v>
      </c>
      <c r="H3" s="13"/>
      <c r="I3" s="14"/>
      <c r="J3" s="12" t="s">
        <v>4</v>
      </c>
      <c r="K3" s="13"/>
      <c r="L3" s="14"/>
      <c r="M3" s="12" t="s">
        <v>5</v>
      </c>
      <c r="N3" s="13"/>
      <c r="O3" s="14"/>
      <c r="P3" s="12" t="s">
        <v>6</v>
      </c>
      <c r="Q3" s="13"/>
      <c r="R3" s="14"/>
      <c r="S3" s="12" t="s">
        <v>7</v>
      </c>
      <c r="T3" s="13"/>
      <c r="U3" s="14"/>
      <c r="V3" s="12" t="s">
        <v>8</v>
      </c>
      <c r="W3" s="13"/>
      <c r="X3" s="14"/>
      <c r="Y3" s="12" t="s">
        <v>9</v>
      </c>
      <c r="Z3" s="13"/>
      <c r="AA3" s="14"/>
      <c r="AB3" s="12" t="s">
        <v>10</v>
      </c>
      <c r="AC3" s="13"/>
      <c r="AD3" s="14"/>
      <c r="AE3" s="12" t="s">
        <v>11</v>
      </c>
      <c r="AF3" s="13"/>
      <c r="AG3" s="14"/>
      <c r="AH3" s="19" t="s">
        <v>12</v>
      </c>
      <c r="AI3" s="21"/>
      <c r="AJ3" s="19" t="s">
        <v>13</v>
      </c>
      <c r="AK3" s="20"/>
      <c r="AL3" s="20"/>
      <c r="AM3" s="21"/>
    </row>
    <row r="4" spans="1:39" x14ac:dyDescent="0.3">
      <c r="A4" s="5" t="s">
        <v>16</v>
      </c>
      <c r="B4" s="7" t="s">
        <v>49</v>
      </c>
      <c r="C4" s="8">
        <f>2128.6*10/17.67</f>
        <v>1204.6406338426711</v>
      </c>
      <c r="D4" s="37" t="s">
        <v>17</v>
      </c>
      <c r="E4" s="38"/>
      <c r="F4" s="39"/>
      <c r="G4" s="25" t="s">
        <v>18</v>
      </c>
      <c r="H4" s="26"/>
      <c r="I4" s="27"/>
      <c r="J4" s="25" t="s">
        <v>19</v>
      </c>
      <c r="K4" s="26"/>
      <c r="L4" s="27"/>
      <c r="M4" s="25" t="s">
        <v>20</v>
      </c>
      <c r="N4" s="26"/>
      <c r="O4" s="27"/>
      <c r="P4" s="25" t="s">
        <v>21</v>
      </c>
      <c r="Q4" s="26"/>
      <c r="R4" s="27"/>
      <c r="S4" s="25" t="s">
        <v>22</v>
      </c>
      <c r="T4" s="26"/>
      <c r="U4" s="27"/>
      <c r="V4" s="25" t="s">
        <v>23</v>
      </c>
      <c r="W4" s="26"/>
      <c r="X4" s="27"/>
      <c r="Y4" s="25" t="s">
        <v>24</v>
      </c>
      <c r="Z4" s="26"/>
      <c r="AA4" s="27"/>
      <c r="AB4" s="25" t="s">
        <v>25</v>
      </c>
      <c r="AC4" s="26"/>
      <c r="AD4" s="27"/>
      <c r="AE4" s="25" t="s">
        <v>26</v>
      </c>
      <c r="AF4" s="26"/>
      <c r="AG4" s="27"/>
      <c r="AH4" s="37" t="s">
        <v>14</v>
      </c>
      <c r="AI4" s="39"/>
      <c r="AJ4" s="28" t="s">
        <v>15</v>
      </c>
      <c r="AK4" s="29"/>
      <c r="AL4" s="29"/>
      <c r="AM4" s="30"/>
    </row>
    <row r="5" spans="1:39" x14ac:dyDescent="0.3">
      <c r="A5" s="46" t="s">
        <v>51</v>
      </c>
      <c r="B5" s="47"/>
      <c r="C5" s="48"/>
      <c r="D5" s="37">
        <f>(C4*0.15)</f>
        <v>180.69609507640067</v>
      </c>
      <c r="E5" s="38"/>
      <c r="F5" s="39"/>
      <c r="G5" s="37">
        <f>(C4*0.0963)</f>
        <v>116.00689303904923</v>
      </c>
      <c r="H5" s="38"/>
      <c r="I5" s="39"/>
      <c r="J5" s="37">
        <f>(C4*0.145)</f>
        <v>174.67289190718731</v>
      </c>
      <c r="K5" s="38"/>
      <c r="L5" s="39"/>
      <c r="M5" s="37">
        <f>(C4*0.175)</f>
        <v>210.81211092246744</v>
      </c>
      <c r="N5" s="38"/>
      <c r="O5" s="39"/>
      <c r="P5" s="37">
        <f>(C4*0.0839)</f>
        <v>101.06934917940011</v>
      </c>
      <c r="Q5" s="38"/>
      <c r="R5" s="39"/>
      <c r="S5" s="37">
        <f>(C4*0.0874)</f>
        <v>105.28559139784946</v>
      </c>
      <c r="T5" s="38"/>
      <c r="U5" s="39"/>
      <c r="V5" s="37">
        <f>(C4*0.09252)</f>
        <v>111.45335144312394</v>
      </c>
      <c r="W5" s="38"/>
      <c r="X5" s="39"/>
      <c r="Y5" s="37">
        <f>(C4*0.087264)</f>
        <v>105.12176027164685</v>
      </c>
      <c r="Z5" s="38"/>
      <c r="AA5" s="38"/>
      <c r="AB5" s="38">
        <f>(C4*0.082008)</f>
        <v>98.790169100169777</v>
      </c>
      <c r="AC5" s="38"/>
      <c r="AD5" s="38"/>
      <c r="AE5" s="38">
        <f>(C4*0.08118)</f>
        <v>97.792726655348048</v>
      </c>
      <c r="AF5" s="38"/>
      <c r="AG5" s="38"/>
      <c r="AH5" s="40" t="s">
        <v>14</v>
      </c>
      <c r="AI5" s="42"/>
      <c r="AJ5" s="31"/>
      <c r="AK5" s="32"/>
      <c r="AL5" s="32"/>
      <c r="AM5" s="33"/>
    </row>
    <row r="6" spans="1:39" x14ac:dyDescent="0.3">
      <c r="AJ6" s="34"/>
      <c r="AK6" s="35"/>
      <c r="AL6" s="35"/>
      <c r="AM6" s="36"/>
    </row>
    <row r="7" spans="1:39" ht="57.6" x14ac:dyDescent="0.3">
      <c r="A7" s="52" t="s">
        <v>53</v>
      </c>
      <c r="B7" s="54">
        <v>148428</v>
      </c>
      <c r="G7" s="26">
        <f>B7*G5</f>
        <v>17218671.120000001</v>
      </c>
      <c r="H7" s="26"/>
      <c r="I7" s="26"/>
      <c r="J7" s="26">
        <f>B7*J5</f>
        <v>25926347.999999996</v>
      </c>
      <c r="K7" s="26"/>
      <c r="L7" s="26"/>
      <c r="M7" s="26">
        <f>B7*M5</f>
        <v>31290419.999999996</v>
      </c>
      <c r="N7" s="26"/>
      <c r="O7" s="26"/>
      <c r="P7" s="26">
        <f>B7*P5</f>
        <v>15001521.359999999</v>
      </c>
      <c r="Q7" s="26"/>
      <c r="R7" s="26"/>
      <c r="S7" s="26">
        <f>B7*S5</f>
        <v>15627329.76</v>
      </c>
      <c r="T7" s="26"/>
      <c r="U7" s="26"/>
      <c r="V7" s="26">
        <f>B7*V5</f>
        <v>16542798.047999999</v>
      </c>
      <c r="W7" s="26"/>
      <c r="X7" s="26"/>
      <c r="Y7" s="26">
        <f>B7*Y5</f>
        <v>15603012.633599998</v>
      </c>
      <c r="Z7" s="26"/>
      <c r="AA7" s="26"/>
      <c r="AB7" s="26">
        <f>B7*AB5</f>
        <v>14663227.2192</v>
      </c>
      <c r="AC7" s="26"/>
      <c r="AD7" s="26"/>
      <c r="AE7" s="26">
        <f>B7*AE5</f>
        <v>14515178.832</v>
      </c>
      <c r="AF7" s="26"/>
      <c r="AG7" s="26"/>
      <c r="AJ7" s="11" t="s">
        <v>27</v>
      </c>
    </row>
  </sheetData>
  <mergeCells count="46">
    <mergeCell ref="S7:U7"/>
    <mergeCell ref="V7:X7"/>
    <mergeCell ref="Y7:AA7"/>
    <mergeCell ref="AB7:AD7"/>
    <mergeCell ref="AE7:AG7"/>
    <mergeCell ref="P3:R3"/>
    <mergeCell ref="G7:I7"/>
    <mergeCell ref="J7:L7"/>
    <mergeCell ref="M7:O7"/>
    <mergeCell ref="P7:R7"/>
    <mergeCell ref="G2:I2"/>
    <mergeCell ref="D3:F3"/>
    <mergeCell ref="G3:I3"/>
    <mergeCell ref="J3:L3"/>
    <mergeCell ref="M3:O3"/>
    <mergeCell ref="AJ3:AM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S3:U3"/>
    <mergeCell ref="V3:X3"/>
    <mergeCell ref="Y3:AA3"/>
    <mergeCell ref="AB3:AD3"/>
    <mergeCell ref="AE3:AG3"/>
    <mergeCell ref="AH3:AI3"/>
    <mergeCell ref="AE4:AG4"/>
    <mergeCell ref="AH4:AI4"/>
    <mergeCell ref="AJ4:AM6"/>
    <mergeCell ref="A5:C5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5:AI5"/>
  </mergeCells>
  <conditionalFormatting sqref="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{7498B1F3-7F01-4E85-B0EC-99F9EDB2556F}</x14:id>
        </ext>
      </extLst>
    </cfRule>
  </conditionalFormatting>
  <conditionalFormatting sqref="A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{0C90311A-CB98-425E-A6D4-365B58711EAF}</x14:id>
        </ext>
      </extLst>
    </cfRule>
  </conditionalFormatting>
  <hyperlinks>
    <hyperlink ref="AJ7" r:id="rId1" xr:uid="{F3FDDFAA-53B5-4AEF-9BF9-5EACB654DD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98B1F3-7F01-4E85-B0EC-99F9EDB25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0C90311A-CB98-425E-A6D4-365B58711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OPEX_HTL_Scen1</vt:lpstr>
      <vt:lpstr>OPEX_Upgrading_scen1</vt:lpstr>
      <vt:lpstr>OPEX_HTL_scen2</vt:lpstr>
      <vt:lpstr>OPEX_Upgrading_scen2</vt:lpstr>
      <vt:lpstr>OPEX_HTL_Scen3</vt:lpstr>
      <vt:lpstr>OPEX_Upgrading_scen3</vt:lpstr>
      <vt:lpstr>OPEX_HTL_Technology4</vt:lpstr>
      <vt:lpstr>OPEX_upgrading_Scen4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Safdar Abbas</dc:creator>
  <cp:lastModifiedBy>Safdar Abbas</cp:lastModifiedBy>
  <dcterms:created xsi:type="dcterms:W3CDTF">2024-09-18T19:27:22Z</dcterms:created>
  <dcterms:modified xsi:type="dcterms:W3CDTF">2024-12-07T14:47:12Z</dcterms:modified>
</cp:coreProperties>
</file>