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QUESTION\ترم7\توربوماشین\project\"/>
    </mc:Choice>
  </mc:AlternateContent>
  <bookViews>
    <workbookView xWindow="0" yWindow="0" windowWidth="23040" windowHeight="9192" tabRatio="598" activeTab="1"/>
  </bookViews>
  <sheets>
    <sheet name="Sheet1" sheetId="1" r:id="rId1"/>
    <sheet name="Sheet2" sheetId="6" r:id="rId2"/>
    <sheet name="Sheet4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0" i="6" l="1"/>
  <c r="AI20" i="6"/>
  <c r="AK7" i="6"/>
  <c r="BN21" i="6" l="1"/>
  <c r="BN22" i="6"/>
  <c r="BN23" i="6"/>
  <c r="BN24" i="6"/>
  <c r="BN25" i="6"/>
  <c r="BN20" i="6"/>
  <c r="BO20" i="6"/>
  <c r="BO21" i="6"/>
  <c r="BO22" i="6"/>
  <c r="BO23" i="6"/>
  <c r="BO24" i="6"/>
  <c r="BO25" i="6"/>
  <c r="BM21" i="6"/>
  <c r="BM22" i="6"/>
  <c r="BM23" i="6"/>
  <c r="BM24" i="6"/>
  <c r="BM25" i="6"/>
  <c r="BL21" i="6"/>
  <c r="BL22" i="6"/>
  <c r="BL23" i="6"/>
  <c r="BL24" i="6"/>
  <c r="BM11" i="6" s="1"/>
  <c r="BN11" i="6" s="1"/>
  <c r="BL25" i="6"/>
  <c r="BN7" i="6"/>
  <c r="BO12" i="6"/>
  <c r="BO11" i="6"/>
  <c r="BO10" i="6"/>
  <c r="BO9" i="6"/>
  <c r="BO8" i="6"/>
  <c r="BO7" i="6"/>
  <c r="H20" i="6"/>
  <c r="BM6" i="6"/>
  <c r="BM7" i="6"/>
  <c r="BM8" i="6"/>
  <c r="BN8" i="6" s="1"/>
  <c r="BM9" i="6"/>
  <c r="BN9" i="6" s="1"/>
  <c r="BM10" i="6"/>
  <c r="BN10" i="6" s="1"/>
  <c r="BM12" i="6"/>
  <c r="BN12" i="6" s="1"/>
  <c r="BM19" i="6"/>
  <c r="BM20" i="6"/>
  <c r="BL20" i="6"/>
  <c r="BL8" i="6"/>
  <c r="BL9" i="6"/>
  <c r="BL10" i="6"/>
  <c r="BL11" i="6"/>
  <c r="BL12" i="6"/>
  <c r="BL7" i="6"/>
  <c r="BE20" i="6"/>
  <c r="BI21" i="6"/>
  <c r="BI22" i="6"/>
  <c r="BI23" i="6"/>
  <c r="BI24" i="6"/>
  <c r="BK24" i="6" s="1"/>
  <c r="BI25" i="6"/>
  <c r="BI8" i="6"/>
  <c r="BI9" i="6"/>
  <c r="BI10" i="6"/>
  <c r="BI11" i="6"/>
  <c r="BI12" i="6"/>
  <c r="BI7" i="6"/>
  <c r="BJ7" i="6"/>
  <c r="BE7" i="6"/>
  <c r="BK25" i="6"/>
  <c r="BK23" i="6"/>
  <c r="BK22" i="6"/>
  <c r="BK21" i="6"/>
  <c r="BK12" i="6"/>
  <c r="BK11" i="6"/>
  <c r="BK10" i="6"/>
  <c r="BK9" i="6"/>
  <c r="BK8" i="6"/>
  <c r="BH25" i="6" l="1"/>
  <c r="BJ25" i="6" s="1"/>
  <c r="BG25" i="6"/>
  <c r="BH24" i="6"/>
  <c r="BJ24" i="6" s="1"/>
  <c r="BH23" i="6"/>
  <c r="BJ23" i="6" s="1"/>
  <c r="BH22" i="6"/>
  <c r="BJ22" i="6" s="1"/>
  <c r="BH21" i="6"/>
  <c r="BJ21" i="6" s="1"/>
  <c r="BH20" i="6"/>
  <c r="BH12" i="6"/>
  <c r="BJ12" i="6" s="1"/>
  <c r="BH11" i="6"/>
  <c r="BJ11" i="6" s="1"/>
  <c r="BH10" i="6"/>
  <c r="BJ10" i="6" s="1"/>
  <c r="BH9" i="6"/>
  <c r="BJ9" i="6"/>
  <c r="BH8" i="6"/>
  <c r="BJ8" i="6" s="1"/>
  <c r="BF25" i="6"/>
  <c r="BF24" i="6"/>
  <c r="BF23" i="6"/>
  <c r="BF22" i="6"/>
  <c r="BF20" i="6"/>
  <c r="BF21" i="6"/>
  <c r="BE25" i="6"/>
  <c r="BE24" i="6"/>
  <c r="BE23" i="6"/>
  <c r="BE22" i="6"/>
  <c r="BE21" i="6"/>
  <c r="BF7" i="6"/>
  <c r="BE9" i="6"/>
  <c r="L20" i="6"/>
  <c r="V20" i="6"/>
  <c r="BG24" i="6"/>
  <c r="BG23" i="6"/>
  <c r="BG22" i="6"/>
  <c r="BG21" i="6"/>
  <c r="BG8" i="6"/>
  <c r="BG9" i="6"/>
  <c r="BG10" i="6"/>
  <c r="BG11" i="6"/>
  <c r="BG12" i="6"/>
  <c r="BG7" i="6"/>
  <c r="BF12" i="6"/>
  <c r="BF11" i="6"/>
  <c r="BF10" i="6"/>
  <c r="BF9" i="6"/>
  <c r="BF8" i="6"/>
  <c r="L7" i="6"/>
  <c r="W7" i="6"/>
  <c r="BK20" i="6" l="1"/>
  <c r="BJ20" i="6"/>
  <c r="BI20" i="6"/>
  <c r="BK7" i="6"/>
  <c r="BH7" i="6"/>
  <c r="BE12" i="6"/>
  <c r="BE11" i="6"/>
  <c r="BE10" i="6"/>
  <c r="BE8" i="6"/>
  <c r="BA12" i="6"/>
  <c r="AX12" i="6"/>
  <c r="AZ12" i="6"/>
  <c r="AW12" i="6"/>
  <c r="AY12" i="6"/>
  <c r="AV12" i="6"/>
  <c r="AV11" i="6"/>
  <c r="BA11" i="6"/>
  <c r="AX11" i="6"/>
  <c r="AZ11" i="6"/>
  <c r="AW11" i="6"/>
  <c r="AY11" i="6"/>
  <c r="AW10" i="6"/>
  <c r="AV10" i="6"/>
  <c r="BA10" i="6"/>
  <c r="AX10" i="6"/>
  <c r="AZ10" i="6"/>
  <c r="AY10" i="6"/>
  <c r="AV9" i="6"/>
  <c r="BA9" i="6"/>
  <c r="AX9" i="6"/>
  <c r="AZ9" i="6"/>
  <c r="AW9" i="6"/>
  <c r="AY9" i="6"/>
  <c r="AW8" i="6"/>
  <c r="AV8" i="6"/>
  <c r="BA8" i="6"/>
  <c r="AX8" i="6"/>
  <c r="AZ8" i="6"/>
  <c r="AY8" i="6"/>
  <c r="AV7" i="6"/>
  <c r="BA7" i="6"/>
  <c r="AX7" i="6"/>
  <c r="AZ7" i="6"/>
  <c r="AW7" i="6"/>
  <c r="AY7" i="6"/>
  <c r="V7" i="6"/>
  <c r="AR155" i="6"/>
  <c r="AR146" i="6"/>
  <c r="AQ155" i="6"/>
  <c r="AQ146" i="6"/>
  <c r="AQ161" i="6"/>
  <c r="AR161" i="6" s="1"/>
  <c r="AQ160" i="6"/>
  <c r="AR160" i="6" s="1"/>
  <c r="AQ159" i="6"/>
  <c r="AR159" i="6" s="1"/>
  <c r="AQ158" i="6"/>
  <c r="AR158" i="6" s="1"/>
  <c r="AQ157" i="6"/>
  <c r="AR157" i="6" s="1"/>
  <c r="AQ156" i="6"/>
  <c r="AR156" i="6" s="1"/>
  <c r="AQ152" i="6"/>
  <c r="AR152" i="6" s="1"/>
  <c r="AQ151" i="6"/>
  <c r="AR151" i="6" s="1"/>
  <c r="AQ150" i="6"/>
  <c r="AR150" i="6" s="1"/>
  <c r="AQ149" i="6"/>
  <c r="AR149" i="6" s="1"/>
  <c r="AQ148" i="6"/>
  <c r="AR148" i="6" s="1"/>
  <c r="AQ147" i="6"/>
  <c r="AR147" i="6" s="1"/>
  <c r="AQ138" i="6"/>
  <c r="AR138" i="6" s="1"/>
  <c r="AQ137" i="6"/>
  <c r="AR137" i="6" s="1"/>
  <c r="AQ136" i="6"/>
  <c r="AR136" i="6" s="1"/>
  <c r="AQ135" i="6"/>
  <c r="AR135" i="6" s="1"/>
  <c r="AQ134" i="6"/>
  <c r="AR134" i="6" s="1"/>
  <c r="AQ133" i="6"/>
  <c r="AR133" i="6" s="1"/>
  <c r="AQ132" i="6"/>
  <c r="AR132" i="6" s="1"/>
  <c r="AQ129" i="6"/>
  <c r="AR129" i="6" s="1"/>
  <c r="AQ128" i="6"/>
  <c r="AR128" i="6" s="1"/>
  <c r="AQ127" i="6"/>
  <c r="AR127" i="6" s="1"/>
  <c r="AQ126" i="6"/>
  <c r="AR126" i="6" s="1"/>
  <c r="AQ125" i="6"/>
  <c r="AR125" i="6" s="1"/>
  <c r="AQ124" i="6"/>
  <c r="AR124" i="6" s="1"/>
  <c r="AQ123" i="6"/>
  <c r="AR123" i="6" s="1"/>
  <c r="AQ115" i="6"/>
  <c r="AR115" i="6" s="1"/>
  <c r="AQ114" i="6"/>
  <c r="AR114" i="6" s="1"/>
  <c r="AQ113" i="6"/>
  <c r="AR113" i="6" s="1"/>
  <c r="AQ112" i="6"/>
  <c r="AR112" i="6" s="1"/>
  <c r="AQ111" i="6"/>
  <c r="AR111" i="6" s="1"/>
  <c r="AQ110" i="6"/>
  <c r="AR110" i="6" s="1"/>
  <c r="AQ109" i="6"/>
  <c r="AR109" i="6" s="1"/>
  <c r="AQ108" i="6"/>
  <c r="AR108" i="6" s="1"/>
  <c r="AQ107" i="6"/>
  <c r="AR107" i="6" s="1"/>
  <c r="AQ104" i="6"/>
  <c r="AR104" i="6" s="1"/>
  <c r="AQ103" i="6"/>
  <c r="AR103" i="6" s="1"/>
  <c r="AQ102" i="6"/>
  <c r="AR102" i="6" s="1"/>
  <c r="AQ101" i="6"/>
  <c r="AR101" i="6" s="1"/>
  <c r="AQ100" i="6"/>
  <c r="AR100" i="6" s="1"/>
  <c r="AQ99" i="6"/>
  <c r="AR99" i="6" s="1"/>
  <c r="AQ98" i="6"/>
  <c r="AR98" i="6" s="1"/>
  <c r="AQ97" i="6"/>
  <c r="AR97" i="6" s="1"/>
  <c r="AQ96" i="6"/>
  <c r="AR96" i="6" s="1"/>
  <c r="AQ88" i="6"/>
  <c r="AR88" i="6" s="1"/>
  <c r="AQ87" i="6"/>
  <c r="AR87" i="6" s="1"/>
  <c r="AQ86" i="6"/>
  <c r="AR86" i="6" s="1"/>
  <c r="AQ85" i="6"/>
  <c r="AR85" i="6" s="1"/>
  <c r="AQ84" i="6"/>
  <c r="AR84" i="6" s="1"/>
  <c r="AQ83" i="6"/>
  <c r="AR83" i="6" s="1"/>
  <c r="AQ82" i="6"/>
  <c r="AR82" i="6" s="1"/>
  <c r="AQ81" i="6"/>
  <c r="AR81" i="6" s="1"/>
  <c r="AQ80" i="6"/>
  <c r="AR80" i="6" s="1"/>
  <c r="AQ77" i="6"/>
  <c r="AR77" i="6" s="1"/>
  <c r="AQ76" i="6"/>
  <c r="AR76" i="6" s="1"/>
  <c r="AQ75" i="6"/>
  <c r="AR75" i="6" s="1"/>
  <c r="AQ74" i="6"/>
  <c r="AR74" i="6" s="1"/>
  <c r="AQ73" i="6"/>
  <c r="AR73" i="6" s="1"/>
  <c r="AQ72" i="6"/>
  <c r="AR72" i="6" s="1"/>
  <c r="AQ71" i="6"/>
  <c r="AR71" i="6" s="1"/>
  <c r="AQ70" i="6"/>
  <c r="AR70" i="6" s="1"/>
  <c r="AQ69" i="6"/>
  <c r="AR69" i="6" s="1"/>
  <c r="AQ61" i="6"/>
  <c r="AR61" i="6" s="1"/>
  <c r="AQ60" i="6"/>
  <c r="AR60" i="6" s="1"/>
  <c r="AQ59" i="6"/>
  <c r="AR59" i="6" s="1"/>
  <c r="AQ58" i="6"/>
  <c r="AR58" i="6" s="1"/>
  <c r="AQ57" i="6"/>
  <c r="AR57" i="6" s="1"/>
  <c r="AQ56" i="6"/>
  <c r="AR56" i="6" s="1"/>
  <c r="AQ55" i="6"/>
  <c r="AR55" i="6" s="1"/>
  <c r="AQ54" i="6"/>
  <c r="AR54" i="6" s="1"/>
  <c r="AQ53" i="6"/>
  <c r="AR53" i="6" s="1"/>
  <c r="AQ52" i="6"/>
  <c r="AR52" i="6" s="1"/>
  <c r="AQ51" i="6"/>
  <c r="AR51" i="6" s="1"/>
  <c r="AQ48" i="6"/>
  <c r="AR48" i="6" s="1"/>
  <c r="AQ47" i="6"/>
  <c r="AR47" i="6" s="1"/>
  <c r="AQ46" i="6"/>
  <c r="AR46" i="6" s="1"/>
  <c r="AQ45" i="6"/>
  <c r="AR45" i="6" s="1"/>
  <c r="AQ44" i="6"/>
  <c r="AR44" i="6" s="1"/>
  <c r="AQ43" i="6"/>
  <c r="AR43" i="6" s="1"/>
  <c r="AQ42" i="6"/>
  <c r="AR42" i="6" s="1"/>
  <c r="AQ41" i="6"/>
  <c r="AR41" i="6" s="1"/>
  <c r="AQ40" i="6"/>
  <c r="AR40" i="6" s="1"/>
  <c r="AQ39" i="6"/>
  <c r="AR39" i="6" s="1"/>
  <c r="AQ38" i="6"/>
  <c r="AR38" i="6" s="1"/>
  <c r="AQ20" i="6"/>
  <c r="AR20" i="6"/>
  <c r="AQ30" i="6"/>
  <c r="AR30" i="6" s="1"/>
  <c r="AQ29" i="6"/>
  <c r="AR29" i="6" s="1"/>
  <c r="AQ28" i="6"/>
  <c r="AR28" i="6" s="1"/>
  <c r="AQ27" i="6"/>
  <c r="AR27" i="6" s="1"/>
  <c r="AQ26" i="6"/>
  <c r="AR26" i="6" s="1"/>
  <c r="AQ25" i="6"/>
  <c r="AR25" i="6" s="1"/>
  <c r="AQ24" i="6"/>
  <c r="AR24" i="6" s="1"/>
  <c r="AQ23" i="6"/>
  <c r="AR23" i="6" s="1"/>
  <c r="AQ22" i="6"/>
  <c r="AR22" i="6" s="1"/>
  <c r="AQ21" i="6"/>
  <c r="AR21" i="6" s="1"/>
  <c r="AR8" i="6" l="1"/>
  <c r="AR9" i="6"/>
  <c r="AR10" i="6"/>
  <c r="AR11" i="6"/>
  <c r="AR12" i="6"/>
  <c r="AR13" i="6"/>
  <c r="AR14" i="6"/>
  <c r="AR15" i="6"/>
  <c r="AR16" i="6"/>
  <c r="AR17" i="6"/>
  <c r="AR7" i="6"/>
  <c r="AQ7" i="6"/>
  <c r="AQ8" i="6"/>
  <c r="AQ9" i="6"/>
  <c r="AQ10" i="6"/>
  <c r="AQ11" i="6"/>
  <c r="AQ12" i="6"/>
  <c r="AQ13" i="6"/>
  <c r="AQ14" i="6"/>
  <c r="AQ15" i="6"/>
  <c r="AQ16" i="6"/>
  <c r="AQ17" i="6"/>
  <c r="AO161" i="6"/>
  <c r="AM161" i="6"/>
  <c r="AO160" i="6"/>
  <c r="AM160" i="6"/>
  <c r="AO159" i="6"/>
  <c r="AM159" i="6"/>
  <c r="AO158" i="6"/>
  <c r="AM158" i="6"/>
  <c r="AO157" i="6"/>
  <c r="AM157" i="6"/>
  <c r="AO156" i="6"/>
  <c r="AM156" i="6"/>
  <c r="AO155" i="6"/>
  <c r="AM155" i="6"/>
  <c r="AO152" i="6"/>
  <c r="AM152" i="6"/>
  <c r="AN152" i="6" s="1"/>
  <c r="AO151" i="6"/>
  <c r="AM151" i="6"/>
  <c r="AN151" i="6" s="1"/>
  <c r="AO150" i="6"/>
  <c r="AM150" i="6"/>
  <c r="AN150" i="6" s="1"/>
  <c r="AO149" i="6"/>
  <c r="AM149" i="6"/>
  <c r="AN149" i="6" s="1"/>
  <c r="AO148" i="6"/>
  <c r="AM148" i="6"/>
  <c r="AN148" i="6" s="1"/>
  <c r="AO147" i="6"/>
  <c r="AM147" i="6"/>
  <c r="AN147" i="6" s="1"/>
  <c r="AO146" i="6"/>
  <c r="AM146" i="6"/>
  <c r="AN146" i="6" s="1"/>
  <c r="AO138" i="6"/>
  <c r="AN138" i="6" s="1"/>
  <c r="AP138" i="6" s="1"/>
  <c r="AM138" i="6"/>
  <c r="AO137" i="6"/>
  <c r="AN137" i="6" s="1"/>
  <c r="AP137" i="6" s="1"/>
  <c r="AM137" i="6"/>
  <c r="AO136" i="6"/>
  <c r="AN136" i="6" s="1"/>
  <c r="AP136" i="6" s="1"/>
  <c r="AM136" i="6"/>
  <c r="AO135" i="6"/>
  <c r="AN135" i="6" s="1"/>
  <c r="AP135" i="6" s="1"/>
  <c r="AM135" i="6"/>
  <c r="AO134" i="6"/>
  <c r="AN134" i="6" s="1"/>
  <c r="AP134" i="6" s="1"/>
  <c r="AM134" i="6"/>
  <c r="AO133" i="6"/>
  <c r="AN133" i="6" s="1"/>
  <c r="AP133" i="6" s="1"/>
  <c r="AM133" i="6"/>
  <c r="AO132" i="6"/>
  <c r="AN132" i="6" s="1"/>
  <c r="AP132" i="6" s="1"/>
  <c r="AM132" i="6"/>
  <c r="AO129" i="6"/>
  <c r="AN129" i="6" s="1"/>
  <c r="AM129" i="6"/>
  <c r="AO128" i="6"/>
  <c r="AN128" i="6" s="1"/>
  <c r="AM128" i="6"/>
  <c r="AO127" i="6"/>
  <c r="AN127" i="6" s="1"/>
  <c r="AM127" i="6"/>
  <c r="AO126" i="6"/>
  <c r="AN126" i="6" s="1"/>
  <c r="AM126" i="6"/>
  <c r="AO125" i="6"/>
  <c r="AN125" i="6" s="1"/>
  <c r="AM125" i="6"/>
  <c r="AO124" i="6"/>
  <c r="AN124" i="6" s="1"/>
  <c r="AM124" i="6"/>
  <c r="AO123" i="6"/>
  <c r="AN123" i="6" s="1"/>
  <c r="AM123" i="6"/>
  <c r="AO115" i="6"/>
  <c r="AM115" i="6"/>
  <c r="AN115" i="6" s="1"/>
  <c r="AO114" i="6"/>
  <c r="AM114" i="6"/>
  <c r="AN114" i="6" s="1"/>
  <c r="AO113" i="6"/>
  <c r="AM113" i="6"/>
  <c r="AN113" i="6" s="1"/>
  <c r="AO112" i="6"/>
  <c r="AM112" i="6"/>
  <c r="AN112" i="6" s="1"/>
  <c r="AO111" i="6"/>
  <c r="AM111" i="6"/>
  <c r="AN111" i="6" s="1"/>
  <c r="AO110" i="6"/>
  <c r="AM110" i="6"/>
  <c r="AN110" i="6" s="1"/>
  <c r="AO109" i="6"/>
  <c r="AM109" i="6"/>
  <c r="AN109" i="6" s="1"/>
  <c r="AO108" i="6"/>
  <c r="AM108" i="6"/>
  <c r="AN108" i="6" s="1"/>
  <c r="AO107" i="6"/>
  <c r="AM107" i="6"/>
  <c r="AN107" i="6" s="1"/>
  <c r="AO104" i="6"/>
  <c r="AM104" i="6"/>
  <c r="AN104" i="6" s="1"/>
  <c r="AO103" i="6"/>
  <c r="AM103" i="6"/>
  <c r="AN103" i="6" s="1"/>
  <c r="AO102" i="6"/>
  <c r="AM102" i="6"/>
  <c r="AN102" i="6" s="1"/>
  <c r="AO101" i="6"/>
  <c r="AM101" i="6"/>
  <c r="AN101" i="6" s="1"/>
  <c r="AO100" i="6"/>
  <c r="AM100" i="6"/>
  <c r="AN100" i="6" s="1"/>
  <c r="AO99" i="6"/>
  <c r="AM99" i="6"/>
  <c r="AN99" i="6" s="1"/>
  <c r="AO98" i="6"/>
  <c r="AM98" i="6"/>
  <c r="AN98" i="6" s="1"/>
  <c r="AO97" i="6"/>
  <c r="AM97" i="6"/>
  <c r="AN97" i="6" s="1"/>
  <c r="AO96" i="6"/>
  <c r="AM96" i="6"/>
  <c r="AN96" i="6" s="1"/>
  <c r="AO88" i="6"/>
  <c r="AM88" i="6"/>
  <c r="AO87" i="6"/>
  <c r="AM87" i="6"/>
  <c r="AO86" i="6"/>
  <c r="AM86" i="6"/>
  <c r="AO85" i="6"/>
  <c r="AM85" i="6"/>
  <c r="AO84" i="6"/>
  <c r="AM84" i="6"/>
  <c r="AO83" i="6"/>
  <c r="AM83" i="6"/>
  <c r="AO82" i="6"/>
  <c r="AM82" i="6"/>
  <c r="AO81" i="6"/>
  <c r="AM81" i="6"/>
  <c r="AO80" i="6"/>
  <c r="AM80" i="6"/>
  <c r="AO77" i="6"/>
  <c r="AM77" i="6"/>
  <c r="AO76" i="6"/>
  <c r="AM76" i="6"/>
  <c r="AO75" i="6"/>
  <c r="AM75" i="6"/>
  <c r="AO74" i="6"/>
  <c r="AM74" i="6"/>
  <c r="AO73" i="6"/>
  <c r="AM73" i="6"/>
  <c r="AO72" i="6"/>
  <c r="AM72" i="6"/>
  <c r="AO71" i="6"/>
  <c r="AM71" i="6"/>
  <c r="AO70" i="6"/>
  <c r="AM70" i="6"/>
  <c r="AO69" i="6"/>
  <c r="AM69" i="6"/>
  <c r="AO61" i="6"/>
  <c r="AM61" i="6"/>
  <c r="AO60" i="6"/>
  <c r="AM60" i="6"/>
  <c r="AO59" i="6"/>
  <c r="AM59" i="6"/>
  <c r="AO58" i="6"/>
  <c r="AM58" i="6"/>
  <c r="AO57" i="6"/>
  <c r="AM57" i="6"/>
  <c r="AO56" i="6"/>
  <c r="AM56" i="6"/>
  <c r="AO55" i="6"/>
  <c r="AM55" i="6"/>
  <c r="AO54" i="6"/>
  <c r="AM54" i="6"/>
  <c r="AO53" i="6"/>
  <c r="AM53" i="6"/>
  <c r="AO52" i="6"/>
  <c r="AM52" i="6"/>
  <c r="AO51" i="6"/>
  <c r="AM51" i="6"/>
  <c r="AP38" i="6"/>
  <c r="AO38" i="6"/>
  <c r="AM38" i="6"/>
  <c r="AN38" i="6"/>
  <c r="AO48" i="6"/>
  <c r="AM48" i="6"/>
  <c r="AO47" i="6"/>
  <c r="AM47" i="6"/>
  <c r="AO46" i="6"/>
  <c r="AM46" i="6"/>
  <c r="AO45" i="6"/>
  <c r="AM45" i="6"/>
  <c r="AO44" i="6"/>
  <c r="AM44" i="6"/>
  <c r="AO43" i="6"/>
  <c r="AM43" i="6"/>
  <c r="AO42" i="6"/>
  <c r="AM42" i="6"/>
  <c r="AO41" i="6"/>
  <c r="AM41" i="6"/>
  <c r="AO40" i="6"/>
  <c r="AM40" i="6"/>
  <c r="AO39" i="6"/>
  <c r="AM39" i="6"/>
  <c r="AP20" i="6"/>
  <c r="AN20" i="6"/>
  <c r="AM20" i="6"/>
  <c r="AO30" i="6"/>
  <c r="AM30" i="6"/>
  <c r="AO29" i="6"/>
  <c r="AM29" i="6"/>
  <c r="AN29" i="6" s="1"/>
  <c r="AP29" i="6" s="1"/>
  <c r="AO28" i="6"/>
  <c r="AN28" i="6"/>
  <c r="AP28" i="6" s="1"/>
  <c r="AM28" i="6"/>
  <c r="AO27" i="6"/>
  <c r="AN27" i="6"/>
  <c r="AP27" i="6" s="1"/>
  <c r="AM27" i="6"/>
  <c r="AO26" i="6"/>
  <c r="AN26" i="6"/>
  <c r="AP26" i="6" s="1"/>
  <c r="AM26" i="6"/>
  <c r="AO25" i="6"/>
  <c r="AN25" i="6"/>
  <c r="AP25" i="6" s="1"/>
  <c r="AM25" i="6"/>
  <c r="AO24" i="6"/>
  <c r="AN24" i="6"/>
  <c r="AP24" i="6" s="1"/>
  <c r="AM24" i="6"/>
  <c r="AO23" i="6"/>
  <c r="AN23" i="6"/>
  <c r="AP23" i="6" s="1"/>
  <c r="AM23" i="6"/>
  <c r="AO22" i="6"/>
  <c r="AN22" i="6"/>
  <c r="AP22" i="6" s="1"/>
  <c r="AM22" i="6"/>
  <c r="AO21" i="6"/>
  <c r="AN21" i="6"/>
  <c r="AP21" i="6" s="1"/>
  <c r="AM21" i="6"/>
  <c r="AO20" i="6"/>
  <c r="AM7" i="6"/>
  <c r="AP7" i="6"/>
  <c r="AN7" i="6"/>
  <c r="AP8" i="6"/>
  <c r="AP9" i="6"/>
  <c r="AP10" i="6"/>
  <c r="AP11" i="6"/>
  <c r="AP12" i="6"/>
  <c r="AP13" i="6"/>
  <c r="AP14" i="6"/>
  <c r="AP15" i="6"/>
  <c r="AP16" i="6"/>
  <c r="AP17" i="6"/>
  <c r="AN8" i="6"/>
  <c r="AN9" i="6"/>
  <c r="AN10" i="6"/>
  <c r="AN11" i="6"/>
  <c r="AN12" i="6"/>
  <c r="AN13" i="6"/>
  <c r="AN14" i="6"/>
  <c r="AN15" i="6"/>
  <c r="AN16" i="6"/>
  <c r="AN17" i="6"/>
  <c r="AO8" i="6"/>
  <c r="AO9" i="6"/>
  <c r="AO10" i="6"/>
  <c r="AO11" i="6"/>
  <c r="AO12" i="6"/>
  <c r="AO13" i="6"/>
  <c r="AO14" i="6"/>
  <c r="AO15" i="6"/>
  <c r="AO16" i="6"/>
  <c r="AO17" i="6"/>
  <c r="AO7" i="6"/>
  <c r="AM8" i="6"/>
  <c r="AM9" i="6"/>
  <c r="AM10" i="6"/>
  <c r="AM11" i="6"/>
  <c r="AM12" i="6"/>
  <c r="AM13" i="6"/>
  <c r="AM14" i="6"/>
  <c r="AM15" i="6"/>
  <c r="AM16" i="6"/>
  <c r="AM17" i="6"/>
  <c r="AL155" i="6"/>
  <c r="AL152" i="6"/>
  <c r="AL146" i="6"/>
  <c r="AL138" i="6"/>
  <c r="AL132" i="6"/>
  <c r="AL129" i="6"/>
  <c r="AL123" i="6"/>
  <c r="AL115" i="6"/>
  <c r="AL107" i="6"/>
  <c r="AL104" i="6"/>
  <c r="AL96" i="6"/>
  <c r="AL88" i="6"/>
  <c r="AL80" i="6"/>
  <c r="AL77" i="6"/>
  <c r="AL69" i="6"/>
  <c r="AL61" i="6"/>
  <c r="AL52" i="6"/>
  <c r="AL51" i="6"/>
  <c r="AL48" i="6"/>
  <c r="AL30" i="6"/>
  <c r="AL38" i="6"/>
  <c r="AL20" i="6"/>
  <c r="AL7" i="6"/>
  <c r="AL17" i="6"/>
  <c r="AK161" i="6"/>
  <c r="AK160" i="6"/>
  <c r="AK159" i="6"/>
  <c r="AJ161" i="6"/>
  <c r="AK158" i="6"/>
  <c r="AK157" i="6"/>
  <c r="AK156" i="6"/>
  <c r="AK155" i="6"/>
  <c r="AP161" i="6" l="1"/>
  <c r="AN155" i="6"/>
  <c r="AP155" i="6" s="1"/>
  <c r="AN156" i="6"/>
  <c r="AP156" i="6" s="1"/>
  <c r="AN157" i="6"/>
  <c r="AP157" i="6" s="1"/>
  <c r="AN158" i="6"/>
  <c r="AP158" i="6" s="1"/>
  <c r="AN159" i="6"/>
  <c r="AP159" i="6" s="1"/>
  <c r="AN160" i="6"/>
  <c r="AP160" i="6" s="1"/>
  <c r="AN161" i="6"/>
  <c r="AP147" i="6"/>
  <c r="AP149" i="6"/>
  <c r="AP151" i="6"/>
  <c r="AP146" i="6"/>
  <c r="AP148" i="6"/>
  <c r="AP150" i="6"/>
  <c r="AP152" i="6"/>
  <c r="AP123" i="6"/>
  <c r="AP124" i="6"/>
  <c r="AP125" i="6"/>
  <c r="AP126" i="6"/>
  <c r="AP127" i="6"/>
  <c r="AP128" i="6"/>
  <c r="AP129" i="6"/>
  <c r="AP108" i="6"/>
  <c r="AP110" i="6"/>
  <c r="AP112" i="6"/>
  <c r="AP114" i="6"/>
  <c r="AP107" i="6"/>
  <c r="AP109" i="6"/>
  <c r="AP111" i="6"/>
  <c r="AP113" i="6"/>
  <c r="AP115" i="6"/>
  <c r="AP97" i="6"/>
  <c r="AP99" i="6"/>
  <c r="AP101" i="6"/>
  <c r="AP103" i="6"/>
  <c r="AP96" i="6"/>
  <c r="AP98" i="6"/>
  <c r="AP100" i="6"/>
  <c r="AP102" i="6"/>
  <c r="AP104" i="6"/>
  <c r="AP83" i="6"/>
  <c r="AP85" i="6"/>
  <c r="AP84" i="6"/>
  <c r="AN80" i="6"/>
  <c r="AP80" i="6" s="1"/>
  <c r="AN81" i="6"/>
  <c r="AP81" i="6" s="1"/>
  <c r="AN82" i="6"/>
  <c r="AP82" i="6" s="1"/>
  <c r="AN83" i="6"/>
  <c r="AN84" i="6"/>
  <c r="AN85" i="6"/>
  <c r="AN86" i="6"/>
  <c r="AP86" i="6" s="1"/>
  <c r="AN87" i="6"/>
  <c r="AP87" i="6" s="1"/>
  <c r="AN88" i="6"/>
  <c r="AP88" i="6" s="1"/>
  <c r="AP72" i="6"/>
  <c r="AP76" i="6"/>
  <c r="AP73" i="6"/>
  <c r="AN69" i="6"/>
  <c r="AP69" i="6" s="1"/>
  <c r="AN70" i="6"/>
  <c r="AP70" i="6" s="1"/>
  <c r="AN71" i="6"/>
  <c r="AP71" i="6" s="1"/>
  <c r="AN72" i="6"/>
  <c r="AN73" i="6"/>
  <c r="AN74" i="6"/>
  <c r="AP74" i="6" s="1"/>
  <c r="AN75" i="6"/>
  <c r="AP75" i="6" s="1"/>
  <c r="AN76" i="6"/>
  <c r="AN77" i="6"/>
  <c r="AP77" i="6" s="1"/>
  <c r="AP58" i="6"/>
  <c r="AN51" i="6"/>
  <c r="AP51" i="6" s="1"/>
  <c r="AN52" i="6"/>
  <c r="AP52" i="6" s="1"/>
  <c r="AN53" i="6"/>
  <c r="AP53" i="6" s="1"/>
  <c r="AN54" i="6"/>
  <c r="AP54" i="6" s="1"/>
  <c r="AN55" i="6"/>
  <c r="AP55" i="6" s="1"/>
  <c r="AN56" i="6"/>
  <c r="AP56" i="6" s="1"/>
  <c r="AN57" i="6"/>
  <c r="AP57" i="6" s="1"/>
  <c r="AN58" i="6"/>
  <c r="AN59" i="6"/>
  <c r="AP59" i="6" s="1"/>
  <c r="AN60" i="6"/>
  <c r="AP60" i="6" s="1"/>
  <c r="AN61" i="6"/>
  <c r="AP61" i="6" s="1"/>
  <c r="AP39" i="6"/>
  <c r="AP43" i="6"/>
  <c r="AP40" i="6"/>
  <c r="AP48" i="6"/>
  <c r="AN39" i="6"/>
  <c r="AN40" i="6"/>
  <c r="AN41" i="6"/>
  <c r="AP41" i="6" s="1"/>
  <c r="AN42" i="6"/>
  <c r="AP42" i="6" s="1"/>
  <c r="AN43" i="6"/>
  <c r="AN44" i="6"/>
  <c r="AP44" i="6" s="1"/>
  <c r="AN45" i="6"/>
  <c r="AP45" i="6" s="1"/>
  <c r="AN46" i="6"/>
  <c r="AP46" i="6" s="1"/>
  <c r="AN47" i="6"/>
  <c r="AP47" i="6" s="1"/>
  <c r="AN48" i="6"/>
  <c r="AN30" i="6"/>
  <c r="AP30" i="6" s="1"/>
  <c r="AL156" i="6"/>
  <c r="AL161" i="6"/>
  <c r="AL160" i="6"/>
  <c r="AL159" i="6"/>
  <c r="AK150" i="6"/>
  <c r="AL158" i="6"/>
  <c r="AL157" i="6"/>
  <c r="AK146" i="6"/>
  <c r="AI161" i="6"/>
  <c r="AJ160" i="6"/>
  <c r="AI160" i="6"/>
  <c r="AJ159" i="6"/>
  <c r="AI159" i="6"/>
  <c r="AJ158" i="6"/>
  <c r="AI158" i="6"/>
  <c r="AJ157" i="6"/>
  <c r="AI157" i="6"/>
  <c r="AJ156" i="6"/>
  <c r="AI156" i="6"/>
  <c r="AJ155" i="6"/>
  <c r="AI155" i="6"/>
  <c r="AL147" i="6"/>
  <c r="AL148" i="6"/>
  <c r="AL149" i="6"/>
  <c r="AL150" i="6"/>
  <c r="AL151" i="6"/>
  <c r="C155" i="6"/>
  <c r="C146" i="6"/>
  <c r="B156" i="6"/>
  <c r="B155" i="6"/>
  <c r="AK149" i="6" s="1"/>
  <c r="AK151" i="6"/>
  <c r="AK152" i="6"/>
  <c r="AK136" i="6"/>
  <c r="AK147" i="6"/>
  <c r="AK123" i="6"/>
  <c r="AJ152" i="6"/>
  <c r="AI152" i="6"/>
  <c r="AJ151" i="6"/>
  <c r="AI151" i="6"/>
  <c r="AJ150" i="6"/>
  <c r="AI150" i="6"/>
  <c r="AJ149" i="6"/>
  <c r="AI149" i="6"/>
  <c r="AJ148" i="6"/>
  <c r="AI148" i="6"/>
  <c r="AJ147" i="6"/>
  <c r="AI147" i="6"/>
  <c r="AI146" i="6"/>
  <c r="AK148" i="6" l="1"/>
  <c r="AL133" i="6"/>
  <c r="AL134" i="6"/>
  <c r="AL135" i="6"/>
  <c r="AL136" i="6"/>
  <c r="AL137" i="6"/>
  <c r="AK138" i="6"/>
  <c r="AK137" i="6"/>
  <c r="AK127" i="6"/>
  <c r="AK134" i="6"/>
  <c r="AK135" i="6"/>
  <c r="AK133" i="6"/>
  <c r="AK132" i="6"/>
  <c r="AJ138" i="6"/>
  <c r="AI138" i="6"/>
  <c r="AJ137" i="6"/>
  <c r="AI137" i="6"/>
  <c r="AJ136" i="6"/>
  <c r="AI136" i="6"/>
  <c r="AJ135" i="6"/>
  <c r="AI135" i="6"/>
  <c r="AJ134" i="6"/>
  <c r="AI134" i="6"/>
  <c r="AJ133" i="6"/>
  <c r="AI133" i="6"/>
  <c r="AJ132" i="6"/>
  <c r="AI132" i="6"/>
  <c r="AL124" i="6"/>
  <c r="AL125" i="6"/>
  <c r="AL126" i="6"/>
  <c r="AL127" i="6"/>
  <c r="AL128" i="6"/>
  <c r="AK129" i="6"/>
  <c r="AK128" i="6"/>
  <c r="AK112" i="6"/>
  <c r="AK126" i="6"/>
  <c r="AK125" i="6"/>
  <c r="AK124" i="6"/>
  <c r="AK107" i="6"/>
  <c r="AJ129" i="6"/>
  <c r="AI129" i="6"/>
  <c r="AJ128" i="6"/>
  <c r="AI128" i="6"/>
  <c r="AJ127" i="6"/>
  <c r="AI127" i="6"/>
  <c r="AJ126" i="6"/>
  <c r="AI126" i="6"/>
  <c r="AJ125" i="6"/>
  <c r="AI125" i="6"/>
  <c r="AJ124" i="6"/>
  <c r="AI124" i="6"/>
  <c r="AJ123" i="6"/>
  <c r="AI123" i="6"/>
  <c r="AL108" i="6"/>
  <c r="AL109" i="6"/>
  <c r="AL110" i="6"/>
  <c r="AL111" i="6"/>
  <c r="AL112" i="6"/>
  <c r="AL113" i="6"/>
  <c r="AL114" i="6"/>
  <c r="AK115" i="6"/>
  <c r="AK114" i="6"/>
  <c r="AK113" i="6"/>
  <c r="AK101" i="6"/>
  <c r="AK111" i="6"/>
  <c r="AK110" i="6"/>
  <c r="AK109" i="6"/>
  <c r="AK108" i="6"/>
  <c r="AK96" i="6"/>
  <c r="AJ115" i="6"/>
  <c r="AI115" i="6"/>
  <c r="AJ114" i="6"/>
  <c r="AI114" i="6"/>
  <c r="AJ113" i="6"/>
  <c r="AI113" i="6"/>
  <c r="AJ112" i="6"/>
  <c r="AI112" i="6"/>
  <c r="AJ111" i="6"/>
  <c r="AI111" i="6"/>
  <c r="AJ110" i="6"/>
  <c r="AI110" i="6"/>
  <c r="AJ109" i="6"/>
  <c r="AI109" i="6"/>
  <c r="AJ108" i="6"/>
  <c r="AI108" i="6"/>
  <c r="AJ107" i="6"/>
  <c r="AI107" i="6"/>
  <c r="AL97" i="6"/>
  <c r="AL98" i="6"/>
  <c r="AL99" i="6"/>
  <c r="AL100" i="6"/>
  <c r="AL101" i="6"/>
  <c r="AL102" i="6"/>
  <c r="AL103" i="6"/>
  <c r="AK104" i="6"/>
  <c r="AK103" i="6"/>
  <c r="AK102" i="6"/>
  <c r="AK85" i="6"/>
  <c r="AK100" i="6"/>
  <c r="AK99" i="6"/>
  <c r="AK98" i="6"/>
  <c r="AK97" i="6"/>
  <c r="AK69" i="6"/>
  <c r="AJ104" i="6"/>
  <c r="AI104" i="6"/>
  <c r="AJ103" i="6"/>
  <c r="AI103" i="6"/>
  <c r="AJ102" i="6"/>
  <c r="AI102" i="6"/>
  <c r="AJ101" i="6"/>
  <c r="AI101" i="6"/>
  <c r="AJ100" i="6"/>
  <c r="AI100" i="6"/>
  <c r="AJ99" i="6"/>
  <c r="AI99" i="6"/>
  <c r="AJ98" i="6"/>
  <c r="AI98" i="6"/>
  <c r="AJ97" i="6"/>
  <c r="AI97" i="6"/>
  <c r="AJ96" i="6"/>
  <c r="AI96" i="6"/>
  <c r="AL81" i="6"/>
  <c r="AL82" i="6"/>
  <c r="AL83" i="6"/>
  <c r="AL84" i="6"/>
  <c r="AL85" i="6"/>
  <c r="AL86" i="6"/>
  <c r="AL87" i="6"/>
  <c r="AK88" i="6"/>
  <c r="AK87" i="6"/>
  <c r="AK86" i="6"/>
  <c r="AK74" i="6"/>
  <c r="AK84" i="6"/>
  <c r="AK83" i="6"/>
  <c r="AK82" i="6"/>
  <c r="AK81" i="6"/>
  <c r="AK80" i="6"/>
  <c r="AJ88" i="6" l="1"/>
  <c r="AI88" i="6"/>
  <c r="AJ87" i="6"/>
  <c r="AI87" i="6"/>
  <c r="AJ86" i="6"/>
  <c r="AI86" i="6"/>
  <c r="AJ85" i="6"/>
  <c r="AI85" i="6"/>
  <c r="AJ84" i="6"/>
  <c r="AI84" i="6"/>
  <c r="AJ83" i="6"/>
  <c r="AI83" i="6"/>
  <c r="AJ82" i="6"/>
  <c r="AI82" i="6"/>
  <c r="AJ81" i="6"/>
  <c r="AI81" i="6"/>
  <c r="AJ80" i="6"/>
  <c r="AI80" i="6"/>
  <c r="AL70" i="6"/>
  <c r="AL71" i="6"/>
  <c r="AL72" i="6"/>
  <c r="AL73" i="6"/>
  <c r="AL74" i="6"/>
  <c r="AL75" i="6"/>
  <c r="AL76" i="6"/>
  <c r="AK75" i="6"/>
  <c r="AK76" i="6"/>
  <c r="AK77" i="6"/>
  <c r="AK57" i="6"/>
  <c r="AK73" i="6"/>
  <c r="AK72" i="6"/>
  <c r="AK71" i="6"/>
  <c r="AK70" i="6"/>
  <c r="AK38" i="6"/>
  <c r="AJ77" i="6" l="1"/>
  <c r="AI77" i="6"/>
  <c r="AJ76" i="6"/>
  <c r="AI76" i="6"/>
  <c r="AJ75" i="6"/>
  <c r="AI75" i="6"/>
  <c r="AJ74" i="6"/>
  <c r="AI74" i="6"/>
  <c r="AJ73" i="6"/>
  <c r="AI73" i="6"/>
  <c r="AJ72" i="6"/>
  <c r="AI72" i="6"/>
  <c r="AJ71" i="6"/>
  <c r="AI71" i="6"/>
  <c r="AJ70" i="6"/>
  <c r="AI70" i="6"/>
  <c r="AJ69" i="6"/>
  <c r="AI69" i="6"/>
  <c r="AL53" i="6"/>
  <c r="AL54" i="6"/>
  <c r="AL55" i="6"/>
  <c r="AL56" i="6"/>
  <c r="AL57" i="6"/>
  <c r="AL58" i="6"/>
  <c r="AL59" i="6"/>
  <c r="AL60" i="6"/>
  <c r="AK61" i="6"/>
  <c r="AK60" i="6"/>
  <c r="AK59" i="6"/>
  <c r="AK58" i="6"/>
  <c r="AK44" i="6"/>
  <c r="AK56" i="6"/>
  <c r="AK55" i="6"/>
  <c r="AK54" i="6"/>
  <c r="AK53" i="6"/>
  <c r="AK52" i="6"/>
  <c r="AK51" i="6"/>
  <c r="AJ54" i="6"/>
  <c r="AJ45" i="6"/>
  <c r="AJ20" i="6"/>
  <c r="AJ61" i="6"/>
  <c r="AI61" i="6"/>
  <c r="AJ60" i="6"/>
  <c r="AI60" i="6"/>
  <c r="AJ59" i="6"/>
  <c r="AI59" i="6"/>
  <c r="AJ58" i="6"/>
  <c r="AI58" i="6"/>
  <c r="AJ57" i="6"/>
  <c r="AI57" i="6"/>
  <c r="AJ56" i="6"/>
  <c r="AI56" i="6"/>
  <c r="AJ55" i="6"/>
  <c r="AI55" i="6"/>
  <c r="AI54" i="6"/>
  <c r="AJ53" i="6"/>
  <c r="AI53" i="6"/>
  <c r="AJ52" i="6"/>
  <c r="AI52" i="6"/>
  <c r="AJ51" i="6"/>
  <c r="AI51" i="6"/>
  <c r="AL21" i="6"/>
  <c r="AL22" i="6"/>
  <c r="AL23" i="6"/>
  <c r="AL24" i="6"/>
  <c r="AL25" i="6"/>
  <c r="AL26" i="6"/>
  <c r="AL27" i="6"/>
  <c r="AL28" i="6"/>
  <c r="AL29" i="6"/>
  <c r="AL8" i="6"/>
  <c r="AL9" i="6"/>
  <c r="AL10" i="6"/>
  <c r="AL11" i="6"/>
  <c r="AL12" i="6"/>
  <c r="AL13" i="6"/>
  <c r="AL14" i="6"/>
  <c r="AL15" i="6"/>
  <c r="AL16" i="6"/>
  <c r="AL39" i="6"/>
  <c r="AL40" i="6"/>
  <c r="AL41" i="6"/>
  <c r="AL42" i="6"/>
  <c r="AL43" i="6"/>
  <c r="AL44" i="6"/>
  <c r="AL45" i="6"/>
  <c r="AL46" i="6"/>
  <c r="AL47" i="6"/>
  <c r="AK48" i="6"/>
  <c r="AK47" i="6"/>
  <c r="AK46" i="6"/>
  <c r="AK45" i="6"/>
  <c r="AK13" i="6"/>
  <c r="AK43" i="6"/>
  <c r="AK42" i="6"/>
  <c r="AK41" i="6"/>
  <c r="AK40" i="6"/>
  <c r="AK39" i="6"/>
  <c r="AJ38" i="6"/>
  <c r="AJ39" i="6"/>
  <c r="AJ40" i="6"/>
  <c r="AJ41" i="6"/>
  <c r="AJ42" i="6"/>
  <c r="AJ43" i="6"/>
  <c r="AJ44" i="6"/>
  <c r="AJ46" i="6"/>
  <c r="AJ47" i="6"/>
  <c r="AJ48" i="6"/>
  <c r="AK21" i="6"/>
  <c r="AI25" i="6"/>
  <c r="AJ25" i="6"/>
  <c r="AJ21" i="6"/>
  <c r="AJ22" i="6"/>
  <c r="AJ23" i="6"/>
  <c r="AJ24" i="6"/>
  <c r="AJ26" i="6"/>
  <c r="AJ27" i="6"/>
  <c r="AJ28" i="6"/>
  <c r="AJ29" i="6"/>
  <c r="AJ30" i="6"/>
  <c r="AJ10" i="6"/>
  <c r="AJ7" i="6"/>
  <c r="AJ8" i="6"/>
  <c r="AJ9" i="6"/>
  <c r="AJ11" i="6"/>
  <c r="AJ12" i="6"/>
  <c r="AJ13" i="6"/>
  <c r="AJ14" i="6"/>
  <c r="AJ15" i="6"/>
  <c r="AJ16" i="6"/>
  <c r="AJ17" i="6"/>
  <c r="AI21" i="6"/>
  <c r="AI22" i="6"/>
  <c r="AI23" i="6"/>
  <c r="AI24" i="6"/>
  <c r="AI26" i="6"/>
  <c r="AI27" i="6"/>
  <c r="AI28" i="6"/>
  <c r="AI29" i="6"/>
  <c r="AI30" i="6"/>
  <c r="AI7" i="6"/>
  <c r="AI8" i="6"/>
  <c r="AI9" i="6"/>
  <c r="AI10" i="6"/>
  <c r="AI11" i="6"/>
  <c r="AI12" i="6"/>
  <c r="AI13" i="6"/>
  <c r="AI14" i="6"/>
  <c r="AI15" i="6"/>
  <c r="AI16" i="6"/>
  <c r="AI17" i="6"/>
  <c r="AI41" i="6"/>
  <c r="AI38" i="6"/>
  <c r="AI39" i="6"/>
  <c r="AI40" i="6"/>
  <c r="AI42" i="6"/>
  <c r="AI43" i="6"/>
  <c r="AI44" i="6"/>
  <c r="AI45" i="6"/>
  <c r="AI46" i="6"/>
  <c r="AI47" i="6"/>
  <c r="AI48" i="6"/>
  <c r="AK30" i="6" l="1"/>
  <c r="AK29" i="6"/>
  <c r="AK28" i="6"/>
  <c r="AK27" i="6"/>
  <c r="AK26" i="6"/>
  <c r="AK24" i="6"/>
  <c r="AK25" i="6"/>
  <c r="AK23" i="6"/>
  <c r="AK22" i="6"/>
  <c r="AK11" i="6"/>
  <c r="B17" i="6"/>
  <c r="AK8" i="6"/>
  <c r="AK17" i="6"/>
  <c r="AK16" i="6"/>
  <c r="AK15" i="6"/>
  <c r="AK14" i="6"/>
  <c r="AK10" i="6"/>
  <c r="AK9" i="6"/>
  <c r="Z20" i="6" l="1"/>
  <c r="W20" i="6"/>
  <c r="Z25" i="6"/>
  <c r="Z24" i="6"/>
  <c r="Z23" i="6"/>
  <c r="Z22" i="6"/>
  <c r="Z21" i="6"/>
  <c r="W22" i="6"/>
  <c r="W21" i="6"/>
  <c r="W25" i="6"/>
  <c r="W24" i="6"/>
  <c r="W23" i="6"/>
  <c r="W12" i="6"/>
  <c r="W11" i="6"/>
  <c r="W10" i="6"/>
  <c r="W9" i="6"/>
  <c r="W8" i="6"/>
  <c r="Z12" i="6"/>
  <c r="Z11" i="6"/>
  <c r="Z10" i="6"/>
  <c r="Z9" i="6"/>
  <c r="Z8" i="6"/>
  <c r="Z7" i="6"/>
  <c r="M7" i="6"/>
  <c r="N7" i="6" s="1"/>
  <c r="P25" i="6"/>
  <c r="P24" i="6"/>
  <c r="P23" i="6"/>
  <c r="P22" i="6"/>
  <c r="P21" i="6"/>
  <c r="P20" i="6"/>
  <c r="Q20" i="6" s="1"/>
  <c r="R20" i="6" s="1"/>
  <c r="BG20" i="6" s="1"/>
  <c r="L25" i="6"/>
  <c r="M25" i="6" s="1"/>
  <c r="N25" i="6" s="1"/>
  <c r="L24" i="6"/>
  <c r="M24" i="6" s="1"/>
  <c r="N24" i="6" s="1"/>
  <c r="L23" i="6"/>
  <c r="M23" i="6" s="1"/>
  <c r="N23" i="6" s="1"/>
  <c r="L22" i="6"/>
  <c r="M22" i="6" s="1"/>
  <c r="N22" i="6" s="1"/>
  <c r="L21" i="6"/>
  <c r="M21" i="6" s="1"/>
  <c r="N21" i="6" s="1"/>
  <c r="M20" i="6"/>
  <c r="N20" i="6" s="1"/>
  <c r="P7" i="6"/>
  <c r="P12" i="6"/>
  <c r="P11" i="6"/>
  <c r="P10" i="6"/>
  <c r="P9" i="6"/>
  <c r="P8" i="6"/>
  <c r="L12" i="6"/>
  <c r="M12" i="6" s="1"/>
  <c r="N12" i="6" s="1"/>
  <c r="L11" i="6"/>
  <c r="M11" i="6" s="1"/>
  <c r="N11" i="6" s="1"/>
  <c r="L10" i="6"/>
  <c r="M10" i="6" s="1"/>
  <c r="N10" i="6" s="1"/>
  <c r="L9" i="6"/>
  <c r="M9" i="6" s="1"/>
  <c r="N9" i="6" s="1"/>
  <c r="L8" i="6"/>
  <c r="M8" i="6" s="1"/>
  <c r="N8" i="6" s="1"/>
  <c r="Q9" i="6" l="1"/>
  <c r="R9" i="6" s="1"/>
  <c r="Q11" i="6"/>
  <c r="R11" i="6" s="1"/>
  <c r="Q8" i="6"/>
  <c r="R8" i="6" s="1"/>
  <c r="Q12" i="6"/>
  <c r="R12" i="6" s="1"/>
  <c r="Q10" i="6"/>
  <c r="R10" i="6" s="1"/>
  <c r="Q7" i="6"/>
  <c r="R7" i="6" s="1"/>
  <c r="Q23" i="6"/>
  <c r="R23" i="6" s="1"/>
  <c r="Q22" i="6"/>
  <c r="R22" i="6" s="1"/>
  <c r="Q21" i="6"/>
  <c r="R21" i="6" s="1"/>
  <c r="Q25" i="6"/>
  <c r="R25" i="6" s="1"/>
  <c r="Q24" i="6"/>
  <c r="R24" i="6" s="1"/>
  <c r="H32" i="1"/>
  <c r="C25" i="1"/>
  <c r="C27" i="1" s="1"/>
  <c r="X36" i="1" l="1"/>
  <c r="X35" i="1"/>
  <c r="X32" i="1"/>
  <c r="X34" i="1"/>
  <c r="X33" i="1"/>
  <c r="X22" i="1"/>
  <c r="X39" i="1"/>
  <c r="T32" i="1"/>
  <c r="T36" i="1"/>
  <c r="T35" i="1"/>
  <c r="T34" i="1"/>
  <c r="T33" i="1"/>
  <c r="T39" i="1"/>
  <c r="L34" i="1"/>
  <c r="L36" i="1"/>
  <c r="L35" i="1"/>
  <c r="L32" i="1"/>
  <c r="P39" i="1"/>
  <c r="P36" i="1"/>
  <c r="P34" i="1"/>
  <c r="P35" i="1"/>
  <c r="P33" i="1"/>
  <c r="P32" i="1"/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C33" i="1" l="1"/>
  <c r="C35" i="1"/>
  <c r="C32" i="1" l="1"/>
  <c r="C34" i="1" s="1"/>
  <c r="H33" i="1" s="1"/>
  <c r="C36" i="1"/>
  <c r="H35" i="1" s="1"/>
  <c r="T7" i="1"/>
  <c r="T8" i="1" s="1"/>
  <c r="T6" i="1"/>
  <c r="L6" i="1"/>
  <c r="L7" i="1" s="1"/>
  <c r="L10" i="1" s="1"/>
  <c r="F7" i="1"/>
  <c r="F8" i="1" s="1"/>
  <c r="F9" i="1" s="1"/>
  <c r="H34" i="1" l="1"/>
  <c r="L33" i="1" s="1"/>
  <c r="H36" i="1"/>
  <c r="G6" i="1"/>
  <c r="H6" i="1" s="1"/>
  <c r="T9" i="1"/>
  <c r="T10" i="1" s="1"/>
  <c r="T11" i="1" s="1"/>
  <c r="F10" i="1"/>
  <c r="G9" i="1"/>
  <c r="H9" i="1" s="1"/>
  <c r="G7" i="1"/>
  <c r="H7" i="1" s="1"/>
  <c r="G8" i="1"/>
  <c r="H8" i="1" s="1"/>
  <c r="G10" i="1"/>
  <c r="H10" i="1" s="1"/>
  <c r="H12" i="1" s="1"/>
  <c r="H13" i="1" l="1"/>
  <c r="P6" i="1" s="1"/>
  <c r="P7" i="1" l="1"/>
  <c r="C54" i="1" s="1"/>
  <c r="C53" i="1"/>
  <c r="H14" i="1"/>
  <c r="P8" i="1"/>
  <c r="X6" i="1" l="1"/>
  <c r="G17" i="6"/>
  <c r="T12" i="1"/>
  <c r="P9" i="1"/>
  <c r="P10" i="1" s="1"/>
  <c r="P11" i="1" s="1"/>
  <c r="X7" i="1"/>
  <c r="C26" i="1" l="1"/>
  <c r="C24" i="1"/>
  <c r="X8" i="1"/>
  <c r="X9" i="1"/>
  <c r="X10" i="1" s="1"/>
  <c r="C39" i="1" l="1"/>
  <c r="C28" i="1"/>
  <c r="C58" i="1"/>
  <c r="C30" i="1"/>
  <c r="C29" i="1"/>
  <c r="C57" i="1"/>
  <c r="H24" i="1"/>
  <c r="C37" i="1"/>
  <c r="H37" i="1" s="1"/>
  <c r="L37" i="1" s="1"/>
  <c r="P37" i="1" s="1"/>
  <c r="T37" i="1" s="1"/>
  <c r="X37" i="1" s="1"/>
  <c r="C38" i="1"/>
  <c r="H38" i="1" s="1"/>
  <c r="L38" i="1" s="1"/>
  <c r="P38" i="1" s="1"/>
  <c r="T38" i="1" s="1"/>
  <c r="X38" i="1" s="1"/>
  <c r="X11" i="1"/>
  <c r="X12" i="1" s="1"/>
  <c r="H57" i="1" l="1"/>
  <c r="H29" i="1"/>
  <c r="H27" i="1"/>
  <c r="H25" i="1" s="1"/>
  <c r="L24" i="1"/>
  <c r="D17" i="6"/>
  <c r="C17" i="6"/>
  <c r="H17" i="6"/>
  <c r="C31" i="1"/>
  <c r="E17" i="6" l="1"/>
  <c r="F17" i="6" s="1"/>
  <c r="C40" i="1"/>
  <c r="C41" i="1" s="1"/>
  <c r="C45" i="1"/>
  <c r="C46" i="1" s="1"/>
  <c r="C47" i="1" s="1"/>
  <c r="C48" i="1" s="1"/>
  <c r="C49" i="1" s="1"/>
  <c r="C50" i="1" s="1"/>
  <c r="C51" i="1" s="1"/>
  <c r="L57" i="1"/>
  <c r="P24" i="1"/>
  <c r="L29" i="1"/>
  <c r="L30" i="1" s="1"/>
  <c r="L28" i="1" s="1"/>
  <c r="H31" i="1"/>
  <c r="H30" i="1"/>
  <c r="H28" i="1" s="1"/>
  <c r="C52" i="1"/>
  <c r="C55" i="1" l="1"/>
  <c r="B30" i="6" s="1"/>
  <c r="H53" i="1"/>
  <c r="B48" i="6" s="1"/>
  <c r="L26" i="1"/>
  <c r="C56" i="1"/>
  <c r="H54" i="1"/>
  <c r="L31" i="1"/>
  <c r="L27" i="1"/>
  <c r="H26" i="1"/>
  <c r="H58" i="1" s="1"/>
  <c r="P57" i="1"/>
  <c r="P29" i="1"/>
  <c r="P30" i="1" s="1"/>
  <c r="P28" i="1" s="1"/>
  <c r="T24" i="1"/>
  <c r="P26" i="1" l="1"/>
  <c r="B7" i="6"/>
  <c r="B21" i="6"/>
  <c r="B8" i="6"/>
  <c r="B20" i="6"/>
  <c r="P27" i="1"/>
  <c r="P31" i="1"/>
  <c r="T57" i="1"/>
  <c r="X24" i="1"/>
  <c r="T29" i="1"/>
  <c r="C48" i="6"/>
  <c r="B39" i="6"/>
  <c r="B38" i="6"/>
  <c r="C38" i="6" s="1"/>
  <c r="D48" i="6"/>
  <c r="G48" i="6"/>
  <c r="H48" i="6"/>
  <c r="L25" i="1"/>
  <c r="L58" i="1" s="1"/>
  <c r="H40" i="1"/>
  <c r="G30" i="6"/>
  <c r="C30" i="6"/>
  <c r="D30" i="6"/>
  <c r="H30" i="6"/>
  <c r="E30" i="6" l="1"/>
  <c r="T27" i="1"/>
  <c r="T31" i="1"/>
  <c r="T30" i="1"/>
  <c r="T28" i="1" s="1"/>
  <c r="D20" i="6"/>
  <c r="G20" i="6"/>
  <c r="C20" i="6"/>
  <c r="B40" i="6"/>
  <c r="G39" i="6"/>
  <c r="D39" i="6"/>
  <c r="H39" i="6"/>
  <c r="C39" i="6"/>
  <c r="X57" i="1"/>
  <c r="X29" i="1"/>
  <c r="B9" i="6"/>
  <c r="G8" i="6"/>
  <c r="D8" i="6"/>
  <c r="C8" i="6"/>
  <c r="H8" i="6"/>
  <c r="F30" i="6"/>
  <c r="Y7" i="6" s="1"/>
  <c r="AA7" i="6" s="1"/>
  <c r="E48" i="6"/>
  <c r="F48" i="6" s="1"/>
  <c r="P25" i="1"/>
  <c r="L40" i="1"/>
  <c r="B22" i="6"/>
  <c r="G21" i="6"/>
  <c r="D21" i="6"/>
  <c r="C21" i="6"/>
  <c r="H21" i="6"/>
  <c r="H7" i="6"/>
  <c r="G7" i="6"/>
  <c r="C7" i="6"/>
  <c r="D7" i="6"/>
  <c r="E7" i="6" s="1"/>
  <c r="H45" i="1"/>
  <c r="H46" i="1" s="1"/>
  <c r="H47" i="1" s="1"/>
  <c r="H48" i="1" s="1"/>
  <c r="H49" i="1" s="1"/>
  <c r="H50" i="1" s="1"/>
  <c r="H41" i="1"/>
  <c r="G38" i="6"/>
  <c r="D38" i="6"/>
  <c r="E38" i="6" s="1"/>
  <c r="F38" i="6" s="1"/>
  <c r="H38" i="6"/>
  <c r="P58" i="1"/>
  <c r="F7" i="6" l="1"/>
  <c r="Y20" i="6"/>
  <c r="AA20" i="6" s="1"/>
  <c r="H22" i="6"/>
  <c r="B23" i="6"/>
  <c r="G22" i="6"/>
  <c r="C22" i="6"/>
  <c r="E22" i="6" s="1"/>
  <c r="F22" i="6" s="1"/>
  <c r="D22" i="6"/>
  <c r="B10" i="6"/>
  <c r="G9" i="6"/>
  <c r="C9" i="6"/>
  <c r="E9" i="6" s="1"/>
  <c r="F9" i="6" s="1"/>
  <c r="D9" i="6"/>
  <c r="H9" i="6"/>
  <c r="E39" i="6"/>
  <c r="F39" i="6" s="1"/>
  <c r="B41" i="6"/>
  <c r="G40" i="6"/>
  <c r="D40" i="6"/>
  <c r="H40" i="6"/>
  <c r="C40" i="6"/>
  <c r="T25" i="1"/>
  <c r="P40" i="1"/>
  <c r="H52" i="1"/>
  <c r="H51" i="1"/>
  <c r="E21" i="6"/>
  <c r="F21" i="6" s="1"/>
  <c r="L45" i="1"/>
  <c r="L46" i="1" s="1"/>
  <c r="L47" i="1" s="1"/>
  <c r="L48" i="1" s="1"/>
  <c r="L49" i="1" s="1"/>
  <c r="L50" i="1" s="1"/>
  <c r="L41" i="1"/>
  <c r="E8" i="6"/>
  <c r="F8" i="6" s="1"/>
  <c r="E20" i="6"/>
  <c r="X20" i="6" s="1"/>
  <c r="T26" i="1"/>
  <c r="T58" i="1" s="1"/>
  <c r="X27" i="1"/>
  <c r="X25" i="1" s="1"/>
  <c r="X30" i="1"/>
  <c r="X28" i="1" s="1"/>
  <c r="F20" i="6"/>
  <c r="E40" i="6" l="1"/>
  <c r="F40" i="6" s="1"/>
  <c r="X7" i="6"/>
  <c r="X40" i="1"/>
  <c r="X45" i="1" s="1"/>
  <c r="X46" i="1" s="1"/>
  <c r="X47" i="1" s="1"/>
  <c r="X48" i="1" s="1"/>
  <c r="X49" i="1" s="1"/>
  <c r="X50" i="1" s="1"/>
  <c r="T40" i="1"/>
  <c r="H56" i="1"/>
  <c r="L54" i="1"/>
  <c r="B69" i="6" s="1"/>
  <c r="X31" i="1"/>
  <c r="L52" i="1"/>
  <c r="L51" i="1"/>
  <c r="P45" i="1"/>
  <c r="P46" i="1" s="1"/>
  <c r="P47" i="1" s="1"/>
  <c r="P48" i="1" s="1"/>
  <c r="P49" i="1" s="1"/>
  <c r="P50" i="1" s="1"/>
  <c r="P41" i="1"/>
  <c r="B11" i="6"/>
  <c r="G10" i="6"/>
  <c r="H10" i="6"/>
  <c r="D10" i="6"/>
  <c r="C10" i="6"/>
  <c r="H23" i="6"/>
  <c r="B24" i="6"/>
  <c r="G23" i="6"/>
  <c r="C23" i="6"/>
  <c r="D23" i="6"/>
  <c r="X26" i="1"/>
  <c r="X58" i="1" s="1"/>
  <c r="X41" i="1"/>
  <c r="L53" i="1"/>
  <c r="H55" i="1"/>
  <c r="B61" i="6" s="1"/>
  <c r="B42" i="6"/>
  <c r="G41" i="6"/>
  <c r="D41" i="6"/>
  <c r="H41" i="6"/>
  <c r="C41" i="6"/>
  <c r="P53" i="1" l="1"/>
  <c r="L55" i="1"/>
  <c r="B88" i="6" s="1"/>
  <c r="E23" i="6"/>
  <c r="F23" i="6" s="1"/>
  <c r="E10" i="6"/>
  <c r="F10" i="6" s="1"/>
  <c r="B12" i="6"/>
  <c r="G11" i="6"/>
  <c r="D11" i="6"/>
  <c r="H11" i="6"/>
  <c r="C11" i="6"/>
  <c r="P54" i="1"/>
  <c r="L56" i="1"/>
  <c r="H69" i="6"/>
  <c r="G69" i="6"/>
  <c r="D69" i="6"/>
  <c r="C69" i="6"/>
  <c r="E41" i="6"/>
  <c r="F41" i="6" s="1"/>
  <c r="B43" i="6"/>
  <c r="G42" i="6"/>
  <c r="D42" i="6"/>
  <c r="H42" i="6"/>
  <c r="C42" i="6"/>
  <c r="B52" i="6"/>
  <c r="B51" i="6"/>
  <c r="P52" i="1"/>
  <c r="P51" i="1"/>
  <c r="T45" i="1"/>
  <c r="T46" i="1" s="1"/>
  <c r="T47" i="1" s="1"/>
  <c r="T48" i="1" s="1"/>
  <c r="T49" i="1" s="1"/>
  <c r="T50" i="1" s="1"/>
  <c r="T41" i="1"/>
  <c r="D61" i="6"/>
  <c r="G61" i="6"/>
  <c r="H61" i="6"/>
  <c r="C61" i="6"/>
  <c r="H24" i="6"/>
  <c r="B25" i="6"/>
  <c r="G24" i="6"/>
  <c r="D24" i="6"/>
  <c r="C24" i="6"/>
  <c r="B77" i="6"/>
  <c r="X52" i="1"/>
  <c r="X51" i="1"/>
  <c r="E69" i="6" l="1"/>
  <c r="E61" i="6"/>
  <c r="F61" i="6" s="1"/>
  <c r="Y8" i="6" s="1"/>
  <c r="AA8" i="6" s="1"/>
  <c r="G51" i="6"/>
  <c r="H51" i="6"/>
  <c r="D51" i="6"/>
  <c r="C51" i="6"/>
  <c r="H25" i="6"/>
  <c r="B26" i="6"/>
  <c r="G25" i="6"/>
  <c r="C25" i="6"/>
  <c r="D25" i="6"/>
  <c r="E11" i="6"/>
  <c r="F11" i="6" s="1"/>
  <c r="E24" i="6"/>
  <c r="F24" i="6" s="1"/>
  <c r="T54" i="1"/>
  <c r="P56" i="1"/>
  <c r="B80" i="6"/>
  <c r="B70" i="6"/>
  <c r="B81" i="6"/>
  <c r="T52" i="1"/>
  <c r="T51" i="1"/>
  <c r="B53" i="6"/>
  <c r="G52" i="6"/>
  <c r="D52" i="6"/>
  <c r="H52" i="6"/>
  <c r="C52" i="6"/>
  <c r="E42" i="6"/>
  <c r="F42" i="6" s="1"/>
  <c r="B44" i="6"/>
  <c r="G43" i="6"/>
  <c r="D43" i="6"/>
  <c r="H43" i="6"/>
  <c r="C43" i="6"/>
  <c r="B97" i="6"/>
  <c r="B96" i="6"/>
  <c r="G88" i="6"/>
  <c r="D88" i="6"/>
  <c r="H88" i="6"/>
  <c r="C88" i="6"/>
  <c r="G77" i="6"/>
  <c r="H77" i="6"/>
  <c r="D77" i="6"/>
  <c r="C77" i="6"/>
  <c r="T53" i="1"/>
  <c r="P55" i="1"/>
  <c r="B115" i="6" s="1"/>
  <c r="F69" i="6"/>
  <c r="B13" i="6"/>
  <c r="G12" i="6"/>
  <c r="D12" i="6"/>
  <c r="C12" i="6"/>
  <c r="H12" i="6"/>
  <c r="B104" i="6"/>
  <c r="E43" i="6" l="1"/>
  <c r="F43" i="6" s="1"/>
  <c r="E12" i="6"/>
  <c r="F12" i="6" s="1"/>
  <c r="E51" i="6"/>
  <c r="V21" i="6" s="1"/>
  <c r="X21" i="6" s="1"/>
  <c r="G115" i="6"/>
  <c r="D115" i="6"/>
  <c r="H115" i="6"/>
  <c r="C115" i="6"/>
  <c r="G97" i="6"/>
  <c r="B98" i="6"/>
  <c r="D97" i="6"/>
  <c r="H97" i="6"/>
  <c r="C97" i="6"/>
  <c r="X53" i="1"/>
  <c r="T55" i="1"/>
  <c r="B138" i="6" s="1"/>
  <c r="G80" i="6"/>
  <c r="D80" i="6"/>
  <c r="H80" i="6"/>
  <c r="C80" i="6"/>
  <c r="E25" i="6"/>
  <c r="F25" i="6" s="1"/>
  <c r="B129" i="6"/>
  <c r="B108" i="6"/>
  <c r="B107" i="6"/>
  <c r="B45" i="6"/>
  <c r="G44" i="6"/>
  <c r="D44" i="6"/>
  <c r="H44" i="6"/>
  <c r="C44" i="6"/>
  <c r="X54" i="1"/>
  <c r="T56" i="1"/>
  <c r="B14" i="6"/>
  <c r="G13" i="6"/>
  <c r="D13" i="6"/>
  <c r="H13" i="6"/>
  <c r="C13" i="6"/>
  <c r="E77" i="6"/>
  <c r="F77" i="6" s="1"/>
  <c r="B82" i="6"/>
  <c r="G81" i="6"/>
  <c r="D81" i="6"/>
  <c r="H81" i="6"/>
  <c r="C81" i="6"/>
  <c r="B123" i="6"/>
  <c r="B124" i="6"/>
  <c r="H26" i="6"/>
  <c r="B27" i="6"/>
  <c r="G26" i="6"/>
  <c r="D26" i="6"/>
  <c r="C26" i="6"/>
  <c r="H104" i="6"/>
  <c r="G104" i="6"/>
  <c r="D104" i="6"/>
  <c r="C104" i="6"/>
  <c r="E88" i="6"/>
  <c r="G96" i="6"/>
  <c r="D96" i="6"/>
  <c r="H96" i="6"/>
  <c r="C96" i="6"/>
  <c r="E52" i="6"/>
  <c r="F52" i="6" s="1"/>
  <c r="B54" i="6"/>
  <c r="G53" i="6"/>
  <c r="D53" i="6"/>
  <c r="H53" i="6"/>
  <c r="C53" i="6"/>
  <c r="H70" i="6"/>
  <c r="B71" i="6"/>
  <c r="G70" i="6"/>
  <c r="D70" i="6"/>
  <c r="C70" i="6"/>
  <c r="E70" i="6" l="1"/>
  <c r="E104" i="6"/>
  <c r="F104" i="6" s="1"/>
  <c r="E26" i="6"/>
  <c r="F26" i="6" s="1"/>
  <c r="E115" i="6"/>
  <c r="F115" i="6" s="1"/>
  <c r="Y10" i="6" s="1"/>
  <c r="AA10" i="6" s="1"/>
  <c r="Y21" i="6"/>
  <c r="AA21" i="6" s="1"/>
  <c r="F88" i="6"/>
  <c r="Y22" i="6"/>
  <c r="AA22" i="6" s="1"/>
  <c r="F51" i="6"/>
  <c r="V8" i="6" s="1"/>
  <c r="X8" i="6" s="1"/>
  <c r="Y9" i="6"/>
  <c r="AA9" i="6" s="1"/>
  <c r="E80" i="6"/>
  <c r="E96" i="6"/>
  <c r="F96" i="6" s="1"/>
  <c r="E81" i="6"/>
  <c r="F81" i="6" s="1"/>
  <c r="F70" i="6"/>
  <c r="G123" i="6"/>
  <c r="D123" i="6"/>
  <c r="H123" i="6"/>
  <c r="C123" i="6"/>
  <c r="B132" i="6"/>
  <c r="B133" i="6"/>
  <c r="C107" i="6"/>
  <c r="G107" i="6"/>
  <c r="D107" i="6"/>
  <c r="H107" i="6"/>
  <c r="H27" i="6"/>
  <c r="B28" i="6"/>
  <c r="G27" i="6"/>
  <c r="D27" i="6"/>
  <c r="C27" i="6"/>
  <c r="H82" i="6"/>
  <c r="B83" i="6"/>
  <c r="G82" i="6"/>
  <c r="D82" i="6"/>
  <c r="C82" i="6"/>
  <c r="B146" i="6"/>
  <c r="B147" i="6"/>
  <c r="X56" i="1"/>
  <c r="G108" i="6"/>
  <c r="B109" i="6"/>
  <c r="H108" i="6"/>
  <c r="D108" i="6"/>
  <c r="C108" i="6"/>
  <c r="G138" i="6"/>
  <c r="D138" i="6"/>
  <c r="H138" i="6"/>
  <c r="C138" i="6"/>
  <c r="E44" i="6"/>
  <c r="F44" i="6" s="1"/>
  <c r="B46" i="6"/>
  <c r="G45" i="6"/>
  <c r="D45" i="6"/>
  <c r="H45" i="6"/>
  <c r="C45" i="6"/>
  <c r="B152" i="6"/>
  <c r="X55" i="1"/>
  <c r="B161" i="6" s="1"/>
  <c r="B99" i="6"/>
  <c r="G98" i="6"/>
  <c r="H98" i="6"/>
  <c r="D98" i="6"/>
  <c r="C98" i="6"/>
  <c r="B72" i="6"/>
  <c r="G71" i="6"/>
  <c r="D71" i="6"/>
  <c r="H71" i="6"/>
  <c r="C71" i="6"/>
  <c r="E53" i="6"/>
  <c r="F53" i="6" s="1"/>
  <c r="B55" i="6"/>
  <c r="G54" i="6"/>
  <c r="H54" i="6"/>
  <c r="D54" i="6"/>
  <c r="C54" i="6"/>
  <c r="D124" i="6"/>
  <c r="B125" i="6"/>
  <c r="G124" i="6"/>
  <c r="H124" i="6"/>
  <c r="C124" i="6"/>
  <c r="E13" i="6"/>
  <c r="F13" i="6" s="1"/>
  <c r="B15" i="6"/>
  <c r="G14" i="6"/>
  <c r="H14" i="6"/>
  <c r="D14" i="6"/>
  <c r="C14" i="6"/>
  <c r="H129" i="6"/>
  <c r="G129" i="6"/>
  <c r="D129" i="6"/>
  <c r="C129" i="6"/>
  <c r="E97" i="6"/>
  <c r="F97" i="6" s="1"/>
  <c r="E54" i="6" l="1"/>
  <c r="F80" i="6"/>
  <c r="V9" i="6" s="1"/>
  <c r="X9" i="6" s="1"/>
  <c r="V22" i="6"/>
  <c r="X22" i="6" s="1"/>
  <c r="E124" i="6"/>
  <c r="F124" i="6" s="1"/>
  <c r="F54" i="6"/>
  <c r="E71" i="6"/>
  <c r="F71" i="6" s="1"/>
  <c r="E129" i="6"/>
  <c r="E14" i="6"/>
  <c r="F14" i="6" s="1"/>
  <c r="E138" i="6"/>
  <c r="E108" i="6"/>
  <c r="F108" i="6" s="1"/>
  <c r="E82" i="6"/>
  <c r="F82" i="6" s="1"/>
  <c r="E123" i="6"/>
  <c r="B126" i="6"/>
  <c r="G125" i="6"/>
  <c r="H125" i="6"/>
  <c r="D125" i="6"/>
  <c r="C125" i="6"/>
  <c r="B73" i="6"/>
  <c r="G72" i="6"/>
  <c r="H72" i="6"/>
  <c r="D72" i="6"/>
  <c r="C72" i="6"/>
  <c r="C152" i="6"/>
  <c r="G152" i="6"/>
  <c r="H152" i="6"/>
  <c r="D152" i="6"/>
  <c r="E27" i="6"/>
  <c r="F27" i="6" s="1"/>
  <c r="E107" i="6"/>
  <c r="B16" i="6"/>
  <c r="G15" i="6"/>
  <c r="H15" i="6"/>
  <c r="D15" i="6"/>
  <c r="C15" i="6"/>
  <c r="E98" i="6"/>
  <c r="F98" i="6" s="1"/>
  <c r="B100" i="6"/>
  <c r="G99" i="6"/>
  <c r="H99" i="6"/>
  <c r="D99" i="6"/>
  <c r="C99" i="6"/>
  <c r="E45" i="6"/>
  <c r="F45" i="6" s="1"/>
  <c r="G46" i="6"/>
  <c r="B47" i="6"/>
  <c r="H46" i="6"/>
  <c r="D46" i="6"/>
  <c r="C46" i="6"/>
  <c r="B148" i="6"/>
  <c r="G147" i="6"/>
  <c r="D147" i="6"/>
  <c r="H147" i="6"/>
  <c r="C147" i="6"/>
  <c r="B134" i="6"/>
  <c r="G133" i="6"/>
  <c r="D133" i="6"/>
  <c r="H133" i="6"/>
  <c r="C133" i="6"/>
  <c r="B56" i="6"/>
  <c r="G55" i="6"/>
  <c r="D55" i="6"/>
  <c r="H55" i="6"/>
  <c r="C55" i="6"/>
  <c r="G161" i="6"/>
  <c r="D161" i="6"/>
  <c r="H161" i="6"/>
  <c r="C161" i="6"/>
  <c r="F138" i="6"/>
  <c r="H109" i="6"/>
  <c r="B110" i="6"/>
  <c r="G109" i="6"/>
  <c r="D109" i="6"/>
  <c r="C109" i="6"/>
  <c r="G146" i="6"/>
  <c r="H146" i="6"/>
  <c r="D146" i="6"/>
  <c r="B84" i="6"/>
  <c r="G83" i="6"/>
  <c r="H83" i="6"/>
  <c r="D83" i="6"/>
  <c r="C83" i="6"/>
  <c r="D132" i="6"/>
  <c r="G132" i="6"/>
  <c r="H132" i="6"/>
  <c r="C132" i="6"/>
  <c r="F123" i="6"/>
  <c r="B29" i="6"/>
  <c r="G28" i="6"/>
  <c r="D28" i="6"/>
  <c r="H28" i="6"/>
  <c r="C28" i="6"/>
  <c r="E132" i="6" l="1"/>
  <c r="E46" i="6"/>
  <c r="F46" i="6" s="1"/>
  <c r="E125" i="6"/>
  <c r="E83" i="6"/>
  <c r="F83" i="6" s="1"/>
  <c r="E146" i="6"/>
  <c r="V24" i="6" s="1"/>
  <c r="X24" i="6" s="1"/>
  <c r="E99" i="6"/>
  <c r="F99" i="6" s="1"/>
  <c r="E152" i="6"/>
  <c r="F129" i="6"/>
  <c r="Y11" i="6" s="1"/>
  <c r="AA11" i="6" s="1"/>
  <c r="Y23" i="6"/>
  <c r="AA23" i="6" s="1"/>
  <c r="F107" i="6"/>
  <c r="V10" i="6" s="1"/>
  <c r="X10" i="6" s="1"/>
  <c r="V23" i="6"/>
  <c r="X23" i="6" s="1"/>
  <c r="Y24" i="6"/>
  <c r="AA24" i="6" s="1"/>
  <c r="E133" i="6"/>
  <c r="F133" i="6" s="1"/>
  <c r="F125" i="6"/>
  <c r="E28" i="6"/>
  <c r="F28" i="6" s="1"/>
  <c r="B127" i="6"/>
  <c r="G126" i="6"/>
  <c r="D126" i="6"/>
  <c r="H126" i="6"/>
  <c r="C126" i="6"/>
  <c r="E161" i="6"/>
  <c r="E55" i="6"/>
  <c r="F55" i="6" s="1"/>
  <c r="B57" i="6"/>
  <c r="G56" i="6"/>
  <c r="D56" i="6"/>
  <c r="H56" i="6"/>
  <c r="C56" i="6"/>
  <c r="E15" i="6"/>
  <c r="F15" i="6" s="1"/>
  <c r="H16" i="6"/>
  <c r="G16" i="6"/>
  <c r="D16" i="6"/>
  <c r="C16" i="6"/>
  <c r="G155" i="6"/>
  <c r="H155" i="6"/>
  <c r="D155" i="6"/>
  <c r="F152" i="6"/>
  <c r="F132" i="6"/>
  <c r="V11" i="6" s="1"/>
  <c r="X11" i="6" s="1"/>
  <c r="B85" i="6"/>
  <c r="G84" i="6"/>
  <c r="H84" i="6"/>
  <c r="D84" i="6"/>
  <c r="C84" i="6"/>
  <c r="B111" i="6"/>
  <c r="G110" i="6"/>
  <c r="D110" i="6"/>
  <c r="H110" i="6"/>
  <c r="C110" i="6"/>
  <c r="B101" i="6"/>
  <c r="G100" i="6"/>
  <c r="H100" i="6"/>
  <c r="D100" i="6"/>
  <c r="C100" i="6"/>
  <c r="H156" i="6"/>
  <c r="B157" i="6"/>
  <c r="G156" i="6"/>
  <c r="D156" i="6"/>
  <c r="C156" i="6"/>
  <c r="B135" i="6"/>
  <c r="G134" i="6"/>
  <c r="D134" i="6"/>
  <c r="H134" i="6"/>
  <c r="C134" i="6"/>
  <c r="E109" i="6"/>
  <c r="F109" i="6" s="1"/>
  <c r="E147" i="6"/>
  <c r="F147" i="6" s="1"/>
  <c r="G148" i="6"/>
  <c r="B149" i="6"/>
  <c r="H148" i="6"/>
  <c r="D148" i="6"/>
  <c r="C148" i="6"/>
  <c r="G47" i="6"/>
  <c r="H47" i="6"/>
  <c r="D47" i="6"/>
  <c r="C47" i="6"/>
  <c r="E72" i="6"/>
  <c r="F72" i="6" s="1"/>
  <c r="B74" i="6"/>
  <c r="G73" i="6"/>
  <c r="H73" i="6"/>
  <c r="D73" i="6"/>
  <c r="C73" i="6"/>
  <c r="H29" i="6"/>
  <c r="G29" i="6"/>
  <c r="C29" i="6"/>
  <c r="D29" i="6"/>
  <c r="F146" i="6" l="1"/>
  <c r="AJ146" i="6" s="1"/>
  <c r="E47" i="6"/>
  <c r="E148" i="6"/>
  <c r="F148" i="6" s="1"/>
  <c r="E156" i="6"/>
  <c r="F156" i="6" s="1"/>
  <c r="F161" i="6"/>
  <c r="Y12" i="6" s="1"/>
  <c r="AA12" i="6" s="1"/>
  <c r="Y25" i="6"/>
  <c r="AA25" i="6" s="1"/>
  <c r="F47" i="6"/>
  <c r="E73" i="6"/>
  <c r="F73" i="6" s="1"/>
  <c r="E16" i="6"/>
  <c r="F16" i="6" s="1"/>
  <c r="E100" i="6"/>
  <c r="F100" i="6" s="1"/>
  <c r="B102" i="6"/>
  <c r="G101" i="6"/>
  <c r="H101" i="6"/>
  <c r="D101" i="6"/>
  <c r="C101" i="6"/>
  <c r="E155" i="6"/>
  <c r="B75" i="6"/>
  <c r="G74" i="6"/>
  <c r="H74" i="6"/>
  <c r="D74" i="6"/>
  <c r="C74" i="6"/>
  <c r="E110" i="6"/>
  <c r="F110" i="6" s="1"/>
  <c r="B112" i="6"/>
  <c r="G111" i="6"/>
  <c r="H111" i="6"/>
  <c r="D111" i="6"/>
  <c r="C111" i="6"/>
  <c r="E29" i="6"/>
  <c r="F29" i="6" s="1"/>
  <c r="B150" i="6"/>
  <c r="G149" i="6"/>
  <c r="D149" i="6"/>
  <c r="H149" i="6"/>
  <c r="C149" i="6"/>
  <c r="E149" i="6" s="1"/>
  <c r="E134" i="6"/>
  <c r="F134" i="6" s="1"/>
  <c r="B136" i="6"/>
  <c r="G135" i="6"/>
  <c r="D135" i="6"/>
  <c r="H135" i="6"/>
  <c r="C135" i="6"/>
  <c r="B158" i="6"/>
  <c r="G157" i="6"/>
  <c r="H157" i="6"/>
  <c r="D157" i="6"/>
  <c r="C157" i="6"/>
  <c r="E84" i="6"/>
  <c r="F84" i="6" s="1"/>
  <c r="B86" i="6"/>
  <c r="G85" i="6"/>
  <c r="H85" i="6"/>
  <c r="D85" i="6"/>
  <c r="C85" i="6"/>
  <c r="E56" i="6"/>
  <c r="F56" i="6" s="1"/>
  <c r="B58" i="6"/>
  <c r="G57" i="6"/>
  <c r="H57" i="6"/>
  <c r="D57" i="6"/>
  <c r="C57" i="6"/>
  <c r="E126" i="6"/>
  <c r="F126" i="6" s="1"/>
  <c r="B128" i="6"/>
  <c r="G127" i="6"/>
  <c r="D127" i="6"/>
  <c r="H127" i="6"/>
  <c r="C127" i="6"/>
  <c r="E57" i="6" l="1"/>
  <c r="F57" i="6" s="1"/>
  <c r="E157" i="6"/>
  <c r="F149" i="6"/>
  <c r="E74" i="6"/>
  <c r="F74" i="6" s="1"/>
  <c r="F155" i="6"/>
  <c r="V12" i="6" s="1"/>
  <c r="X12" i="6" s="1"/>
  <c r="V25" i="6"/>
  <c r="X25" i="6" s="1"/>
  <c r="F157" i="6"/>
  <c r="B59" i="6"/>
  <c r="G58" i="6"/>
  <c r="D58" i="6"/>
  <c r="H58" i="6"/>
  <c r="C58" i="6"/>
  <c r="B159" i="6"/>
  <c r="G158" i="6"/>
  <c r="D158" i="6"/>
  <c r="H158" i="6"/>
  <c r="C158" i="6"/>
  <c r="E135" i="6"/>
  <c r="F135" i="6" s="1"/>
  <c r="B137" i="6"/>
  <c r="G136" i="6"/>
  <c r="D136" i="6"/>
  <c r="H136" i="6"/>
  <c r="C136" i="6"/>
  <c r="E136" i="6" s="1"/>
  <c r="E127" i="6"/>
  <c r="F127" i="6" s="1"/>
  <c r="G128" i="6"/>
  <c r="D128" i="6"/>
  <c r="H128" i="6"/>
  <c r="C128" i="6"/>
  <c r="E85" i="6"/>
  <c r="F85" i="6" s="1"/>
  <c r="B87" i="6"/>
  <c r="G86" i="6"/>
  <c r="H86" i="6"/>
  <c r="D86" i="6"/>
  <c r="C86" i="6"/>
  <c r="E111" i="6"/>
  <c r="F111" i="6" s="1"/>
  <c r="B113" i="6"/>
  <c r="G112" i="6"/>
  <c r="D112" i="6"/>
  <c r="H112" i="6"/>
  <c r="C112" i="6"/>
  <c r="B103" i="6"/>
  <c r="G102" i="6"/>
  <c r="D102" i="6"/>
  <c r="H102" i="6"/>
  <c r="C102" i="6"/>
  <c r="B151" i="6"/>
  <c r="G150" i="6"/>
  <c r="D150" i="6"/>
  <c r="H150" i="6"/>
  <c r="C150" i="6"/>
  <c r="E101" i="6"/>
  <c r="F101" i="6" s="1"/>
  <c r="B76" i="6"/>
  <c r="G75" i="6"/>
  <c r="H75" i="6"/>
  <c r="D75" i="6"/>
  <c r="C75" i="6"/>
  <c r="F136" i="6" l="1"/>
  <c r="E150" i="6"/>
  <c r="F150" i="6" s="1"/>
  <c r="E75" i="6"/>
  <c r="F75" i="6" s="1"/>
  <c r="E102" i="6"/>
  <c r="F102" i="6" s="1"/>
  <c r="G151" i="6"/>
  <c r="H151" i="6"/>
  <c r="D151" i="6"/>
  <c r="C151" i="6"/>
  <c r="E86" i="6"/>
  <c r="F86" i="6" s="1"/>
  <c r="G87" i="6"/>
  <c r="D87" i="6"/>
  <c r="H87" i="6"/>
  <c r="C87" i="6"/>
  <c r="G137" i="6"/>
  <c r="D137" i="6"/>
  <c r="H137" i="6"/>
  <c r="C137" i="6"/>
  <c r="G76" i="6"/>
  <c r="H76" i="6"/>
  <c r="D76" i="6"/>
  <c r="C76" i="6"/>
  <c r="G103" i="6"/>
  <c r="H103" i="6"/>
  <c r="D103" i="6"/>
  <c r="C103" i="6"/>
  <c r="E112" i="6"/>
  <c r="F112" i="6" s="1"/>
  <c r="B114" i="6"/>
  <c r="G113" i="6"/>
  <c r="H113" i="6"/>
  <c r="D113" i="6"/>
  <c r="C113" i="6"/>
  <c r="E128" i="6"/>
  <c r="F128" i="6" s="1"/>
  <c r="E158" i="6"/>
  <c r="F158" i="6" s="1"/>
  <c r="B160" i="6"/>
  <c r="G159" i="6"/>
  <c r="H159" i="6"/>
  <c r="D159" i="6"/>
  <c r="C159" i="6"/>
  <c r="E58" i="6"/>
  <c r="F58" i="6" s="1"/>
  <c r="B60" i="6"/>
  <c r="G59" i="6"/>
  <c r="D59" i="6"/>
  <c r="H59" i="6"/>
  <c r="C59" i="6"/>
  <c r="E59" i="6" l="1"/>
  <c r="E113" i="6"/>
  <c r="F113" i="6" s="1"/>
  <c r="E103" i="6"/>
  <c r="F103" i="6" s="1"/>
  <c r="E76" i="6"/>
  <c r="F59" i="6"/>
  <c r="G60" i="6"/>
  <c r="H60" i="6"/>
  <c r="D60" i="6"/>
  <c r="C60" i="6"/>
  <c r="E151" i="6"/>
  <c r="F151" i="6" s="1"/>
  <c r="G114" i="6"/>
  <c r="H114" i="6"/>
  <c r="D114" i="6"/>
  <c r="C114" i="6"/>
  <c r="E159" i="6"/>
  <c r="F159" i="6" s="1"/>
  <c r="G160" i="6"/>
  <c r="H160" i="6"/>
  <c r="D160" i="6"/>
  <c r="C160" i="6"/>
  <c r="E160" i="6" s="1"/>
  <c r="F76" i="6"/>
  <c r="E137" i="6"/>
  <c r="F137" i="6" s="1"/>
  <c r="E87" i="6"/>
  <c r="F87" i="6" s="1"/>
  <c r="F160" i="6" l="1"/>
  <c r="E114" i="6"/>
  <c r="F114" i="6" s="1"/>
  <c r="E60" i="6"/>
  <c r="F60" i="6" s="1"/>
</calcChain>
</file>

<file path=xl/sharedStrings.xml><?xml version="1.0" encoding="utf-8"?>
<sst xmlns="http://schemas.openxmlformats.org/spreadsheetml/2006/main" count="631" uniqueCount="164">
  <si>
    <t>NACA_65</t>
  </si>
  <si>
    <t>Parabolic</t>
  </si>
  <si>
    <t>Data</t>
  </si>
  <si>
    <t>Specification</t>
  </si>
  <si>
    <t>value</t>
  </si>
  <si>
    <t>mass flow[kg/sec]</t>
  </si>
  <si>
    <t>P01[kPa]</t>
  </si>
  <si>
    <t>T01[k]</t>
  </si>
  <si>
    <t>Compressor Pressure Ratio</t>
  </si>
  <si>
    <t>Compressor Isentropic Efficiency</t>
  </si>
  <si>
    <t>gama</t>
  </si>
  <si>
    <t>C_P[J/kg-k]</t>
  </si>
  <si>
    <t xml:space="preserve"> RPM</t>
  </si>
  <si>
    <t>r_h/r_t</t>
  </si>
  <si>
    <t>Static Pressure &amp; Temperature</t>
  </si>
  <si>
    <t>alpha1[degree]</t>
  </si>
  <si>
    <t>P1[kPa]</t>
  </si>
  <si>
    <t>T1[k]</t>
  </si>
  <si>
    <t>N[RPS]</t>
  </si>
  <si>
    <t>r_t[m]</t>
  </si>
  <si>
    <t>U_t[m/s]</t>
  </si>
  <si>
    <t>rho1[kg/m^3]</t>
  </si>
  <si>
    <t>C_x1[m/s]</t>
  </si>
  <si>
    <t>relative Mach number at tip</t>
  </si>
  <si>
    <t>r_h[m]</t>
  </si>
  <si>
    <t>r_m[m]</t>
  </si>
  <si>
    <t>k1</t>
  </si>
  <si>
    <t>M_w1_tip</t>
  </si>
  <si>
    <t>P0e[kPa]</t>
  </si>
  <si>
    <t>T0e[k]</t>
  </si>
  <si>
    <t>Te[k]</t>
  </si>
  <si>
    <t>Pe[kPa]</t>
  </si>
  <si>
    <t>rho_e[kg/m^3]</t>
  </si>
  <si>
    <t>h_exit</t>
  </si>
  <si>
    <t>A_exit[m^2]</t>
  </si>
  <si>
    <t>h_exit[m]</t>
  </si>
  <si>
    <t>U_m</t>
  </si>
  <si>
    <t>W1_m</t>
  </si>
  <si>
    <t>W2_m</t>
  </si>
  <si>
    <t>delta_T0</t>
  </si>
  <si>
    <t>(delta_T0)total/(delta_T0)</t>
  </si>
  <si>
    <t>Number of Stages</t>
  </si>
  <si>
    <t>1st Stage</t>
  </si>
  <si>
    <t xml:space="preserve"> 2nd Stage</t>
  </si>
  <si>
    <t>3rd Stage</t>
  </si>
  <si>
    <t>4th stage</t>
  </si>
  <si>
    <t>5th Stage</t>
  </si>
  <si>
    <t>6th Stage</t>
  </si>
  <si>
    <t>beta1_m</t>
  </si>
  <si>
    <t>beta2_m</t>
  </si>
  <si>
    <t>beta1_tip[degree]</t>
  </si>
  <si>
    <t>D.H.</t>
  </si>
  <si>
    <t>Pressure Ratio</t>
  </si>
  <si>
    <t>delta_T0[k]</t>
  </si>
  <si>
    <t>C_theta1[m/s]</t>
  </si>
  <si>
    <t>C_theta2[m/s]</t>
  </si>
  <si>
    <t>alpha2[degree]</t>
  </si>
  <si>
    <t>beta1[degree]</t>
  </si>
  <si>
    <t>beta2[degree]</t>
  </si>
  <si>
    <t>P03[kPa]</t>
  </si>
  <si>
    <t>T03[k]</t>
  </si>
  <si>
    <t>work done factor</t>
  </si>
  <si>
    <t>phi</t>
  </si>
  <si>
    <t>psi</t>
  </si>
  <si>
    <t>R</t>
  </si>
  <si>
    <t>r_m</t>
  </si>
  <si>
    <t>alpha3[degree]</t>
  </si>
  <si>
    <t>D.H._s</t>
  </si>
  <si>
    <t>T3[k]</t>
  </si>
  <si>
    <t>C3[m/s]</t>
  </si>
  <si>
    <t>P3[kPa]</t>
  </si>
  <si>
    <t>rho[kg/m^3]</t>
  </si>
  <si>
    <t>A3[m^2]</t>
  </si>
  <si>
    <t>h3[m]</t>
  </si>
  <si>
    <t>r_t3[m]</t>
  </si>
  <si>
    <t>r_r3[m]</t>
  </si>
  <si>
    <t>r_t1[m]</t>
  </si>
  <si>
    <t>r_t2[m]</t>
  </si>
  <si>
    <t>r_r2[m]</t>
  </si>
  <si>
    <t>r_r1[m]</t>
  </si>
  <si>
    <t xml:space="preserve">a </t>
  </si>
  <si>
    <t>b</t>
  </si>
  <si>
    <t>2nd Stage</t>
  </si>
  <si>
    <t>R1</t>
  </si>
  <si>
    <t>R2</t>
  </si>
  <si>
    <t>Re</t>
  </si>
  <si>
    <t>U[m/s]</t>
  </si>
  <si>
    <t>Exponential Blading</t>
  </si>
  <si>
    <t>Exponential Blading[1]</t>
  </si>
  <si>
    <t>Exponential Blading[2]</t>
  </si>
  <si>
    <t>C_x2[m/s]</t>
  </si>
  <si>
    <t>4th Stage</t>
  </si>
  <si>
    <t>s/l</t>
  </si>
  <si>
    <t>s</t>
  </si>
  <si>
    <t>N</t>
  </si>
  <si>
    <t>N_corrected</t>
  </si>
  <si>
    <t>h/l</t>
  </si>
  <si>
    <t>s_corrected</t>
  </si>
  <si>
    <t>l</t>
  </si>
  <si>
    <t>Number of Blades</t>
  </si>
  <si>
    <t>Rotors</t>
  </si>
  <si>
    <t>Stators</t>
  </si>
  <si>
    <t>(s/l)hub</t>
  </si>
  <si>
    <t>s_hub</t>
  </si>
  <si>
    <t>l_hub</t>
  </si>
  <si>
    <t>(s/l)tip</t>
  </si>
  <si>
    <t>s_tip</t>
  </si>
  <si>
    <t>l_tip</t>
  </si>
  <si>
    <t>L_hub &amp; L_tip</t>
  </si>
  <si>
    <t>Stage</t>
  </si>
  <si>
    <t>beta1(r1=x)</t>
  </si>
  <si>
    <t>beta2(r2=x)</t>
  </si>
  <si>
    <t>alpha1(r2=x)</t>
  </si>
  <si>
    <t>alpha2(r3=x)</t>
  </si>
  <si>
    <t>Flow Angles Functions</t>
  </si>
  <si>
    <t>delta/theta</t>
  </si>
  <si>
    <t>beta1_prime[degree]</t>
  </si>
  <si>
    <t>beta2_prime[degree]</t>
  </si>
  <si>
    <t>theta[degree]</t>
  </si>
  <si>
    <t>alpha1_prime[degree]</t>
  </si>
  <si>
    <t>alpha2_prime[degree]</t>
  </si>
  <si>
    <t>Rotor blade angles</t>
  </si>
  <si>
    <t>stator blade angles</t>
  </si>
  <si>
    <t>118.31x4 - 510.83x3 + 757.79x2 - 362.3x + 32.795</t>
  </si>
  <si>
    <t>34.177x4 - 111.93x3 + 65.669x2 + 135.87x - 79.74</t>
  </si>
  <si>
    <t>80.341x4 - 432.7x3 + 791.74x2 - 492.71x + 81.375</t>
  </si>
  <si>
    <t>-14.525x4 + 73.551x3 - 143.04x2 + 149.08x - 37.895</t>
  </si>
  <si>
    <t>-14.249x4 + 72.268x3 - 140.85x2 + 147.45x - 37.449</t>
  </si>
  <si>
    <t>78.499x4 - 435.59x3 + 814.27x2 - 519.49x + 89.485</t>
  </si>
  <si>
    <t>-9.5923x4 + 50.143x3 - 98.593x2 + 109.04x - 20.765</t>
  </si>
  <si>
    <t>81.529x4 - 449.77x3 + 838.57x2 - 537.64x + 94.489</t>
  </si>
  <si>
    <t>98.433x4 - 492.78x3 + 857.19x2 - 521.48x + 88.874</t>
  </si>
  <si>
    <t>3.839x4 - 19.359x3 + 39.447x2 - 34.732x + 47.219</t>
  </si>
  <si>
    <t>4.4135x4 - 19.363x3 + 39.425x2 - 27.984x + 48.064</t>
  </si>
  <si>
    <t>-13.675x4 + 67.642x3 - 132.42x2 + 131.08x - 37.625</t>
  </si>
  <si>
    <t xml:space="preserve"> 16x4 - 67.248x3 + 90.044x2 - 11.219x + 27.589</t>
  </si>
  <si>
    <t>-16.207x4 + 80.145x3 - 155.65x2 + 155.74x - 43.259</t>
  </si>
  <si>
    <t>25.058x4 - 111.45x3 + 169.41x2 - 68.404x + 38.358</t>
  </si>
  <si>
    <t>-13.408x4 + 68.294x3 - 132.86x2 + 139.53x - 33.517</t>
  </si>
  <si>
    <t>32.946x4 - 151.36x3 + 241.68x2 - 114.78x + 41.049</t>
  </si>
  <si>
    <t>32.586x4 - 149.94x3 + 240.96x2 - 117.76x + 44.144</t>
  </si>
  <si>
    <t>32.495x4 - 149.33x3 + 239.69x2 - 116.67x + 43.816</t>
  </si>
  <si>
    <t>34.259x4 - 155.23x3 + 241.77x2 - 104.35x + 31.841</t>
  </si>
  <si>
    <t>b/c</t>
  </si>
  <si>
    <t>stagger</t>
  </si>
  <si>
    <t>Rotor</t>
  </si>
  <si>
    <t>Stator</t>
  </si>
  <si>
    <t>(D.F)h</t>
  </si>
  <si>
    <t>(D.F)m</t>
  </si>
  <si>
    <t>(D.F)t</t>
  </si>
  <si>
    <t>D.F</t>
  </si>
  <si>
    <t>Diffusion Factor</t>
  </si>
  <si>
    <t>C_D_p</t>
  </si>
  <si>
    <t>C_D_a</t>
  </si>
  <si>
    <t>C_L</t>
  </si>
  <si>
    <t>C_D_s</t>
  </si>
  <si>
    <t>C_D_total</t>
  </si>
  <si>
    <t>C_L_new</t>
  </si>
  <si>
    <t>Beta_m</t>
  </si>
  <si>
    <t>stators</t>
  </si>
  <si>
    <t>etta_r</t>
  </si>
  <si>
    <t>etta_s</t>
  </si>
  <si>
    <t>etta_stage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</si>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</sst>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0.00000"/>
  </numFmts>
  <fonts count="15" x14ac:knownFonts="1">
    <font>
      <sz val="11"/>
      <color theme="1"/>
      <name val="Calibri"/>
      <family val="2"/>
      <scheme val="minor"/>
    </font>
    <font>
      <sz val="28"/>
      <color theme="0" tint="-4.9989318521683403E-2"/>
      <name val="Segoe UI"/>
      <family val="2"/>
    </font>
    <font>
      <sz val="48"/>
      <color theme="0" tint="-4.9989318521683403E-2"/>
      <name val="Segoe UI"/>
      <family val="2"/>
    </font>
    <font>
      <b/>
      <sz val="14"/>
      <color rgb="FF0070C0"/>
      <name val="Segoe UI"/>
      <family val="2"/>
    </font>
    <font>
      <sz val="11"/>
      <color theme="1"/>
      <name val="Segoe UI"/>
      <family val="2"/>
    </font>
    <font>
      <sz val="22"/>
      <color theme="0" tint="-4.9989318521683403E-2"/>
      <name val="Segoe UI"/>
      <family val="2"/>
    </font>
    <font>
      <sz val="20"/>
      <color theme="0" tint="-4.9989318521683403E-2"/>
      <name val="Segoe UI"/>
      <family val="2"/>
    </font>
    <font>
      <b/>
      <sz val="12"/>
      <color rgb="FF0070C0"/>
      <name val="Segoe UI"/>
      <family val="2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 tint="-4.9989318521683403E-2"/>
      <name val="Calibri"/>
      <family val="2"/>
      <scheme val="minor"/>
    </font>
    <font>
      <b/>
      <sz val="11"/>
      <color rgb="FF0070C0"/>
      <name val="Segoe UI"/>
      <family val="2"/>
    </font>
    <font>
      <sz val="11"/>
      <color rgb="FF0070C0"/>
      <name val="Segoe UI"/>
      <family val="2"/>
    </font>
    <font>
      <sz val="11"/>
      <color theme="4"/>
      <name val="Segoe UI"/>
      <family val="2"/>
    </font>
    <font>
      <sz val="2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0070C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3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165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2" borderId="0" xfId="0" applyFont="1" applyFill="1" applyBorder="1"/>
    <xf numFmtId="166" fontId="4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5" borderId="0" xfId="0" applyFill="1"/>
    <xf numFmtId="0" fontId="0" fillId="3" borderId="0" xfId="0" applyFill="1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67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4" fillId="5" borderId="0" xfId="0" applyFont="1" applyFill="1"/>
    <xf numFmtId="0" fontId="12" fillId="4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4" fillId="2" borderId="0" xfId="0" applyFont="1" applyFill="1"/>
    <xf numFmtId="0" fontId="4" fillId="2" borderId="1" xfId="0" applyFont="1" applyFill="1" applyBorder="1" applyAlignment="1">
      <alignment vertical="center"/>
    </xf>
    <xf numFmtId="2" fontId="4" fillId="2" borderId="0" xfId="0" applyNumberFormat="1" applyFont="1" applyFill="1"/>
    <xf numFmtId="0" fontId="8" fillId="4" borderId="0" xfId="0" applyFont="1" applyFill="1"/>
    <xf numFmtId="0" fontId="0" fillId="6" borderId="0" xfId="0" applyFill="1"/>
    <xf numFmtId="0" fontId="4" fillId="6" borderId="0" xfId="0" applyFont="1" applyFill="1"/>
    <xf numFmtId="0" fontId="7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7" fontId="0" fillId="6" borderId="0" xfId="0" applyNumberFormat="1" applyFill="1"/>
    <xf numFmtId="0" fontId="0" fillId="6" borderId="0" xfId="0" applyFill="1" applyBorder="1"/>
    <xf numFmtId="0" fontId="11" fillId="6" borderId="0" xfId="0" applyFont="1" applyFill="1" applyBorder="1" applyAlignment="1"/>
    <xf numFmtId="164" fontId="4" fillId="6" borderId="0" xfId="0" applyNumberFormat="1" applyFont="1" applyFill="1" applyBorder="1" applyAlignment="1">
      <alignment vertical="center"/>
    </xf>
    <xf numFmtId="164" fontId="4" fillId="6" borderId="0" xfId="0" applyNumberFormat="1" applyFont="1" applyFill="1" applyBorder="1" applyAlignment="1"/>
    <xf numFmtId="164" fontId="4" fillId="6" borderId="0" xfId="0" applyNumberFormat="1" applyFont="1" applyFill="1" applyBorder="1" applyAlignment="1">
      <alignment wrapText="1"/>
    </xf>
    <xf numFmtId="0" fontId="4" fillId="3" borderId="0" xfId="0" applyFont="1" applyFill="1"/>
    <xf numFmtId="0" fontId="11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164" fontId="4" fillId="6" borderId="1" xfId="0" applyNumberFormat="1" applyFont="1" applyFill="1" applyBorder="1" applyAlignment="1">
      <alignment horizontal="center" vertical="center" readingOrder="1"/>
    </xf>
    <xf numFmtId="0" fontId="4" fillId="6" borderId="0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wrapText="1" readingOrder="1"/>
    </xf>
    <xf numFmtId="2" fontId="4" fillId="6" borderId="1" xfId="0" applyNumberFormat="1" applyFont="1" applyFill="1" applyBorder="1" applyAlignment="1">
      <alignment horizontal="center" vertical="center" readingOrder="1"/>
    </xf>
    <xf numFmtId="2" fontId="4" fillId="6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166" fontId="4" fillId="6" borderId="0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  <xf numFmtId="167" fontId="4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6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6" fillId="5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0" xfId="0" applyFill="1" applyAlignment="1">
      <alignment horizontal="left" vertical="center"/>
    </xf>
    <xf numFmtId="0" fontId="8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opLeftCell="A12" zoomScale="94" zoomScaleNormal="34" workbookViewId="0">
      <selection activeCell="P28" sqref="P28"/>
    </sheetView>
  </sheetViews>
  <sheetFormatPr defaultRowHeight="16.8" x14ac:dyDescent="0.4"/>
  <cols>
    <col min="1" max="1" width="8.77734375" style="26" customWidth="1"/>
    <col min="2" max="2" width="46" style="26" customWidth="1"/>
    <col min="3" max="3" width="13" style="26" customWidth="1"/>
    <col min="4" max="5" width="8.77734375" style="26" customWidth="1"/>
    <col min="6" max="6" width="18.77734375" style="26" customWidth="1"/>
    <col min="7" max="7" width="28" style="26" customWidth="1"/>
    <col min="8" max="8" width="13" style="26" customWidth="1"/>
    <col min="9" max="10" width="8.77734375" style="26" customWidth="1"/>
    <col min="11" max="11" width="46" style="26" customWidth="1"/>
    <col min="12" max="12" width="13" style="26" customWidth="1"/>
    <col min="13" max="13" width="8.88671875" style="26"/>
    <col min="14" max="14" width="8.77734375" style="26" customWidth="1"/>
    <col min="15" max="15" width="46" style="26" customWidth="1"/>
    <col min="16" max="16" width="12.88671875" style="26" customWidth="1"/>
    <col min="17" max="17" width="8.77734375" style="26" customWidth="1"/>
    <col min="18" max="18" width="8.88671875" style="26"/>
    <col min="19" max="19" width="46" style="26" customWidth="1"/>
    <col min="20" max="20" width="12.88671875" style="26" customWidth="1"/>
    <col min="21" max="21" width="8.77734375" style="26" customWidth="1"/>
    <col min="22" max="22" width="8.88671875" style="26"/>
    <col min="23" max="23" width="46" style="26" customWidth="1"/>
    <col min="24" max="24" width="12.88671875" style="26" customWidth="1"/>
    <col min="25" max="26" width="8.88671875" style="26"/>
    <col min="27" max="27" width="7.21875" style="26" customWidth="1"/>
    <col min="28" max="28" width="12.77734375" style="26" customWidth="1"/>
    <col min="29" max="30" width="9.6640625" style="26" customWidth="1"/>
    <col min="31" max="31" width="5.44140625" style="26" customWidth="1"/>
    <col min="32" max="32" width="6.21875" style="26" customWidth="1"/>
    <col min="33" max="16384" width="8.88671875" style="26"/>
  </cols>
  <sheetData>
    <row r="1" spans="1:31" ht="14.4" customHeight="1" x14ac:dyDescent="0.4">
      <c r="A1" s="30"/>
      <c r="B1" s="31"/>
      <c r="C1" s="31"/>
      <c r="D1" s="32"/>
      <c r="E1" s="30"/>
      <c r="F1" s="31"/>
      <c r="G1" s="31"/>
      <c r="H1" s="32"/>
      <c r="I1" s="32"/>
      <c r="J1" s="30"/>
      <c r="K1" s="31"/>
      <c r="L1" s="31"/>
      <c r="M1" s="32"/>
      <c r="N1" s="30"/>
      <c r="O1" s="31"/>
      <c r="P1" s="31"/>
      <c r="Q1" s="32"/>
      <c r="R1" s="30"/>
      <c r="S1" s="31"/>
      <c r="T1" s="31"/>
      <c r="U1" s="32"/>
      <c r="V1" s="30"/>
      <c r="W1" s="31"/>
      <c r="X1" s="31"/>
      <c r="Y1" s="32"/>
    </row>
    <row r="2" spans="1:31" ht="25.2" customHeight="1" x14ac:dyDescent="0.4">
      <c r="A2" s="33"/>
      <c r="B2" s="89" t="s">
        <v>2</v>
      </c>
      <c r="C2" s="89"/>
      <c r="D2" s="34"/>
      <c r="E2" s="33"/>
      <c r="F2" s="89" t="s">
        <v>12</v>
      </c>
      <c r="G2" s="89"/>
      <c r="H2" s="34"/>
      <c r="I2" s="34"/>
      <c r="J2" s="33"/>
      <c r="K2" s="10" t="s">
        <v>14</v>
      </c>
      <c r="L2" s="10"/>
      <c r="M2" s="34"/>
      <c r="N2" s="33"/>
      <c r="O2" s="10" t="s">
        <v>23</v>
      </c>
      <c r="P2" s="10"/>
      <c r="Q2" s="34"/>
      <c r="R2" s="33"/>
      <c r="S2" s="10" t="s">
        <v>33</v>
      </c>
      <c r="T2" s="10"/>
      <c r="U2" s="34"/>
      <c r="V2" s="33"/>
      <c r="W2" s="10" t="s">
        <v>41</v>
      </c>
      <c r="X2" s="10"/>
      <c r="Y2" s="34"/>
    </row>
    <row r="3" spans="1:31" ht="14.4" customHeight="1" x14ac:dyDescent="0.4">
      <c r="A3" s="35"/>
      <c r="B3" s="1"/>
      <c r="C3" s="1"/>
      <c r="D3" s="36"/>
      <c r="E3" s="35"/>
      <c r="F3" s="1"/>
      <c r="G3" s="1"/>
      <c r="H3" s="36"/>
      <c r="I3" s="36"/>
      <c r="J3" s="35"/>
      <c r="K3" s="1"/>
      <c r="L3" s="1"/>
      <c r="M3" s="36"/>
      <c r="N3" s="35"/>
      <c r="O3" s="1"/>
      <c r="P3" s="1"/>
      <c r="Q3" s="36"/>
      <c r="R3" s="35"/>
      <c r="S3" s="1"/>
      <c r="T3" s="1"/>
      <c r="U3" s="36"/>
      <c r="V3" s="35"/>
      <c r="W3" s="1"/>
      <c r="X3" s="1"/>
      <c r="Y3" s="36"/>
    </row>
    <row r="4" spans="1:31" ht="14.4" customHeight="1" x14ac:dyDescent="0.4">
      <c r="B4" s="2"/>
      <c r="C4" s="2"/>
      <c r="F4" s="7"/>
      <c r="G4" s="7"/>
      <c r="K4" s="2"/>
      <c r="L4" s="2"/>
      <c r="O4" s="2"/>
      <c r="P4" s="2"/>
      <c r="Z4" s="15"/>
      <c r="AA4" s="15"/>
      <c r="AB4" s="15"/>
      <c r="AC4" s="15"/>
      <c r="AD4" s="15"/>
      <c r="AE4" s="15"/>
    </row>
    <row r="5" spans="1:31" ht="20.399999999999999" x14ac:dyDescent="0.45">
      <c r="B5" s="3" t="s">
        <v>3</v>
      </c>
      <c r="C5" s="21" t="s">
        <v>4</v>
      </c>
      <c r="F5" s="21" t="s">
        <v>13</v>
      </c>
      <c r="G5" s="21" t="s">
        <v>19</v>
      </c>
      <c r="H5" s="21" t="s">
        <v>18</v>
      </c>
      <c r="K5" s="3" t="s">
        <v>3</v>
      </c>
      <c r="L5" s="21" t="s">
        <v>4</v>
      </c>
      <c r="O5" s="3" t="s">
        <v>3</v>
      </c>
      <c r="P5" s="21" t="s">
        <v>4</v>
      </c>
      <c r="S5" s="3" t="s">
        <v>3</v>
      </c>
      <c r="T5" s="21" t="s">
        <v>4</v>
      </c>
      <c r="W5" s="3" t="s">
        <v>3</v>
      </c>
      <c r="X5" s="21" t="s">
        <v>4</v>
      </c>
      <c r="Z5" s="15"/>
      <c r="AA5" s="17"/>
      <c r="AB5" s="17"/>
      <c r="AC5" s="17"/>
      <c r="AD5" s="17"/>
      <c r="AE5" s="15"/>
    </row>
    <row r="6" spans="1:31" x14ac:dyDescent="0.4">
      <c r="B6" s="23" t="s">
        <v>8</v>
      </c>
      <c r="C6" s="4">
        <v>3.5</v>
      </c>
      <c r="F6" s="9">
        <v>0.4</v>
      </c>
      <c r="G6" s="8">
        <f>SQRT(C8/(3.14*L10*L8*(1-F6^2)))</f>
        <v>0.21163956399544573</v>
      </c>
      <c r="H6" s="13">
        <f>380/(2*3.14*G6)</f>
        <v>285.90851822691099</v>
      </c>
      <c r="K6" s="23" t="s">
        <v>17</v>
      </c>
      <c r="L6" s="9">
        <f>C10-(L8/COS(RADIANS(L9)))^2/(2*C13)</f>
        <v>285.48275270858244</v>
      </c>
      <c r="O6" s="23" t="s">
        <v>19</v>
      </c>
      <c r="P6" s="8">
        <f>H13</f>
        <v>0.22397826156563552</v>
      </c>
      <c r="S6" s="11" t="s">
        <v>28</v>
      </c>
      <c r="T6" s="4">
        <f>C9*C6</f>
        <v>350</v>
      </c>
      <c r="W6" s="11" t="s">
        <v>36</v>
      </c>
      <c r="X6" s="9">
        <f>2*3.14*H12*P8</f>
        <v>281.31669652643825</v>
      </c>
      <c r="Z6" s="15"/>
      <c r="AA6" s="6"/>
      <c r="AB6" s="37"/>
      <c r="AC6" s="6"/>
      <c r="AD6" s="6"/>
      <c r="AE6" s="15"/>
    </row>
    <row r="7" spans="1:31" x14ac:dyDescent="0.4">
      <c r="B7" s="23" t="s">
        <v>9</v>
      </c>
      <c r="C7" s="4">
        <v>0.86</v>
      </c>
      <c r="F7" s="9">
        <f>F6+0.05</f>
        <v>0.45</v>
      </c>
      <c r="G7" s="8">
        <f>SQRT(C8/(3.14*L10*L8*(1-F7^2)))</f>
        <v>0.21720566865505869</v>
      </c>
      <c r="H7" s="13">
        <f t="shared" ref="H7:H10" si="0">380/(2*3.14*G7)</f>
        <v>278.58183681302427</v>
      </c>
      <c r="K7" s="23" t="s">
        <v>16</v>
      </c>
      <c r="L7" s="9">
        <f>C9*(L6/C10)^(C12/(C12-1))</f>
        <v>84.063055860608358</v>
      </c>
      <c r="O7" s="23" t="s">
        <v>24</v>
      </c>
      <c r="P7" s="8">
        <f>F10*P6</f>
        <v>0.13438695693938132</v>
      </c>
      <c r="S7" s="11" t="s">
        <v>29</v>
      </c>
      <c r="T7" s="9">
        <f>C10*(C6)^((C12-1)/(C12*0.9))</f>
        <v>446.52036265955593</v>
      </c>
      <c r="W7" s="11" t="s">
        <v>37</v>
      </c>
      <c r="X7" s="9">
        <f>SQRT(L8^2+(X6-L8*TAN(RADIANS(L9)))^2)</f>
        <v>288.86643774459645</v>
      </c>
      <c r="Z7" s="15"/>
      <c r="AA7" s="6"/>
      <c r="AB7" s="37"/>
      <c r="AC7" s="6"/>
      <c r="AD7" s="6"/>
      <c r="AE7" s="15"/>
    </row>
    <row r="8" spans="1:31" x14ac:dyDescent="0.4">
      <c r="B8" s="23" t="s">
        <v>5</v>
      </c>
      <c r="C8" s="4">
        <v>20</v>
      </c>
      <c r="F8" s="9">
        <f t="shared" ref="F8:F10" si="1">F7+0.05</f>
        <v>0.5</v>
      </c>
      <c r="G8" s="8">
        <f>SQRT(C8/(3.14*L10*L8*(1-F8^2)))</f>
        <v>0.22397826156563552</v>
      </c>
      <c r="H8" s="13">
        <f t="shared" si="0"/>
        <v>270.15815605120861</v>
      </c>
      <c r="K8" s="23" t="s">
        <v>22</v>
      </c>
      <c r="L8" s="4">
        <v>165</v>
      </c>
      <c r="O8" s="23" t="s">
        <v>25</v>
      </c>
      <c r="P8" s="8">
        <f>(P7+P6)/2</f>
        <v>0.17918260925250842</v>
      </c>
      <c r="S8" s="11" t="s">
        <v>30</v>
      </c>
      <c r="T8" s="9">
        <f>T7-(L8^2)/(2*C13)</f>
        <v>432.97558654015296</v>
      </c>
      <c r="W8" s="11" t="s">
        <v>48</v>
      </c>
      <c r="X8" s="9">
        <f>DEGREES(ACOS(L8/X7))</f>
        <v>55.166175194426579</v>
      </c>
      <c r="Z8" s="15"/>
      <c r="AA8" s="6"/>
      <c r="AB8" s="37"/>
      <c r="AC8" s="6"/>
      <c r="AD8" s="6"/>
      <c r="AE8" s="15"/>
    </row>
    <row r="9" spans="1:31" x14ac:dyDescent="0.4">
      <c r="B9" s="23" t="s">
        <v>6</v>
      </c>
      <c r="C9" s="4">
        <v>100</v>
      </c>
      <c r="F9" s="9">
        <f t="shared" si="1"/>
        <v>0.55000000000000004</v>
      </c>
      <c r="G9" s="8">
        <f>SQRT(C8/(3.14*L10*L8*(1-F9^2)))</f>
        <v>0.23225463791326023</v>
      </c>
      <c r="H9" s="13">
        <f t="shared" si="0"/>
        <v>260.53109071916913</v>
      </c>
      <c r="K9" s="23" t="s">
        <v>15</v>
      </c>
      <c r="L9" s="4">
        <v>15</v>
      </c>
      <c r="O9" s="23" t="s">
        <v>26</v>
      </c>
      <c r="P9" s="9">
        <f>P8*L8*TAN(RADIANS(L9))</f>
        <v>7.9219528487403226</v>
      </c>
      <c r="S9" s="11" t="s">
        <v>31</v>
      </c>
      <c r="T9" s="13">
        <f>T6*(T8/T7)^(C12/(C12-1))</f>
        <v>314.22847362015739</v>
      </c>
      <c r="W9" s="11" t="s">
        <v>38</v>
      </c>
      <c r="X9" s="13">
        <f>0.72*X7</f>
        <v>207.98383517610944</v>
      </c>
      <c r="Z9" s="15"/>
      <c r="AA9" s="6"/>
      <c r="AB9" s="37"/>
      <c r="AC9" s="6"/>
      <c r="AD9" s="6"/>
      <c r="AE9" s="15"/>
    </row>
    <row r="10" spans="1:31" x14ac:dyDescent="0.4">
      <c r="B10" s="23" t="s">
        <v>7</v>
      </c>
      <c r="C10" s="4">
        <v>300</v>
      </c>
      <c r="F10" s="9">
        <f t="shared" si="1"/>
        <v>0.60000000000000009</v>
      </c>
      <c r="G10" s="8">
        <f>SQRT(C8/(3.14*L10*L8*(1-F10^2)))</f>
        <v>0.24246358051414515</v>
      </c>
      <c r="H10" s="13">
        <f t="shared" si="0"/>
        <v>249.56141459190115</v>
      </c>
      <c r="K10" s="23" t="s">
        <v>21</v>
      </c>
      <c r="L10" s="8">
        <f>L7*1000/(287*L6)</f>
        <v>1.0259906452550147</v>
      </c>
      <c r="O10" s="23" t="s">
        <v>50</v>
      </c>
      <c r="P10" s="9">
        <f>DEGREES(ATAN((P6^2*2*3.14*H12-P9)/(P6*L8)))</f>
        <v>62.449162970787704</v>
      </c>
      <c r="S10" s="11" t="s">
        <v>32</v>
      </c>
      <c r="T10" s="9">
        <f>T9*1000/(287*T8)</f>
        <v>2.5287170095034637</v>
      </c>
      <c r="W10" s="11" t="s">
        <v>49</v>
      </c>
      <c r="X10" s="9">
        <f>DEGREES(ACOS(L8/X9))</f>
        <v>37.50211342174758</v>
      </c>
      <c r="Z10" s="15"/>
      <c r="AA10" s="6"/>
      <c r="AB10" s="37"/>
      <c r="AC10" s="6"/>
      <c r="AD10" s="6"/>
      <c r="AE10" s="15"/>
    </row>
    <row r="11" spans="1:31" ht="16.8" customHeight="1" x14ac:dyDescent="0.45">
      <c r="B11" s="23" t="s">
        <v>0</v>
      </c>
      <c r="C11" s="4" t="s">
        <v>1</v>
      </c>
      <c r="F11" s="87" t="s">
        <v>3</v>
      </c>
      <c r="G11" s="87"/>
      <c r="H11" s="21" t="s">
        <v>4</v>
      </c>
      <c r="K11" s="5"/>
      <c r="L11" s="6"/>
      <c r="O11" s="23" t="s">
        <v>27</v>
      </c>
      <c r="P11" s="8">
        <f>(L8/COS(RADIANS(P10)))/SQRT(C12*287*L6)</f>
        <v>1.0532804270086786</v>
      </c>
      <c r="S11" s="11" t="s">
        <v>34</v>
      </c>
      <c r="T11" s="8">
        <f>C8/(T10*L8)</f>
        <v>4.7934237305550575E-2</v>
      </c>
      <c r="W11" s="11" t="s">
        <v>39</v>
      </c>
      <c r="X11" s="9">
        <f>X6*L8*(TAN(RADIANS(X8))-TAN(RADIANS(X10)))/C13</f>
        <v>30.927049777445379</v>
      </c>
      <c r="Z11" s="15"/>
      <c r="AA11" s="6"/>
      <c r="AB11" s="37"/>
      <c r="AC11" s="6"/>
      <c r="AD11" s="6"/>
      <c r="AE11" s="15"/>
    </row>
    <row r="12" spans="1:31" ht="16.8" customHeight="1" x14ac:dyDescent="0.4">
      <c r="B12" s="12" t="s">
        <v>10</v>
      </c>
      <c r="C12" s="4">
        <v>1.4</v>
      </c>
      <c r="F12" s="90" t="s">
        <v>18</v>
      </c>
      <c r="G12" s="90"/>
      <c r="H12" s="4">
        <f>CEILING(H10,5)</f>
        <v>250</v>
      </c>
      <c r="K12" s="15"/>
      <c r="L12" s="6"/>
      <c r="S12" s="11" t="s">
        <v>35</v>
      </c>
      <c r="T12" s="8">
        <f>T11/(2*3.14*P8)</f>
        <v>4.2598109086146703E-2</v>
      </c>
      <c r="W12" s="11" t="s">
        <v>40</v>
      </c>
      <c r="X12" s="16">
        <f>(T7-C10)/X11</f>
        <v>4.737612016468864</v>
      </c>
      <c r="Z12" s="15"/>
      <c r="AA12" s="6"/>
      <c r="AB12" s="37"/>
      <c r="AC12" s="6"/>
      <c r="AD12" s="6"/>
      <c r="AE12" s="15"/>
    </row>
    <row r="13" spans="1:31" ht="16.8" customHeight="1" x14ac:dyDescent="0.4">
      <c r="B13" s="12" t="s">
        <v>11</v>
      </c>
      <c r="C13" s="4">
        <v>1005</v>
      </c>
      <c r="F13" s="90" t="s">
        <v>19</v>
      </c>
      <c r="G13" s="90"/>
      <c r="H13" s="8">
        <f>G8</f>
        <v>0.22397826156563552</v>
      </c>
      <c r="K13" s="15"/>
      <c r="L13" s="6"/>
      <c r="Z13" s="15"/>
      <c r="AA13" s="6"/>
      <c r="AB13" s="37"/>
      <c r="AC13" s="6"/>
      <c r="AD13" s="6"/>
      <c r="AE13" s="15"/>
    </row>
    <row r="14" spans="1:31" ht="16.8" customHeight="1" x14ac:dyDescent="0.4">
      <c r="F14" s="90" t="s">
        <v>20</v>
      </c>
      <c r="G14" s="90"/>
      <c r="H14" s="14">
        <f>2*3.14*H12*H13</f>
        <v>351.64587065804778</v>
      </c>
      <c r="Z14" s="15"/>
      <c r="AA14" s="15"/>
      <c r="AB14" s="15"/>
      <c r="AC14" s="15"/>
      <c r="AD14" s="15"/>
      <c r="AE14" s="15"/>
    </row>
    <row r="15" spans="1:31" ht="14.4" customHeight="1" x14ac:dyDescent="0.4"/>
    <row r="16" spans="1:31" ht="14.4" customHeight="1" x14ac:dyDescent="0.4">
      <c r="A16" s="30"/>
      <c r="B16" s="31"/>
      <c r="C16" s="31"/>
      <c r="D16" s="32"/>
      <c r="E16" s="30"/>
      <c r="F16" s="31"/>
      <c r="G16" s="31"/>
      <c r="H16" s="32"/>
      <c r="I16" s="32"/>
      <c r="J16" s="30"/>
      <c r="K16" s="31"/>
      <c r="L16" s="31"/>
      <c r="M16" s="32"/>
      <c r="N16" s="30"/>
      <c r="O16" s="31"/>
      <c r="P16" s="31"/>
      <c r="Q16" s="32"/>
      <c r="R16" s="30"/>
      <c r="S16" s="31"/>
      <c r="T16" s="31"/>
      <c r="U16" s="32"/>
      <c r="V16" s="30"/>
      <c r="W16" s="31"/>
      <c r="X16" s="31"/>
      <c r="Y16" s="32"/>
    </row>
    <row r="17" spans="1:26" ht="25.2" customHeight="1" x14ac:dyDescent="0.65">
      <c r="A17" s="38"/>
      <c r="B17" s="88" t="s">
        <v>42</v>
      </c>
      <c r="C17" s="88"/>
      <c r="D17" s="39"/>
      <c r="E17" s="38"/>
      <c r="F17" s="88" t="s">
        <v>43</v>
      </c>
      <c r="G17" s="88"/>
      <c r="H17" s="39"/>
      <c r="I17" s="39"/>
      <c r="J17" s="38"/>
      <c r="K17" s="22" t="s">
        <v>44</v>
      </c>
      <c r="L17" s="22"/>
      <c r="M17" s="39"/>
      <c r="N17" s="38"/>
      <c r="O17" s="22" t="s">
        <v>45</v>
      </c>
      <c r="P17" s="22"/>
      <c r="Q17" s="39"/>
      <c r="R17" s="38"/>
      <c r="S17" s="22" t="s">
        <v>46</v>
      </c>
      <c r="T17" s="22"/>
      <c r="U17" s="39"/>
      <c r="V17" s="38"/>
      <c r="W17" s="22" t="s">
        <v>47</v>
      </c>
      <c r="X17" s="22"/>
      <c r="Y17" s="39"/>
      <c r="Z17" s="40"/>
    </row>
    <row r="18" spans="1:26" ht="14.4" customHeight="1" x14ac:dyDescent="0.4">
      <c r="A18" s="35"/>
      <c r="B18" s="1"/>
      <c r="C18" s="1"/>
      <c r="D18" s="36"/>
      <c r="E18" s="35"/>
      <c r="F18" s="1"/>
      <c r="G18" s="1"/>
      <c r="H18" s="36"/>
      <c r="I18" s="36"/>
      <c r="J18" s="35"/>
      <c r="K18" s="1"/>
      <c r="L18" s="1"/>
      <c r="M18" s="36"/>
      <c r="N18" s="35"/>
      <c r="O18" s="1"/>
      <c r="P18" s="1"/>
      <c r="Q18" s="36"/>
      <c r="R18" s="35"/>
      <c r="S18" s="1"/>
      <c r="T18" s="1"/>
      <c r="U18" s="36"/>
      <c r="V18" s="35"/>
      <c r="W18" s="1"/>
      <c r="X18" s="1"/>
      <c r="Y18" s="36"/>
    </row>
    <row r="19" spans="1:26" ht="14.4" customHeight="1" x14ac:dyDescent="0.4">
      <c r="E19" s="15"/>
      <c r="F19" s="7"/>
      <c r="G19" s="7"/>
      <c r="H19" s="15"/>
      <c r="I19" s="15"/>
    </row>
    <row r="20" spans="1:26" ht="16.8" customHeight="1" x14ac:dyDescent="0.45">
      <c r="B20" s="82" t="s">
        <v>65</v>
      </c>
      <c r="C20" s="82"/>
      <c r="E20" s="15"/>
      <c r="F20" s="91" t="s">
        <v>65</v>
      </c>
      <c r="G20" s="91"/>
      <c r="H20" s="91"/>
      <c r="I20" s="15"/>
      <c r="K20" s="82" t="s">
        <v>65</v>
      </c>
      <c r="L20" s="82"/>
      <c r="O20" s="82" t="s">
        <v>65</v>
      </c>
      <c r="P20" s="82"/>
      <c r="S20" s="82" t="s">
        <v>65</v>
      </c>
      <c r="T20" s="82"/>
      <c r="W20" s="82" t="s">
        <v>65</v>
      </c>
      <c r="X20" s="82"/>
    </row>
    <row r="21" spans="1:26" ht="20.399999999999999" x14ac:dyDescent="0.45">
      <c r="B21" s="3" t="s">
        <v>3</v>
      </c>
      <c r="C21" s="21" t="s">
        <v>4</v>
      </c>
      <c r="E21" s="15"/>
      <c r="F21" s="87" t="s">
        <v>3</v>
      </c>
      <c r="G21" s="87"/>
      <c r="H21" s="21" t="s">
        <v>4</v>
      </c>
      <c r="I21" s="15"/>
      <c r="K21" s="3" t="s">
        <v>3</v>
      </c>
      <c r="L21" s="21" t="s">
        <v>4</v>
      </c>
      <c r="O21" s="3" t="s">
        <v>3</v>
      </c>
      <c r="P21" s="21" t="s">
        <v>4</v>
      </c>
      <c r="S21" s="3" t="s">
        <v>3</v>
      </c>
      <c r="T21" s="21" t="s">
        <v>4</v>
      </c>
      <c r="W21" s="3" t="s">
        <v>3</v>
      </c>
      <c r="X21" s="21" t="s">
        <v>4</v>
      </c>
    </row>
    <row r="22" spans="1:26" x14ac:dyDescent="0.4">
      <c r="B22" s="23" t="s">
        <v>53</v>
      </c>
      <c r="C22" s="4">
        <v>21.26</v>
      </c>
      <c r="E22" s="15"/>
      <c r="F22" s="85" t="str">
        <f t="shared" ref="F22:F39" si="2">B22</f>
        <v>delta_T0[k]</v>
      </c>
      <c r="G22" s="85"/>
      <c r="H22" s="4">
        <v>26</v>
      </c>
      <c r="I22" s="15"/>
      <c r="K22" s="23" t="s">
        <v>53</v>
      </c>
      <c r="L22" s="4">
        <v>26</v>
      </c>
      <c r="O22" s="23" t="s">
        <v>53</v>
      </c>
      <c r="P22" s="4">
        <v>26</v>
      </c>
      <c r="S22" s="23" t="s">
        <v>53</v>
      </c>
      <c r="T22" s="4">
        <v>26</v>
      </c>
      <c r="W22" s="23" t="s">
        <v>53</v>
      </c>
      <c r="X22" s="9">
        <f>((X34/X33)^((C12-1)/C12)-1)*X35/0.9</f>
        <v>20.674873059767272</v>
      </c>
    </row>
    <row r="23" spans="1:26" x14ac:dyDescent="0.4">
      <c r="B23" s="12" t="s">
        <v>61</v>
      </c>
      <c r="C23" s="4">
        <v>0.98</v>
      </c>
      <c r="E23" s="15"/>
      <c r="F23" s="85" t="str">
        <f t="shared" si="2"/>
        <v>work done factor</v>
      </c>
      <c r="G23" s="85"/>
      <c r="H23" s="9">
        <v>0.93</v>
      </c>
      <c r="I23" s="15"/>
      <c r="K23" s="12" t="s">
        <v>61</v>
      </c>
      <c r="L23" s="4">
        <v>0.88</v>
      </c>
      <c r="O23" s="12" t="s">
        <v>61</v>
      </c>
      <c r="P23" s="4">
        <v>0.83</v>
      </c>
      <c r="S23" s="12" t="s">
        <v>61</v>
      </c>
      <c r="T23" s="4">
        <v>0.83</v>
      </c>
      <c r="W23" s="12" t="s">
        <v>61</v>
      </c>
      <c r="X23" s="4">
        <v>0.83</v>
      </c>
    </row>
    <row r="24" spans="1:26" x14ac:dyDescent="0.4">
      <c r="B24" s="12" t="s">
        <v>36</v>
      </c>
      <c r="C24" s="9">
        <f>X6</f>
        <v>281.31669652643825</v>
      </c>
      <c r="E24" s="15"/>
      <c r="F24" s="85" t="str">
        <f t="shared" si="2"/>
        <v>U_m</v>
      </c>
      <c r="G24" s="85"/>
      <c r="H24" s="9">
        <f>C24</f>
        <v>281.31669652643825</v>
      </c>
      <c r="I24" s="15"/>
      <c r="K24" s="12" t="s">
        <v>36</v>
      </c>
      <c r="L24" s="9">
        <f>H24</f>
        <v>281.31669652643825</v>
      </c>
      <c r="O24" s="12" t="s">
        <v>36</v>
      </c>
      <c r="P24" s="9">
        <f>L24</f>
        <v>281.31669652643825</v>
      </c>
      <c r="S24" s="12" t="s">
        <v>36</v>
      </c>
      <c r="T24" s="9">
        <f>P24</f>
        <v>281.31669652643825</v>
      </c>
      <c r="W24" s="12" t="s">
        <v>36</v>
      </c>
      <c r="X24" s="9">
        <f>T24</f>
        <v>281.31669652643825</v>
      </c>
    </row>
    <row r="25" spans="1:26" x14ac:dyDescent="0.4">
      <c r="B25" s="23" t="s">
        <v>54</v>
      </c>
      <c r="C25" s="9">
        <f>L8*TAN(RADIANS(L9))</f>
        <v>44.211616751135246</v>
      </c>
      <c r="E25" s="15"/>
      <c r="F25" s="86" t="str">
        <f t="shared" si="2"/>
        <v>C_theta1[m/s]</v>
      </c>
      <c r="G25" s="86"/>
      <c r="H25" s="9">
        <f>L8*TAN(RADIANS(H27))</f>
        <v>62.588700274284378</v>
      </c>
      <c r="I25" s="15"/>
      <c r="K25" s="23" t="s">
        <v>54</v>
      </c>
      <c r="L25" s="9">
        <f>L8*TAN(RADIANS(L27))</f>
        <v>87.88298479418448</v>
      </c>
      <c r="O25" s="23" t="s">
        <v>54</v>
      </c>
      <c r="P25" s="9">
        <f>L8*TAN(RADIANS(P27))</f>
        <v>84.703746030989564</v>
      </c>
      <c r="S25" s="23" t="s">
        <v>54</v>
      </c>
      <c r="T25" s="9">
        <f>L8*TAN(RADIANS(T27))</f>
        <v>84.703746030989564</v>
      </c>
      <c r="W25" s="23" t="s">
        <v>54</v>
      </c>
      <c r="X25" s="9">
        <f>L8*TAN(RADIANS(X27))</f>
        <v>96.16395217625309</v>
      </c>
    </row>
    <row r="26" spans="1:26" x14ac:dyDescent="0.4">
      <c r="B26" s="23" t="s">
        <v>55</v>
      </c>
      <c r="C26" s="9">
        <f>C13*C22/(C23*X6)+C25</f>
        <v>121.71269367966556</v>
      </c>
      <c r="F26" s="86" t="str">
        <f t="shared" si="2"/>
        <v>C_theta2[m/s]</v>
      </c>
      <c r="G26" s="86"/>
      <c r="H26" s="9">
        <f>L8*TAN(RADIANS(H28))</f>
        <v>162.46465694686623</v>
      </c>
      <c r="K26" s="23" t="s">
        <v>55</v>
      </c>
      <c r="L26" s="9">
        <f>L8*TAN(RADIANS(L28))</f>
        <v>193.43371173225378</v>
      </c>
      <c r="O26" s="23" t="s">
        <v>55</v>
      </c>
      <c r="P26" s="9">
        <f>L8*TAN(RADIANS(P28))</f>
        <v>196.6129504954487</v>
      </c>
      <c r="S26" s="23" t="s">
        <v>55</v>
      </c>
      <c r="T26" s="9">
        <f>L8*TAN(RADIANS(T28))</f>
        <v>196.6129504954487</v>
      </c>
      <c r="W26" s="23" t="s">
        <v>55</v>
      </c>
      <c r="X26" s="9">
        <f>L8*TAN(RADIANS(X28))</f>
        <v>185.15274435018515</v>
      </c>
    </row>
    <row r="27" spans="1:26" ht="16.8" customHeight="1" x14ac:dyDescent="0.4">
      <c r="B27" s="23" t="s">
        <v>15</v>
      </c>
      <c r="C27" s="4">
        <f>DEGREES(ATAN(C25/L8))</f>
        <v>14.999999999999998</v>
      </c>
      <c r="F27" s="85" t="str">
        <f t="shared" si="2"/>
        <v>alpha1[degree]</v>
      </c>
      <c r="G27" s="85"/>
      <c r="H27" s="9">
        <f>DEGREES(ATAN((H24/L8)-TAN(RADIANS(H29))))</f>
        <v>20.773011594258133</v>
      </c>
      <c r="K27" s="23" t="s">
        <v>15</v>
      </c>
      <c r="L27" s="9">
        <f>DEGREES(ATAN((H24/L8)-TAN(RADIANS(L29))))</f>
        <v>28.040842779188601</v>
      </c>
      <c r="O27" s="23" t="s">
        <v>15</v>
      </c>
      <c r="P27" s="9">
        <f>DEGREES(ATAN((H24/L8)-TAN(RADIANS(P29))))</f>
        <v>27.173970648414446</v>
      </c>
      <c r="S27" s="23" t="s">
        <v>15</v>
      </c>
      <c r="T27" s="9">
        <f>DEGREES(ATAN((H24/L8)-TAN(RADIANS(T29))))</f>
        <v>27.173970648414446</v>
      </c>
      <c r="W27" s="23" t="s">
        <v>15</v>
      </c>
      <c r="X27" s="9">
        <f>DEGREES(ATAN((H24/L8)-TAN(RADIANS(X29))))</f>
        <v>30.234138320750176</v>
      </c>
    </row>
    <row r="28" spans="1:26" ht="16.8" customHeight="1" x14ac:dyDescent="0.4">
      <c r="B28" s="23" t="s">
        <v>56</v>
      </c>
      <c r="C28" s="9">
        <f>DEGREES(ATAN(C26/L8))</f>
        <v>36.414440582375235</v>
      </c>
      <c r="F28" s="85" t="str">
        <f t="shared" si="2"/>
        <v>alpha2[degree]</v>
      </c>
      <c r="G28" s="85"/>
      <c r="H28" s="9">
        <f>DEGREES(ATAN((H24/L8)-TAN(RADIANS(H30))))</f>
        <v>44.556405398215773</v>
      </c>
      <c r="K28" s="23" t="s">
        <v>56</v>
      </c>
      <c r="L28" s="9">
        <f>DEGREES(ATAN((H24/L8)-TAN(RADIANS(L30))))</f>
        <v>49.535642603619472</v>
      </c>
      <c r="O28" s="23" t="s">
        <v>56</v>
      </c>
      <c r="P28" s="9">
        <f>DEGREES(ATAN((H24/L8)-TAN(RADIANS(P30))))</f>
        <v>49.996213091245593</v>
      </c>
      <c r="S28" s="23" t="s">
        <v>56</v>
      </c>
      <c r="T28" s="9">
        <f>DEGREES(ATAN((H24/L8)-TAN(RADIANS(T30))))</f>
        <v>49.996213091245593</v>
      </c>
      <c r="W28" s="23" t="s">
        <v>56</v>
      </c>
      <c r="X28" s="9">
        <f>DEGREES(ATAN((H24/L8)-TAN(RADIANS(X30))))</f>
        <v>48.293976145909475</v>
      </c>
    </row>
    <row r="29" spans="1:26" ht="16.8" customHeight="1" x14ac:dyDescent="0.4">
      <c r="B29" s="23" t="s">
        <v>57</v>
      </c>
      <c r="C29" s="9">
        <f>DEGREES(ATAN((C24-C25)/L8))</f>
        <v>55.166175194426579</v>
      </c>
      <c r="F29" s="85" t="str">
        <f t="shared" si="2"/>
        <v>beta1[degree]</v>
      </c>
      <c r="G29" s="85"/>
      <c r="H29" s="9">
        <f>DEGREES(ATAN(0.5*((C13*H22/(H23*H24*L8))+(2*H39*H24/L8))))</f>
        <v>52.970500295258475</v>
      </c>
      <c r="K29" s="23" t="s">
        <v>57</v>
      </c>
      <c r="L29" s="9">
        <f>DEGREES(ATAN(0.5*((C13*L22/(L23*L24*L8))+(2*L39*L24/L8))))</f>
        <v>49.535642603619472</v>
      </c>
      <c r="O29" s="23" t="s">
        <v>57</v>
      </c>
      <c r="P29" s="9">
        <f>DEGREES(ATAN(0.5*((C13*P22/(P23*P24*L8))+(2*P39*P24/L8))))</f>
        <v>49.996213091245593</v>
      </c>
      <c r="S29" s="23" t="s">
        <v>57</v>
      </c>
      <c r="T29" s="9">
        <f>DEGREES(ATAN(0.5*((C13*T22/(T23*T24*L8))+(2*T39*H24/L8))))</f>
        <v>49.996213091245593</v>
      </c>
      <c r="W29" s="23" t="s">
        <v>57</v>
      </c>
      <c r="X29" s="9">
        <f>DEGREES(ATAN(0.5*((C13*X22/(X23*X24*L8))+(2*X39*H24/L8))))</f>
        <v>48.293976145909475</v>
      </c>
    </row>
    <row r="30" spans="1:26" ht="16.8" customHeight="1" x14ac:dyDescent="0.4">
      <c r="B30" s="12" t="s">
        <v>58</v>
      </c>
      <c r="C30" s="9">
        <f>DEGREES(ATAN((C24-C26)/L8))</f>
        <v>44.047641473299876</v>
      </c>
      <c r="F30" s="85" t="str">
        <f t="shared" si="2"/>
        <v>beta2[degree]</v>
      </c>
      <c r="G30" s="85"/>
      <c r="H30" s="9">
        <f>DEGREES(ATAN((2*H39*H24/L8)-TAN(RADIANS(H29))))</f>
        <v>35.765786551884815</v>
      </c>
      <c r="K30" s="12" t="s">
        <v>58</v>
      </c>
      <c r="L30" s="9">
        <f>DEGREES(ATAN((2*L39*L24/L8)-TAN(RADIANS(L29))))</f>
        <v>28.040842779188601</v>
      </c>
      <c r="O30" s="12" t="s">
        <v>58</v>
      </c>
      <c r="P30" s="9">
        <f>DEGREES(ATAN((2*P39*P24/L8)-TAN(RADIANS(P29))))</f>
        <v>27.173970648414446</v>
      </c>
      <c r="S30" s="12" t="s">
        <v>58</v>
      </c>
      <c r="T30" s="9">
        <f>DEGREES(ATAN((2*T39*H24/L8)-TAN(RADIANS(T29))))</f>
        <v>27.173970648414446</v>
      </c>
      <c r="W30" s="12" t="s">
        <v>58</v>
      </c>
      <c r="X30" s="9">
        <f>DEGREES(ATAN((2*X39*H24/L8)-TAN(RADIANS(X29))))</f>
        <v>30.234138320750176</v>
      </c>
    </row>
    <row r="31" spans="1:26" ht="16.8" customHeight="1" x14ac:dyDescent="0.4">
      <c r="B31" s="12" t="s">
        <v>51</v>
      </c>
      <c r="C31" s="16">
        <f>COS(RADIANS(C29))/COS(RADIANS(C30))</f>
        <v>0.7946973859029961</v>
      </c>
      <c r="F31" s="85" t="str">
        <f t="shared" si="2"/>
        <v>D.H.</v>
      </c>
      <c r="G31" s="85"/>
      <c r="H31" s="16">
        <f>COS(RADIANS(H29))/COS(RADIANS(H30))</f>
        <v>0.74219436144020978</v>
      </c>
      <c r="K31" s="12" t="s">
        <v>51</v>
      </c>
      <c r="L31" s="16">
        <f>COS(RADIANS(L29))/COS(RADIANS(L30))</f>
        <v>0.73528840159457287</v>
      </c>
      <c r="O31" s="12" t="s">
        <v>51</v>
      </c>
      <c r="P31" s="16">
        <f>COS(RADIANS(P29))/COS(RADIANS(P30))</f>
        <v>0.72259548136010454</v>
      </c>
      <c r="S31" s="12" t="s">
        <v>51</v>
      </c>
      <c r="T31" s="16">
        <f>COS(RADIANS(T29))/COS(RADIANS(T30))</f>
        <v>0.72259548136010454</v>
      </c>
      <c r="W31" s="12" t="s">
        <v>51</v>
      </c>
      <c r="X31" s="16">
        <f>COS(RADIANS(X29))/COS(RADIANS(X30))</f>
        <v>0.7700557293503365</v>
      </c>
    </row>
    <row r="32" spans="1:26" ht="16.8" customHeight="1" x14ac:dyDescent="0.4">
      <c r="B32" s="12" t="s">
        <v>52</v>
      </c>
      <c r="C32" s="16">
        <f>(1+0.9*(C22/C35))^(C12/(C12-1))</f>
        <v>1.2415990548118103</v>
      </c>
      <c r="F32" s="85" t="str">
        <f t="shared" si="2"/>
        <v>Pressure Ratio</v>
      </c>
      <c r="G32" s="85"/>
      <c r="H32" s="16">
        <f>(1+0.9*(H22/H35))^(C12/(C12-1))</f>
        <v>1.278997808354331</v>
      </c>
      <c r="K32" s="12" t="s">
        <v>52</v>
      </c>
      <c r="L32" s="16">
        <f>(1+0.9*(L22/L35))^(C12/(C12-1))</f>
        <v>1.2563867907871082</v>
      </c>
      <c r="O32" s="12" t="s">
        <v>52</v>
      </c>
      <c r="P32" s="16">
        <f>(1+0.9*(P22/P35))^(C12/(C12-1))</f>
        <v>1.237155657117031</v>
      </c>
      <c r="S32" s="12" t="s">
        <v>52</v>
      </c>
      <c r="T32" s="16">
        <f>(1+0.9*(T22/T35))^(C12/(C12-1))</f>
        <v>1.2206009733495329</v>
      </c>
      <c r="W32" s="12" t="s">
        <v>52</v>
      </c>
      <c r="X32" s="16">
        <f>X34/X33</f>
        <v>1.1617039117178733</v>
      </c>
    </row>
    <row r="33" spans="2:24" ht="16.8" customHeight="1" x14ac:dyDescent="0.4">
      <c r="B33" s="12" t="s">
        <v>6</v>
      </c>
      <c r="C33" s="4">
        <f>C9</f>
        <v>100</v>
      </c>
      <c r="F33" s="85" t="str">
        <f t="shared" si="2"/>
        <v>P01[kPa]</v>
      </c>
      <c r="G33" s="85"/>
      <c r="H33" s="9">
        <f>C34</f>
        <v>124.15990548118103</v>
      </c>
      <c r="K33" s="12" t="s">
        <v>6</v>
      </c>
      <c r="L33" s="9">
        <f>H34</f>
        <v>158.80024699591141</v>
      </c>
      <c r="O33" s="12" t="s">
        <v>6</v>
      </c>
      <c r="P33" s="9">
        <f>L34</f>
        <v>199.51453269939327</v>
      </c>
      <c r="S33" s="12" t="s">
        <v>6</v>
      </c>
      <c r="T33" s="9">
        <f>P34</f>
        <v>246.83053280611526</v>
      </c>
      <c r="W33" s="12" t="s">
        <v>6</v>
      </c>
      <c r="X33" s="9">
        <f>T34</f>
        <v>301.28158859552809</v>
      </c>
    </row>
    <row r="34" spans="2:24" ht="16.8" customHeight="1" x14ac:dyDescent="0.4">
      <c r="B34" s="12" t="s">
        <v>59</v>
      </c>
      <c r="C34" s="9">
        <f>C32*C33</f>
        <v>124.15990548118103</v>
      </c>
      <c r="F34" s="85" t="str">
        <f t="shared" si="2"/>
        <v>P03[kPa]</v>
      </c>
      <c r="G34" s="85"/>
      <c r="H34" s="9">
        <f>H33*H32</f>
        <v>158.80024699591141</v>
      </c>
      <c r="K34" s="12" t="s">
        <v>59</v>
      </c>
      <c r="L34" s="9">
        <f>L33*L32</f>
        <v>199.51453269939327</v>
      </c>
      <c r="O34" s="12" t="s">
        <v>59</v>
      </c>
      <c r="P34" s="9">
        <f>P33*P32</f>
        <v>246.83053280611526</v>
      </c>
      <c r="S34" s="12" t="s">
        <v>59</v>
      </c>
      <c r="T34" s="9">
        <f>T33*T32</f>
        <v>301.28158859552809</v>
      </c>
      <c r="W34" s="12" t="s">
        <v>59</v>
      </c>
      <c r="X34" s="9">
        <f>T6</f>
        <v>350</v>
      </c>
    </row>
    <row r="35" spans="2:24" ht="16.8" customHeight="1" x14ac:dyDescent="0.4">
      <c r="B35" s="12" t="s">
        <v>7</v>
      </c>
      <c r="C35" s="4">
        <f>C10</f>
        <v>300</v>
      </c>
      <c r="F35" s="85" t="str">
        <f t="shared" si="2"/>
        <v>T01[k]</v>
      </c>
      <c r="G35" s="85"/>
      <c r="H35" s="9">
        <f>C36</f>
        <v>321.26</v>
      </c>
      <c r="K35" s="12" t="s">
        <v>7</v>
      </c>
      <c r="L35" s="9">
        <f>H36</f>
        <v>347.26</v>
      </c>
      <c r="O35" s="12" t="s">
        <v>7</v>
      </c>
      <c r="P35" s="9">
        <f>L36</f>
        <v>373.26</v>
      </c>
      <c r="S35" s="12" t="s">
        <v>7</v>
      </c>
      <c r="T35" s="9">
        <f>P36</f>
        <v>399.26</v>
      </c>
      <c r="W35" s="12" t="s">
        <v>7</v>
      </c>
      <c r="X35" s="9">
        <f>T36</f>
        <v>425.26</v>
      </c>
    </row>
    <row r="36" spans="2:24" ht="16.8" customHeight="1" x14ac:dyDescent="0.4">
      <c r="B36" s="12" t="s">
        <v>60</v>
      </c>
      <c r="C36" s="9">
        <f>C35+C22</f>
        <v>321.26</v>
      </c>
      <c r="F36" s="85" t="str">
        <f t="shared" si="2"/>
        <v>T03[k]</v>
      </c>
      <c r="G36" s="85"/>
      <c r="H36" s="9">
        <f>H22+H35</f>
        <v>347.26</v>
      </c>
      <c r="K36" s="12" t="s">
        <v>60</v>
      </c>
      <c r="L36" s="9">
        <f>L35+L22</f>
        <v>373.26</v>
      </c>
      <c r="O36" s="12" t="s">
        <v>60</v>
      </c>
      <c r="P36" s="9">
        <f>P22+P35</f>
        <v>399.26</v>
      </c>
      <c r="S36" s="12" t="s">
        <v>60</v>
      </c>
      <c r="T36" s="9">
        <f>T22+T35</f>
        <v>425.26</v>
      </c>
      <c r="W36" s="12" t="s">
        <v>60</v>
      </c>
      <c r="X36" s="9">
        <f>X22+X35</f>
        <v>445.93487305976726</v>
      </c>
    </row>
    <row r="37" spans="2:24" ht="16.8" customHeight="1" x14ac:dyDescent="0.4">
      <c r="B37" s="12" t="s">
        <v>63</v>
      </c>
      <c r="C37" s="16">
        <f>(C13*C22)/C24^2</f>
        <v>0.26998417203019381</v>
      </c>
      <c r="F37" s="85" t="str">
        <f t="shared" si="2"/>
        <v>psi</v>
      </c>
      <c r="G37" s="85"/>
      <c r="H37" s="16">
        <f>C37</f>
        <v>0.26998417203019381</v>
      </c>
      <c r="K37" s="12" t="s">
        <v>63</v>
      </c>
      <c r="L37" s="16">
        <f>H37</f>
        <v>0.26998417203019381</v>
      </c>
      <c r="O37" s="12" t="s">
        <v>63</v>
      </c>
      <c r="P37" s="16">
        <f>L37</f>
        <v>0.26998417203019381</v>
      </c>
      <c r="S37" s="12" t="s">
        <v>63</v>
      </c>
      <c r="T37" s="16">
        <f>P37</f>
        <v>0.26998417203019381</v>
      </c>
      <c r="W37" s="12" t="s">
        <v>63</v>
      </c>
      <c r="X37" s="16">
        <f>T37</f>
        <v>0.26998417203019381</v>
      </c>
    </row>
    <row r="38" spans="2:24" ht="16.8" customHeight="1" x14ac:dyDescent="0.4">
      <c r="B38" s="12" t="s">
        <v>62</v>
      </c>
      <c r="C38" s="16">
        <f>L8/C24</f>
        <v>0.58652757563749236</v>
      </c>
      <c r="F38" s="85" t="str">
        <f t="shared" si="2"/>
        <v>phi</v>
      </c>
      <c r="G38" s="85"/>
      <c r="H38" s="16">
        <f>C38</f>
        <v>0.58652757563749236</v>
      </c>
      <c r="K38" s="12" t="s">
        <v>62</v>
      </c>
      <c r="L38" s="16">
        <f>H38</f>
        <v>0.58652757563749236</v>
      </c>
      <c r="O38" s="12" t="s">
        <v>62</v>
      </c>
      <c r="P38" s="16">
        <f>L38</f>
        <v>0.58652757563749236</v>
      </c>
      <c r="S38" s="12" t="s">
        <v>62</v>
      </c>
      <c r="T38" s="16">
        <f>P38</f>
        <v>0.58652757563749236</v>
      </c>
      <c r="W38" s="12" t="s">
        <v>62</v>
      </c>
      <c r="X38" s="16">
        <f>T38</f>
        <v>0.58652757563749236</v>
      </c>
    </row>
    <row r="39" spans="2:24" ht="16.8" customHeight="1" x14ac:dyDescent="0.4">
      <c r="B39" s="12" t="s">
        <v>64</v>
      </c>
      <c r="C39" s="16">
        <f>1-(C26+C25)/(2*C24)</f>
        <v>0.70509338322333248</v>
      </c>
      <c r="F39" s="85" t="str">
        <f t="shared" si="2"/>
        <v>R</v>
      </c>
      <c r="G39" s="85"/>
      <c r="H39" s="4">
        <v>0.6</v>
      </c>
      <c r="K39" s="12" t="s">
        <v>64</v>
      </c>
      <c r="L39" s="16">
        <v>0.5</v>
      </c>
      <c r="O39" s="12" t="s">
        <v>64</v>
      </c>
      <c r="P39" s="16">
        <f>0.5</f>
        <v>0.5</v>
      </c>
      <c r="S39" s="12" t="s">
        <v>64</v>
      </c>
      <c r="T39" s="16">
        <f>0.5</f>
        <v>0.5</v>
      </c>
      <c r="W39" s="12" t="s">
        <v>64</v>
      </c>
      <c r="X39" s="16">
        <f>0.5</f>
        <v>0.5</v>
      </c>
    </row>
    <row r="40" spans="2:24" ht="16.8" customHeight="1" x14ac:dyDescent="0.4">
      <c r="B40" s="12" t="s">
        <v>66</v>
      </c>
      <c r="C40" s="9">
        <f>H27</f>
        <v>20.773011594258133</v>
      </c>
      <c r="F40" s="84" t="s">
        <v>66</v>
      </c>
      <c r="G40" s="84"/>
      <c r="H40" s="9">
        <f>L27</f>
        <v>28.040842779188601</v>
      </c>
      <c r="K40" s="41" t="s">
        <v>66</v>
      </c>
      <c r="L40" s="9">
        <f>P27</f>
        <v>27.173970648414446</v>
      </c>
      <c r="O40" s="41" t="s">
        <v>66</v>
      </c>
      <c r="P40" s="9">
        <f>T27</f>
        <v>27.173970648414446</v>
      </c>
      <c r="S40" s="41" t="s">
        <v>66</v>
      </c>
      <c r="T40" s="9">
        <f>X27</f>
        <v>30.234138320750176</v>
      </c>
      <c r="W40" s="41" t="s">
        <v>66</v>
      </c>
      <c r="X40" s="9">
        <f>X27</f>
        <v>30.234138320750176</v>
      </c>
    </row>
    <row r="41" spans="2:24" ht="16.8" customHeight="1" x14ac:dyDescent="0.4">
      <c r="B41" s="12" t="s">
        <v>67</v>
      </c>
      <c r="C41" s="9">
        <f>COS(RADIANS(C28))/COS(RADIANS(C40))</f>
        <v>0.86069558366992649</v>
      </c>
      <c r="F41" s="84" t="s">
        <v>67</v>
      </c>
      <c r="G41" s="84"/>
      <c r="H41" s="9">
        <f>COS(RADIANS(H28))/COS(RADIANS(H40))</f>
        <v>0.8073304162722108</v>
      </c>
      <c r="K41" s="41" t="s">
        <v>67</v>
      </c>
      <c r="L41" s="16">
        <f>COS(RADIANS(L28))/COS(RADIANS(L40))</f>
        <v>0.72949350785768197</v>
      </c>
      <c r="O41" s="41" t="s">
        <v>67</v>
      </c>
      <c r="P41" s="16">
        <f>COS(RADIANS(P28))/COS(RADIANS(P40))</f>
        <v>0.72259548136010454</v>
      </c>
      <c r="S41" s="41" t="s">
        <v>67</v>
      </c>
      <c r="T41" s="16">
        <f>COS(RADIANS(T28))/COS(RADIANS(T40))</f>
        <v>0.74404732400111429</v>
      </c>
      <c r="W41" s="41" t="s">
        <v>67</v>
      </c>
      <c r="X41" s="16">
        <f>COS(RADIANS(X28))/COS(RADIANS(X40))</f>
        <v>0.7700557293503365</v>
      </c>
    </row>
    <row r="42" spans="2:24" ht="16.8" customHeight="1" x14ac:dyDescent="0.4"/>
    <row r="43" spans="2:24" ht="16.8" customHeight="1" x14ac:dyDescent="0.45">
      <c r="B43" s="82" t="s">
        <v>87</v>
      </c>
      <c r="C43" s="83"/>
      <c r="F43" s="82" t="s">
        <v>87</v>
      </c>
      <c r="G43" s="82"/>
      <c r="H43" s="82"/>
      <c r="K43" s="82" t="s">
        <v>87</v>
      </c>
      <c r="L43" s="83"/>
      <c r="O43" s="82" t="s">
        <v>87</v>
      </c>
      <c r="P43" s="83"/>
      <c r="S43" s="82" t="s">
        <v>87</v>
      </c>
      <c r="T43" s="83"/>
      <c r="W43" s="82" t="s">
        <v>87</v>
      </c>
      <c r="X43" s="83"/>
    </row>
    <row r="44" spans="2:24" ht="16.8" customHeight="1" x14ac:dyDescent="0.45">
      <c r="B44" s="3" t="s">
        <v>3</v>
      </c>
      <c r="C44" s="21" t="s">
        <v>4</v>
      </c>
      <c r="F44" s="92" t="s">
        <v>3</v>
      </c>
      <c r="G44" s="92"/>
      <c r="H44" s="21" t="s">
        <v>4</v>
      </c>
      <c r="K44" s="3" t="s">
        <v>3</v>
      </c>
      <c r="L44" s="21" t="s">
        <v>4</v>
      </c>
      <c r="O44" s="3" t="s">
        <v>3</v>
      </c>
      <c r="P44" s="21" t="s">
        <v>4</v>
      </c>
      <c r="S44" s="3" t="s">
        <v>3</v>
      </c>
      <c r="T44" s="21" t="s">
        <v>4</v>
      </c>
      <c r="W44" s="3" t="s">
        <v>3</v>
      </c>
      <c r="X44" s="21" t="s">
        <v>4</v>
      </c>
    </row>
    <row r="45" spans="2:24" ht="16.8" customHeight="1" x14ac:dyDescent="0.4">
      <c r="B45" s="12" t="s">
        <v>69</v>
      </c>
      <c r="C45" s="9">
        <f>L8/COS(RADIANS(C40))</f>
        <v>176.4719394182095</v>
      </c>
      <c r="F45" s="84" t="s">
        <v>69</v>
      </c>
      <c r="G45" s="84"/>
      <c r="H45" s="9">
        <f>L8/COS(RADIANS(H40))</f>
        <v>186.94496253265254</v>
      </c>
      <c r="K45" s="12" t="s">
        <v>69</v>
      </c>
      <c r="L45" s="9">
        <f>L8/COS(RADIANS(L40))</f>
        <v>185.47162745736173</v>
      </c>
      <c r="O45" s="12" t="s">
        <v>69</v>
      </c>
      <c r="P45" s="9">
        <f>L8/COS(RADIANS(P40))</f>
        <v>185.47162745736173</v>
      </c>
      <c r="S45" s="12" t="s">
        <v>69</v>
      </c>
      <c r="T45" s="9">
        <f>L8/COS(RADIANS(T40))</f>
        <v>190.97776231319889</v>
      </c>
      <c r="W45" s="12" t="s">
        <v>69</v>
      </c>
      <c r="X45" s="9">
        <f>L8/COS(RADIANS(X40))</f>
        <v>190.97776231319889</v>
      </c>
    </row>
    <row r="46" spans="2:24" ht="16.8" customHeight="1" x14ac:dyDescent="0.4">
      <c r="B46" s="12" t="s">
        <v>68</v>
      </c>
      <c r="C46" s="9">
        <f>C36-C45^2/(2*C13)</f>
        <v>305.76629581988846</v>
      </c>
      <c r="F46" s="84" t="s">
        <v>68</v>
      </c>
      <c r="G46" s="84"/>
      <c r="H46" s="9">
        <f>H36-H45^2/(2*C13)</f>
        <v>329.87272685754482</v>
      </c>
      <c r="K46" s="12" t="s">
        <v>68</v>
      </c>
      <c r="L46" s="9">
        <f>L36-L45^2/(2*C13)</f>
        <v>356.14570915836697</v>
      </c>
      <c r="O46" s="12" t="s">
        <v>68</v>
      </c>
      <c r="P46" s="9">
        <f>P36-P45^2/(2*C13)</f>
        <v>382.14570915836697</v>
      </c>
      <c r="S46" s="12" t="s">
        <v>68</v>
      </c>
      <c r="T46" s="9">
        <f>T36-T45^2/(2*C13)</f>
        <v>407.11447477703643</v>
      </c>
      <c r="W46" s="12" t="s">
        <v>68</v>
      </c>
      <c r="X46" s="9">
        <f>X36-X45^2/(2*C13)</f>
        <v>427.7893478368037</v>
      </c>
    </row>
    <row r="47" spans="2:24" ht="16.8" customHeight="1" x14ac:dyDescent="0.4">
      <c r="B47" s="12" t="s">
        <v>70</v>
      </c>
      <c r="C47" s="9">
        <f>C34*(C46/C36)^(C12/(C12-1))</f>
        <v>104.43515674897766</v>
      </c>
      <c r="F47" s="84" t="s">
        <v>70</v>
      </c>
      <c r="G47" s="84"/>
      <c r="H47" s="9">
        <f>H34*(H46/H36)^(C12/(C12-1))</f>
        <v>132.66976114694114</v>
      </c>
      <c r="K47" s="12" t="s">
        <v>70</v>
      </c>
      <c r="L47" s="9">
        <f>L34*(L46/L36)^(C12/(C12-1))</f>
        <v>169.29006098738913</v>
      </c>
      <c r="O47" s="12" t="s">
        <v>70</v>
      </c>
      <c r="P47" s="9">
        <f>P34*(P46/P36)^(C12/(C12-1))</f>
        <v>211.74103356042929</v>
      </c>
      <c r="S47" s="12" t="s">
        <v>70</v>
      </c>
      <c r="T47" s="9">
        <f>T34*(T46/T36)^(C12/(C12-1))</f>
        <v>258.6363864975612</v>
      </c>
      <c r="W47" s="12" t="s">
        <v>70</v>
      </c>
      <c r="X47" s="9">
        <f>X34*(X46/X36)^(C12/(C12-1))</f>
        <v>302.63761003419569</v>
      </c>
    </row>
    <row r="48" spans="2:24" ht="16.8" customHeight="1" x14ac:dyDescent="0.4">
      <c r="B48" s="12" t="s">
        <v>71</v>
      </c>
      <c r="C48" s="8">
        <f>C47*1000/(287*C46)</f>
        <v>1.1900774171644959</v>
      </c>
      <c r="F48" s="84" t="s">
        <v>71</v>
      </c>
      <c r="G48" s="84"/>
      <c r="H48" s="8">
        <f>H47*1000/(287*H46)</f>
        <v>1.4013403912636109</v>
      </c>
      <c r="K48" s="12" t="s">
        <v>71</v>
      </c>
      <c r="L48" s="8">
        <f>L47*1000/(287*L46)</f>
        <v>1.6562345818267916</v>
      </c>
      <c r="O48" s="12" t="s">
        <v>71</v>
      </c>
      <c r="P48" s="8">
        <f>P47*1000/(287*P46)</f>
        <v>1.9306081905876176</v>
      </c>
      <c r="S48" s="12" t="s">
        <v>71</v>
      </c>
      <c r="T48" s="8">
        <f>T47*1000/(287*T46)</f>
        <v>2.2135594144184094</v>
      </c>
      <c r="W48" s="12" t="s">
        <v>71</v>
      </c>
      <c r="X48" s="8">
        <f>X47*1000/(287*X46)</f>
        <v>2.4649665809688504</v>
      </c>
    </row>
    <row r="49" spans="2:24" ht="16.8" customHeight="1" x14ac:dyDescent="0.4">
      <c r="B49" s="12" t="s">
        <v>72</v>
      </c>
      <c r="C49" s="25">
        <f>C8/(C48*L8)</f>
        <v>0.10185229924026609</v>
      </c>
      <c r="F49" s="84" t="s">
        <v>72</v>
      </c>
      <c r="G49" s="84"/>
      <c r="H49" s="25">
        <f>C8/(H48*L8)</f>
        <v>8.6497272160136848E-2</v>
      </c>
      <c r="K49" s="12" t="s">
        <v>72</v>
      </c>
      <c r="L49" s="25">
        <f>C8/(L48*L8)</f>
        <v>7.3185358247034552E-2</v>
      </c>
      <c r="O49" s="12" t="s">
        <v>72</v>
      </c>
      <c r="P49" s="25">
        <f>C8/(P48*L8)</f>
        <v>6.2784422962189959E-2</v>
      </c>
      <c r="S49" s="12" t="s">
        <v>72</v>
      </c>
      <c r="T49" s="25">
        <f>C8/(T48*L8)</f>
        <v>5.4758919242277708E-2</v>
      </c>
      <c r="W49" s="12" t="s">
        <v>72</v>
      </c>
      <c r="X49" s="25">
        <f>C8/(X48*L8)</f>
        <v>4.9173940996992759E-2</v>
      </c>
    </row>
    <row r="50" spans="2:24" ht="16.8" customHeight="1" x14ac:dyDescent="0.4">
      <c r="B50" s="12" t="s">
        <v>73</v>
      </c>
      <c r="C50" s="25">
        <f>C49/(2*3.14*P8)</f>
        <v>9.0513912343178293E-2</v>
      </c>
      <c r="F50" s="84" t="s">
        <v>73</v>
      </c>
      <c r="G50" s="84"/>
      <c r="H50" s="25">
        <f>H49/(2*3.14*P8)</f>
        <v>7.6868235362638523E-2</v>
      </c>
      <c r="K50" s="12" t="s">
        <v>73</v>
      </c>
      <c r="L50" s="25">
        <f>L49/(2*3.14*P8)</f>
        <v>6.5038228401203838E-2</v>
      </c>
      <c r="O50" s="12" t="s">
        <v>73</v>
      </c>
      <c r="P50" s="25">
        <f>P49/(2*3.14*P8)</f>
        <v>5.5795144526988159E-2</v>
      </c>
      <c r="S50" s="12" t="s">
        <v>73</v>
      </c>
      <c r="T50" s="25">
        <f>T49/(2*3.14*P8)</f>
        <v>4.8663054769246018E-2</v>
      </c>
      <c r="W50" s="12" t="s">
        <v>73</v>
      </c>
      <c r="X50" s="25">
        <f>X49/(2*3.14*P8)</f>
        <v>4.3699806662889785E-2</v>
      </c>
    </row>
    <row r="51" spans="2:24" ht="16.8" customHeight="1" x14ac:dyDescent="0.4">
      <c r="B51" s="12" t="s">
        <v>74</v>
      </c>
      <c r="C51" s="25">
        <f>P8+C50/2</f>
        <v>0.22443956542409757</v>
      </c>
      <c r="F51" s="84" t="s">
        <v>74</v>
      </c>
      <c r="G51" s="84"/>
      <c r="H51" s="25">
        <f>P8+H50/2</f>
        <v>0.21761672693382769</v>
      </c>
      <c r="K51" s="12" t="s">
        <v>74</v>
      </c>
      <c r="L51" s="25">
        <f>P8+L50/2</f>
        <v>0.21170172345311034</v>
      </c>
      <c r="O51" s="12" t="s">
        <v>74</v>
      </c>
      <c r="P51" s="25">
        <f>P8+P50/2</f>
        <v>0.20708018151600249</v>
      </c>
      <c r="S51" s="12" t="s">
        <v>74</v>
      </c>
      <c r="T51" s="25">
        <f>P8+T50/2</f>
        <v>0.20351413663713144</v>
      </c>
      <c r="W51" s="12" t="s">
        <v>74</v>
      </c>
      <c r="X51" s="25">
        <f>P8+X50/2</f>
        <v>0.20103251258395333</v>
      </c>
    </row>
    <row r="52" spans="2:24" ht="16.8" customHeight="1" x14ac:dyDescent="0.4">
      <c r="B52" s="12" t="s">
        <v>75</v>
      </c>
      <c r="C52" s="25">
        <f>P8-C50/2</f>
        <v>0.13392565308091928</v>
      </c>
      <c r="F52" s="84" t="s">
        <v>75</v>
      </c>
      <c r="G52" s="84"/>
      <c r="H52" s="25">
        <f>P8-H50/2</f>
        <v>0.14074849157118915</v>
      </c>
      <c r="K52" s="12" t="s">
        <v>75</v>
      </c>
      <c r="L52" s="25">
        <f>P8-L50/2</f>
        <v>0.14666349505190651</v>
      </c>
      <c r="O52" s="12" t="s">
        <v>75</v>
      </c>
      <c r="P52" s="25">
        <f>P8-P50/2</f>
        <v>0.15128503698901435</v>
      </c>
      <c r="S52" s="12" t="s">
        <v>75</v>
      </c>
      <c r="T52" s="25">
        <f>P8-T50/2</f>
        <v>0.1548510818678854</v>
      </c>
      <c r="W52" s="12" t="s">
        <v>75</v>
      </c>
      <c r="X52" s="25">
        <f>P8-X50/2</f>
        <v>0.15733270592106352</v>
      </c>
    </row>
    <row r="53" spans="2:24" ht="16.8" customHeight="1" x14ac:dyDescent="0.4">
      <c r="B53" s="12" t="s">
        <v>76</v>
      </c>
      <c r="C53" s="25">
        <f>P6</f>
        <v>0.22397826156563552</v>
      </c>
      <c r="F53" s="84" t="s">
        <v>76</v>
      </c>
      <c r="G53" s="84"/>
      <c r="H53" s="25">
        <f>C51</f>
        <v>0.22443956542409757</v>
      </c>
      <c r="K53" s="12" t="s">
        <v>76</v>
      </c>
      <c r="L53" s="25">
        <f>H51</f>
        <v>0.21761672693382769</v>
      </c>
      <c r="O53" s="12" t="s">
        <v>76</v>
      </c>
      <c r="P53" s="25">
        <f>L51</f>
        <v>0.21170172345311034</v>
      </c>
      <c r="S53" s="12" t="s">
        <v>76</v>
      </c>
      <c r="T53" s="25">
        <f>P51</f>
        <v>0.20708018151600249</v>
      </c>
      <c r="W53" s="12" t="s">
        <v>76</v>
      </c>
      <c r="X53" s="25">
        <f>T51</f>
        <v>0.20351413663713144</v>
      </c>
    </row>
    <row r="54" spans="2:24" ht="16.8" customHeight="1" x14ac:dyDescent="0.4">
      <c r="B54" s="12" t="s">
        <v>79</v>
      </c>
      <c r="C54" s="25">
        <f>P7</f>
        <v>0.13438695693938132</v>
      </c>
      <c r="F54" s="84" t="s">
        <v>79</v>
      </c>
      <c r="G54" s="84"/>
      <c r="H54" s="25">
        <f>C52</f>
        <v>0.13392565308091928</v>
      </c>
      <c r="K54" s="12" t="s">
        <v>79</v>
      </c>
      <c r="L54" s="25">
        <f>H52</f>
        <v>0.14074849157118915</v>
      </c>
      <c r="O54" s="12" t="s">
        <v>79</v>
      </c>
      <c r="P54" s="25">
        <f>L52</f>
        <v>0.14666349505190651</v>
      </c>
      <c r="S54" s="12" t="s">
        <v>79</v>
      </c>
      <c r="T54" s="25">
        <f>P52</f>
        <v>0.15128503698901435</v>
      </c>
      <c r="W54" s="12" t="s">
        <v>79</v>
      </c>
      <c r="X54" s="25">
        <f>T52</f>
        <v>0.1548510818678854</v>
      </c>
    </row>
    <row r="55" spans="2:24" ht="16.8" customHeight="1" x14ac:dyDescent="0.4">
      <c r="B55" s="12" t="s">
        <v>77</v>
      </c>
      <c r="C55" s="25">
        <f>(C51+C53)/2</f>
        <v>0.22420891349486655</v>
      </c>
      <c r="F55" s="84" t="s">
        <v>77</v>
      </c>
      <c r="G55" s="84"/>
      <c r="H55" s="25">
        <f>(H51+H53)/2</f>
        <v>0.22102814617896263</v>
      </c>
      <c r="K55" s="12" t="s">
        <v>77</v>
      </c>
      <c r="L55" s="25">
        <f>(L51+L53)/2</f>
        <v>0.21465922519346903</v>
      </c>
      <c r="O55" s="12" t="s">
        <v>77</v>
      </c>
      <c r="P55" s="25">
        <f>(P51+P53)/2</f>
        <v>0.20939095248455641</v>
      </c>
      <c r="S55" s="12" t="s">
        <v>77</v>
      </c>
      <c r="T55" s="25">
        <f>(T51+T53)/2</f>
        <v>0.20529715907656698</v>
      </c>
      <c r="W55" s="12" t="s">
        <v>77</v>
      </c>
      <c r="X55" s="25">
        <f>(X51+X53)/2</f>
        <v>0.20227332461054237</v>
      </c>
    </row>
    <row r="56" spans="2:24" ht="16.8" customHeight="1" x14ac:dyDescent="0.4">
      <c r="B56" s="12" t="s">
        <v>78</v>
      </c>
      <c r="C56" s="25">
        <f>(C52+C54)/2</f>
        <v>0.1341563050101503</v>
      </c>
      <c r="F56" s="84" t="s">
        <v>78</v>
      </c>
      <c r="G56" s="84"/>
      <c r="H56" s="25">
        <f>(H52+H54)/2</f>
        <v>0.13733707232605422</v>
      </c>
      <c r="K56" s="12" t="s">
        <v>78</v>
      </c>
      <c r="L56" s="25">
        <f>(L52+L54)/2</f>
        <v>0.14370599331154782</v>
      </c>
      <c r="O56" s="12" t="s">
        <v>78</v>
      </c>
      <c r="P56" s="25">
        <f>(P52+P54)/2</f>
        <v>0.14897426602046043</v>
      </c>
      <c r="S56" s="12" t="s">
        <v>78</v>
      </c>
      <c r="T56" s="25">
        <f>(T52+T54)/2</f>
        <v>0.15306805942844987</v>
      </c>
      <c r="W56" s="12" t="s">
        <v>78</v>
      </c>
      <c r="X56" s="25">
        <f>(X52+X54)/2</f>
        <v>0.15609189389447448</v>
      </c>
    </row>
    <row r="57" spans="2:24" ht="16.8" customHeight="1" x14ac:dyDescent="0.4">
      <c r="B57" s="12" t="s">
        <v>80</v>
      </c>
      <c r="C57" s="9">
        <f>C24*(1-C39)</f>
        <v>82.962155215400401</v>
      </c>
      <c r="F57" s="84" t="s">
        <v>80</v>
      </c>
      <c r="G57" s="84"/>
      <c r="H57" s="9">
        <f>H24*(1-H39)</f>
        <v>112.5266786105753</v>
      </c>
      <c r="K57" s="12" t="s">
        <v>80</v>
      </c>
      <c r="L57" s="9">
        <f>L24*(1-L39)</f>
        <v>140.65834826321912</v>
      </c>
      <c r="O57" s="12" t="s">
        <v>80</v>
      </c>
      <c r="P57" s="9">
        <f>P24*(1-P39)</f>
        <v>140.65834826321912</v>
      </c>
      <c r="S57" s="12" t="s">
        <v>80</v>
      </c>
      <c r="T57" s="9">
        <f>T24*(1-T39)</f>
        <v>140.65834826321912</v>
      </c>
      <c r="W57" s="12" t="s">
        <v>80</v>
      </c>
      <c r="X57" s="9">
        <f>X24*(1-X39)</f>
        <v>140.65834826321912</v>
      </c>
    </row>
    <row r="58" spans="2:24" ht="16.8" customHeight="1" x14ac:dyDescent="0.4">
      <c r="B58" s="12" t="s">
        <v>81</v>
      </c>
      <c r="C58" s="9">
        <f>(C26-C25)/2</f>
        <v>38.750538464265162</v>
      </c>
      <c r="F58" s="84" t="s">
        <v>81</v>
      </c>
      <c r="G58" s="84"/>
      <c r="H58" s="9">
        <f>(H26-H25)/2</f>
        <v>49.937978336290925</v>
      </c>
      <c r="K58" s="12" t="s">
        <v>81</v>
      </c>
      <c r="L58" s="9">
        <f>(L26-L25)/2</f>
        <v>52.775363469034652</v>
      </c>
      <c r="O58" s="12" t="s">
        <v>81</v>
      </c>
      <c r="P58" s="9">
        <f>(P26-P25)/2</f>
        <v>55.954602232229568</v>
      </c>
      <c r="S58" s="12" t="s">
        <v>81</v>
      </c>
      <c r="T58" s="9">
        <f>(T26-T25)/2</f>
        <v>55.954602232229568</v>
      </c>
      <c r="W58" s="12" t="s">
        <v>81</v>
      </c>
      <c r="X58" s="9">
        <f>(X26-X25)/2</f>
        <v>44.494396086966027</v>
      </c>
    </row>
    <row r="59" spans="2:24" ht="16.8" customHeight="1" x14ac:dyDescent="0.4"/>
    <row r="60" spans="2:24" ht="16.8" customHeight="1" x14ac:dyDescent="0.4"/>
    <row r="61" spans="2:24" ht="16.2" customHeight="1" x14ac:dyDescent="0.4"/>
    <row r="62" spans="2:24" ht="16.2" customHeight="1" x14ac:dyDescent="0.4"/>
    <row r="63" spans="2:24" ht="16.2" customHeight="1" x14ac:dyDescent="0.4"/>
    <row r="64" spans="2:24" ht="16.2" customHeight="1" x14ac:dyDescent="0.4"/>
    <row r="65" spans="2:2" x14ac:dyDescent="0.4">
      <c r="B65" s="42"/>
    </row>
    <row r="66" spans="2:2" x14ac:dyDescent="0.4">
      <c r="B66" s="42"/>
    </row>
  </sheetData>
  <mergeCells count="56">
    <mergeCell ref="K43:L43"/>
    <mergeCell ref="O43:P43"/>
    <mergeCell ref="S43:T43"/>
    <mergeCell ref="W43:X43"/>
    <mergeCell ref="F58:G58"/>
    <mergeCell ref="F43:H43"/>
    <mergeCell ref="F49:G49"/>
    <mergeCell ref="F50:G50"/>
    <mergeCell ref="F51:G51"/>
    <mergeCell ref="F52:G52"/>
    <mergeCell ref="F54:G54"/>
    <mergeCell ref="F55:G55"/>
    <mergeCell ref="F56:G56"/>
    <mergeCell ref="F57:G57"/>
    <mergeCell ref="F53:G53"/>
    <mergeCell ref="F48:G48"/>
    <mergeCell ref="F44:G44"/>
    <mergeCell ref="F45:G45"/>
    <mergeCell ref="F46:G46"/>
    <mergeCell ref="F47:G47"/>
    <mergeCell ref="F38:G38"/>
    <mergeCell ref="F20:H20"/>
    <mergeCell ref="F31:G31"/>
    <mergeCell ref="F32:G32"/>
    <mergeCell ref="F33:G33"/>
    <mergeCell ref="F34:G34"/>
    <mergeCell ref="F35:G35"/>
    <mergeCell ref="F26:G26"/>
    <mergeCell ref="F27:G27"/>
    <mergeCell ref="F28:G28"/>
    <mergeCell ref="F29:G29"/>
    <mergeCell ref="F30:G30"/>
    <mergeCell ref="B17:C17"/>
    <mergeCell ref="B2:C2"/>
    <mergeCell ref="F2:G2"/>
    <mergeCell ref="F11:G11"/>
    <mergeCell ref="F12:G12"/>
    <mergeCell ref="F13:G13"/>
    <mergeCell ref="F14:G14"/>
    <mergeCell ref="F17:G17"/>
    <mergeCell ref="S20:T20"/>
    <mergeCell ref="W20:X20"/>
    <mergeCell ref="B43:C43"/>
    <mergeCell ref="K20:L20"/>
    <mergeCell ref="F40:G40"/>
    <mergeCell ref="F41:G41"/>
    <mergeCell ref="O20:P20"/>
    <mergeCell ref="F39:G39"/>
    <mergeCell ref="F23:G23"/>
    <mergeCell ref="F22:G22"/>
    <mergeCell ref="F25:G25"/>
    <mergeCell ref="F24:G24"/>
    <mergeCell ref="B20:C20"/>
    <mergeCell ref="F21:G21"/>
    <mergeCell ref="F36:G36"/>
    <mergeCell ref="F37:G37"/>
  </mergeCells>
  <pageMargins left="0.7" right="0.7" top="0.75" bottom="0.75" header="0.3" footer="0.3"/>
  <pageSetup paperSize="9" orientation="portrait" horizontalDpi="300" verticalDpi="300" r:id="rId1"/>
  <ignoredErrors>
    <ignoredError sqref="H34 P34 L34 T34 X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0"/>
  <sheetViews>
    <sheetView tabSelected="1" topLeftCell="AT1" zoomScale="75" zoomScaleNormal="40" workbookViewId="0">
      <selection activeCell="AB49" sqref="AB49"/>
    </sheetView>
  </sheetViews>
  <sheetFormatPr defaultRowHeight="14.4" x14ac:dyDescent="0.3"/>
  <cols>
    <col min="1" max="1" width="8.88671875" style="44"/>
    <col min="2" max="2" width="8.88671875" style="44" customWidth="1"/>
    <col min="3" max="3" width="19.109375" style="44" customWidth="1"/>
    <col min="4" max="4" width="12.88671875" style="44" customWidth="1"/>
    <col min="5" max="6" width="19.109375" style="44" customWidth="1"/>
    <col min="7" max="7" width="14" style="44" customWidth="1"/>
    <col min="8" max="8" width="11" style="44" customWidth="1"/>
    <col min="9" max="10" width="8.88671875" style="44"/>
    <col min="11" max="11" width="8.88671875" style="44" customWidth="1"/>
    <col min="12" max="13" width="12.77734375" style="44" customWidth="1"/>
    <col min="14" max="14" width="9.77734375" style="44" customWidth="1"/>
    <col min="15" max="16" width="12.88671875" style="44" customWidth="1"/>
    <col min="17" max="17" width="8.88671875" style="44" customWidth="1"/>
    <col min="18" max="20" width="8.88671875" style="44"/>
    <col min="21" max="22" width="10.77734375" style="44" customWidth="1"/>
    <col min="23" max="23" width="10.88671875" style="44" customWidth="1"/>
    <col min="24" max="26" width="10.77734375" style="44" customWidth="1"/>
    <col min="27" max="29" width="8.88671875" style="44"/>
    <col min="30" max="30" width="10.77734375" style="44" customWidth="1"/>
    <col min="31" max="31" width="50.77734375" style="44" customWidth="1"/>
    <col min="32" max="32" width="51.5546875" style="44" customWidth="1"/>
    <col min="33" max="34" width="8.88671875" style="44" customWidth="1"/>
    <col min="35" max="35" width="10.77734375" style="44" customWidth="1"/>
    <col min="36" max="36" width="16" style="44" customWidth="1"/>
    <col min="37" max="37" width="10.77734375" style="44" customWidth="1"/>
    <col min="38" max="38" width="16" style="44" customWidth="1"/>
    <col min="39" max="39" width="13.88671875" style="44" customWidth="1"/>
    <col min="40" max="40" width="14.77734375" style="44" customWidth="1"/>
    <col min="41" max="42" width="22.88671875" style="44" customWidth="1"/>
    <col min="43" max="43" width="11.77734375" style="44" customWidth="1"/>
    <col min="44" max="44" width="12.77734375" style="44" customWidth="1"/>
    <col min="45" max="45" width="12.88671875" style="44" customWidth="1"/>
    <col min="46" max="47" width="8.88671875" style="44"/>
    <col min="48" max="49" width="8.88671875" style="44" customWidth="1"/>
    <col min="50" max="55" width="8.88671875" style="44"/>
    <col min="56" max="56" width="9.6640625" style="44" customWidth="1"/>
    <col min="57" max="57" width="9.77734375" style="44" customWidth="1"/>
    <col min="58" max="58" width="10.88671875" style="44" customWidth="1"/>
    <col min="59" max="59" width="10.77734375" style="44" customWidth="1"/>
    <col min="60" max="63" width="10.88671875" style="44" customWidth="1"/>
    <col min="64" max="65" width="8.88671875" style="44"/>
    <col min="66" max="66" width="11.21875" style="44" customWidth="1"/>
    <col min="67" max="16384" width="8.88671875" style="44"/>
  </cols>
  <sheetData>
    <row r="1" spans="1:68" x14ac:dyDescent="0.3">
      <c r="A1" s="110"/>
      <c r="B1" s="110"/>
      <c r="C1" s="110"/>
      <c r="D1" s="110"/>
      <c r="E1" s="110"/>
      <c r="F1" s="110"/>
      <c r="G1" s="110"/>
      <c r="H1" s="11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43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</row>
    <row r="2" spans="1:68" ht="24.6" customHeight="1" x14ac:dyDescent="0.65">
      <c r="A2" s="18"/>
      <c r="B2" s="103" t="s">
        <v>42</v>
      </c>
      <c r="C2" s="112"/>
      <c r="D2" s="112"/>
      <c r="E2" s="112"/>
      <c r="F2" s="112"/>
      <c r="G2" s="112"/>
      <c r="H2" s="18"/>
      <c r="I2" s="18"/>
      <c r="J2" s="18"/>
      <c r="K2" s="97" t="s">
        <v>99</v>
      </c>
      <c r="L2" s="97"/>
      <c r="M2" s="97"/>
      <c r="N2" s="97"/>
      <c r="O2" s="97"/>
      <c r="P2" s="97"/>
      <c r="Q2" s="97"/>
      <c r="R2" s="97"/>
      <c r="S2" s="18"/>
      <c r="T2" s="18"/>
      <c r="U2" s="97" t="s">
        <v>108</v>
      </c>
      <c r="V2" s="109"/>
      <c r="W2" s="109"/>
      <c r="X2" s="109"/>
      <c r="Y2" s="109"/>
      <c r="Z2" s="109"/>
      <c r="AA2" s="18"/>
      <c r="AB2" s="18"/>
      <c r="AC2" s="18"/>
      <c r="AD2" s="88" t="s">
        <v>114</v>
      </c>
      <c r="AE2" s="88"/>
      <c r="AF2" s="88"/>
      <c r="AG2" s="18"/>
      <c r="AH2" s="18"/>
      <c r="AI2" s="88" t="s">
        <v>42</v>
      </c>
      <c r="AJ2" s="98"/>
      <c r="AK2" s="98"/>
      <c r="AL2" s="98"/>
      <c r="AM2" s="98"/>
      <c r="AN2" s="98"/>
      <c r="AO2" s="98"/>
      <c r="AP2" s="98"/>
      <c r="AQ2" s="18"/>
      <c r="AR2" s="18"/>
      <c r="AS2" s="18"/>
      <c r="AT2" s="18"/>
      <c r="AU2" s="88" t="s">
        <v>151</v>
      </c>
      <c r="AV2" s="88"/>
      <c r="AW2" s="88"/>
      <c r="AX2" s="88"/>
      <c r="AY2" s="88"/>
      <c r="AZ2" s="88"/>
      <c r="BA2" s="88"/>
      <c r="BB2" s="88"/>
      <c r="BC2" s="18"/>
      <c r="BD2" s="97" t="s">
        <v>163</v>
      </c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</row>
    <row r="3" spans="1:68" ht="16.8" x14ac:dyDescent="0.4">
      <c r="A3" s="111"/>
      <c r="B3" s="111"/>
      <c r="C3" s="111"/>
      <c r="D3" s="111"/>
      <c r="E3" s="111"/>
      <c r="F3" s="111"/>
      <c r="G3" s="111"/>
      <c r="H3" s="111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61"/>
      <c r="AE3" s="61"/>
      <c r="AF3" s="61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</row>
    <row r="4" spans="1:68" ht="16.8" x14ac:dyDescent="0.4">
      <c r="AD4" s="45"/>
      <c r="AE4" s="45"/>
      <c r="AF4" s="45"/>
    </row>
    <row r="5" spans="1:68" ht="19.2" x14ac:dyDescent="0.45">
      <c r="A5" s="45"/>
      <c r="B5" s="101" t="s">
        <v>88</v>
      </c>
      <c r="C5" s="101"/>
      <c r="D5" s="101"/>
      <c r="E5" s="101"/>
      <c r="F5" s="101"/>
      <c r="G5" s="101"/>
      <c r="H5" s="101"/>
      <c r="K5" s="105" t="s">
        <v>100</v>
      </c>
      <c r="L5" s="106"/>
      <c r="M5" s="106"/>
      <c r="N5" s="106"/>
      <c r="O5" s="106"/>
      <c r="P5" s="106"/>
      <c r="Q5" s="106"/>
      <c r="R5" s="107"/>
      <c r="U5" s="99" t="s">
        <v>100</v>
      </c>
      <c r="V5" s="99"/>
      <c r="W5" s="99"/>
      <c r="X5" s="99"/>
      <c r="Y5" s="99"/>
      <c r="Z5" s="99"/>
      <c r="AA5" s="99"/>
      <c r="AD5" s="93" t="s">
        <v>100</v>
      </c>
      <c r="AE5" s="93"/>
      <c r="AF5" s="93"/>
      <c r="AG5" s="57"/>
      <c r="AH5" s="57"/>
      <c r="AI5" s="99" t="s">
        <v>121</v>
      </c>
      <c r="AJ5" s="99"/>
      <c r="AK5" s="99"/>
      <c r="AL5" s="99"/>
      <c r="AM5" s="99"/>
      <c r="AN5" s="99"/>
      <c r="AO5" s="99"/>
      <c r="AP5" s="99"/>
      <c r="AQ5" s="99"/>
      <c r="AR5" s="99"/>
      <c r="AU5" s="75" t="s">
        <v>150</v>
      </c>
      <c r="AV5" s="93" t="s">
        <v>145</v>
      </c>
      <c r="AW5" s="93"/>
      <c r="AX5" s="93"/>
      <c r="AY5" s="93" t="s">
        <v>146</v>
      </c>
      <c r="AZ5" s="93"/>
      <c r="BA5" s="93"/>
      <c r="BD5" s="94" t="s">
        <v>100</v>
      </c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6"/>
    </row>
    <row r="6" spans="1:68" ht="19.2" x14ac:dyDescent="0.4">
      <c r="A6" s="45"/>
      <c r="B6" s="46" t="s">
        <v>83</v>
      </c>
      <c r="C6" s="46" t="s">
        <v>54</v>
      </c>
      <c r="D6" s="46" t="s">
        <v>22</v>
      </c>
      <c r="E6" s="46" t="s">
        <v>15</v>
      </c>
      <c r="F6" s="46" t="s">
        <v>57</v>
      </c>
      <c r="G6" s="46" t="s">
        <v>86</v>
      </c>
      <c r="H6" s="46" t="s">
        <v>85</v>
      </c>
      <c r="K6" s="47" t="s">
        <v>109</v>
      </c>
      <c r="L6" s="47" t="s">
        <v>92</v>
      </c>
      <c r="M6" s="47" t="s">
        <v>93</v>
      </c>
      <c r="N6" s="47" t="s">
        <v>94</v>
      </c>
      <c r="O6" s="47" t="s">
        <v>95</v>
      </c>
      <c r="P6" s="47" t="s">
        <v>97</v>
      </c>
      <c r="Q6" s="47" t="s">
        <v>98</v>
      </c>
      <c r="R6" s="47" t="s">
        <v>96</v>
      </c>
      <c r="U6" s="47" t="s">
        <v>109</v>
      </c>
      <c r="V6" s="48" t="s">
        <v>102</v>
      </c>
      <c r="W6" s="48" t="s">
        <v>103</v>
      </c>
      <c r="X6" s="48" t="s">
        <v>104</v>
      </c>
      <c r="Y6" s="48" t="s">
        <v>105</v>
      </c>
      <c r="Z6" s="48" t="s">
        <v>106</v>
      </c>
      <c r="AA6" s="48" t="s">
        <v>107</v>
      </c>
      <c r="AD6" s="62" t="s">
        <v>109</v>
      </c>
      <c r="AE6" s="62" t="s">
        <v>110</v>
      </c>
      <c r="AF6" s="62" t="s">
        <v>111</v>
      </c>
      <c r="AG6" s="57"/>
      <c r="AH6" s="57"/>
      <c r="AI6" s="75" t="s">
        <v>83</v>
      </c>
      <c r="AJ6" s="75" t="s">
        <v>57</v>
      </c>
      <c r="AK6" s="75" t="s">
        <v>84</v>
      </c>
      <c r="AL6" s="75" t="s">
        <v>58</v>
      </c>
      <c r="AM6" s="75" t="s">
        <v>115</v>
      </c>
      <c r="AN6" s="75" t="s">
        <v>118</v>
      </c>
      <c r="AO6" s="75" t="s">
        <v>116</v>
      </c>
      <c r="AP6" s="75" t="s">
        <v>117</v>
      </c>
      <c r="AQ6" s="75" t="s">
        <v>143</v>
      </c>
      <c r="AR6" s="75" t="s">
        <v>144</v>
      </c>
      <c r="AS6" s="76"/>
      <c r="AU6" s="75" t="s">
        <v>109</v>
      </c>
      <c r="AV6" s="75" t="s">
        <v>147</v>
      </c>
      <c r="AW6" s="75" t="s">
        <v>148</v>
      </c>
      <c r="AX6" s="75" t="s">
        <v>149</v>
      </c>
      <c r="AY6" s="75" t="s">
        <v>147</v>
      </c>
      <c r="AZ6" s="75" t="s">
        <v>148</v>
      </c>
      <c r="BA6" s="75" t="s">
        <v>149</v>
      </c>
      <c r="BD6" s="80" t="s">
        <v>109</v>
      </c>
      <c r="BE6" s="80" t="s">
        <v>158</v>
      </c>
      <c r="BF6" s="80" t="s">
        <v>152</v>
      </c>
      <c r="BG6" s="80" t="s">
        <v>153</v>
      </c>
      <c r="BH6" s="80" t="s">
        <v>154</v>
      </c>
      <c r="BI6" s="80" t="s">
        <v>155</v>
      </c>
      <c r="BJ6" s="80" t="s">
        <v>156</v>
      </c>
      <c r="BK6" s="80" t="s">
        <v>157</v>
      </c>
      <c r="BL6" s="80" t="s">
        <v>160</v>
      </c>
      <c r="BM6" s="80" t="str">
        <f t="shared" ref="BM6:BM12" si="0">BL19</f>
        <v>etta_s</v>
      </c>
      <c r="BN6" s="80" t="s">
        <v>162</v>
      </c>
      <c r="BO6" s="80" t="s">
        <v>85</v>
      </c>
    </row>
    <row r="7" spans="1:68" ht="16.8" customHeight="1" x14ac:dyDescent="0.4">
      <c r="A7" s="45"/>
      <c r="B7" s="49">
        <f>Sheet1!C56/Sheet1!P8</f>
        <v>0.74871275493646827</v>
      </c>
      <c r="C7" s="49">
        <f>Sheet1!C57-(Sheet1!C58/Sheet2!B7)</f>
        <v>31.205940019689834</v>
      </c>
      <c r="D7" s="49">
        <f>SQRT(-2*(Sheet1!C57^2*LN(Sheet2!B7)+Sheet1!C57*Sheet1!C58/Sheet2!B7-Sheet1!C57*Sheet1!C58)+Sheet1!L8^2)</f>
        <v>170.4428296847957</v>
      </c>
      <c r="E7" s="49">
        <f>DEGREES(ATAN(C7/D7))</f>
        <v>10.375226273927524</v>
      </c>
      <c r="F7" s="49">
        <f>DEGREES(ATAN((G7/D7)-TAN(RADIANS(E7))))</f>
        <v>46.469750141188946</v>
      </c>
      <c r="G7" s="49">
        <f>2*3.14*Sheet1!H12*Sheet1!P8*Sheet2!B7</f>
        <v>210.62539886593598</v>
      </c>
      <c r="H7" s="50">
        <f>1+Sheet1!C57/Sheet1!C24-2*Sheet1!C57/Sheet1!C24/Sheet2!B7</f>
        <v>0.50713690180315496</v>
      </c>
      <c r="K7" s="51">
        <v>1</v>
      </c>
      <c r="L7" s="49">
        <f>(1.55/(TAN(RADIANS(Sheet1!C29))-TAN(RADIANS(Sheet1!C30)))-1)/1.5</f>
        <v>1.533302762883727</v>
      </c>
      <c r="M7" s="52">
        <f>L7*((Sheet1!C53-Sheet1!C54)/3)</f>
        <v>4.5790198304597733E-2</v>
      </c>
      <c r="N7" s="49">
        <f>2*3.14*Sheet1!P8/Sheet2!M7</f>
        <v>24.574402989487961</v>
      </c>
      <c r="O7" s="51">
        <v>25</v>
      </c>
      <c r="P7" s="52">
        <f>2*3.14*Sheet1!P8/O7</f>
        <v>4.501067144423012E-2</v>
      </c>
      <c r="Q7" s="52">
        <f>P7/L7</f>
        <v>2.9355370989860637E-2</v>
      </c>
      <c r="R7" s="49">
        <f>(Sheet1!C53-Sheet1!C54)/Q7</f>
        <v>3.0519561363131502</v>
      </c>
      <c r="U7" s="53">
        <v>1</v>
      </c>
      <c r="V7" s="52">
        <f>(1.55/(TAN(RADIANS(F7))-TAN(RADIANS(F20)))-1)/1.5</f>
        <v>0.95522948284495823</v>
      </c>
      <c r="W7" s="52">
        <f>2*3.14*Sheet1!C54/O7</f>
        <v>3.3758003583172588E-2</v>
      </c>
      <c r="X7" s="54">
        <f>W7/V7</f>
        <v>3.5340202736028614E-2</v>
      </c>
      <c r="Y7" s="54">
        <f>(1.55/(TAN(RADIANS(F17))-TAN(RADIANS(F30)))-1)/1.5</f>
        <v>2.7337591282309357</v>
      </c>
      <c r="Z7" s="54">
        <f>2*3.14*Sheet1!C53/O7</f>
        <v>5.6263339305287652E-2</v>
      </c>
      <c r="AA7" s="54">
        <f>Z7/Y7</f>
        <v>2.0580942455488631E-2</v>
      </c>
      <c r="AD7" s="51">
        <v>1</v>
      </c>
      <c r="AE7" s="63" t="s">
        <v>135</v>
      </c>
      <c r="AF7" s="68" t="s">
        <v>124</v>
      </c>
      <c r="AG7" s="58"/>
      <c r="AH7" s="60"/>
      <c r="AI7" s="49">
        <f t="shared" ref="AI7:AI17" si="1">B7</f>
        <v>0.74871275493646827</v>
      </c>
      <c r="AJ7" s="49">
        <f t="shared" ref="AJ7:AJ17" si="2">F7</f>
        <v>46.469750141188946</v>
      </c>
      <c r="AK7" s="49">
        <f>(1-AI7)/(1-AI7)*(B20-1)+1</f>
        <v>0.74871275493646827</v>
      </c>
      <c r="AL7" s="67">
        <f>F20</f>
        <v>22.565432507553616</v>
      </c>
      <c r="AM7" s="50">
        <f>(0.23*(2*0.3)^2+AL7/500)*SQRT((1.55/(TAN(RADIANS(AJ7))-TAN(RADIANS(AL7)))-1)/1.5)</f>
        <v>0.12503430821166286</v>
      </c>
      <c r="AN7" s="49">
        <f>(AO7-AL7)/(1-AM7)</f>
        <v>27.320291364541891</v>
      </c>
      <c r="AO7" s="49">
        <f>AJ7</f>
        <v>46.469750141188946</v>
      </c>
      <c r="AP7" s="49">
        <f>AO7-AN7</f>
        <v>19.149458776647055</v>
      </c>
      <c r="AQ7" s="78">
        <f>(SQRT(1+(4*TAN(RADIANS(AN7)))^2*(0.3-0.3^2-3/16))-1)/(4*TAN(RADIANS(AN7)))</f>
        <v>2.2713404730136669E-2</v>
      </c>
      <c r="AR7" s="49">
        <f>AO7-DEGREES(ATAN(AQ7/0.3^2))</f>
        <v>32.30571214150352</v>
      </c>
      <c r="AS7" s="77"/>
      <c r="AU7" s="51">
        <v>1</v>
      </c>
      <c r="AV7" s="79">
        <f>1-(D20/COS(RADIANS(F20)))/(D7/COS(RADIANS(F7)))+(D7*TAN(RADIANS(F7))-D20*TAN(RADIANS(F20)))/(2*D7/COS(RADIANS(F7)))*(1.55/(TAN(RADIANS(F7))-TAN(RADIANS(F20)))-1)/1.5</f>
        <v>0.40045471949584699</v>
      </c>
      <c r="AW7" s="79">
        <f>1-(D25/COS(RADIANS(F25)))/(D12/COS(RADIANS(F12)))+(D12*TAN(RADIANS(F12))-D25*TAN(RADIANS(F25)))/(2*D12/COS(RADIANS(F12)))*(1.55/(TAN(RADIANS(F12))-TAN(RADIANS(F25)))-1)/1.5</f>
        <v>0.41099043354186193</v>
      </c>
      <c r="AX7" s="79">
        <f>1-(D30/COS(RADIANS(F30)))/(D17/COS(RADIANS(F17)))+(D17*TAN(RADIANS(F17))-D30*TAN(RADIANS(F30)))/(2*D17/COS(RADIANS(F17)))*(1.55/(TAN(RADIANS(F17))-TAN(RADIANS(F30)))-1)/1.5</f>
        <v>0.41735437465551217</v>
      </c>
      <c r="AY7" s="79">
        <f>1-(D20/COS(RADIANS(E20)))/(D7/COS(RADIANS(E7)))+(D7*TAN(RADIANS(E7))-D20*TAN(RADIANS(E20)))/(2*D7/COS(RADIANS(E7)))*(1.55/(TAN(RADIANS(E7))-TAN(RADIANS(E20)))-1)/1.5</f>
        <v>0.44594731996915049</v>
      </c>
      <c r="AZ7" s="79">
        <f>1-(D25/COS(RADIANS(E25)))/(D12/COS(RADIANS(E12)))+(D12*TAN(RADIANS(E12))-D25*TAN(RADIANS(E25)))/(2*D12/COS(RADIANS(E12)))*(1.55/(TAN(RADIANS(E12))-TAN(RADIANS(E25)))-1)/1.5</f>
        <v>0.45000533563954492</v>
      </c>
      <c r="BA7" s="79">
        <f>1-(D30/COS(RADIANS(E30)))/(D17/COS(RADIANS(E17)))+(D17*TAN(RADIANS(E17))-D30*TAN(RADIANS(E30)))/(2*D17/COS(RADIANS(E17)))*(1.55/(TAN(RADIANS(E17))-TAN(RADIANS(E30)))-1)/1.5</f>
        <v>0.44076172560287008</v>
      </c>
      <c r="BD7" s="51">
        <v>1</v>
      </c>
      <c r="BE7" s="49">
        <f>DEGREES(ATAN((TAN(RADIANS(Sheet1!C29))+TAN(RADIANS(Sheet1!C30)))/2))</f>
        <v>50.244831966814438</v>
      </c>
      <c r="BF7" s="54">
        <f>2*(0.004/(1-1.17*LN(COS(RADIANS(Sheet1!C30))/COS(RADIANS(Sheet1!C29))*(1.12+0.61*Sheet2!L7*(COS(RADIANS(Sheet1!C29)))^2*(TAN(RADIANS(Sheet1!C29))-TAN(RADIANS(Sheet1!C30)))))))*(COS(RADIANS(Sheet2!BE7))/COS(RADIANS(Sheet1!C30)))^3</f>
        <v>1.2312407017563479E-2</v>
      </c>
      <c r="BG7" s="52">
        <f>0.02*P7/(R7*Q7)</f>
        <v>1.0048000000000003E-2</v>
      </c>
      <c r="BH7" s="52">
        <f>2*L7*COS(RADIANS(BE7))*(TAN(RADIANS(Sheet1!C29))-TAN(RADIANS(Sheet1!C30)))-(Sheet2!BF7+Sheet2!BG7)*TAN(RADIANS(Sheet2!BE7))</f>
        <v>0.89426430844785132</v>
      </c>
      <c r="BI7" s="52">
        <f>0.018*BH7^2</f>
        <v>1.4394755760546846E-2</v>
      </c>
      <c r="BJ7" s="52">
        <f>BI7+BG7+BF7</f>
        <v>3.6755162778110334E-2</v>
      </c>
      <c r="BK7" s="52">
        <f>2*L7*COS(RADIANS(BE7))*(TAN(RADIANS(Sheet1!C29))-TAN(RADIANS(Sheet1!C30)))-(Sheet2!BF7+Sheet2!BG7+BI7)*TAN(RADIANS(Sheet2!BE7))</f>
        <v>0.87695967101653194</v>
      </c>
      <c r="BL7" s="49">
        <f>1-(2*BJ7)/(BK7*SIN(RADIANS(2*BE7)))</f>
        <v>0.91475123652068813</v>
      </c>
      <c r="BM7" s="79">
        <f t="shared" si="0"/>
        <v>0.88600142008209681</v>
      </c>
      <c r="BN7" s="79">
        <f>BL7*BO7+(1-BO7)*BM7</f>
        <v>0.90627272542183301</v>
      </c>
      <c r="BO7" s="81">
        <f>Sheet1!C39</f>
        <v>0.70509338322333248</v>
      </c>
    </row>
    <row r="8" spans="1:68" ht="16.8" customHeight="1" x14ac:dyDescent="0.4">
      <c r="A8" s="45"/>
      <c r="B8" s="49">
        <f>CEILING(Sheet1!C56/Sheet1!P8,0.05)+0.05</f>
        <v>0.8</v>
      </c>
      <c r="C8" s="49">
        <f>Sheet1!C57-(Sheet1!C58/Sheet2!B8)</f>
        <v>34.523982135068948</v>
      </c>
      <c r="D8" s="49">
        <f>SQRT(-2*(Sheet1!C57^2*LN(Sheet2!B8)+Sheet1!C57*Sheet1!C58/Sheet2!B8-Sheet1!C57*Sheet1!C58)+Sheet1!L8^2)</f>
        <v>169.3790267881387</v>
      </c>
      <c r="E8" s="49">
        <f t="shared" ref="E8:E17" si="3">DEGREES(ATAN(C8/D8))</f>
        <v>11.520601982360764</v>
      </c>
      <c r="F8" s="49">
        <f t="shared" ref="F8:F17" si="4">DEGREES(ATAN((G8/D8)-TAN(RADIANS(E8))))</f>
        <v>48.363171249602019</v>
      </c>
      <c r="G8" s="49">
        <f>2*3.14*Sheet1!H12*Sheet1!P8*Sheet2!B8</f>
        <v>225.05335722115061</v>
      </c>
      <c r="H8" s="50">
        <f>1+Sheet1!C57/Sheet1!C24-2*Sheet1!C57/Sheet1!C24/Sheet2!B8</f>
        <v>0.55764007483499889</v>
      </c>
      <c r="K8" s="51">
        <v>2</v>
      </c>
      <c r="L8" s="49">
        <f>(1.55/(TAN(RADIANS(Sheet1!H29))-TAN(RADIANS(Sheet1!H30)))-1)/1.5</f>
        <v>1.0404508987644336</v>
      </c>
      <c r="M8" s="52">
        <f>L8*((Sheet1!H53-Sheet1!H54)/3)</f>
        <v>3.1391760482715005E-2</v>
      </c>
      <c r="N8" s="49">
        <f>2*3.14*Sheet1!P8/Sheet2!M8</f>
        <v>35.845928001564289</v>
      </c>
      <c r="O8" s="51">
        <v>35</v>
      </c>
      <c r="P8" s="52">
        <f>2*3.14*Sheet1!P8/O8</f>
        <v>3.2150479603021517E-2</v>
      </c>
      <c r="Q8" s="52">
        <f t="shared" ref="Q8:Q12" si="5">P8/L8</f>
        <v>3.0900525571366383E-2</v>
      </c>
      <c r="R8" s="49">
        <f>(Sheet1!H53-Sheet1!H54)/Q8</f>
        <v>2.9292030044644926</v>
      </c>
      <c r="U8" s="53">
        <v>2</v>
      </c>
      <c r="V8" s="52">
        <f>(1.55/(TAN(RADIANS(F38))-TAN(RADIANS(F51)))-1)/1.5</f>
        <v>0.72709496056121881</v>
      </c>
      <c r="W8" s="52">
        <f>2*3.14*Sheet1!H54/O8</f>
        <v>2.4030088609947802E-2</v>
      </c>
      <c r="X8" s="54">
        <f t="shared" ref="X8:X12" si="6">W8/V8</f>
        <v>3.3049450090260328E-2</v>
      </c>
      <c r="Y8" s="54">
        <f>(1.55/(TAN(RADIANS(F48))-TAN(RADIANS(F61)))-1)/1.5</f>
        <v>1.713172229699649</v>
      </c>
      <c r="Z8" s="54">
        <f>2*3.14*Sheet1!H53/O8</f>
        <v>4.0270870596095222E-2</v>
      </c>
      <c r="AA8" s="54">
        <f t="shared" ref="AA8:AA12" si="7">Z8/Y8</f>
        <v>2.350660949200388E-2</v>
      </c>
      <c r="AD8" s="51">
        <v>2</v>
      </c>
      <c r="AE8" s="64" t="s">
        <v>136</v>
      </c>
      <c r="AF8" s="64" t="s">
        <v>123</v>
      </c>
      <c r="AG8" s="58"/>
      <c r="AH8" s="59"/>
      <c r="AI8" s="66">
        <f t="shared" si="1"/>
        <v>0.8</v>
      </c>
      <c r="AJ8" s="66">
        <f t="shared" si="2"/>
        <v>48.363171249602019</v>
      </c>
      <c r="AK8" s="49">
        <f>(1-AI8)/(1-AI7)*(B20-1)+1</f>
        <v>0.8</v>
      </c>
      <c r="AL8" s="67">
        <f t="shared" ref="AL8:AL16" si="8">34.177*AK8^4 - 111.93*AK8^3 + 65.669*AK8^2 + 135.87*AK8 - 79.74</f>
        <v>27.674899200000013</v>
      </c>
      <c r="AM8" s="50">
        <f t="shared" ref="AM8:AM17" si="9">(0.23*(2*0.3)^2+AL8/500)*SQRT((1.55/(TAN(RADIANS(AJ8))-TAN(RADIANS(AL8)))-1)/1.5)</f>
        <v>0.14185500083544636</v>
      </c>
      <c r="AN8" s="49">
        <f t="shared" ref="AN8:AN17" si="10">(AO8-AL8)/(1-AM8)</f>
        <v>24.108130991549277</v>
      </c>
      <c r="AO8" s="49">
        <f t="shared" ref="AO8:AO17" si="11">AJ8</f>
        <v>48.363171249602019</v>
      </c>
      <c r="AP8" s="49">
        <f t="shared" ref="AP8:AP17" si="12">AO8-AN8</f>
        <v>24.255040258052741</v>
      </c>
      <c r="AQ8" s="78">
        <f t="shared" ref="AQ8:AQ17" si="13">(SQRT(1+(4*TAN(RADIANS(AN8)))^2*(0.3-0.3^2-3/16))-1)/(4*TAN(RADIANS(AN8)))</f>
        <v>1.9786737559693086E-2</v>
      </c>
      <c r="AR8" s="49">
        <f t="shared" ref="AR8:AR17" si="14">AO8-DEGREES(ATAN(AQ8/0.3^2))</f>
        <v>35.963806320794973</v>
      </c>
      <c r="AS8" s="77"/>
      <c r="AU8" s="51">
        <v>2</v>
      </c>
      <c r="AV8" s="79">
        <f>1-(D51/COS(RADIANS(F51)))/(D38/COS(RADIANS(F38)))+(D38*TAN(RADIANS(F38))-D51*TAN(RADIANS(F51)))/(2*D38/COS(RADIANS(F38)))*(1.55/(TAN(RADIANS(F38))-TAN(RADIANS(F51)))-1)/1.5</f>
        <v>0.37229788116498796</v>
      </c>
      <c r="AW8" s="79">
        <f>1-(D56/COS(RADIANS(F56)))/(D43/COS(RADIANS(F43)))+(D43*TAN(RADIANS(F43))-D56*TAN(RADIANS(F56)))/(2*D43/COS(RADIANS(F43)))*(1.55/(TAN(RADIANS(F43))-TAN(RADIANS(F56)))-1)/1.5</f>
        <v>0.44744487607295391</v>
      </c>
      <c r="AX8" s="79">
        <f>1-(D61/COS(RADIANS(F61)))/(D48/COS(RADIANS(F48)))+(D48*TAN(RADIANS(F48))-D61*TAN(RADIANS(F61)))/(2*D48/COS(RADIANS(F48)))*(1.55/(TAN(RADIANS(F48))-TAN(RADIANS(F61)))-1)/1.5</f>
        <v>0.47965189553425402</v>
      </c>
      <c r="AY8" s="79">
        <f>1-(D51/COS(RADIANS(E51)))/(D38/COS(RADIANS(E38)))+(D38*TAN(RADIANS(E38))-D51*TAN(RADIANS(E51)))/(2*D38/COS(RADIANS(E38)))*(1.55/(TAN(RADIANS(E38))-TAN(RADIANS(E51)))-1)/1.5</f>
        <v>0.36556806994237645</v>
      </c>
      <c r="AZ8" s="79">
        <f>1-(D56/COS(RADIANS(E56)))/(D43/COS(RADIANS(E43)))+(D43*TAN(RADIANS(E43))-D56*TAN(RADIANS(E56)))/(2*D43/COS(RADIANS(E43)))*(1.55/(TAN(RADIANS(E43))-TAN(RADIANS(E56)))-1)/1.5</f>
        <v>0.35957277791545461</v>
      </c>
      <c r="BA8" s="79">
        <f>1-(D61/COS(RADIANS(E61)))/(D48/COS(RADIANS(E48)))+(D48*TAN(RADIANS(E48))-D61*TAN(RADIANS(E61)))/(2*D48/COS(RADIANS(E48)))*(1.55/(TAN(RADIANS(E48))-TAN(RADIANS(E61)))-1)/1.5</f>
        <v>0.3328661924604307</v>
      </c>
      <c r="BD8" s="51">
        <v>2</v>
      </c>
      <c r="BE8" s="49">
        <f>DEGREES(ATAN((TAN(RADIANS(Sheet1!H29))+TAN(RADIANS(Sheet1!H30)))/2))</f>
        <v>45.650536828078408</v>
      </c>
      <c r="BF8" s="54">
        <f>2*(0.004/(1-1.17*LN(COS(RADIANS(Sheet1!H30))/COS(RADIANS(Sheet1!H29))*(1.12+0.61*Sheet2!L8*(COS(RADIANS(Sheet1!H29)))^2*(TAN(RADIANS(Sheet1!H29))-TAN(RADIANS(Sheet1!H30)))))))*(COS(RADIANS(Sheet2!BE8))/COS(RADIANS(Sheet1!H30)))^3</f>
        <v>1.3411745101517237E-2</v>
      </c>
      <c r="BG8" s="52">
        <f t="shared" ref="BG8:BG12" si="15">0.02*P8/(R8*Q8)</f>
        <v>7.1039862869090933E-3</v>
      </c>
      <c r="BH8" s="52">
        <f>2*L8*COS(RADIANS(BE8))*(TAN(RADIANS(Sheet1!H29))-TAN(RADIANS(Sheet1!H30)))-(Sheet2!BF8+Sheet2!BG8)*TAN(RADIANS(Sheet2!BE8))</f>
        <v>0.85950661251751381</v>
      </c>
      <c r="BI8" s="52">
        <f t="shared" ref="BI8:BI12" si="16">0.018*BH8^2</f>
        <v>1.3297529105303968E-2</v>
      </c>
      <c r="BJ8" s="52">
        <f t="shared" ref="BJ8:BJ12" si="17">BI8+BG8+BF8</f>
        <v>3.3813260493730297E-2</v>
      </c>
      <c r="BK8" s="52">
        <f>2*L8*COS(RADIANS(BE8))*(TAN(RADIANS(Sheet1!H29))-TAN(RADIANS(Sheet1!H30)))-(Sheet2!BF8+Sheet2!BG8+BI8)*TAN(RADIANS(Sheet2!BE8))</f>
        <v>0.84590364175435651</v>
      </c>
      <c r="BL8" s="49">
        <f t="shared" ref="BL8:BL12" si="18">1-(2*BJ8)/(BK8*SIN(RADIANS(2*BE8)))</f>
        <v>0.92003349159053083</v>
      </c>
      <c r="BM8" s="79">
        <f t="shared" si="0"/>
        <v>0.94093822818809236</v>
      </c>
      <c r="BN8" s="79">
        <f t="shared" ref="BN8:BN12" si="19">BL8*BO8+(1-BO8)*BM8</f>
        <v>0.92839538622955542</v>
      </c>
      <c r="BO8" s="81">
        <f>Sheet1!H39</f>
        <v>0.6</v>
      </c>
    </row>
    <row r="9" spans="1:68" ht="16.8" customHeight="1" x14ac:dyDescent="0.4">
      <c r="A9" s="45"/>
      <c r="B9" s="49">
        <f t="shared" ref="B9:B15" si="20">B8+0.05</f>
        <v>0.85000000000000009</v>
      </c>
      <c r="C9" s="49">
        <f>Sheet1!C57-(Sheet1!C58/Sheet2!B9)</f>
        <v>37.373286433911979</v>
      </c>
      <c r="D9" s="49">
        <f>SQRT(-2*(Sheet1!C57^2*LN(Sheet2!B9)+Sheet1!C57*Sheet1!C58/Sheet2!B9-Sheet1!C57*Sheet1!C58)+Sheet1!L8^2)</f>
        <v>168.30775106868086</v>
      </c>
      <c r="E9" s="49">
        <f t="shared" si="3"/>
        <v>12.519582652477887</v>
      </c>
      <c r="F9" s="49">
        <f t="shared" si="4"/>
        <v>50.163240946678613</v>
      </c>
      <c r="G9" s="49">
        <f>2*3.14*Sheet1!H12*Sheet1!P8*Sheet2!B9</f>
        <v>239.11919204747252</v>
      </c>
      <c r="H9" s="50">
        <f>1+Sheet1!C57/Sheet1!C24-2*Sheet1!C57/Sheet1!C24/Sheet2!B9</f>
        <v>0.60100869494921472</v>
      </c>
      <c r="K9" s="51">
        <v>3</v>
      </c>
      <c r="L9" s="49">
        <f>(1.55/(TAN(RADIANS(Sheet1!L29))-TAN(RADIANS(Sheet1!L30)))-1)/1.5</f>
        <v>0.94867038449394714</v>
      </c>
      <c r="M9" s="52">
        <f>L9*((Sheet1!L53-Sheet1!L54)/3)</f>
        <v>2.4307539465615178E-2</v>
      </c>
      <c r="N9" s="49">
        <f>2*3.14*Sheet1!P8/Sheet2!M9</f>
        <v>46.29291202828351</v>
      </c>
      <c r="O9" s="51">
        <v>47</v>
      </c>
      <c r="P9" s="52">
        <f>2*3.14*Sheet1!P8/O9</f>
        <v>2.3941846512888363E-2</v>
      </c>
      <c r="Q9" s="52">
        <f t="shared" si="5"/>
        <v>2.5237265655404382E-2</v>
      </c>
      <c r="R9" s="49">
        <f>(Sheet1!L53-Sheet1!L54)/Q9</f>
        <v>3.0458226502116226</v>
      </c>
      <c r="U9" s="53">
        <v>3</v>
      </c>
      <c r="V9" s="52">
        <f>(1.55/(TAN(RADIANS(F69))-TAN(RADIANS(F80)))-1)/1.5</f>
        <v>0.77020051072609219</v>
      </c>
      <c r="W9" s="52">
        <f>2*3.14*Sheet1!L54/O9</f>
        <v>1.880639419291634E-2</v>
      </c>
      <c r="X9" s="54">
        <f t="shared" si="6"/>
        <v>2.441753015093039E-2</v>
      </c>
      <c r="Y9" s="54">
        <f>(1.55/(TAN(RADIANS(F77))-TAN(RADIANS(F88)))-1)/1.5</f>
        <v>1.4210139484300006</v>
      </c>
      <c r="Z9" s="54">
        <f>2*3.14*Sheet1!L53/O9</f>
        <v>2.9077298832860383E-2</v>
      </c>
      <c r="AA9" s="54">
        <f t="shared" si="7"/>
        <v>2.0462359898005416E-2</v>
      </c>
      <c r="AD9" s="51">
        <v>3</v>
      </c>
      <c r="AE9" s="64" t="s">
        <v>139</v>
      </c>
      <c r="AF9" s="64" t="s">
        <v>125</v>
      </c>
      <c r="AG9" s="58"/>
      <c r="AH9" s="59"/>
      <c r="AI9" s="49">
        <f t="shared" si="1"/>
        <v>0.85000000000000009</v>
      </c>
      <c r="AJ9" s="49">
        <f t="shared" si="2"/>
        <v>50.163240946678613</v>
      </c>
      <c r="AK9" s="49">
        <f>(1-AI9)/(1-AI7)*(B20-1)+1</f>
        <v>0.85000000000000009</v>
      </c>
      <c r="AL9" s="67">
        <f t="shared" si="8"/>
        <v>32.296948856250012</v>
      </c>
      <c r="AM9" s="50">
        <f t="shared" si="9"/>
        <v>0.15855382262257456</v>
      </c>
      <c r="AN9" s="49">
        <f t="shared" si="10"/>
        <v>21.232840044639939</v>
      </c>
      <c r="AO9" s="49">
        <f t="shared" si="11"/>
        <v>50.163240946678613</v>
      </c>
      <c r="AP9" s="49">
        <f t="shared" si="12"/>
        <v>28.930400902038674</v>
      </c>
      <c r="AQ9" s="78">
        <f t="shared" si="13"/>
        <v>1.7252729727637379E-2</v>
      </c>
      <c r="AR9" s="49">
        <f t="shared" si="14"/>
        <v>39.311460105525541</v>
      </c>
      <c r="AS9" s="77"/>
      <c r="AU9" s="51">
        <v>3</v>
      </c>
      <c r="AV9" s="79">
        <f>1-(D80/COS(RADIANS(F80)))/(D80/COS(RADIANS(F69)))+(D69*TAN(RADIANS(F69))-D80*TAN(RADIANS(F80)))/(2*D69/COS(RADIANS(F69)))*(1.55/(TAN(RADIANS(F69))-TAN(RADIANS(F80)))-1)/1.5</f>
        <v>0.43316098990833429</v>
      </c>
      <c r="AW9" s="79">
        <f>1-(D84/COS(RADIANS(F84)))/(D84/COS(RADIANS(F73)))+(D73*TAN(RADIANS(F73))-D84*TAN(RADIANS(F84)))/(2*D73/COS(RADIANS(F73)))*(1.55/(TAN(RADIANS(F73))-TAN(RADIANS(F84)))-1)/1.5</f>
        <v>0.46163191462074804</v>
      </c>
      <c r="AX9" s="79">
        <f>1-(D88/COS(RADIANS(F88)))/(D88/COS(RADIANS(F77)))+(D77*TAN(RADIANS(F77))-D88*TAN(RADIANS(F88)))/(2*D77/COS(RADIANS(F77)))*(1.55/(TAN(RADIANS(F77))-TAN(RADIANS(F88)))-1)/1.5</f>
        <v>0.43722901137661074</v>
      </c>
      <c r="AY9" s="79">
        <f>1-(D80/COS(RADIANS(E80)))/(D80/COS(RADIANS(E69)))+(D69*TAN(RADIANS(E69))-D80*TAN(RADIANS(E80)))/(2*D69/COS(RADIANS(E69)))*(1.55/(TAN(RADIANS(E69))-TAN(RADIANS(E80)))-1)/1.5</f>
        <v>0.4497890010309199</v>
      </c>
      <c r="AZ9" s="79">
        <f>1-(D84/COS(RADIANS(E84)))/(D84/COS(RADIANS(E73)))+(D73*TAN(RADIANS(E73))-D84*TAN(RADIANS(E84)))/(2*D73/COS(RADIANS(E73)))*(1.55/(TAN(RADIANS(E73))-TAN(RADIANS(E84)))-1)/1.5</f>
        <v>0.28420884917241429</v>
      </c>
      <c r="BA9" s="79">
        <f>1-(D88/COS(RADIANS(E88)))/(D88/COS(RADIANS(E77)))+(D77*TAN(RADIANS(E77))-D88*TAN(RADIANS(E88)))/(2*D77/COS(RADIANS(E77)))*(1.55/(TAN(RADIANS(E77))-TAN(RADIANS(E88)))-1)/1.5</f>
        <v>7.3822574576728028E-2</v>
      </c>
      <c r="BD9" s="51">
        <v>3</v>
      </c>
      <c r="BE9" s="49">
        <f>DEGREES(ATAN((TAN(RADIANS(Sheet1!L29))+TAN(RADIANS(Sheet1!L30)))/2))</f>
        <v>40.446757015917946</v>
      </c>
      <c r="BF9" s="54">
        <f>2*(0.004/(1-1.17*LN(COS(RADIANS(Sheet1!L30))/COS(RADIANS(Sheet1!L29))*(1.12+0.61*Sheet2!L9*(COS(RADIANS(Sheet1!L29)))^2*(TAN(RADIANS(Sheet1!L29))-TAN(RADIANS(Sheet1!L30)))))))*(COS(RADIANS(Sheet2!BE9))/COS(RADIANS(Sheet1!L30)))^3</f>
        <v>1.4438980266239449E-2</v>
      </c>
      <c r="BG9" s="52">
        <f t="shared" si="15"/>
        <v>6.2293212274065523E-3</v>
      </c>
      <c r="BH9" s="52">
        <f>2*L9*COS(RADIANS(BE9))*(TAN(RADIANS(Sheet1!L29))-TAN(RADIANS(Sheet1!L30)))-(Sheet2!BF9+Sheet2!BG9)*TAN(RADIANS(Sheet2!BE9))</f>
        <v>0.9060415658800508</v>
      </c>
      <c r="BI9" s="52">
        <f t="shared" si="16"/>
        <v>1.477640374384274E-2</v>
      </c>
      <c r="BJ9" s="52">
        <f t="shared" si="17"/>
        <v>3.5444705237488744E-2</v>
      </c>
      <c r="BK9" s="52">
        <f>2*L9*COS(RADIANS(BE9))*(TAN(RADIANS(Sheet1!L29))-TAN(RADIANS(Sheet1!L30)))-(Sheet2!BF9+Sheet2!BG9+BI9)*TAN(RADIANS(Sheet2!BE9))</f>
        <v>0.89344505349290304</v>
      </c>
      <c r="BL9" s="49">
        <f t="shared" si="18"/>
        <v>0.91964328065009626</v>
      </c>
      <c r="BM9" s="79">
        <f t="shared" si="0"/>
        <v>0.91931427678862376</v>
      </c>
      <c r="BN9" s="79">
        <f t="shared" si="19"/>
        <v>0.91947877871936001</v>
      </c>
      <c r="BO9" s="81">
        <f>Sheet1!L39</f>
        <v>0.5</v>
      </c>
    </row>
    <row r="10" spans="1:68" ht="16.8" customHeight="1" x14ac:dyDescent="0.4">
      <c r="A10" s="45"/>
      <c r="B10" s="49">
        <f t="shared" si="20"/>
        <v>0.90000000000000013</v>
      </c>
      <c r="C10" s="49">
        <f>Sheet1!C57-(Sheet1!C58/Sheet2!B10)</f>
        <v>39.906001366216891</v>
      </c>
      <c r="D10" s="49">
        <f>SQRT(-2*(Sheet1!C57^2*LN(Sheet2!B10)+Sheet1!C57*Sheet1!C58/Sheet2!B10-Sheet1!C57*Sheet1!C58)+Sheet1!L8^2)</f>
        <v>167.21521289623274</v>
      </c>
      <c r="E10" s="49">
        <f t="shared" si="3"/>
        <v>13.422603714286046</v>
      </c>
      <c r="F10" s="49">
        <f t="shared" si="4"/>
        <v>51.902812399858895</v>
      </c>
      <c r="G10" s="49">
        <f>2*3.14*Sheet1!H12*Sheet1!P8*Sheet2!B10</f>
        <v>253.18502687379447</v>
      </c>
      <c r="H10" s="50">
        <f>1+Sheet1!C57/Sheet1!C24-2*Sheet1!C57/Sheet1!C24/Sheet2!B10</f>
        <v>0.63955857949518435</v>
      </c>
      <c r="K10" s="51">
        <v>4</v>
      </c>
      <c r="L10" s="49">
        <f>(1.55/(TAN(RADIANS(Sheet1!P29))-TAN(RADIANS(Sheet1!P30)))-1)/1.5</f>
        <v>0.85688987022345575</v>
      </c>
      <c r="M10" s="52">
        <f>L10*((Sheet1!P53-Sheet1!P54)/3)</f>
        <v>1.8576866364757007E-2</v>
      </c>
      <c r="N10" s="49">
        <f>2*3.14*Sheet1!P8/Sheet2!M10</f>
        <v>60.573552288697428</v>
      </c>
      <c r="O10" s="51">
        <v>61</v>
      </c>
      <c r="P10" s="52">
        <f>2*3.14*Sheet1!P8/O10</f>
        <v>1.8446996493536934E-2</v>
      </c>
      <c r="Q10" s="52">
        <f t="shared" si="5"/>
        <v>2.1527849884287246E-2</v>
      </c>
      <c r="R10" s="49">
        <f>(Sheet1!P53-Sheet1!P54)/Q10</f>
        <v>3.0211204904709943</v>
      </c>
      <c r="U10" s="53">
        <v>4</v>
      </c>
      <c r="V10" s="52">
        <f>(1.55/(TAN(RADIANS(F96))-TAN(RADIANS(F107)))-1)/1.5</f>
        <v>0.70329242375376955</v>
      </c>
      <c r="W10" s="52">
        <f>2*3.14*Sheet1!P54/O10</f>
        <v>1.5099127031573328E-2</v>
      </c>
      <c r="X10" s="54">
        <f t="shared" si="6"/>
        <v>2.1469201887577418E-2</v>
      </c>
      <c r="Y10" s="54">
        <f>(1.55/(TAN(RADIANS(F104))-TAN(RADIANS(F115)))-1)/1.5</f>
        <v>1.2050753451829685</v>
      </c>
      <c r="Z10" s="54">
        <f>2*3.14*Sheet1!P53/O10</f>
        <v>2.179486595550054E-2</v>
      </c>
      <c r="AA10" s="54">
        <f t="shared" si="7"/>
        <v>1.8085894830245149E-2</v>
      </c>
      <c r="AD10" s="51">
        <v>4</v>
      </c>
      <c r="AE10" s="64" t="s">
        <v>140</v>
      </c>
      <c r="AF10" s="64" t="s">
        <v>128</v>
      </c>
      <c r="AG10" s="58"/>
      <c r="AH10" s="59"/>
      <c r="AI10" s="49">
        <f t="shared" si="1"/>
        <v>0.90000000000000013</v>
      </c>
      <c r="AJ10" s="49">
        <f>F10</f>
        <v>51.902812399858895</v>
      </c>
      <c r="AK10" s="49">
        <f>(1-AI10)/(1-AI7)*(B20-1)+1</f>
        <v>0.90000000000000013</v>
      </c>
      <c r="AL10" s="67">
        <f t="shared" si="8"/>
        <v>36.561449700000011</v>
      </c>
      <c r="AM10" s="50">
        <f t="shared" si="9"/>
        <v>0.17564307491927164</v>
      </c>
      <c r="AN10" s="49">
        <f t="shared" si="10"/>
        <v>18.6100974385052</v>
      </c>
      <c r="AO10" s="49">
        <f t="shared" si="11"/>
        <v>51.902812399858895</v>
      </c>
      <c r="AP10" s="49">
        <f t="shared" si="12"/>
        <v>33.292714961353695</v>
      </c>
      <c r="AQ10" s="78">
        <f t="shared" si="13"/>
        <v>1.5001443199412845E-2</v>
      </c>
      <c r="AR10" s="49">
        <f t="shared" si="14"/>
        <v>42.439596256478424</v>
      </c>
      <c r="AS10" s="77"/>
      <c r="AU10" s="51">
        <v>4</v>
      </c>
      <c r="AV10" s="79">
        <f>1-(D107/COS(RADIANS(F107)))/(D107/COS(RADIANS(F96)))+(D96*TAN(RADIANS(F96))-D107*TAN(RADIANS(F107)))/(2*D96/COS(RADIANS(F96)))*(1.55/(TAN(RADIANS(F96))-TAN(RADIANS(F107)))-1)/1.5</f>
        <v>0.44068322750927691</v>
      </c>
      <c r="AW10" s="79">
        <f>1-(D111/COS(RADIANS(F111)))/(D111/COS(RADIANS(F100)))+(D100*TAN(RADIANS(F100))-D111*TAN(RADIANS(F111)))/(2*D100/COS(RADIANS(F100)))*(1.55/(TAN(RADIANS(F100))-TAN(RADIANS(F111)))-1)/1.5</f>
        <v>0.4642052534551061</v>
      </c>
      <c r="AX10" s="79">
        <f>1-(D115/COS(RADIANS(F115)))/(D115/COS(RADIANS(F104)))+(D104*TAN(RADIANS(F104))-D115*TAN(RADIANS(F115)))/(2*D104/COS(RADIANS(F104)))*(1.55/(TAN(RADIANS(F104))-TAN(RADIANS(F115)))-1)/1.5</f>
        <v>0.44359252239613367</v>
      </c>
      <c r="AY10" s="79">
        <f>1-(D107/COS(RADIANS(E107)))/(D107/COS(RADIANS(E96)))+(D96*TAN(RADIANS(E96))-D107*TAN(RADIANS(E107)))/(2*D96/COS(RADIANS(E96)))*(1.55/(TAN(RADIANS(E96))-TAN(RADIANS(E107)))-1)/1.5</f>
        <v>0.42744324876223949</v>
      </c>
      <c r="AZ10" s="79">
        <f>1-(D111/COS(RADIANS(E111)))/(D111/COS(RADIANS(E100)))+(D100*TAN(RADIANS(E100))-D111*TAN(RADIANS(E111)))/(2*D100/COS(RADIANS(E100)))*(1.55/(TAN(RADIANS(E100))-TAN(RADIANS(E111)))-1)/1.5</f>
        <v>0.27686434839103236</v>
      </c>
      <c r="BA10" s="79">
        <f>1-(D115/COS(RADIANS(E115)))/(D115/COS(RADIANS(E104)))+(D104*TAN(RADIANS(E104))-D115*TAN(RADIANS(E115)))/(2*D104/COS(RADIANS(E104)))*(1.55/(TAN(RADIANS(E104))-TAN(RADIANS(E115)))-1)/1.5</f>
        <v>9.23474694679427E-2</v>
      </c>
      <c r="BD10" s="51">
        <v>4</v>
      </c>
      <c r="BE10" s="49">
        <f>DEGREES(ATAN((TAN(RADIANS(Sheet1!P29))+TAN(RADIANS(Sheet1!P30)))/2))</f>
        <v>40.446757015917946</v>
      </c>
      <c r="BF10" s="54">
        <f>2*(0.004/(1-1.17*LN(COS(RADIANS(Sheet1!P30))/COS(RADIANS(Sheet1!P29))*(1.12+0.61*Sheet2!L10*(COS(RADIANS(Sheet1!P29)))^2*(TAN(RADIANS(Sheet1!P29))-TAN(RADIANS(Sheet1!P30)))))))*(COS(RADIANS(Sheet2!BE10))/COS(RADIANS(Sheet1!P30)))^3</f>
        <v>1.4581127049787203E-2</v>
      </c>
      <c r="BG10" s="52">
        <f t="shared" si="15"/>
        <v>5.6726626622552621E-3</v>
      </c>
      <c r="BH10" s="52">
        <f>2*L10*COS(RADIANS(BE10))*(TAN(RADIANS(Sheet1!P29))-TAN(RADIANS(Sheet1!P30)))-(Sheet2!BF10+Sheet2!BG10)*TAN(RADIANS(Sheet2!BE10))</f>
        <v>0.86729303133238589</v>
      </c>
      <c r="BI10" s="52">
        <f t="shared" si="16"/>
        <v>1.3539549639558938E-2</v>
      </c>
      <c r="BJ10" s="52">
        <f t="shared" si="17"/>
        <v>3.3793339351601406E-2</v>
      </c>
      <c r="BK10" s="52">
        <f>2*L10*COS(RADIANS(BE10))*(TAN(RADIANS(Sheet1!P29))-TAN(RADIANS(Sheet1!P30)))-(Sheet2!BF10+Sheet2!BG10+BI10)*TAN(RADIANS(Sheet2!BE10))</f>
        <v>0.85575090594736636</v>
      </c>
      <c r="BL10" s="49">
        <f t="shared" si="18"/>
        <v>0.92001244542388327</v>
      </c>
      <c r="BM10" s="79">
        <f t="shared" si="0"/>
        <v>0.92008077692911294</v>
      </c>
      <c r="BN10" s="79">
        <f t="shared" si="19"/>
        <v>0.92004661117649811</v>
      </c>
      <c r="BO10" s="81">
        <f>Sheet1!P39</f>
        <v>0.5</v>
      </c>
    </row>
    <row r="11" spans="1:68" ht="16.8" customHeight="1" x14ac:dyDescent="0.4">
      <c r="A11" s="45"/>
      <c r="B11" s="49">
        <f t="shared" si="20"/>
        <v>0.95000000000000018</v>
      </c>
      <c r="C11" s="49">
        <f>Sheet1!C57-(Sheet1!C58/Sheet2!B11)</f>
        <v>42.172114726700237</v>
      </c>
      <c r="D11" s="49">
        <f>SQRT(-2*(Sheet1!C57^2*LN(Sheet2!B11)+Sheet1!C57*Sheet1!C58/Sheet2!B11-Sheet1!C57*Sheet1!C58)+Sheet1!L8^2)</f>
        <v>166.11042025409333</v>
      </c>
      <c r="E11" s="49">
        <f t="shared" si="3"/>
        <v>14.245282804149976</v>
      </c>
      <c r="F11" s="49">
        <f t="shared" si="4"/>
        <v>53.572294541900398</v>
      </c>
      <c r="G11" s="49">
        <f>2*3.14*Sheet1!H12*Sheet1!P8*Sheet2!B11</f>
        <v>267.25086170011639</v>
      </c>
      <c r="H11" s="50">
        <f>1+Sheet1!C57/Sheet1!C24-2*Sheet1!C57/Sheet1!C24/Sheet2!B11</f>
        <v>0.67405058145736774</v>
      </c>
      <c r="K11" s="51">
        <v>5</v>
      </c>
      <c r="L11" s="49">
        <f>(1.55/(TAN(RADIANS(Sheet1!T29))-TAN(RADIANS(Sheet1!T30)))-1)/1.5</f>
        <v>0.85688987022345575</v>
      </c>
      <c r="M11" s="52">
        <f>L11*((Sheet1!T53-Sheet1!T54)/3)</f>
        <v>1.5936764717609943E-2</v>
      </c>
      <c r="N11" s="49">
        <f>2*3.14*Sheet1!P8/Sheet2!M11</f>
        <v>70.608232351096092</v>
      </c>
      <c r="O11" s="51">
        <v>71</v>
      </c>
      <c r="P11" s="52">
        <f>2*3.14*Sheet1!P8/O11</f>
        <v>1.5848827973320465E-2</v>
      </c>
      <c r="Q11" s="52">
        <f t="shared" si="5"/>
        <v>1.8495758351289041E-2</v>
      </c>
      <c r="R11" s="49">
        <f>(Sheet1!T53-Sheet1!T54)/Q11</f>
        <v>3.0166454095730311</v>
      </c>
      <c r="U11" s="53">
        <v>5</v>
      </c>
      <c r="V11" s="52">
        <f>(1.55/(TAN(RADIANS(F123))-TAN(RADIANS(F132)))-1)/1.5</f>
        <v>0.71743236919457087</v>
      </c>
      <c r="W11" s="52">
        <f>2*3.14*Sheet1!T54/O11</f>
        <v>1.3381268060436763E-2</v>
      </c>
      <c r="X11" s="54">
        <f t="shared" si="6"/>
        <v>1.8651609036625029E-2</v>
      </c>
      <c r="Y11" s="54">
        <f>(1.55/(TAN(RADIANS(F129))-TAN(RADIANS(F138)))-1)/1.5</f>
        <v>1.139054340682736</v>
      </c>
      <c r="Z11" s="54">
        <f>2*3.14*Sheet1!T53/O11</f>
        <v>1.8316387886204166E-2</v>
      </c>
      <c r="AA11" s="54">
        <f t="shared" si="7"/>
        <v>1.608034597824853E-2</v>
      </c>
      <c r="AD11" s="51">
        <v>5</v>
      </c>
      <c r="AE11" s="64" t="s">
        <v>141</v>
      </c>
      <c r="AF11" s="64" t="s">
        <v>130</v>
      </c>
      <c r="AG11" s="58"/>
      <c r="AH11" s="59"/>
      <c r="AI11" s="49">
        <f t="shared" si="1"/>
        <v>0.95000000000000018</v>
      </c>
      <c r="AJ11" s="49">
        <f t="shared" si="2"/>
        <v>53.572294541900398</v>
      </c>
      <c r="AK11" s="49">
        <f>(1-AI11)/(1-AI7)*(B20-1)+1</f>
        <v>0.95000000000000018</v>
      </c>
      <c r="AL11" s="67">
        <f t="shared" si="8"/>
        <v>40.474168856250031</v>
      </c>
      <c r="AM11" s="50">
        <f t="shared" si="9"/>
        <v>0.19326632745073544</v>
      </c>
      <c r="AN11" s="49">
        <f t="shared" si="10"/>
        <v>16.235997245857501</v>
      </c>
      <c r="AO11" s="49">
        <f t="shared" si="11"/>
        <v>53.572294541900398</v>
      </c>
      <c r="AP11" s="49">
        <f t="shared" si="12"/>
        <v>37.3362972960429</v>
      </c>
      <c r="AQ11" s="78">
        <f t="shared" si="13"/>
        <v>1.3005855572574424E-2</v>
      </c>
      <c r="AR11" s="49">
        <f t="shared" si="14"/>
        <v>45.349433740751088</v>
      </c>
      <c r="AS11" s="77"/>
      <c r="AU11" s="51">
        <v>5</v>
      </c>
      <c r="AV11" s="79">
        <f>1-(D132/COS(RADIANS(F132)))/(D132/COS(RADIANS(F123)))+(D123*TAN(RADIANS(F123))-D132*TAN(RADIANS(F132)))/(2*D123/COS(RADIANS(F123)))*(1.55/(TAN(RADIANS(F123))-TAN(RADIANS(F132)))-1)/1.5</f>
        <v>0.44732776425899123</v>
      </c>
      <c r="AW11" s="79">
        <f>1-(D135/COS(RADIANS(F135)))/(D135/COS(RADIANS(F126)))+(D126*TAN(RADIANS(F126))-D135*TAN(RADIANS(F135)))/(2*D126/COS(RADIANS(F126)))*(1.55/(TAN(RADIANS(F126))-TAN(RADIANS(F135)))-1)/1.5</f>
        <v>0.46420525345510621</v>
      </c>
      <c r="AX11" s="79">
        <f>1-(D138/COS(RADIANS(F138)))/(D138/COS(RADIANS(F129)))+(D129*TAN(RADIANS(F129))-D138*TAN(RADIANS(F138)))/(2*D129/COS(RADIANS(F129)))*(1.55/(TAN(RADIANS(F129))-TAN(RADIANS(F138)))-1)/1.5</f>
        <v>0.44713143941259259</v>
      </c>
      <c r="AY11" s="79">
        <f>1-(D132/COS(RADIANS(E132)))/(D132/COS(RADIANS(E123)))+(D123*TAN(RADIANS(E123))-D132*TAN(RADIANS(E132)))/(2*D123/COS(RADIANS(E123)))*(1.55/(TAN(RADIANS(E123))-TAN(RADIANS(E132)))-1)/1.5</f>
        <v>0.40877261211899696</v>
      </c>
      <c r="AZ11" s="79">
        <f>1-(D135/COS(RADIANS(E135)))/(D135/COS(RADIANS(E126)))+(D126*TAN(RADIANS(E126))-D135*TAN(RADIANS(E135)))/(2*D126/COS(RADIANS(E126)))*(1.55/(TAN(RADIANS(E126))-TAN(RADIANS(E135)))-1)/1.5</f>
        <v>0.27686434839103302</v>
      </c>
      <c r="BA11" s="79">
        <f>1-(D138/COS(RADIANS(E138)))/(D138/COS(RADIANS(E129)))+(D129*TAN(RADIANS(E129))-D138*TAN(RADIANS(E138)))/(2*D129/COS(RADIANS(E129)))*(1.55/(TAN(RADIANS(E129))-TAN(RADIANS(E138)))-1)/1.5</f>
        <v>0.11976380352872051</v>
      </c>
      <c r="BD11" s="51">
        <v>5</v>
      </c>
      <c r="BE11" s="49">
        <f>DEGREES(ATAN((TAN(RADIANS(Sheet1!T29))+TAN(RADIANS(Sheet1!T30)))/2))</f>
        <v>40.446757015917946</v>
      </c>
      <c r="BF11" s="54">
        <f>2*(0.004/(1-1.17*LN(COS(RADIANS(Sheet1!T30))/COS(RADIANS(Sheet1!T29))*(1.12+0.61*Sheet2!L11*(COS(RADIANS(Sheet1!T29)))^2*(TAN(RADIANS(Sheet1!T29))-TAN(RADIANS(Sheet1!T30)))))))*(COS(RADIANS(Sheet2!BE11))/COS(RADIANS(Sheet1!T30)))^3</f>
        <v>1.4581127049787203E-2</v>
      </c>
      <c r="BG11" s="52">
        <f t="shared" si="15"/>
        <v>5.6810778456374026E-3</v>
      </c>
      <c r="BH11" s="52">
        <f>2*L11*COS(RADIANS(BE11))*(TAN(RADIANS(Sheet1!T29))-TAN(RADIANS(Sheet1!T30)))-(Sheet2!BF11+Sheet2!BG11)*TAN(RADIANS(Sheet2!BE11))</f>
        <v>0.86728585760029575</v>
      </c>
      <c r="BI11" s="52">
        <f t="shared" si="16"/>
        <v>1.3539325658282647E-2</v>
      </c>
      <c r="BJ11" s="52">
        <f t="shared" si="17"/>
        <v>3.380153055370725E-2</v>
      </c>
      <c r="BK11" s="52">
        <f>2*L11*COS(RADIANS(BE11))*(TAN(RADIANS(Sheet1!T29))-TAN(RADIANS(Sheet1!T30)))-(Sheet2!BF11+Sheet2!BG11+BI11)*TAN(RADIANS(Sheet2!BE11))</f>
        <v>0.85574392315367842</v>
      </c>
      <c r="BL11" s="49">
        <f t="shared" si="18"/>
        <v>0.91999240430919871</v>
      </c>
      <c r="BM11" s="79">
        <f t="shared" si="0"/>
        <v>0.91925767975257966</v>
      </c>
      <c r="BN11" s="79">
        <f t="shared" si="19"/>
        <v>0.91962504203088913</v>
      </c>
      <c r="BO11" s="81">
        <f>Sheet1!T39</f>
        <v>0.5</v>
      </c>
    </row>
    <row r="12" spans="1:68" ht="16.8" customHeight="1" x14ac:dyDescent="0.4">
      <c r="A12" s="45"/>
      <c r="B12" s="49">
        <f t="shared" si="20"/>
        <v>1.0000000000000002</v>
      </c>
      <c r="C12" s="49">
        <f>Sheet1!C57-(Sheet1!C58/Sheet2!B12)</f>
        <v>44.211616751135246</v>
      </c>
      <c r="D12" s="49">
        <f>SQRT(-2*(Sheet1!C57^2*LN(Sheet2!B12)+Sheet1!C57*Sheet1!C58/Sheet2!B12-Sheet1!C57*Sheet1!C58)+Sheet1!L8^2)</f>
        <v>165</v>
      </c>
      <c r="E12" s="49">
        <f t="shared" si="3"/>
        <v>14.999999999999998</v>
      </c>
      <c r="F12" s="49">
        <f t="shared" si="4"/>
        <v>55.166175194426586</v>
      </c>
      <c r="G12" s="49">
        <f>2*3.14*Sheet1!H12*Sheet1!P8*Sheet2!B12</f>
        <v>281.31669652643831</v>
      </c>
      <c r="H12" s="50">
        <f>1+Sheet1!C57/Sheet1!C24-2*Sheet1!C57/Sheet1!C24/Sheet2!B12</f>
        <v>0.7050933832233327</v>
      </c>
      <c r="K12" s="51">
        <v>6</v>
      </c>
      <c r="L12" s="49">
        <f>(1.55/(TAN(RADIANS(Sheet1!X29))-TAN(RADIANS(Sheet1!X30)))-1)/1.5</f>
        <v>1.2493049499246804</v>
      </c>
      <c r="M12" s="52">
        <f>L12*((Sheet1!X53-Sheet1!X54)/3)</f>
        <v>2.0264998400558305E-2</v>
      </c>
      <c r="N12" s="49">
        <f>2*3.14*Sheet1!P8/Sheet2!M12</f>
        <v>55.527603006114802</v>
      </c>
      <c r="O12" s="51">
        <v>55</v>
      </c>
      <c r="P12" s="52">
        <f>2*3.14*Sheet1!P8/O12</f>
        <v>2.0459396111013693E-2</v>
      </c>
      <c r="Q12" s="52">
        <f t="shared" si="5"/>
        <v>1.6376622947221312E-2</v>
      </c>
      <c r="R12" s="49">
        <f>(Sheet1!X53-Sheet1!X54)/Q12</f>
        <v>2.97149509554428</v>
      </c>
      <c r="U12" s="53">
        <v>6</v>
      </c>
      <c r="V12" s="52">
        <f>(1.55/(TAN(RADIANS(F146))-TAN(RADIANS(F155)))-1)/1.5</f>
        <v>1.0939752113220955</v>
      </c>
      <c r="W12" s="52">
        <f>2*3.14*Sheet1!X54/O12</f>
        <v>1.7681178075096733E-2</v>
      </c>
      <c r="X12" s="54">
        <f t="shared" si="6"/>
        <v>1.6162320582866409E-2</v>
      </c>
      <c r="Y12" s="54">
        <f>(1.55/(TAN(RADIANS(F152))-TAN(RADIANS(F161)))-1)/1.5</f>
        <v>1.5414579421283658</v>
      </c>
      <c r="Z12" s="54">
        <f>2*3.14*Sheet1!X53/O12</f>
        <v>2.3237614146930645E-2</v>
      </c>
      <c r="AA12" s="54">
        <f t="shared" si="7"/>
        <v>1.5075088013653712E-2</v>
      </c>
      <c r="AD12" s="51">
        <v>6</v>
      </c>
      <c r="AE12" s="64" t="s">
        <v>142</v>
      </c>
      <c r="AF12" s="64" t="s">
        <v>131</v>
      </c>
      <c r="AG12" s="58"/>
      <c r="AH12" s="59"/>
      <c r="AI12" s="49">
        <f t="shared" si="1"/>
        <v>1.0000000000000002</v>
      </c>
      <c r="AJ12" s="49">
        <f t="shared" si="2"/>
        <v>55.166175194426586</v>
      </c>
      <c r="AK12" s="49">
        <v>1</v>
      </c>
      <c r="AL12" s="67">
        <f t="shared" si="8"/>
        <v>44.045999999999992</v>
      </c>
      <c r="AM12" s="50">
        <f t="shared" si="9"/>
        <v>0.21159183733869349</v>
      </c>
      <c r="AN12" s="49">
        <f t="shared" si="10"/>
        <v>14.104591658323212</v>
      </c>
      <c r="AO12" s="49">
        <f t="shared" si="11"/>
        <v>55.166175194426586</v>
      </c>
      <c r="AP12" s="49">
        <f t="shared" si="12"/>
        <v>41.06158353610337</v>
      </c>
      <c r="AQ12" s="78">
        <f t="shared" si="13"/>
        <v>1.1243523655067405E-2</v>
      </c>
      <c r="AR12" s="49">
        <f t="shared" si="14"/>
        <v>48.045218420412596</v>
      </c>
      <c r="AS12" s="77"/>
      <c r="AU12" s="51">
        <v>6</v>
      </c>
      <c r="AV12" s="79">
        <f>1-(D155/COS(RADIANS(F155)))/(D155/COS(RADIANS(F146)))+(D146*TAN(RADIANS(F146))-D155*TAN(RADIANS(F155)))/(2*D146/COS(RADIANS(F146)))*(1.55/(TAN(RADIANS(F146))-TAN(RADIANS(F155)))-1)/1.5</f>
        <v>0.45185529606725083</v>
      </c>
      <c r="AW12" s="79">
        <f>1-(D158/COS(RADIANS(F158)))/(D158/COS(RADIANS(F149)))+(D149*TAN(RADIANS(F149))-D158*TAN(RADIANS(F158)))/(2*D149/COS(RADIANS(F149)))*(1.55/(TAN(RADIANS(F149))-TAN(RADIANS(F158)))-1)/1.5</f>
        <v>0.45408105314626934</v>
      </c>
      <c r="AX12" s="79">
        <f>1-(D161/COS(RADIANS(F161)))/(D161/COS(RADIANS(F152)))+(D152*TAN(RADIANS(F152))-D161*TAN(RADIANS(F161)))/(2*D152/COS(RADIANS(F152)))*(1.55/(TAN(RADIANS(F152))-TAN(RADIANS(F161)))-1)/1.5</f>
        <v>0.43768119738243194</v>
      </c>
      <c r="AY12" s="79">
        <f>1-(D155/COS(RADIANS(E155)))/(D155/COS(RADIANS(E146)))+(D146*TAN(RADIANS(E146))-D155*TAN(RADIANS(E155)))/(2*D146/COS(RADIANS(E146)))*(1.55/(TAN(RADIANS(E146))-TAN(RADIANS(E155)))-1)/1.5</f>
        <v>0.40188347133970126</v>
      </c>
      <c r="AZ12" s="79">
        <f>1-(D158/COS(RADIANS(E158)))/(D158/COS(RADIANS(E149)))+(D149*TAN(RADIANS(E149))-D158*TAN(RADIANS(E158)))/(2*D149/COS(RADIANS(E149)))*(1.55/(TAN(RADIANS(E149))-TAN(RADIANS(E158)))-1)/1.5</f>
        <v>0.30310112528962485</v>
      </c>
      <c r="BA12" s="79">
        <f>1-(D161/COS(RADIANS(E161)))/(D161/COS(RADIANS(E152)))+(D152*TAN(RADIANS(E152))-D161*TAN(RADIANS(E161)))/(2*D152/COS(RADIANS(E152)))*(1.55/(TAN(RADIANS(E152))-TAN(RADIANS(E161)))-1)/1.5</f>
        <v>0.18823036517422598</v>
      </c>
      <c r="BD12" s="51">
        <v>6</v>
      </c>
      <c r="BE12" s="49">
        <f>DEGREES(ATAN((TAN(RADIANS(Sheet1!X29))+TAN(RADIANS(Sheet1!X30)))/2))</f>
        <v>40.446757015917946</v>
      </c>
      <c r="BF12" s="54">
        <f>2*(0.004/(1-1.17*LN(COS(RADIANS(Sheet1!X30))/COS(RADIANS(Sheet1!X29))*(1.12+0.61*Sheet2!L12*(COS(RADIANS(Sheet1!X29)))^2*(TAN(RADIANS(Sheet1!X29))-TAN(RADIANS(Sheet1!X30)))))))*(COS(RADIANS(Sheet2!BE12))/COS(RADIANS(Sheet1!X30)))^3</f>
        <v>1.4178539967911831E-2</v>
      </c>
      <c r="BG12" s="52">
        <f t="shared" si="15"/>
        <v>8.4085950658171899E-3</v>
      </c>
      <c r="BH12" s="52">
        <f>2*L12*COS(RADIANS(BE12))*(TAN(RADIANS(Sheet1!X29))-TAN(RADIANS(Sheet1!X30)))-(Sheet2!BF12+Sheet2!BG12)*TAN(RADIANS(Sheet2!BE12))</f>
        <v>1.0062545669032519</v>
      </c>
      <c r="BI12" s="52">
        <f t="shared" si="16"/>
        <v>1.8225868561445716E-2</v>
      </c>
      <c r="BJ12" s="52">
        <f t="shared" si="17"/>
        <v>4.0813003595174736E-2</v>
      </c>
      <c r="BK12" s="52">
        <f>2*L12*COS(RADIANS(BE12))*(TAN(RADIANS(Sheet1!X29))-TAN(RADIANS(Sheet1!X30)))-(Sheet2!BF12+Sheet2!BG12+BI12)*TAN(RADIANS(Sheet2!BE12))</f>
        <v>0.99071747255467324</v>
      </c>
      <c r="BL12" s="49">
        <f t="shared" si="18"/>
        <v>0.91655747978324376</v>
      </c>
      <c r="BM12" s="79">
        <f t="shared" si="0"/>
        <v>0.91657071060543949</v>
      </c>
      <c r="BN12" s="79">
        <f t="shared" si="19"/>
        <v>0.91656409519434168</v>
      </c>
      <c r="BO12" s="81">
        <f>Sheet1!X39</f>
        <v>0.5</v>
      </c>
    </row>
    <row r="13" spans="1:68" ht="16.8" customHeight="1" x14ac:dyDescent="0.4">
      <c r="A13" s="45"/>
      <c r="B13" s="49">
        <f t="shared" si="20"/>
        <v>1.0500000000000003</v>
      </c>
      <c r="C13" s="49">
        <f>Sheet1!C57-(Sheet1!C58/Sheet2!B13)</f>
        <v>46.056880487528829</v>
      </c>
      <c r="D13" s="49">
        <f>SQRT(-2*(Sheet1!C57^2*LN(Sheet2!B13)+Sheet1!C57*Sheet1!C58/Sheet2!B13-Sheet1!C57*Sheet1!C58)+Sheet1!L8^2)</f>
        <v>163.8888529272829</v>
      </c>
      <c r="E13" s="49">
        <f t="shared" si="3"/>
        <v>15.696695622191923</v>
      </c>
      <c r="F13" s="49">
        <f t="shared" si="4"/>
        <v>56.681941709755925</v>
      </c>
      <c r="G13" s="49">
        <f>2*3.14*Sheet1!H12*Sheet1!P8*Sheet2!B13</f>
        <v>295.38253135276022</v>
      </c>
      <c r="H13" s="50">
        <f>1+Sheet1!C57/Sheet1!C24-2*Sheet1!C57/Sheet1!C24/Sheet2!B13</f>
        <v>0.73317972767825346</v>
      </c>
      <c r="K13" s="108"/>
      <c r="L13" s="108"/>
      <c r="M13" s="108"/>
      <c r="N13" s="108"/>
      <c r="O13" s="108"/>
      <c r="P13" s="108"/>
      <c r="Q13" s="108"/>
      <c r="R13" s="108"/>
      <c r="AD13" s="65"/>
      <c r="AE13" s="65"/>
      <c r="AF13" s="65"/>
      <c r="AG13" s="56"/>
      <c r="AH13" s="56"/>
      <c r="AI13" s="49">
        <f t="shared" si="1"/>
        <v>1.0500000000000003</v>
      </c>
      <c r="AJ13" s="49">
        <f t="shared" si="2"/>
        <v>56.681941709755925</v>
      </c>
      <c r="AK13" s="49">
        <f>(AI13-1)/(AI17-1)*(B30-1)+1</f>
        <v>1.0502574490127066</v>
      </c>
      <c r="AL13" s="67">
        <f t="shared" si="8"/>
        <v>47.30887560136371</v>
      </c>
      <c r="AM13" s="50">
        <f t="shared" si="9"/>
        <v>0.23108012110848392</v>
      </c>
      <c r="AN13" s="49">
        <f t="shared" si="10"/>
        <v>12.189912584786516</v>
      </c>
      <c r="AO13" s="49">
        <f t="shared" si="11"/>
        <v>56.681941709755925</v>
      </c>
      <c r="AP13" s="49">
        <f t="shared" si="12"/>
        <v>44.492029124969406</v>
      </c>
      <c r="AQ13" s="78">
        <f t="shared" si="13"/>
        <v>9.6805631835810441E-3</v>
      </c>
      <c r="AR13" s="49">
        <f t="shared" si="14"/>
        <v>50.542707220329277</v>
      </c>
      <c r="AS13" s="77"/>
    </row>
    <row r="14" spans="1:68" ht="16.8" x14ac:dyDescent="0.4">
      <c r="A14" s="45"/>
      <c r="B14" s="49">
        <f t="shared" si="20"/>
        <v>1.1000000000000003</v>
      </c>
      <c r="C14" s="49">
        <f>Sheet1!C57-(Sheet1!C58/Sheet2!B14)</f>
        <v>47.734392975159352</v>
      </c>
      <c r="D14" s="49">
        <f>SQRT(-2*(Sheet1!C57^2*LN(Sheet2!B14)+Sheet1!C57*Sheet1!C58/Sheet2!B14-Sheet1!C57*Sheet1!C58)+Sheet1!L8^2)</f>
        <v>162.78061250397147</v>
      </c>
      <c r="E14" s="49">
        <f t="shared" si="3"/>
        <v>16.343443958508949</v>
      </c>
      <c r="F14" s="49">
        <f t="shared" si="4"/>
        <v>58.119252723421006</v>
      </c>
      <c r="G14" s="49">
        <f>2*3.14*Sheet1!H12*Sheet1!P8*Sheet2!B14</f>
        <v>309.44836617908214</v>
      </c>
      <c r="H14" s="50">
        <f>1+Sheet1!C57/Sheet1!C24-2*Sheet1!C57/Sheet1!C24/Sheet2!B14</f>
        <v>0.75871276809181776</v>
      </c>
      <c r="AD14" s="65"/>
      <c r="AE14" s="65"/>
      <c r="AF14" s="65"/>
      <c r="AG14" s="56"/>
      <c r="AH14" s="56"/>
      <c r="AI14" s="49">
        <f t="shared" si="1"/>
        <v>1.1000000000000003</v>
      </c>
      <c r="AJ14" s="49">
        <f t="shared" si="2"/>
        <v>58.119252723421006</v>
      </c>
      <c r="AK14" s="49">
        <f>(AI14-1)/(AI17-1)*(B30-1)+1</f>
        <v>1.1005148980254129</v>
      </c>
      <c r="AL14" s="67">
        <f t="shared" si="8"/>
        <v>50.265022298943293</v>
      </c>
      <c r="AM14" s="50">
        <f t="shared" si="9"/>
        <v>0.25178924669063718</v>
      </c>
      <c r="AN14" s="49">
        <f t="shared" si="10"/>
        <v>10.497350365172075</v>
      </c>
      <c r="AO14" s="49">
        <f t="shared" si="11"/>
        <v>58.119252723421006</v>
      </c>
      <c r="AP14" s="49">
        <f t="shared" si="12"/>
        <v>47.621902358248931</v>
      </c>
      <c r="AQ14" s="78">
        <f t="shared" si="13"/>
        <v>8.3124981722121193E-3</v>
      </c>
      <c r="AR14" s="49">
        <f t="shared" si="14"/>
        <v>52.842323121454761</v>
      </c>
      <c r="AS14" s="77"/>
    </row>
    <row r="15" spans="1:68" ht="16.8" x14ac:dyDescent="0.4">
      <c r="A15" s="45"/>
      <c r="B15" s="49">
        <f t="shared" si="20"/>
        <v>1.1500000000000004</v>
      </c>
      <c r="C15" s="49">
        <f>Sheet1!C57-(Sheet1!C58/Sheet2!B15)</f>
        <v>49.266034811691576</v>
      </c>
      <c r="D15" s="49">
        <f>SQRT(-2*(Sheet1!C57^2*LN(Sheet2!B15)+Sheet1!C57*Sheet1!C58/Sheet2!B15-Sheet1!C57*Sheet1!C58)+Sheet1!L8^2)</f>
        <v>161.67797136116184</v>
      </c>
      <c r="E15" s="49">
        <f t="shared" si="3"/>
        <v>16.946872736227572</v>
      </c>
      <c r="F15" s="49">
        <f t="shared" si="4"/>
        <v>59.479305034426133</v>
      </c>
      <c r="G15" s="49">
        <f>2*3.14*Sheet1!H12*Sheet1!P8*Sheet2!B15</f>
        <v>323.51420100540406</v>
      </c>
      <c r="H15" s="50">
        <f>1+Sheet1!C57/Sheet1!C24-2*Sheet1!C57/Sheet1!C24/Sheet2!B15</f>
        <v>0.78202554412159386</v>
      </c>
      <c r="AD15" s="65"/>
      <c r="AE15" s="65"/>
      <c r="AF15" s="65"/>
      <c r="AG15" s="56"/>
      <c r="AH15" s="56"/>
      <c r="AI15" s="49">
        <f t="shared" si="1"/>
        <v>1.1500000000000004</v>
      </c>
      <c r="AJ15" s="49">
        <f t="shared" si="2"/>
        <v>59.479305034426133</v>
      </c>
      <c r="AK15" s="49">
        <f>(AI15-1)/(AI17-1)*(B30-1)+1</f>
        <v>1.1507723470381195</v>
      </c>
      <c r="AL15" s="67">
        <f t="shared" si="8"/>
        <v>52.941161563024949</v>
      </c>
      <c r="AM15" s="50">
        <f t="shared" si="9"/>
        <v>0.2741255444256937</v>
      </c>
      <c r="AN15" s="49">
        <f t="shared" si="10"/>
        <v>9.0072648530223525</v>
      </c>
      <c r="AO15" s="49">
        <f t="shared" si="11"/>
        <v>59.479305034426133</v>
      </c>
      <c r="AP15" s="49">
        <f t="shared" si="12"/>
        <v>50.472040181403784</v>
      </c>
      <c r="AQ15" s="78">
        <f t="shared" si="13"/>
        <v>7.117090413830021E-3</v>
      </c>
      <c r="AR15" s="49">
        <f t="shared" si="14"/>
        <v>54.957833826754801</v>
      </c>
      <c r="AS15" s="77"/>
    </row>
    <row r="16" spans="1:68" ht="16.8" x14ac:dyDescent="0.4">
      <c r="A16" s="45"/>
      <c r="B16" s="49">
        <f>B15+0.05</f>
        <v>1.2000000000000004</v>
      </c>
      <c r="C16" s="49">
        <f>Sheet1!C57-(Sheet1!C58/Sheet2!B16)</f>
        <v>50.670039828512778</v>
      </c>
      <c r="D16" s="49">
        <f>SQRT(-2*(Sheet1!C57^2*LN(Sheet2!B16)+Sheet1!C57*Sheet1!C58/Sheet2!B16-Sheet1!C57*Sheet1!C58)+Sheet1!L8^2)</f>
        <v>160.58291701572742</v>
      </c>
      <c r="E16" s="49">
        <f t="shared" si="3"/>
        <v>17.512474478250461</v>
      </c>
      <c r="F16" s="49">
        <f t="shared" si="4"/>
        <v>60.764352964704635</v>
      </c>
      <c r="G16" s="49">
        <f>2*3.14*Sheet1!H12*Sheet1!P8*Sheet2!B16</f>
        <v>337.58003583172604</v>
      </c>
      <c r="H16" s="50">
        <f>1+Sheet1!C57/Sheet1!C24-2*Sheet1!C57/Sheet1!C24/Sheet2!B16</f>
        <v>0.80339558881555528</v>
      </c>
      <c r="AD16" s="65"/>
      <c r="AE16" s="65"/>
      <c r="AF16" s="65"/>
      <c r="AG16" s="56"/>
      <c r="AH16" s="56"/>
      <c r="AI16" s="49">
        <f t="shared" si="1"/>
        <v>1.2000000000000004</v>
      </c>
      <c r="AJ16" s="49">
        <f t="shared" si="2"/>
        <v>60.764352964704635</v>
      </c>
      <c r="AK16" s="49">
        <f>(AI16-1)/(AI17-1)*(B30-1)+1</f>
        <v>1.2010297960508258</v>
      </c>
      <c r="AL16" s="67">
        <f t="shared" si="8"/>
        <v>55.369247818206858</v>
      </c>
      <c r="AM16" s="50">
        <f t="shared" si="9"/>
        <v>0.29880761166656067</v>
      </c>
      <c r="AN16" s="49">
        <f t="shared" si="10"/>
        <v>7.6941866972067476</v>
      </c>
      <c r="AO16" s="49">
        <f t="shared" si="11"/>
        <v>60.764352964704635</v>
      </c>
      <c r="AP16" s="49">
        <f t="shared" si="12"/>
        <v>53.070166267497889</v>
      </c>
      <c r="AQ16" s="78">
        <f t="shared" si="13"/>
        <v>6.0696351096456002E-3</v>
      </c>
      <c r="AR16" s="49">
        <f t="shared" si="14"/>
        <v>56.906145473105155</v>
      </c>
      <c r="AS16" s="77"/>
    </row>
    <row r="17" spans="1:67" ht="16.8" x14ac:dyDescent="0.4">
      <c r="A17" s="45"/>
      <c r="B17" s="49">
        <f>Sheet1!C53/Sheet1!P8</f>
        <v>1.25</v>
      </c>
      <c r="C17" s="49">
        <f>Sheet1!C57-(Sheet1!C58/Sheet2!B17)</f>
        <v>51.961724443988274</v>
      </c>
      <c r="D17" s="49">
        <f>SQRT(-2*(Sheet1!C57^2*LN(Sheet2!B17)+Sheet1!C57*Sheet1!C58/Sheet2!B17-Sheet1!C57*Sheet1!C58)+Sheet1!L8^2)</f>
        <v>159.49690425092183</v>
      </c>
      <c r="E17" s="49">
        <f t="shared" si="3"/>
        <v>18.044840820494787</v>
      </c>
      <c r="F17" s="49">
        <f t="shared" si="4"/>
        <v>61.977346772564154</v>
      </c>
      <c r="G17" s="49">
        <f>2*3.14*Sheet1!H12*Sheet1!P8*Sheet2!B17</f>
        <v>351.64587065804778</v>
      </c>
      <c r="H17" s="50">
        <f>1+Sheet1!C57/Sheet1!C24-2*Sheet1!C57/Sheet1!C24/Sheet2!B17</f>
        <v>0.82305602993399962</v>
      </c>
      <c r="AD17" s="65"/>
      <c r="AE17" s="65"/>
      <c r="AF17" s="65"/>
      <c r="AG17" s="56"/>
      <c r="AH17" s="56"/>
      <c r="AI17" s="49">
        <f t="shared" si="1"/>
        <v>1.25</v>
      </c>
      <c r="AJ17" s="49">
        <f t="shared" si="2"/>
        <v>61.977346772564154</v>
      </c>
      <c r="AK17" s="49">
        <f>(AI17-1)/(AI17-1)*(B30-1)+1</f>
        <v>1.2512872450635317</v>
      </c>
      <c r="AL17" s="67">
        <f>F30</f>
        <v>57.588523420800783</v>
      </c>
      <c r="AM17" s="50">
        <f t="shared" si="9"/>
        <v>0.32733689974481561</v>
      </c>
      <c r="AN17" s="49">
        <f t="shared" si="10"/>
        <v>6.5245489905695848</v>
      </c>
      <c r="AO17" s="49">
        <f t="shared" si="11"/>
        <v>61.977346772564154</v>
      </c>
      <c r="AP17" s="49">
        <f t="shared" si="12"/>
        <v>55.452797781994569</v>
      </c>
      <c r="AQ17" s="78">
        <f t="shared" si="13"/>
        <v>5.1405897619780823E-3</v>
      </c>
      <c r="AR17" s="49">
        <f t="shared" si="14"/>
        <v>58.708297612947156</v>
      </c>
      <c r="AS17" s="77"/>
    </row>
    <row r="18" spans="1:67" ht="19.2" x14ac:dyDescent="0.45">
      <c r="A18" s="45"/>
      <c r="B18" s="101" t="s">
        <v>89</v>
      </c>
      <c r="C18" s="101"/>
      <c r="D18" s="101"/>
      <c r="E18" s="101"/>
      <c r="F18" s="101"/>
      <c r="G18" s="101"/>
      <c r="H18" s="101"/>
      <c r="J18" s="55"/>
      <c r="K18" s="105" t="s">
        <v>101</v>
      </c>
      <c r="L18" s="106"/>
      <c r="M18" s="106"/>
      <c r="N18" s="106"/>
      <c r="O18" s="106"/>
      <c r="P18" s="106"/>
      <c r="Q18" s="106"/>
      <c r="R18" s="107"/>
      <c r="U18" s="99" t="s">
        <v>101</v>
      </c>
      <c r="V18" s="99"/>
      <c r="W18" s="99"/>
      <c r="X18" s="99"/>
      <c r="Y18" s="99"/>
      <c r="Z18" s="99"/>
      <c r="AA18" s="99"/>
      <c r="AD18" s="93" t="s">
        <v>100</v>
      </c>
      <c r="AE18" s="93"/>
      <c r="AF18" s="93"/>
      <c r="AG18" s="57"/>
      <c r="AH18" s="57"/>
      <c r="AI18" s="99" t="s">
        <v>122</v>
      </c>
      <c r="AJ18" s="99"/>
      <c r="AK18" s="99"/>
      <c r="AL18" s="99"/>
      <c r="AM18" s="99"/>
      <c r="AN18" s="99"/>
      <c r="AO18" s="99"/>
      <c r="AP18" s="99"/>
      <c r="AQ18" s="99"/>
      <c r="AR18" s="99"/>
      <c r="BD18" s="93" t="s">
        <v>159</v>
      </c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</row>
    <row r="19" spans="1:67" ht="19.2" x14ac:dyDescent="0.4">
      <c r="A19" s="45"/>
      <c r="B19" s="46" t="s">
        <v>84</v>
      </c>
      <c r="C19" s="46" t="s">
        <v>55</v>
      </c>
      <c r="D19" s="46" t="s">
        <v>90</v>
      </c>
      <c r="E19" s="46" t="s">
        <v>56</v>
      </c>
      <c r="F19" s="46" t="s">
        <v>58</v>
      </c>
      <c r="G19" s="46" t="s">
        <v>86</v>
      </c>
      <c r="H19" s="46" t="s">
        <v>85</v>
      </c>
      <c r="K19" s="47" t="s">
        <v>109</v>
      </c>
      <c r="L19" s="47" t="s">
        <v>92</v>
      </c>
      <c r="M19" s="47" t="s">
        <v>93</v>
      </c>
      <c r="N19" s="47" t="s">
        <v>94</v>
      </c>
      <c r="O19" s="47" t="s">
        <v>95</v>
      </c>
      <c r="P19" s="47" t="s">
        <v>97</v>
      </c>
      <c r="Q19" s="47" t="s">
        <v>98</v>
      </c>
      <c r="R19" s="47" t="s">
        <v>96</v>
      </c>
      <c r="U19" s="47" t="s">
        <v>109</v>
      </c>
      <c r="V19" s="48" t="s">
        <v>102</v>
      </c>
      <c r="W19" s="48" t="s">
        <v>103</v>
      </c>
      <c r="X19" s="48" t="s">
        <v>104</v>
      </c>
      <c r="Y19" s="48" t="s">
        <v>105</v>
      </c>
      <c r="Z19" s="48" t="s">
        <v>106</v>
      </c>
      <c r="AA19" s="48" t="s">
        <v>107</v>
      </c>
      <c r="AD19" s="62" t="s">
        <v>109</v>
      </c>
      <c r="AE19" s="62" t="s">
        <v>112</v>
      </c>
      <c r="AF19" s="62" t="s">
        <v>113</v>
      </c>
      <c r="AG19" s="57"/>
      <c r="AH19" s="57"/>
      <c r="AI19" s="75" t="s">
        <v>83</v>
      </c>
      <c r="AJ19" s="75" t="s">
        <v>15</v>
      </c>
      <c r="AK19" s="75" t="s">
        <v>84</v>
      </c>
      <c r="AL19" s="75" t="s">
        <v>56</v>
      </c>
      <c r="AM19" s="75" t="s">
        <v>115</v>
      </c>
      <c r="AN19" s="75" t="s">
        <v>118</v>
      </c>
      <c r="AO19" s="75" t="s">
        <v>119</v>
      </c>
      <c r="AP19" s="75" t="s">
        <v>120</v>
      </c>
      <c r="AQ19" s="75" t="s">
        <v>143</v>
      </c>
      <c r="AR19" s="75" t="s">
        <v>144</v>
      </c>
      <c r="BD19" s="80" t="s">
        <v>109</v>
      </c>
      <c r="BE19" s="80" t="s">
        <v>158</v>
      </c>
      <c r="BF19" s="80" t="s">
        <v>152</v>
      </c>
      <c r="BG19" s="80" t="s">
        <v>153</v>
      </c>
      <c r="BH19" s="80" t="s">
        <v>154</v>
      </c>
      <c r="BI19" s="80" t="s">
        <v>155</v>
      </c>
      <c r="BJ19" s="80" t="s">
        <v>156</v>
      </c>
      <c r="BK19" s="80" t="s">
        <v>157</v>
      </c>
      <c r="BL19" s="80" t="s">
        <v>161</v>
      </c>
      <c r="BM19" s="80" t="str">
        <f t="shared" ref="BM19:BM25" si="21">BL6</f>
        <v>etta_r</v>
      </c>
      <c r="BN19" s="80" t="s">
        <v>162</v>
      </c>
      <c r="BO19" s="80" t="s">
        <v>85</v>
      </c>
    </row>
    <row r="20" spans="1:67" ht="16.8" x14ac:dyDescent="0.4">
      <c r="A20" s="45"/>
      <c r="B20" s="49">
        <f>Sheet1!C56/Sheet1!P8</f>
        <v>0.74871275493646827</v>
      </c>
      <c r="C20" s="49">
        <f>Sheet1!C57+(Sheet1!C58/Sheet2!B20)</f>
        <v>134.71837041111098</v>
      </c>
      <c r="D20" s="49">
        <f>SQRT(-2*(Sheet1!C57^2*LN(Sheet2!B20)-Sheet1!C57*Sheet1!C58/Sheet2!B20+Sheet1!C57*Sheet1!C58)+Sheet1!L8^2)</f>
        <v>182.66547040330926</v>
      </c>
      <c r="E20" s="49">
        <f>DEGREES(ATAN(C20/D20))</f>
        <v>36.409299942198189</v>
      </c>
      <c r="F20" s="49">
        <f>DEGREES(ATAN((G20/D20)-TAN(RADIANS(E20))))</f>
        <v>22.565432507553616</v>
      </c>
      <c r="G20" s="49">
        <f>2*3.14*Sheet1!H12*Sheet1!P8*Sheet2!B20</f>
        <v>210.62539886593598</v>
      </c>
      <c r="H20" s="50">
        <f>1+Sheet1!C57/Sheet1!C24-2*Sheet1!C57/Sheet1!C24/Sheet2!B20</f>
        <v>0.50713690180315496</v>
      </c>
      <c r="K20" s="51">
        <v>1</v>
      </c>
      <c r="L20" s="49">
        <f>(1.55/(TAN(RADIANS(Sheet1!C28))-TAN(RADIANS(Sheet1!C40)))-1)/1.5</f>
        <v>2.2171033593357024</v>
      </c>
      <c r="M20" s="52">
        <f>L20*((Sheet1!C55-Sheet1!C56)/3)</f>
        <v>6.6551980262802388E-2</v>
      </c>
      <c r="N20" s="49">
        <f>2*3.14*Sheet1!P8/Sheet2!M20</f>
        <v>16.908088709941715</v>
      </c>
      <c r="O20" s="51">
        <v>16</v>
      </c>
      <c r="P20" s="52">
        <f>2*3.14*Sheet1!P8/O20</f>
        <v>7.0329174131609565E-2</v>
      </c>
      <c r="Q20" s="52">
        <f>P20/L20</f>
        <v>3.1721197767109008E-2</v>
      </c>
      <c r="R20" s="49">
        <f>(Sheet1!C55-Sheet1!C56)/Q20</f>
        <v>2.8388779372665982</v>
      </c>
      <c r="U20" s="53">
        <v>1</v>
      </c>
      <c r="V20" s="52">
        <f>(1.55/(TAN(RADIANS(E20))-TAN(RADIANS(E38)))-1)/1.5</f>
        <v>1.499484541874315</v>
      </c>
      <c r="W20" s="52">
        <f>2*3.14*Sheet1!C56/O20</f>
        <v>5.2656349716483995E-2</v>
      </c>
      <c r="X20" s="54">
        <f>W20/V20</f>
        <v>3.5116300465935439E-2</v>
      </c>
      <c r="Y20" s="54">
        <f>(1.55/(TAN(RADIANS(E30))-TAN(RADIANS(E48)))-1)/1.5</f>
        <v>2.9893343300178956</v>
      </c>
      <c r="Z20" s="54">
        <f>2*3.14*Sheet1!C55/O20</f>
        <v>8.8001998546735127E-2</v>
      </c>
      <c r="AA20" s="54">
        <f>Z20/Y20</f>
        <v>2.9438660528214755E-2</v>
      </c>
      <c r="AD20" s="51">
        <v>1</v>
      </c>
      <c r="AE20" s="52" t="s">
        <v>134</v>
      </c>
      <c r="AF20" s="52" t="s">
        <v>133</v>
      </c>
      <c r="AG20" s="58"/>
      <c r="AH20" s="59"/>
      <c r="AI20" s="49">
        <f>B20</f>
        <v>0.74871275493646827</v>
      </c>
      <c r="AJ20" s="49">
        <f>E20</f>
        <v>36.409299942198189</v>
      </c>
      <c r="AK20" s="49">
        <f>(1-AI20)/(1-AI20)*(B38-1)+1</f>
        <v>0.74742550987293666</v>
      </c>
      <c r="AL20" s="49">
        <f>E38</f>
        <v>14.599844503577867</v>
      </c>
      <c r="AM20" s="50">
        <f>(0.23*(2*0.3)^2+AL20/500)*SQRT((1.55/(TAN(RADIANS(AJ20))-TAN(RADIANS(AL20)))-1)/1.5)</f>
        <v>0.13714747404064287</v>
      </c>
      <c r="AN20" s="49">
        <f>(AO20-AL20)/(1-AM20)</f>
        <v>25.275994196542008</v>
      </c>
      <c r="AO20" s="49">
        <f>AJ20</f>
        <v>36.409299942198189</v>
      </c>
      <c r="AP20" s="49">
        <f>AO20-AN20</f>
        <v>11.13330574565618</v>
      </c>
      <c r="AQ20" s="78">
        <f>(SQRT(1+(4*TAN(RADIANS(AN20)))^2*(0.3-0.3^2-3/16))-1)/(4*TAN(RADIANS(AN20)))</f>
        <v>2.0838263070671475E-2</v>
      </c>
      <c r="AR20" s="49">
        <f>AO20-DEGREES(ATAN(AQ20/0.3^2))</f>
        <v>23.372964896547487</v>
      </c>
      <c r="BD20" s="51">
        <v>1</v>
      </c>
      <c r="BE20" s="49">
        <f>DEGREES(ATAN((TAN(RADIANS(Sheet1!C28))+TAN(RADIANS(Sheet1!C40)))/2))</f>
        <v>29.182881206295683</v>
      </c>
      <c r="BF20" s="52">
        <f>2*(0.004/(1-1.17*LN(COS(RADIANS(Sheet1!C40))/COS(RADIANS(Sheet1!C28))*(1.12+0.61*Sheet2!L20*(COS(RADIANS(Sheet1!C28)))^2*(TAN(RADIANS(Sheet1!C28))-TAN(RADIANS(Sheet1!C40)))))))*(COS(RADIANS(Sheet2!BE20))/COS(RADIANS(Sheet1!C40)))^3</f>
        <v>1.6167760364764985E-2</v>
      </c>
      <c r="BG20" s="52">
        <f>0.02*P20/(R20*Q20)</f>
        <v>1.5619575116149101E-2</v>
      </c>
      <c r="BH20" s="52">
        <f>2*L20*COS(RADIANS(BE20))*(TAN(RADIANS(Sheet1!C28))-TAN(RADIANS(Sheet1!C40)))-(Sheet2!BF20+Sheet2!BG20)*TAN(RADIANS(Sheet2!BE20))</f>
        <v>1.3694619498525458</v>
      </c>
      <c r="BI20" s="52">
        <f>0.018*BH20^2</f>
        <v>3.3757668577690858E-2</v>
      </c>
      <c r="BJ20" s="52">
        <f>BI20+BG20+BF20</f>
        <v>6.5545004058604944E-2</v>
      </c>
      <c r="BK20" s="52">
        <f>2*L20*COS(RADIANS(BE20))*(TAN(RADIANS(Sheet1!C28))-TAN(RADIANS(Sheet1!C40)))-(Sheet2!BF20+Sheet2!BG20+BI20)*TAN(RADIANS(Sheet2!BE20))</f>
        <v>1.3506086608358672</v>
      </c>
      <c r="BL20" s="49">
        <f>1-(2*BJ20)/(BK20*SIN(RADIANS(2*BE20)))</f>
        <v>0.88600142008209681</v>
      </c>
      <c r="BM20" s="49">
        <f t="shared" si="21"/>
        <v>0.91475123652068813</v>
      </c>
      <c r="BN20" s="79">
        <f>BM20*BO20+(1-BO20)*BL20</f>
        <v>0.90627272542183301</v>
      </c>
      <c r="BO20" s="81">
        <f t="shared" ref="BO20:BO25" si="22">BO7</f>
        <v>0.70509338322333248</v>
      </c>
    </row>
    <row r="21" spans="1:67" ht="16.8" x14ac:dyDescent="0.4">
      <c r="A21" s="45"/>
      <c r="B21" s="49">
        <f>CEILING(Sheet1!C56/Sheet1!P8,0.05)+0.05</f>
        <v>0.8</v>
      </c>
      <c r="C21" s="49">
        <f>Sheet1!C57+(Sheet1!C58/Sheet2!B21)</f>
        <v>131.40032829573187</v>
      </c>
      <c r="D21" s="49">
        <f>SQRT(-2*(Sheet1!C57^2*LN(Sheet2!B21)-Sheet1!C57*Sheet1!C58/Sheet2!B21+Sheet1!C57*Sheet1!C58)+Sheet1!L8^2)</f>
        <v>178.61714056173253</v>
      </c>
      <c r="E21" s="49">
        <f>DEGREES(ATAN(C21/D21))</f>
        <v>36.340189559452028</v>
      </c>
      <c r="F21" s="49">
        <f t="shared" ref="F21:F30" si="23">DEGREES(ATAN((G21/D21)-TAN(RADIANS(E21))))</f>
        <v>27.669044716195181</v>
      </c>
      <c r="G21" s="49">
        <f>2*3.14*Sheet1!H12*Sheet1!P8*Sheet2!B21</f>
        <v>225.05335722115061</v>
      </c>
      <c r="H21" s="50">
        <f>1+Sheet1!C57/Sheet1!C24-2*Sheet1!C57/Sheet1!C24/Sheet2!B21</f>
        <v>0.55764007483499889</v>
      </c>
      <c r="K21" s="51">
        <v>2</v>
      </c>
      <c r="L21" s="49">
        <f>(1.55/(TAN(RADIANS(Sheet1!H28))-TAN(RADIANS(Sheet1!H40)))-1)/1.5</f>
        <v>1.6194177704180452</v>
      </c>
      <c r="M21" s="52">
        <f>L21*((Sheet1!H55-Sheet1!H56)/3)</f>
        <v>4.5176937407589636E-2</v>
      </c>
      <c r="N21" s="49">
        <f>2*3.14*Sheet1!P8/Sheet2!M21</f>
        <v>24.907991791331796</v>
      </c>
      <c r="O21" s="51">
        <v>24</v>
      </c>
      <c r="P21" s="52">
        <f>2*3.14*Sheet1!P8/O21</f>
        <v>4.688611608773971E-2</v>
      </c>
      <c r="Q21" s="52">
        <f t="shared" ref="Q21:Q25" si="24">P21/L21</f>
        <v>2.895245250744425E-2</v>
      </c>
      <c r="R21" s="49">
        <f>(Sheet1!H55-Sheet1!H56)/Q21</f>
        <v>2.8906384988073039</v>
      </c>
      <c r="U21" s="53">
        <v>2</v>
      </c>
      <c r="V21" s="52">
        <f>(1.55/(TAN(RADIANS(E51))-TAN(RADIANS(E69)))-1)/1.5</f>
        <v>1.3484118021551696</v>
      </c>
      <c r="W21" s="52">
        <f>2*3.14*Sheet1!H56/O20</f>
        <v>5.3904800887976279E-2</v>
      </c>
      <c r="X21" s="54">
        <f t="shared" ref="X21:X25" si="25">W21/V21</f>
        <v>3.9976512221133124E-2</v>
      </c>
      <c r="Y21" s="54">
        <f>(1.55/(TAN(RADIANS(E61))-TAN(RADIANS(E77)))-1)/1.5</f>
        <v>1.7094871271916248</v>
      </c>
      <c r="Z21" s="54">
        <f>2*3.14*Sheet1!C55/O21</f>
        <v>5.8667999031156749E-2</v>
      </c>
      <c r="AA21" s="54">
        <f t="shared" ref="AA21:AA25" si="26">Z21/Y21</f>
        <v>3.4319064529919896E-2</v>
      </c>
      <c r="AD21" s="51">
        <v>2</v>
      </c>
      <c r="AE21" s="52" t="s">
        <v>137</v>
      </c>
      <c r="AF21" s="52" t="s">
        <v>132</v>
      </c>
      <c r="AG21" s="58"/>
      <c r="AH21" s="59"/>
      <c r="AI21" s="66">
        <f t="shared" ref="AI21:AI30" si="27">B21</f>
        <v>0.8</v>
      </c>
      <c r="AJ21" s="66">
        <f t="shared" ref="AJ21:AJ30" si="28">E21</f>
        <v>36.340189559452028</v>
      </c>
      <c r="AK21" s="49">
        <f>(1-AI21)/(1-AI20)*(B38-1)+1</f>
        <v>0.79897547918661282</v>
      </c>
      <c r="AL21" s="49">
        <f t="shared" ref="AL21:AL29" si="29">-16.207*AK21^4 + 80.145*AK21^3- 155.65*AK21^2 + 155.74*AK21 - 43.259</f>
        <v>16.084767962589794</v>
      </c>
      <c r="AM21" s="50">
        <f t="shared" ref="AM21:AM30" si="30">(0.23*(2*0.3)^2+AL21/500)*SQRT((1.55/(TAN(RADIANS(AJ21))-TAN(RADIANS(AL21)))-1)/1.5)</f>
        <v>0.14738798097426239</v>
      </c>
      <c r="AN21" s="49">
        <f t="shared" ref="AN21:AN30" si="31">(AO21-AL21)/(1-AM21)</f>
        <v>23.756903661770675</v>
      </c>
      <c r="AO21" s="49">
        <f t="shared" ref="AO21:AO30" si="32">AJ21</f>
        <v>36.340189559452028</v>
      </c>
      <c r="AP21" s="49">
        <f t="shared" ref="AP21:AP30" si="33">AO21-AN21</f>
        <v>12.583285897681353</v>
      </c>
      <c r="AQ21" s="78">
        <f t="shared" ref="AQ21:AQ30" si="34">(SQRT(1+(4*TAN(RADIANS(AN21)))^2*(0.3-0.3^2-3/16))-1)/(4*TAN(RADIANS(AN21)))</f>
        <v>1.9473130586525639E-2</v>
      </c>
      <c r="AR21" s="49">
        <f t="shared" ref="AR21:AR30" si="35">AO21-DEGREES(ATAN(AQ21/0.3^2))</f>
        <v>24.131406486504346</v>
      </c>
      <c r="BD21" s="51">
        <v>2</v>
      </c>
      <c r="BE21" s="49">
        <f>DEGREES(ATAN((TAN(RADIANS(Sheet1!H28))+TAN(RADIANS(Sheet1!H40)))/2))</f>
        <v>37.185016576975983</v>
      </c>
      <c r="BF21" s="52">
        <f>2*(0.004/(1-1.17*LN(COS(RADIANS(Sheet1!H40))/COS(RADIANS(Sheet1!H28))*(1.12+0.61*Sheet2!L21*(COS(RADIANS(Sheet1!H28)))^2*(TAN(RADIANS(Sheet1!H28))-TAN(RADIANS(Sheet1!H40)))))))*(COS(RADIANS(Sheet2!BE21))/COS(RADIANS(Sheet1!H40)))^3</f>
        <v>1.4660577400963687E-2</v>
      </c>
      <c r="BG21" s="52">
        <f t="shared" ref="BG21:BG24" si="36">0.02*P21/(R21*Q21)</f>
        <v>1.1204567925641531E-2</v>
      </c>
      <c r="BH21" s="52">
        <f>2*L22*COS(RADIANS(BE22))*(TAN(RADIANS(Sheet1!H28))-TAN(RADIANS(Sheet1!H40)))-(Sheet2!BF22+Sheet2!BG22)*TAN(RADIANS(Sheet2!BE22))</f>
        <v>0.60570325210548914</v>
      </c>
      <c r="BI21" s="52">
        <f t="shared" ref="BI21:BI25" si="37">0.018*BH21^2</f>
        <v>6.6037757330009829E-3</v>
      </c>
      <c r="BJ21" s="52">
        <f t="shared" ref="BJ21:BJ25" si="38">BI21+BG21+BF21</f>
        <v>3.24689210596062E-2</v>
      </c>
      <c r="BK21" s="52">
        <f>2*L21*COS(RADIANS(BE21))*(TAN(RADIANS(Sheet1!H28))-TAN(RADIANS(Sheet1!H40)))-(Sheet2!BF21+Sheet2!BG21+BI21)*TAN(RADIANS(Sheet2!BE21))</f>
        <v>1.1417085940301521</v>
      </c>
      <c r="BL21" s="49">
        <f t="shared" ref="BL21:BL25" si="39">1-(2*BJ21)/(BK21*SIN(RADIANS(2*BE21)))</f>
        <v>0.94093822818809236</v>
      </c>
      <c r="BM21" s="49">
        <f t="shared" si="21"/>
        <v>0.92003349159053083</v>
      </c>
      <c r="BN21" s="79">
        <f t="shared" ref="BN21:BN25" si="40">BM21*BO21+(1-BO21)*BL21</f>
        <v>0.92839538622955542</v>
      </c>
      <c r="BO21" s="81">
        <f t="shared" si="22"/>
        <v>0.6</v>
      </c>
    </row>
    <row r="22" spans="1:67" ht="16.8" x14ac:dyDescent="0.4">
      <c r="A22" s="45"/>
      <c r="B22" s="49">
        <f t="shared" ref="B22:B28" si="41">B21+0.05</f>
        <v>0.85000000000000009</v>
      </c>
      <c r="C22" s="49">
        <f>Sheet1!C57+(Sheet1!C58/Sheet2!B22)</f>
        <v>128.55102399688883</v>
      </c>
      <c r="D22" s="49">
        <f>SQRT(-2*(Sheet1!C57^2*LN(Sheet2!B22)-Sheet1!C57*Sheet1!C58/Sheet2!B22+Sheet1!C57*Sheet1!C58)+Sheet1!L8^2)</f>
        <v>174.91938015715598</v>
      </c>
      <c r="E22" s="49">
        <f t="shared" ref="E22:E30" si="42">DEGREES(ATAN(C22/D22))</f>
        <v>36.312755747858738</v>
      </c>
      <c r="F22" s="49">
        <f t="shared" si="23"/>
        <v>32.29736154044479</v>
      </c>
      <c r="G22" s="49">
        <f>2*3.14*Sheet1!H12*Sheet1!P8*Sheet2!B22</f>
        <v>239.11919204747252</v>
      </c>
      <c r="H22" s="50">
        <f>1+Sheet1!C57/Sheet1!C24-2*Sheet1!C57/Sheet1!C24/Sheet2!B22</f>
        <v>0.60100869494921472</v>
      </c>
      <c r="K22" s="51">
        <v>3</v>
      </c>
      <c r="L22" s="49">
        <f>(1.55/(TAN(RADIANS(Sheet1!L28))-TAN(RADIANS(Sheet1!L40)))-1)/1.5</f>
        <v>0.90143830697463001</v>
      </c>
      <c r="M22" s="52">
        <f>L22*((Sheet1!L55-Sheet1!L56)/3)</f>
        <v>2.13199870740058E-2</v>
      </c>
      <c r="N22" s="49">
        <f>2*3.14*Sheet1!P8/Sheet2!M22</f>
        <v>52.779900015874041</v>
      </c>
      <c r="O22" s="51">
        <v>52</v>
      </c>
      <c r="P22" s="52">
        <f>2*3.14*Sheet1!P8/O22</f>
        <v>2.1639745886649096E-2</v>
      </c>
      <c r="Q22" s="52">
        <f t="shared" si="24"/>
        <v>2.4005797977762356E-2</v>
      </c>
      <c r="R22" s="49">
        <f>(Sheet1!L55-Sheet1!L56)/Q22</f>
        <v>2.9556706237238335</v>
      </c>
      <c r="U22" s="53">
        <v>3</v>
      </c>
      <c r="V22" s="52">
        <f>(1.55/(TAN(RADIANS(E80))-TAN(RADIANS(E96)))-1)/1.5</f>
        <v>0.97115520828883373</v>
      </c>
      <c r="W22" s="52">
        <f>2*3.14*Sheet1!L56/O20</f>
        <v>5.6404602374782523E-2</v>
      </c>
      <c r="X22" s="54">
        <f t="shared" si="25"/>
        <v>5.8079905141184281E-2</v>
      </c>
      <c r="Y22" s="54">
        <f>(1.55/(TAN(RADIANS(E88))-TAN(RADIANS(E104)))-1)/1.5</f>
        <v>0.66359578590597879</v>
      </c>
      <c r="Z22" s="54">
        <f>2*3.14*Sheet1!C55/O22</f>
        <v>2.7077538014380041E-2</v>
      </c>
      <c r="AA22" s="54">
        <f t="shared" si="26"/>
        <v>4.0804264568094328E-2</v>
      </c>
      <c r="AD22" s="51">
        <v>3</v>
      </c>
      <c r="AE22" s="52" t="s">
        <v>138</v>
      </c>
      <c r="AF22" s="52" t="s">
        <v>126</v>
      </c>
      <c r="AG22" s="58"/>
      <c r="AH22" s="59"/>
      <c r="AI22" s="49">
        <f t="shared" si="27"/>
        <v>0.85000000000000009</v>
      </c>
      <c r="AJ22" s="49">
        <f t="shared" si="28"/>
        <v>36.312755747858738</v>
      </c>
      <c r="AK22" s="49">
        <f>(1-AI22)/(1-AI20)*(B38-1)+1</f>
        <v>0.84923160938995967</v>
      </c>
      <c r="AL22" s="49">
        <f t="shared" si="29"/>
        <v>17.402517067689629</v>
      </c>
      <c r="AM22" s="50">
        <f t="shared" si="30"/>
        <v>0.15712372295421331</v>
      </c>
      <c r="AN22" s="49">
        <f t="shared" si="31"/>
        <v>22.435367081925673</v>
      </c>
      <c r="AO22" s="49">
        <f t="shared" si="32"/>
        <v>36.312755747858738</v>
      </c>
      <c r="AP22" s="49">
        <f t="shared" si="33"/>
        <v>13.877388665933065</v>
      </c>
      <c r="AQ22" s="78">
        <f t="shared" si="34"/>
        <v>1.8303512635279941E-2</v>
      </c>
      <c r="AR22" s="49">
        <f t="shared" si="35"/>
        <v>24.817153812797585</v>
      </c>
      <c r="BD22" s="51">
        <v>3</v>
      </c>
      <c r="BE22" s="49">
        <f>DEGREES(ATAN((TAN(RADIANS(Sheet1!L28))+TAN(RADIANS(Sheet1!L40)))/2))</f>
        <v>40.125555482220072</v>
      </c>
      <c r="BF22" s="52">
        <f>2*(0.004/(1-1.17*LN(COS(RADIANS(Sheet1!L40))/COS(RADIANS(Sheet1!L28))*(1.12+0.61*Sheet2!L22*(COS(RADIANS(Sheet1!L28)))^2*(TAN(RADIANS(Sheet1!L28))-TAN(RADIANS(Sheet1!L40)))))))*(COS(RADIANS(Sheet2!BE22))/COS(RADIANS(Sheet1!L40)))^3</f>
        <v>1.4557992509426776E-2</v>
      </c>
      <c r="BG22" s="52">
        <f t="shared" si="36"/>
        <v>6.0997209887948389E-3</v>
      </c>
      <c r="BH22" s="52">
        <f>2*L22*COS(RADIANS(BE22))*(TAN(RADIANS(Sheet1!L28))-TAN(RADIANS(Sheet1!L40)))-(Sheet2!BF22+Sheet2!BG22)*TAN(RADIANS(Sheet2!BE22))</f>
        <v>0.89100516824933518</v>
      </c>
      <c r="BI22" s="52">
        <f t="shared" si="37"/>
        <v>1.4290023777246467E-2</v>
      </c>
      <c r="BJ22" s="52">
        <f t="shared" si="38"/>
        <v>3.4947737275468085E-2</v>
      </c>
      <c r="BK22" s="52">
        <f>2*L22*COS(RADIANS(BE22))*(TAN(RADIANS(Sheet1!L28))-TAN(RADIANS(Sheet1!L40)))-(Sheet2!BF22+Sheet2!BG22+BI22)*TAN(RADIANS(Sheet2!BE22))</f>
        <v>0.87896095344697267</v>
      </c>
      <c r="BL22" s="49">
        <f t="shared" si="39"/>
        <v>0.91931427678862376</v>
      </c>
      <c r="BM22" s="49">
        <f t="shared" si="21"/>
        <v>0.91964328065009626</v>
      </c>
      <c r="BN22" s="79">
        <f t="shared" si="40"/>
        <v>0.91947877871936001</v>
      </c>
      <c r="BO22" s="81">
        <f t="shared" si="22"/>
        <v>0.5</v>
      </c>
    </row>
    <row r="23" spans="1:67" ht="16.8" x14ac:dyDescent="0.4">
      <c r="A23" s="45"/>
      <c r="B23" s="49">
        <f t="shared" si="41"/>
        <v>0.90000000000000013</v>
      </c>
      <c r="C23" s="49">
        <f>Sheet1!C57+(Sheet1!C58/Sheet2!B23)</f>
        <v>126.01830906458392</v>
      </c>
      <c r="D23" s="49">
        <f>SQRT(-2*(Sheet1!C57^2*LN(Sheet2!B23)-Sheet1!C57*Sheet1!C58/Sheet2!B23+Sheet1!C57*Sheet1!C58)+Sheet1!L8^2)</f>
        <v>171.43436047472539</v>
      </c>
      <c r="E23" s="49">
        <f t="shared" si="42"/>
        <v>36.318935913328204</v>
      </c>
      <c r="F23" s="49">
        <f t="shared" si="23"/>
        <v>36.567314551470439</v>
      </c>
      <c r="G23" s="49">
        <f>2*3.14*Sheet1!H12*Sheet1!P8*Sheet2!B23</f>
        <v>253.18502687379447</v>
      </c>
      <c r="H23" s="50">
        <f>1+Sheet1!C57/Sheet1!C24-2*Sheet1!C57/Sheet1!C24/Sheet2!B23</f>
        <v>0.63955857949518435</v>
      </c>
      <c r="K23" s="51">
        <v>4</v>
      </c>
      <c r="L23" s="49">
        <f>(1.55/(TAN(RADIANS(Sheet1!P28))-TAN(RADIANS(Sheet1!P40)))-1)/1.5</f>
        <v>0.85688987022345575</v>
      </c>
      <c r="M23" s="52">
        <f>L23*((Sheet1!P55-Sheet1!P56)/3)</f>
        <v>1.7256815541183475E-2</v>
      </c>
      <c r="N23" s="49">
        <f>2*3.14*Sheet1!P8/Sheet2!M23</f>
        <v>65.207093592690867</v>
      </c>
      <c r="O23" s="51">
        <v>66</v>
      </c>
      <c r="P23" s="52">
        <f>2*3.14*Sheet1!P8/O23</f>
        <v>1.7049496759178075E-2</v>
      </c>
      <c r="Q23" s="52">
        <f t="shared" si="24"/>
        <v>1.9896952165780635E-2</v>
      </c>
      <c r="R23" s="49">
        <f>(Sheet1!P55-Sheet1!P56)/Q23</f>
        <v>3.0364794547781231</v>
      </c>
      <c r="U23" s="53">
        <v>4</v>
      </c>
      <c r="V23" s="52">
        <f>(1.55/(TAN(RADIANS(E107))-TAN(RADIANS(E123)))-1)/1.5</f>
        <v>0.92707180581374649</v>
      </c>
      <c r="W23" s="52">
        <f>2*3.14*Sheet1!P56/O20</f>
        <v>5.8472399413030722E-2</v>
      </c>
      <c r="X23" s="54">
        <f t="shared" si="25"/>
        <v>6.3072136426051695E-2</v>
      </c>
      <c r="Y23" s="54">
        <f>(1.55/(TAN(RADIANS(E115))-TAN(RADIANS(E129)))-1)/1.5</f>
        <v>0.66619285315454435</v>
      </c>
      <c r="Z23" s="54">
        <f>2*3.14*Sheet1!C55/O23</f>
        <v>2.1333817829511548E-2</v>
      </c>
      <c r="AA23" s="54">
        <f t="shared" si="26"/>
        <v>3.2023486485170234E-2</v>
      </c>
      <c r="AD23" s="51">
        <v>4</v>
      </c>
      <c r="AE23" s="52" t="s">
        <v>126</v>
      </c>
      <c r="AF23" s="52" t="s">
        <v>127</v>
      </c>
      <c r="AG23" s="58"/>
      <c r="AH23" s="59"/>
      <c r="AI23" s="49">
        <f t="shared" si="27"/>
        <v>0.90000000000000013</v>
      </c>
      <c r="AJ23" s="49">
        <f t="shared" si="28"/>
        <v>36.318935913328204</v>
      </c>
      <c r="AK23" s="49">
        <f>(1-AI23)/(1-AI20)*(B38-1)+1</f>
        <v>0.89948773959330652</v>
      </c>
      <c r="AL23" s="49">
        <f t="shared" si="29"/>
        <v>18.610973439693794</v>
      </c>
      <c r="AM23" s="50">
        <f t="shared" si="30"/>
        <v>0.16663123159923585</v>
      </c>
      <c r="AN23" s="49">
        <f t="shared" si="31"/>
        <v>21.248651431485747</v>
      </c>
      <c r="AO23" s="49">
        <f t="shared" si="32"/>
        <v>36.318935913328204</v>
      </c>
      <c r="AP23" s="49">
        <f t="shared" si="33"/>
        <v>15.070284481842457</v>
      </c>
      <c r="AQ23" s="78">
        <f t="shared" si="34"/>
        <v>1.7266466264568674E-2</v>
      </c>
      <c r="AR23" s="49">
        <f t="shared" si="35"/>
        <v>25.45872032586389</v>
      </c>
      <c r="BD23" s="51">
        <v>4</v>
      </c>
      <c r="BE23" s="49">
        <f>DEGREES(ATAN((TAN(RADIANS(Sheet1!P28))+TAN(RADIANS(Sheet1!P40)))/2))</f>
        <v>40.446757015917946</v>
      </c>
      <c r="BF23" s="52">
        <f>2*(0.004/(1-1.17*LN(COS(RADIANS(Sheet1!P40))/COS(RADIANS(Sheet1!P28))*(1.12+0.61*Sheet2!L23*(COS(RADIANS(Sheet1!P28)))^2*(TAN(RADIANS(Sheet1!P28))-TAN(RADIANS(Sheet1!P40)))))))*(COS(RADIANS(Sheet2!BE23))/COS(RADIANS(Sheet1!P40)))^3</f>
        <v>1.4581127049787203E-2</v>
      </c>
      <c r="BG23" s="52">
        <f t="shared" si="36"/>
        <v>5.6439694915444046E-3</v>
      </c>
      <c r="BH23" s="52">
        <f>2*L23*COS(RADIANS(BE23))*(TAN(RADIANS(Sheet1!P28))-TAN(RADIANS(Sheet1!P40)))-(Sheet2!BF23+Sheet2!BG23)*TAN(RADIANS(Sheet2!BE23))</f>
        <v>0.86731749153843818</v>
      </c>
      <c r="BI23" s="52">
        <f t="shared" si="37"/>
        <v>1.3540313360313517E-2</v>
      </c>
      <c r="BJ23" s="52">
        <f t="shared" si="38"/>
        <v>3.3765409901645123E-2</v>
      </c>
      <c r="BK23" s="52">
        <f>2*L23*COS(RADIANS(BE23))*(TAN(RADIANS(Sheet1!P28))-TAN(RADIANS(Sheet1!P40)))-(Sheet2!BF23+Sheet2!BG23+BI23)*TAN(RADIANS(Sheet2!BE23))</f>
        <v>0.85577471510069214</v>
      </c>
      <c r="BL23" s="49">
        <f t="shared" si="39"/>
        <v>0.92008077692911294</v>
      </c>
      <c r="BM23" s="49">
        <f t="shared" si="21"/>
        <v>0.92001244542388327</v>
      </c>
      <c r="BN23" s="79">
        <f t="shared" si="40"/>
        <v>0.92004661117649811</v>
      </c>
      <c r="BO23" s="81">
        <f t="shared" si="22"/>
        <v>0.5</v>
      </c>
    </row>
    <row r="24" spans="1:67" ht="16.8" x14ac:dyDescent="0.4">
      <c r="A24" s="45"/>
      <c r="B24" s="49">
        <f t="shared" si="41"/>
        <v>0.95000000000000018</v>
      </c>
      <c r="C24" s="49">
        <f>Sheet1!C57+(Sheet1!C58/Sheet2!B24)</f>
        <v>123.75219570410056</v>
      </c>
      <c r="D24" s="49">
        <f>SQRT(-2*(Sheet1!C57^2*LN(Sheet2!B24)-Sheet1!C57*Sheet1!C58/Sheet2!B24+Sheet1!C57*Sheet1!C58)+Sheet1!L8^2)</f>
        <v>168.13529567299275</v>
      </c>
      <c r="E24" s="49">
        <f t="shared" si="42"/>
        <v>36.354089047192168</v>
      </c>
      <c r="F24" s="49">
        <f t="shared" si="23"/>
        <v>40.479808621541594</v>
      </c>
      <c r="G24" s="49">
        <f>2*3.14*Sheet1!H12*Sheet1!P8*Sheet2!B24</f>
        <v>267.25086170011639</v>
      </c>
      <c r="H24" s="50">
        <f>1+Sheet1!C57/Sheet1!C24-2*Sheet1!C57/Sheet1!C24/Sheet2!B24</f>
        <v>0.67405058145736774</v>
      </c>
      <c r="K24" s="51">
        <v>5</v>
      </c>
      <c r="L24" s="49">
        <f>(1.55/(TAN(RADIANS(Sheet1!T28))-TAN(RADIANS(Sheet1!T40)))-1)/1.5</f>
        <v>1.0307121310611527</v>
      </c>
      <c r="M24" s="52">
        <f>L24*((Sheet1!T55-Sheet1!T56)/3)</f>
        <v>1.7944388867238696E-2</v>
      </c>
      <c r="N24" s="49">
        <f>2*3.14*Sheet1!P8/Sheet2!M24</f>
        <v>62.708560008982374</v>
      </c>
      <c r="O24" s="51">
        <v>62</v>
      </c>
      <c r="P24" s="52">
        <f>2*3.14*Sheet1!P8/O24</f>
        <v>1.8149464292028274E-2</v>
      </c>
      <c r="Q24" s="52">
        <f t="shared" si="24"/>
        <v>1.7608664674726195E-2</v>
      </c>
      <c r="R24" s="49">
        <f>(Sheet1!T55-Sheet1!T56)/Q24</f>
        <v>2.9661022350594139</v>
      </c>
      <c r="U24" s="53">
        <v>5</v>
      </c>
      <c r="V24" s="52">
        <f>(1.55/(TAN(RADIANS(E132))-TAN(RADIANS(E146)))-1)/1.5</f>
        <v>1.1204985212637038</v>
      </c>
      <c r="W24" s="52">
        <f>2*3.14*Sheet1!T56/O20</f>
        <v>6.0079213325666576E-2</v>
      </c>
      <c r="X24" s="54">
        <f t="shared" si="25"/>
        <v>5.3618288811223901E-2</v>
      </c>
      <c r="Y24" s="54">
        <f>(1.55/(TAN(RADIANS(E138))-TAN(RADIANS(E152)))-1)/1.5</f>
        <v>0.83983900036360526</v>
      </c>
      <c r="Z24" s="54">
        <f>2*3.14*Sheet1!C55/O24</f>
        <v>2.2710193173351E-2</v>
      </c>
      <c r="AA24" s="54">
        <f t="shared" si="26"/>
        <v>2.7041127124983126E-2</v>
      </c>
      <c r="AD24" s="51">
        <v>5</v>
      </c>
      <c r="AE24" s="52" t="s">
        <v>127</v>
      </c>
      <c r="AF24" s="52" t="s">
        <v>129</v>
      </c>
      <c r="AG24" s="58"/>
      <c r="AH24" s="59"/>
      <c r="AI24" s="49">
        <f t="shared" si="27"/>
        <v>0.95000000000000018</v>
      </c>
      <c r="AJ24" s="49">
        <f t="shared" si="28"/>
        <v>36.354089047192168</v>
      </c>
      <c r="AK24" s="49">
        <f>(1-AI24)/(1-AI20)*(B38-1)+1</f>
        <v>0.94974386979665337</v>
      </c>
      <c r="AL24" s="49">
        <f t="shared" si="29"/>
        <v>19.728005394322381</v>
      </c>
      <c r="AM24" s="50">
        <f t="shared" si="30"/>
        <v>0.17594635401719122</v>
      </c>
      <c r="AN24" s="49">
        <f t="shared" si="31"/>
        <v>20.175972442959907</v>
      </c>
      <c r="AO24" s="49">
        <f t="shared" si="32"/>
        <v>36.354089047192168</v>
      </c>
      <c r="AP24" s="49">
        <f t="shared" si="33"/>
        <v>16.178116604232262</v>
      </c>
      <c r="AQ24" s="78">
        <f t="shared" si="34"/>
        <v>1.6339157632578247E-2</v>
      </c>
      <c r="AR24" s="49">
        <f t="shared" si="35"/>
        <v>26.064328267802097</v>
      </c>
      <c r="BD24" s="51">
        <v>5</v>
      </c>
      <c r="BE24" s="49">
        <f>DEGREES(ATAN((TAN(RADIANS(Sheet1!T28))+TAN(RADIANS(Sheet1!T40)))/2))</f>
        <v>41.579526074762654</v>
      </c>
      <c r="BF24" s="52">
        <f>2*(0.004/(1-1.17*LN(COS(RADIANS(Sheet1!T40))/COS(RADIANS(Sheet1!T28))*(1.12+0.61*Sheet2!L24*(COS(RADIANS(Sheet1!T28)))^2*(TAN(RADIANS(Sheet1!T28))-TAN(RADIANS(Sheet1!T40)))))))*(COS(RADIANS(Sheet2!BE24))/COS(RADIANS(Sheet1!T40)))^3</f>
        <v>1.4150287185102946E-2</v>
      </c>
      <c r="BG24" s="52">
        <f t="shared" si="36"/>
        <v>6.9499433895305798E-3</v>
      </c>
      <c r="BH24" s="52">
        <f>2*L24*COS(RADIANS(BE24))*(TAN(RADIANS(Sheet1!T28))-TAN(RADIANS(Sheet1!T40)))-(Sheet2!BF24+Sheet2!BG24)*TAN(RADIANS(Sheet2!BE24))</f>
        <v>0.92003238001527177</v>
      </c>
      <c r="BI24" s="52">
        <f t="shared" si="37"/>
        <v>1.5236272444978176E-2</v>
      </c>
      <c r="BJ24" s="52">
        <f t="shared" si="38"/>
        <v>3.63365030196117E-2</v>
      </c>
      <c r="BK24" s="52">
        <f>2*L24*COS(RADIANS(BE24))*(TAN(RADIANS(Sheet1!T28))-TAN(RADIANS(Sheet1!T40)))-(Sheet2!BF24+Sheet2!BG24+BI24)*TAN(RADIANS(Sheet2!BE24))</f>
        <v>0.90651471742526291</v>
      </c>
      <c r="BL24" s="49">
        <f t="shared" si="39"/>
        <v>0.91925767975257966</v>
      </c>
      <c r="BM24" s="49">
        <f t="shared" si="21"/>
        <v>0.91999240430919871</v>
      </c>
      <c r="BN24" s="79">
        <f t="shared" si="40"/>
        <v>0.91962504203088913</v>
      </c>
      <c r="BO24" s="81">
        <f t="shared" si="22"/>
        <v>0.5</v>
      </c>
    </row>
    <row r="25" spans="1:67" ht="16.8" x14ac:dyDescent="0.4">
      <c r="A25" s="45"/>
      <c r="B25" s="49">
        <f t="shared" si="41"/>
        <v>1.0000000000000002</v>
      </c>
      <c r="C25" s="49">
        <f>Sheet1!C57+(Sheet1!C58/Sheet2!B25)</f>
        <v>121.71269367966556</v>
      </c>
      <c r="D25" s="49">
        <f>SQRT(-2*(Sheet1!C57^2*LN(Sheet2!B25)-Sheet1!C57*Sheet1!C58/Sheet2!B25+Sheet1!C57*Sheet1!C58)+Sheet1!L8^2)</f>
        <v>165</v>
      </c>
      <c r="E25" s="49">
        <f>DEGREES(ATAN(C25/D25))</f>
        <v>36.414440582375235</v>
      </c>
      <c r="F25" s="49">
        <f t="shared" si="23"/>
        <v>44.04764147329989</v>
      </c>
      <c r="G25" s="49">
        <f>2*3.14*Sheet1!H12*Sheet1!P8*Sheet2!B25</f>
        <v>281.31669652643831</v>
      </c>
      <c r="H25" s="50">
        <f>1+Sheet1!C57/Sheet1!C24-2*Sheet1!C57/Sheet1!C24/Sheet2!B25</f>
        <v>0.7050933832233327</v>
      </c>
      <c r="K25" s="51">
        <v>6</v>
      </c>
      <c r="L25" s="49">
        <f>(1.55/(TAN(RADIANS(Sheet1!X28))-TAN(RADIANS(Sheet1!X40)))-1)/1.5</f>
        <v>1.2493049499246804</v>
      </c>
      <c r="M25" s="52">
        <f>L25*((Sheet1!X55-Sheet1!X56)/3)</f>
        <v>1.9231563329395768E-2</v>
      </c>
      <c r="N25" s="49">
        <f>2*3.14*Sheet1!P8/Sheet2!M25</f>
        <v>58.511456756391915</v>
      </c>
      <c r="O25" s="51">
        <v>58</v>
      </c>
      <c r="P25" s="52">
        <f>2*3.14*Sheet1!P8/O25</f>
        <v>1.9401151484581949E-2</v>
      </c>
      <c r="Q25" s="52">
        <f t="shared" si="24"/>
        <v>1.5529556243054691E-2</v>
      </c>
      <c r="R25" s="49">
        <f>(Sheet1!X55-Sheet1!X56)/Q25</f>
        <v>2.9737765840361146</v>
      </c>
      <c r="U25" s="53">
        <v>6</v>
      </c>
      <c r="V25" s="52">
        <f>(1.55/(TAN(RADIANS(E155))-TAN(RADIANS(E146)))-1)/1.5</f>
        <v>1.2995814417172156</v>
      </c>
      <c r="W25" s="52">
        <f>2*3.14*Sheet1!X56/O20</f>
        <v>6.1266068353581234E-2</v>
      </c>
      <c r="X25" s="54">
        <f t="shared" si="25"/>
        <v>4.7142923395879423E-2</v>
      </c>
      <c r="Y25" s="54">
        <f>(1.55/(TAN(RADIANS(E161))-TAN(RADIANS(E152)))-1)/1.5</f>
        <v>1.1051919314108598</v>
      </c>
      <c r="Z25" s="54">
        <f>2*3.14*Sheet1!C55/O25</f>
        <v>2.4276413392202795E-2</v>
      </c>
      <c r="AA25" s="54">
        <f t="shared" si="26"/>
        <v>2.1965789563096198E-2</v>
      </c>
      <c r="AD25" s="51">
        <v>6</v>
      </c>
      <c r="AE25" s="52" t="s">
        <v>129</v>
      </c>
      <c r="AF25" s="52" t="s">
        <v>129</v>
      </c>
      <c r="AG25" s="58"/>
      <c r="AH25" s="59"/>
      <c r="AI25" s="49">
        <f>B25</f>
        <v>1.0000000000000002</v>
      </c>
      <c r="AJ25" s="49">
        <f>E25</f>
        <v>36.414440582375235</v>
      </c>
      <c r="AK25" s="49">
        <f>(1-AI25)/(1-AI20)*(B38-1)+1</f>
        <v>1.0000000000000002</v>
      </c>
      <c r="AL25" s="49">
        <f t="shared" si="29"/>
        <v>20.76900000000002</v>
      </c>
      <c r="AM25" s="50">
        <f t="shared" si="30"/>
        <v>0.18511163863523575</v>
      </c>
      <c r="AN25" s="49">
        <f t="shared" si="31"/>
        <v>19.199489554829864</v>
      </c>
      <c r="AO25" s="49">
        <f t="shared" si="32"/>
        <v>36.414440582375235</v>
      </c>
      <c r="AP25" s="49">
        <f t="shared" si="33"/>
        <v>17.214951027545371</v>
      </c>
      <c r="AQ25" s="78">
        <f t="shared" si="34"/>
        <v>1.5502824472765889E-2</v>
      </c>
      <c r="AR25" s="49">
        <f t="shared" si="35"/>
        <v>26.640946920982543</v>
      </c>
      <c r="BD25" s="51">
        <v>6</v>
      </c>
      <c r="BE25" s="49">
        <f>DEGREES(ATAN((TAN(RADIANS(Sheet1!X28))+TAN(RADIANS(Sheet1!X40)))/2))</f>
        <v>40.446757015917946</v>
      </c>
      <c r="BF25" s="52">
        <f>2*(0.004/(1-1.17*LN(COS(RADIANS(Sheet1!X40))/COS(RADIANS(Sheet1!X28))*(1.12+0.61*Sheet2!L25*(COS(RADIANS(Sheet1!X28)))^2*(TAN(RADIANS(Sheet1!X28))-TAN(RADIANS(Sheet1!X40)))))))*(COS(RADIANS(Sheet2!BE25))/COS(RADIANS(Sheet1!X40)))^3</f>
        <v>1.4178539967911831E-2</v>
      </c>
      <c r="BG25" s="52">
        <f>0.02*P25/(R25*Q25)</f>
        <v>8.4021439716165883E-3</v>
      </c>
      <c r="BH25" s="52">
        <f>2*L25*COS(RADIANS(BE25))*(TAN(RADIANS(Sheet1!X28))-TAN(RADIANS(Sheet1!X40)))-(Sheet2!BF25+Sheet2!BG25)*TAN(RADIANS(Sheet2!BE25))</f>
        <v>1.0062600662987353</v>
      </c>
      <c r="BI25" s="52">
        <f t="shared" si="37"/>
        <v>1.8226067778495631E-2</v>
      </c>
      <c r="BJ25" s="52">
        <f t="shared" si="38"/>
        <v>4.0806751718024052E-2</v>
      </c>
      <c r="BK25" s="52">
        <f>2*L25*COS(RADIANS(BE25))*(TAN(RADIANS(Sheet1!X28))-TAN(RADIANS(Sheet1!X40)))-(Sheet2!BF25+Sheet2!BG25+BI25)*TAN(RADIANS(Sheet2!BE25))</f>
        <v>0.99072280212263419</v>
      </c>
      <c r="BL25" s="49">
        <f t="shared" si="39"/>
        <v>0.91657071060543949</v>
      </c>
      <c r="BM25" s="49">
        <f t="shared" si="21"/>
        <v>0.91655747978324376</v>
      </c>
      <c r="BN25" s="79">
        <f t="shared" si="40"/>
        <v>0.91656409519434168</v>
      </c>
      <c r="BO25" s="81">
        <f t="shared" si="22"/>
        <v>0.5</v>
      </c>
    </row>
    <row r="26" spans="1:67" ht="16.8" x14ac:dyDescent="0.4">
      <c r="A26" s="45"/>
      <c r="B26" s="49">
        <f t="shared" si="41"/>
        <v>1.0500000000000003</v>
      </c>
      <c r="C26" s="49">
        <f>Sheet1!C57+(Sheet1!C58/Sheet2!B26)</f>
        <v>119.86742994327197</v>
      </c>
      <c r="D26" s="49">
        <f>SQRT(-2*(Sheet1!C57^2*LN(Sheet2!B26)-Sheet1!C57*Sheet1!C58/Sheet2!B26+Sheet1!C57*Sheet1!C58)+Sheet1!L8^2)</f>
        <v>162.00990058565071</v>
      </c>
      <c r="E26" s="49">
        <f t="shared" si="42"/>
        <v>36.496894127051206</v>
      </c>
      <c r="F26" s="49">
        <f t="shared" si="23"/>
        <v>47.291321990797336</v>
      </c>
      <c r="G26" s="49">
        <f>2*3.14*Sheet1!H12*Sheet1!P8*Sheet2!B26</f>
        <v>295.38253135276022</v>
      </c>
      <c r="H26" s="50">
        <f>1+Sheet1!C57/Sheet1!C24-2*Sheet1!C57/Sheet1!C24/Sheet2!B26</f>
        <v>0.73317972767825346</v>
      </c>
      <c r="AI26" s="49">
        <f t="shared" si="27"/>
        <v>1.0500000000000003</v>
      </c>
      <c r="AJ26" s="49">
        <f t="shared" si="28"/>
        <v>36.496894127051206</v>
      </c>
      <c r="AK26" s="49">
        <f>(AI26-1)/(AI30-1)*(B48-1)+1</f>
        <v>1.0502561302033471</v>
      </c>
      <c r="AL26" s="49">
        <f t="shared" si="29"/>
        <v>21.746863077855878</v>
      </c>
      <c r="AM26" s="50">
        <f t="shared" si="30"/>
        <v>0.19417241555530138</v>
      </c>
      <c r="AN26" s="49">
        <f t="shared" si="31"/>
        <v>18.304202206430645</v>
      </c>
      <c r="AO26" s="49">
        <f t="shared" si="32"/>
        <v>36.496894127051206</v>
      </c>
      <c r="AP26" s="49">
        <f t="shared" si="33"/>
        <v>18.192691920620561</v>
      </c>
      <c r="AQ26" s="78">
        <f t="shared" si="34"/>
        <v>1.4742201502965685E-2</v>
      </c>
      <c r="AR26" s="49">
        <f t="shared" si="35"/>
        <v>27.194329668039781</v>
      </c>
    </row>
    <row r="27" spans="1:67" ht="16.8" x14ac:dyDescent="0.4">
      <c r="A27" s="45"/>
      <c r="B27" s="49">
        <f t="shared" si="41"/>
        <v>1.1000000000000003</v>
      </c>
      <c r="C27" s="49">
        <f>Sheet1!C57+(Sheet1!C58/Sheet2!B27)</f>
        <v>118.18991745564145</v>
      </c>
      <c r="D27" s="49">
        <f>SQRT(-2*(Sheet1!C57^2*LN(Sheet2!B27)-Sheet1!C57*Sheet1!C58/Sheet2!B27+Sheet1!C57*Sheet1!C58)+Sheet1!L8^2)</f>
        <v>159.1492990107769</v>
      </c>
      <c r="E27" s="49">
        <f t="shared" si="42"/>
        <v>36.598890193736821</v>
      </c>
      <c r="F27" s="49">
        <f t="shared" si="23"/>
        <v>50.235601535581203</v>
      </c>
      <c r="G27" s="49">
        <f>2*3.14*Sheet1!H12*Sheet1!P8*Sheet2!B27</f>
        <v>309.44836617908214</v>
      </c>
      <c r="H27" s="50">
        <f>1+Sheet1!C57/Sheet1!C24-2*Sheet1!C57/Sheet1!C24/Sheet2!B27</f>
        <v>0.75871276809181776</v>
      </c>
      <c r="AI27" s="49">
        <f t="shared" si="27"/>
        <v>1.1000000000000003</v>
      </c>
      <c r="AJ27" s="49">
        <f t="shared" si="28"/>
        <v>36.598890193736821</v>
      </c>
      <c r="AK27" s="49">
        <f>(AI27-1)/(AI30-1)*(B48-1)+1</f>
        <v>1.1005122604066939</v>
      </c>
      <c r="AL27" s="49">
        <f t="shared" si="29"/>
        <v>22.672019201723657</v>
      </c>
      <c r="AM27" s="50">
        <f t="shared" si="30"/>
        <v>0.20317187508582527</v>
      </c>
      <c r="AN27" s="49">
        <f t="shared" si="31"/>
        <v>17.477885828280982</v>
      </c>
      <c r="AO27" s="49">
        <f t="shared" si="32"/>
        <v>36.598890193736821</v>
      </c>
      <c r="AP27" s="49">
        <f t="shared" si="33"/>
        <v>19.121004365455839</v>
      </c>
      <c r="AQ27" s="78">
        <f t="shared" si="34"/>
        <v>1.4045124963208994E-2</v>
      </c>
      <c r="AR27" s="49">
        <f t="shared" si="35"/>
        <v>27.729029037857789</v>
      </c>
    </row>
    <row r="28" spans="1:67" ht="16.8" x14ac:dyDescent="0.4">
      <c r="A28" s="45"/>
      <c r="B28" s="49">
        <f t="shared" si="41"/>
        <v>1.1500000000000004</v>
      </c>
      <c r="C28" s="49">
        <f>Sheet1!C57+(Sheet1!C58/Sheet2!B28)</f>
        <v>116.65827561910922</v>
      </c>
      <c r="D28" s="49">
        <f>SQRT(-2*(Sheet1!C57^2*LN(Sheet2!B28)-Sheet1!C57*Sheet1!C58/Sheet2!B28+Sheet1!C57*Sheet1!C58)+Sheet1!L8^2)</f>
        <v>156.40481054240971</v>
      </c>
      <c r="E28" s="49">
        <f t="shared" si="42"/>
        <v>36.718298814492897</v>
      </c>
      <c r="F28" s="49">
        <f t="shared" si="23"/>
        <v>52.906889561684515</v>
      </c>
      <c r="G28" s="49">
        <f>2*3.14*Sheet1!H12*Sheet1!P8*Sheet2!B28</f>
        <v>323.51420100540406</v>
      </c>
      <c r="H28" s="50">
        <f>1+Sheet1!C57/Sheet1!C24-2*Sheet1!C57/Sheet1!C24/Sheet2!B28</f>
        <v>0.78202554412159386</v>
      </c>
      <c r="AI28" s="49">
        <f t="shared" si="27"/>
        <v>1.1500000000000004</v>
      </c>
      <c r="AJ28" s="49">
        <f t="shared" si="28"/>
        <v>36.718298814492897</v>
      </c>
      <c r="AK28" s="49">
        <f>(AI28-1)/(AI30-1)*(B48-1)+1</f>
        <v>1.1507683906100408</v>
      </c>
      <c r="AL28" s="49">
        <f t="shared" si="29"/>
        <v>23.552411698141754</v>
      </c>
      <c r="AM28" s="50">
        <f t="shared" si="30"/>
        <v>0.21214504364912246</v>
      </c>
      <c r="AN28" s="49">
        <f t="shared" si="31"/>
        <v>16.711054503397207</v>
      </c>
      <c r="AO28" s="49">
        <f t="shared" si="32"/>
        <v>36.718298814492897</v>
      </c>
      <c r="AP28" s="49">
        <f t="shared" si="33"/>
        <v>20.00724431109569</v>
      </c>
      <c r="AQ28" s="78">
        <f t="shared" si="34"/>
        <v>1.3402258174416872E-2</v>
      </c>
      <c r="AR28" s="49">
        <f t="shared" si="35"/>
        <v>28.248398016682309</v>
      </c>
    </row>
    <row r="29" spans="1:67" ht="16.8" x14ac:dyDescent="0.4">
      <c r="A29" s="45"/>
      <c r="B29" s="49">
        <f>B28+0.05</f>
        <v>1.2000000000000004</v>
      </c>
      <c r="C29" s="49">
        <f>Sheet1!C57+(Sheet1!C58/Sheet2!B29)</f>
        <v>115.25427060228802</v>
      </c>
      <c r="D29" s="49">
        <f>SQRT(-2*(Sheet1!C57^2*LN(Sheet2!B29)-Sheet1!C57*Sheet1!C58/Sheet2!B29+Sheet1!C57*Sheet1!C58)+Sheet1!L8^2)</f>
        <v>153.76493243295602</v>
      </c>
      <c r="E29" s="49">
        <f t="shared" si="42"/>
        <v>36.853336949193341</v>
      </c>
      <c r="F29" s="49">
        <f t="shared" si="23"/>
        <v>55.331493025145605</v>
      </c>
      <c r="G29" s="49">
        <f>2*3.14*Sheet1!H12*Sheet1!P8*Sheet2!B29</f>
        <v>337.58003583172604</v>
      </c>
      <c r="H29" s="50">
        <f>1+Sheet1!C57/Sheet1!C24-2*Sheet1!C57/Sheet1!C24/Sheet2!B29</f>
        <v>0.80339558881555528</v>
      </c>
      <c r="AI29" s="49">
        <f t="shared" si="27"/>
        <v>1.2000000000000004</v>
      </c>
      <c r="AJ29" s="49">
        <f t="shared" si="28"/>
        <v>36.853336949193341</v>
      </c>
      <c r="AK29" s="49">
        <f>(AI29-1)/(AI30-1)*(B48-1)+1</f>
        <v>1.2010245208133878</v>
      </c>
      <c r="AL29" s="49">
        <f t="shared" si="29"/>
        <v>24.393502646352957</v>
      </c>
      <c r="AM29" s="50">
        <f t="shared" si="30"/>
        <v>0.2211114714729735</v>
      </c>
      <c r="AN29" s="49">
        <f t="shared" si="31"/>
        <v>15.996941598823462</v>
      </c>
      <c r="AO29" s="49">
        <f t="shared" si="32"/>
        <v>36.853336949193341</v>
      </c>
      <c r="AP29" s="49">
        <f t="shared" si="33"/>
        <v>20.85639535036988</v>
      </c>
      <c r="AQ29" s="78">
        <f t="shared" si="34"/>
        <v>1.2806899728530984E-2</v>
      </c>
      <c r="AR29" s="49">
        <f t="shared" si="35"/>
        <v>28.754583095700134</v>
      </c>
    </row>
    <row r="30" spans="1:67" ht="16.8" x14ac:dyDescent="0.4">
      <c r="A30" s="45"/>
      <c r="B30" s="49">
        <f>Sheet1!C55/Sheet1!P8</f>
        <v>1.2512872450635317</v>
      </c>
      <c r="C30" s="49">
        <f>Sheet1!C57+(Sheet1!C58/Sheet2!B30)</f>
        <v>113.9306947071441</v>
      </c>
      <c r="D30" s="49">
        <f>SQRT(-2*(Sheet1!C57^2*LN(Sheet2!B30)-Sheet1!C57*Sheet1!C58/Sheet2!B30+Sheet1!C57*Sheet1!C58)+Sheet1!L8^2)</f>
        <v>151.1553508067712</v>
      </c>
      <c r="E30" s="49">
        <f t="shared" si="42"/>
        <v>37.006519381878341</v>
      </c>
      <c r="F30" s="49">
        <f t="shared" si="23"/>
        <v>57.588523420800783</v>
      </c>
      <c r="G30" s="49">
        <f>2*3.14*Sheet1!H12*Sheet1!P8*Sheet2!B30</f>
        <v>352.00799418694055</v>
      </c>
      <c r="H30" s="50">
        <f>1+Sheet1!C57/Sheet1!C24-2*Sheet1!C57/Sheet1!C24/Sheet2!B30</f>
        <v>0.82354143993161122</v>
      </c>
      <c r="AI30" s="49">
        <f t="shared" si="27"/>
        <v>1.2512872450635317</v>
      </c>
      <c r="AJ30" s="49">
        <f t="shared" si="28"/>
        <v>37.006519381878341</v>
      </c>
      <c r="AK30" s="49">
        <f>(AI30-1)/(AI30-1)*(B48-1)+1</f>
        <v>1.2525744901270635</v>
      </c>
      <c r="AL30" s="49">
        <f>E48</f>
        <v>25.224755714223466</v>
      </c>
      <c r="AM30" s="50">
        <f t="shared" si="30"/>
        <v>0.23038429483474249</v>
      </c>
      <c r="AN30" s="49">
        <f t="shared" si="31"/>
        <v>15.308632072580963</v>
      </c>
      <c r="AO30" s="49">
        <f t="shared" si="32"/>
        <v>37.006519381878341</v>
      </c>
      <c r="AP30" s="49">
        <f t="shared" si="33"/>
        <v>21.697887309297379</v>
      </c>
      <c r="AQ30" s="78">
        <f t="shared" si="34"/>
        <v>1.223592934692889E-2</v>
      </c>
      <c r="AR30" s="49">
        <f t="shared" si="35"/>
        <v>29.264353247884173</v>
      </c>
    </row>
    <row r="31" spans="1:67" ht="16.8" x14ac:dyDescent="0.4">
      <c r="A31" s="45"/>
      <c r="B31" s="45"/>
      <c r="C31" s="45"/>
      <c r="D31" s="45"/>
      <c r="E31" s="45"/>
      <c r="F31" s="45"/>
      <c r="G31" s="45"/>
      <c r="H31" s="45"/>
    </row>
    <row r="32" spans="1:67" ht="16.8" x14ac:dyDescent="0.4">
      <c r="A32" s="102"/>
      <c r="B32" s="102"/>
      <c r="C32" s="102"/>
      <c r="D32" s="102"/>
      <c r="E32" s="102"/>
      <c r="F32" s="102"/>
      <c r="G32" s="102"/>
      <c r="H32" s="102"/>
      <c r="I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4.6" customHeight="1" x14ac:dyDescent="0.65">
      <c r="A33" s="27"/>
      <c r="B33" s="103" t="s">
        <v>82</v>
      </c>
      <c r="C33" s="103"/>
      <c r="D33" s="103"/>
      <c r="E33" s="103"/>
      <c r="F33" s="103"/>
      <c r="G33" s="103"/>
      <c r="H33" s="27"/>
      <c r="I33" s="18"/>
      <c r="AH33" s="18"/>
      <c r="AI33" s="88" t="s">
        <v>82</v>
      </c>
      <c r="AJ33" s="98"/>
      <c r="AK33" s="98"/>
      <c r="AL33" s="98"/>
      <c r="AM33" s="98"/>
      <c r="AN33" s="98"/>
      <c r="AO33" s="98"/>
      <c r="AP33" s="98"/>
      <c r="AQ33" s="18"/>
      <c r="AR33" s="18"/>
      <c r="AS33" s="18"/>
    </row>
    <row r="34" spans="1:45" ht="16.8" x14ac:dyDescent="0.4">
      <c r="A34" s="104"/>
      <c r="B34" s="104"/>
      <c r="C34" s="104"/>
      <c r="D34" s="104"/>
      <c r="E34" s="104"/>
      <c r="F34" s="104"/>
      <c r="G34" s="104"/>
      <c r="H34" s="104"/>
      <c r="I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</row>
    <row r="35" spans="1:45" ht="16.8" x14ac:dyDescent="0.4">
      <c r="A35" s="45"/>
      <c r="B35" s="45"/>
      <c r="C35" s="45"/>
      <c r="D35" s="45"/>
      <c r="E35" s="45"/>
      <c r="F35" s="45"/>
      <c r="G35" s="45"/>
      <c r="H35" s="45"/>
    </row>
    <row r="36" spans="1:45" ht="19.2" x14ac:dyDescent="0.4">
      <c r="A36" s="45"/>
      <c r="B36" s="101" t="s">
        <v>88</v>
      </c>
      <c r="C36" s="101"/>
      <c r="D36" s="101"/>
      <c r="E36" s="101"/>
      <c r="F36" s="101"/>
      <c r="G36" s="101"/>
      <c r="H36" s="101"/>
      <c r="AI36" s="99" t="s">
        <v>121</v>
      </c>
      <c r="AJ36" s="99"/>
      <c r="AK36" s="99"/>
      <c r="AL36" s="99"/>
      <c r="AM36" s="99"/>
      <c r="AN36" s="99"/>
      <c r="AO36" s="99"/>
      <c r="AP36" s="99"/>
      <c r="AQ36" s="99"/>
      <c r="AR36" s="99"/>
    </row>
    <row r="37" spans="1:45" ht="19.2" x14ac:dyDescent="0.4">
      <c r="A37" s="45"/>
      <c r="B37" s="46" t="s">
        <v>83</v>
      </c>
      <c r="C37" s="46" t="s">
        <v>54</v>
      </c>
      <c r="D37" s="46" t="s">
        <v>22</v>
      </c>
      <c r="E37" s="46" t="s">
        <v>15</v>
      </c>
      <c r="F37" s="46" t="s">
        <v>57</v>
      </c>
      <c r="G37" s="46" t="s">
        <v>86</v>
      </c>
      <c r="H37" s="46" t="s">
        <v>85</v>
      </c>
      <c r="AI37" s="75" t="s">
        <v>83</v>
      </c>
      <c r="AJ37" s="75" t="s">
        <v>57</v>
      </c>
      <c r="AK37" s="75" t="s">
        <v>84</v>
      </c>
      <c r="AL37" s="75" t="s">
        <v>58</v>
      </c>
      <c r="AM37" s="75" t="s">
        <v>115</v>
      </c>
      <c r="AN37" s="75" t="s">
        <v>118</v>
      </c>
      <c r="AO37" s="75" t="s">
        <v>116</v>
      </c>
      <c r="AP37" s="75" t="s">
        <v>117</v>
      </c>
      <c r="AQ37" s="75" t="s">
        <v>143</v>
      </c>
      <c r="AR37" s="75" t="s">
        <v>144</v>
      </c>
    </row>
    <row r="38" spans="1:45" ht="16.8" x14ac:dyDescent="0.4">
      <c r="A38" s="45"/>
      <c r="B38" s="49">
        <f>Sheet1!H54/Sheet1!P8</f>
        <v>0.74742550987293666</v>
      </c>
      <c r="C38" s="49">
        <f>Sheet1!H57-(Sheet1!H58/Sheet2!B38)</f>
        <v>45.713360525164418</v>
      </c>
      <c r="D38" s="49">
        <f>SQRT(-2*(Sheet1!H57^2*LN(Sheet2!B38)+Sheet1!H57*Sheet1!H58/Sheet2!B38-Sheet1!H57*Sheet1!H58)+Sheet1!L8^2)</f>
        <v>175.49824652902967</v>
      </c>
      <c r="E38" s="49">
        <f>DEGREES(ATAN(C38/D38))</f>
        <v>14.599844503577867</v>
      </c>
      <c r="F38" s="49">
        <f>DEGREES(ATAN((G38/D38)-TAN(RADIANS(E38))))</f>
        <v>43.155918327212788</v>
      </c>
      <c r="G38" s="49">
        <f>2*3.14*Sheet1!H12*Sheet1!P8*Sheet2!B38</f>
        <v>210.2632753370433</v>
      </c>
      <c r="H38" s="50">
        <f>1+Sheet1!H57/Sheet1!C24-2*Sheet1!H57/Sheet1!C24/Sheet2!B38</f>
        <v>0.32965922432055983</v>
      </c>
      <c r="AI38" s="49">
        <f t="shared" ref="AI38:AI48" si="43">B38</f>
        <v>0.74742550987293666</v>
      </c>
      <c r="AJ38" s="49">
        <f t="shared" ref="AJ38:AJ48" si="44">F38</f>
        <v>43.155918327212788</v>
      </c>
      <c r="AK38" s="49">
        <f>(1-AI38)/(1-AI38)*(B51-1)+1</f>
        <v>0.76646429527385396</v>
      </c>
      <c r="AL38" s="69">
        <f>F51</f>
        <v>11.101358502438217</v>
      </c>
      <c r="AM38" s="50">
        <f>(0.23*(2*0.3)^2+AL38/500)*SQRT((1.55/(TAN(RADIANS(AJ38))-TAN(RADIANS(AL38)))-1)/1.5)</f>
        <v>8.953567336470511E-2</v>
      </c>
      <c r="AN38" s="49">
        <f>(AO38-AL38)/(1-AM38)</f>
        <v>35.206826766332696</v>
      </c>
      <c r="AO38" s="49">
        <f>AJ38</f>
        <v>43.155918327212788</v>
      </c>
      <c r="AP38" s="49">
        <f>AO38-AN38</f>
        <v>7.9490915608800918</v>
      </c>
      <c r="AQ38" s="78">
        <f>(SQRT(1+(4*TAN(RADIANS(AN38)))^2*(0.3-0.3^2-3/16))-1)/(4*TAN(RADIANS(AN38)))</f>
        <v>3.0444077725689862E-2</v>
      </c>
      <c r="AR38" s="49">
        <f>AO38-DEGREES(ATAN(AQ38/0.3^2))</f>
        <v>24.466909452000262</v>
      </c>
    </row>
    <row r="39" spans="1:45" ht="16.8" x14ac:dyDescent="0.4">
      <c r="A39" s="45"/>
      <c r="B39" s="49">
        <f>CEILING(Sheet1!H54/Sheet1!P8,0.05)+0.05</f>
        <v>0.8</v>
      </c>
      <c r="C39" s="49">
        <f>Sheet1!H57-(Sheet1!H58/Sheet2!B39)</f>
        <v>50.10420569021165</v>
      </c>
      <c r="D39" s="49">
        <f>SQRT(-2*(Sheet1!H57^2*LN(Sheet2!B39)+Sheet1!H57*Sheet1!H58/Sheet2!B39-Sheet1!H57*Sheet1!H58)+Sheet1!L8^2)</f>
        <v>173.39643295895311</v>
      </c>
      <c r="E39" s="49">
        <f t="shared" ref="E39:E48" si="45">DEGREES(ATAN(C39/D39))</f>
        <v>16.117048289350823</v>
      </c>
      <c r="F39" s="49">
        <f t="shared" ref="F39:F48" si="46">DEGREES(ATAN((G39/D39)-TAN(RADIANS(E39))))</f>
        <v>45.255389003677884</v>
      </c>
      <c r="G39" s="49">
        <f>2*3.14*Sheet1!H12*Sheet1!P8*Sheet2!B39</f>
        <v>225.05335722115061</v>
      </c>
      <c r="H39" s="50">
        <f>1+Sheet1!H57/Sheet1!C24-2*Sheet1!H57/Sheet1!C24/Sheet2!B39</f>
        <v>0.39999999999999991</v>
      </c>
      <c r="AI39" s="66">
        <f t="shared" si="43"/>
        <v>0.8</v>
      </c>
      <c r="AJ39" s="66">
        <f t="shared" si="44"/>
        <v>45.255389003677884</v>
      </c>
      <c r="AK39" s="49">
        <f>(1-AI39)/(1-AI38)*(B51-1)+1</f>
        <v>0.81507577854860913</v>
      </c>
      <c r="AL39" s="69">
        <f t="shared" ref="AL39:AL47" si="47">118.31*AK39^4 - 510.83*AK39^3 + 757.79*AK39^2 - 362.3*AK39 + 32.795</f>
        <v>16.535313075508142</v>
      </c>
      <c r="AM39" s="50">
        <f t="shared" ref="AM39:AM48" si="48">(0.23*(2*0.3)^2+AL39/500)*SQRT((1.55/(TAN(RADIANS(AJ39))-TAN(RADIANS(AL39)))-1)/1.5)</f>
        <v>0.10262894178468962</v>
      </c>
      <c r="AN39" s="49">
        <f t="shared" ref="AN39:AN48" si="49">(AO39-AL39)/(1-AM39)</f>
        <v>32.00468263962977</v>
      </c>
      <c r="AO39" s="49">
        <f t="shared" ref="AO39:AO48" si="50">AJ39</f>
        <v>45.255389003677884</v>
      </c>
      <c r="AP39" s="49">
        <f t="shared" ref="AP39:AP48" si="51">AO39-AN39</f>
        <v>13.250706364048114</v>
      </c>
      <c r="AQ39" s="78">
        <f t="shared" ref="AQ39:AQ48" si="52">(SQRT(1+(4*TAN(RADIANS(AN39)))^2*(0.3-0.3^2-3/16))-1)/(4*TAN(RADIANS(AN39)))</f>
        <v>2.7199494388794151E-2</v>
      </c>
      <c r="AR39" s="49">
        <f t="shared" ref="AR39:AR48" si="53">AO39-DEGREES(ATAN(AQ39/0.3^2))</f>
        <v>28.439700307173684</v>
      </c>
    </row>
    <row r="40" spans="1:45" ht="16.8" x14ac:dyDescent="0.4">
      <c r="A40" s="45"/>
      <c r="B40" s="49">
        <f>B39+0.05</f>
        <v>0.85000000000000009</v>
      </c>
      <c r="C40" s="49">
        <f>Sheet1!H57-(Sheet1!H58/Sheet2!B40)</f>
        <v>53.776115861997752</v>
      </c>
      <c r="D40" s="49">
        <f>SQRT(-2*(Sheet1!H57^2*LN(Sheet2!B40)+Sheet1!H57*Sheet1!H58/Sheet2!B40-Sheet1!H57*Sheet1!H58)+Sheet1!L8^2)</f>
        <v>171.34004210088108</v>
      </c>
      <c r="E40" s="49">
        <f t="shared" si="45"/>
        <v>17.424782918825954</v>
      </c>
      <c r="F40" s="49">
        <f t="shared" si="46"/>
        <v>47.248222296177232</v>
      </c>
      <c r="G40" s="49">
        <f>2*3.14*Sheet1!H12*Sheet1!P8*Sheet2!B40</f>
        <v>239.11919204747252</v>
      </c>
      <c r="H40" s="50">
        <f>1+Sheet1!H57/Sheet1!C24-2*Sheet1!H57/Sheet1!C24/Sheet2!B40</f>
        <v>0.45882352941176463</v>
      </c>
      <c r="AI40" s="49">
        <f t="shared" si="43"/>
        <v>0.85000000000000009</v>
      </c>
      <c r="AJ40" s="49">
        <f t="shared" si="44"/>
        <v>47.248222296177232</v>
      </c>
      <c r="AK40" s="49">
        <f>(1-AI40)/(1-AI38)*(B51-1)+1</f>
        <v>0.8613068339114569</v>
      </c>
      <c r="AL40" s="69">
        <f t="shared" si="47"/>
        <v>21.620494610512011</v>
      </c>
      <c r="AM40" s="50">
        <f t="shared" si="48"/>
        <v>0.11558737755513582</v>
      </c>
      <c r="AN40" s="49">
        <f t="shared" si="49"/>
        <v>28.977116602904317</v>
      </c>
      <c r="AO40" s="49">
        <f t="shared" si="50"/>
        <v>47.248222296177232</v>
      </c>
      <c r="AP40" s="49">
        <f t="shared" si="51"/>
        <v>18.271105693272915</v>
      </c>
      <c r="AQ40" s="78">
        <f t="shared" si="52"/>
        <v>2.4268121120199194E-2</v>
      </c>
      <c r="AR40" s="49">
        <f t="shared" si="53"/>
        <v>32.157564625291833</v>
      </c>
    </row>
    <row r="41" spans="1:45" ht="16.8" x14ac:dyDescent="0.4">
      <c r="A41" s="45"/>
      <c r="B41" s="49">
        <f>B40+0.05</f>
        <v>0.90000000000000013</v>
      </c>
      <c r="C41" s="49">
        <f>Sheet1!H57-(Sheet1!H58/Sheet2!B41)</f>
        <v>57.040036014696504</v>
      </c>
      <c r="D41" s="49">
        <f>SQRT(-2*(Sheet1!H57^2*LN(Sheet2!B41)+Sheet1!H57*Sheet1!H58/Sheet2!B41-Sheet1!H57*Sheet1!H58)+Sheet1!L8^2)</f>
        <v>169.24673578929389</v>
      </c>
      <c r="E41" s="49">
        <f t="shared" si="45"/>
        <v>18.624997839797082</v>
      </c>
      <c r="F41" s="49">
        <f t="shared" si="46"/>
        <v>49.210225573163996</v>
      </c>
      <c r="G41" s="49">
        <f>2*3.14*Sheet1!H12*Sheet1!P8*Sheet2!B41</f>
        <v>253.18502687379447</v>
      </c>
      <c r="H41" s="50">
        <f>1+Sheet1!H57/Sheet1!C24-2*Sheet1!H57/Sheet1!C24/Sheet2!B41</f>
        <v>0.51111111111111107</v>
      </c>
      <c r="AI41" s="49">
        <f>B41</f>
        <v>0.90000000000000013</v>
      </c>
      <c r="AJ41" s="49">
        <f t="shared" si="44"/>
        <v>49.210225573163996</v>
      </c>
      <c r="AK41" s="49">
        <f>(1-AI41)/(1-AI38)*(B51-1)+1</f>
        <v>0.90753788927430468</v>
      </c>
      <c r="AL41" s="69">
        <f t="shared" si="47"/>
        <v>26.554816284573732</v>
      </c>
      <c r="AM41" s="50">
        <f t="shared" si="48"/>
        <v>0.12900701713756349</v>
      </c>
      <c r="AN41" s="49">
        <f t="shared" si="49"/>
        <v>26.011012412677989</v>
      </c>
      <c r="AO41" s="49">
        <f t="shared" si="50"/>
        <v>49.210225573163996</v>
      </c>
      <c r="AP41" s="49">
        <f t="shared" si="51"/>
        <v>23.199213160486007</v>
      </c>
      <c r="AQ41" s="78">
        <f t="shared" si="52"/>
        <v>2.1507241399425382E-2</v>
      </c>
      <c r="AR41" s="49">
        <f t="shared" si="53"/>
        <v>35.770341153039844</v>
      </c>
    </row>
    <row r="42" spans="1:45" ht="16.8" x14ac:dyDescent="0.4">
      <c r="A42" s="45"/>
      <c r="B42" s="49">
        <f t="shared" ref="B42:B46" si="54">B41+0.05</f>
        <v>0.95000000000000018</v>
      </c>
      <c r="C42" s="49">
        <f>Sheet1!H57-(Sheet1!H58/Sheet2!B42)</f>
        <v>59.96038562500592</v>
      </c>
      <c r="D42" s="49">
        <f>SQRT(-2*(Sheet1!H57^2*LN(Sheet2!B42)+Sheet1!H57*Sheet1!H58/Sheet2!B42-Sheet1!H57*Sheet1!H58)+Sheet1!L8^2)</f>
        <v>167.13008809537791</v>
      </c>
      <c r="E42" s="49">
        <f t="shared" si="45"/>
        <v>19.736197536907355</v>
      </c>
      <c r="F42" s="49">
        <f t="shared" si="46"/>
        <v>51.122144890238765</v>
      </c>
      <c r="G42" s="49">
        <f>2*3.14*Sheet1!H12*Sheet1!P8*Sheet2!B42</f>
        <v>267.25086170011639</v>
      </c>
      <c r="H42" s="50">
        <f>1+Sheet1!H57/Sheet1!C24-2*Sheet1!H57/Sheet1!C24/Sheet2!B42</f>
        <v>0.55789473684210533</v>
      </c>
      <c r="AI42" s="49">
        <f t="shared" si="43"/>
        <v>0.95000000000000018</v>
      </c>
      <c r="AJ42" s="49">
        <f t="shared" si="44"/>
        <v>51.122144890238765</v>
      </c>
      <c r="AK42" s="49">
        <f>(1-AI42)/(1-AI38)*(B51-1)+1</f>
        <v>0.95376894463715245</v>
      </c>
      <c r="AL42" s="69">
        <f t="shared" si="47"/>
        <v>31.283565376536714</v>
      </c>
      <c r="AM42" s="50">
        <f t="shared" si="48"/>
        <v>0.14291915517008366</v>
      </c>
      <c r="AN42" s="49">
        <f t="shared" si="49"/>
        <v>23.146684041969138</v>
      </c>
      <c r="AO42" s="49">
        <f t="shared" si="50"/>
        <v>51.122144890238765</v>
      </c>
      <c r="AP42" s="49">
        <f t="shared" si="51"/>
        <v>27.975460848269627</v>
      </c>
      <c r="AQ42" s="78">
        <f t="shared" si="52"/>
        <v>1.8931059070695734E-2</v>
      </c>
      <c r="AR42" s="49">
        <f t="shared" si="53"/>
        <v>39.24342941697126</v>
      </c>
    </row>
    <row r="43" spans="1:45" ht="16.8" x14ac:dyDescent="0.4">
      <c r="A43" s="45"/>
      <c r="B43" s="49">
        <f t="shared" si="54"/>
        <v>1.0000000000000002</v>
      </c>
      <c r="C43" s="49">
        <f>Sheet1!H57-(Sheet1!H58/Sheet2!B43)</f>
        <v>62.588700274284392</v>
      </c>
      <c r="D43" s="49">
        <f>SQRT(-2*(Sheet1!H57^2*LN(Sheet2!B43)+Sheet1!H57*Sheet1!H58/Sheet2!B43-Sheet1!H57*Sheet1!H58)+Sheet1!L8^2)</f>
        <v>165</v>
      </c>
      <c r="E43" s="49">
        <f t="shared" si="45"/>
        <v>20.773011594258136</v>
      </c>
      <c r="F43" s="49">
        <f t="shared" si="46"/>
        <v>52.970500295258482</v>
      </c>
      <c r="G43" s="49">
        <f>2*3.14*Sheet1!H12*Sheet1!P8*Sheet2!B43</f>
        <v>281.31669652643831</v>
      </c>
      <c r="H43" s="50">
        <f>1+Sheet1!H57/Sheet1!C24-2*Sheet1!H57/Sheet1!C24/Sheet2!B43</f>
        <v>0.60000000000000009</v>
      </c>
      <c r="AI43" s="49">
        <f t="shared" si="43"/>
        <v>1.0000000000000002</v>
      </c>
      <c r="AJ43" s="49">
        <f t="shared" si="44"/>
        <v>52.970500295258482</v>
      </c>
      <c r="AK43" s="49">
        <f>(1-AI43)/(1-AI38)*(B51-1)+1</f>
        <v>1.0000000000000002</v>
      </c>
      <c r="AL43" s="69">
        <f t="shared" si="47"/>
        <v>35.765000000000029</v>
      </c>
      <c r="AM43" s="50">
        <f t="shared" si="48"/>
        <v>0.1574160021453942</v>
      </c>
      <c r="AN43" s="49">
        <f t="shared" si="49"/>
        <v>20.419922926458653</v>
      </c>
      <c r="AO43" s="49">
        <f t="shared" si="50"/>
        <v>52.970500295258482</v>
      </c>
      <c r="AP43" s="49">
        <f t="shared" si="51"/>
        <v>32.550577368799829</v>
      </c>
      <c r="AQ43" s="78">
        <f t="shared" si="52"/>
        <v>1.6549238918411108E-2</v>
      </c>
      <c r="AR43" s="49">
        <f t="shared" si="53"/>
        <v>42.551318285123685</v>
      </c>
    </row>
    <row r="44" spans="1:45" ht="16.8" x14ac:dyDescent="0.4">
      <c r="A44" s="45"/>
      <c r="B44" s="49">
        <f t="shared" si="54"/>
        <v>1.0500000000000003</v>
      </c>
      <c r="C44" s="49">
        <f>Sheet1!H57-(Sheet1!H58/Sheet2!B44)</f>
        <v>64.966699242679198</v>
      </c>
      <c r="D44" s="49">
        <f>SQRT(-2*(Sheet1!H57^2*LN(Sheet2!B44)+Sheet1!H57*Sheet1!H58/Sheet2!B44-Sheet1!H57*Sheet1!H58)+Sheet1!L8^2)</f>
        <v>162.86371544057596</v>
      </c>
      <c r="E44" s="49">
        <f t="shared" si="45"/>
        <v>21.747166901067619</v>
      </c>
      <c r="F44" s="49">
        <f t="shared" si="46"/>
        <v>54.746367548684539</v>
      </c>
      <c r="G44" s="49">
        <f>2*3.14*Sheet1!H12*Sheet1!P8*Sheet2!B44</f>
        <v>295.38253135276022</v>
      </c>
      <c r="H44" s="50">
        <f>1+Sheet1!H57/Sheet1!C24-2*Sheet1!H57/Sheet1!C24/Sheet2!B44</f>
        <v>0.63809523809523816</v>
      </c>
      <c r="AI44" s="49">
        <f t="shared" si="43"/>
        <v>1.0500000000000003</v>
      </c>
      <c r="AJ44" s="49">
        <f t="shared" si="44"/>
        <v>54.746367548684539</v>
      </c>
      <c r="AK44" s="49">
        <f>(AI44-1)/(AI48-1)*(B61-1)+1</f>
        <v>1.046231055362848</v>
      </c>
      <c r="AL44" s="69">
        <f t="shared" si="47"/>
        <v>39.970349103317901</v>
      </c>
      <c r="AM44" s="50">
        <f t="shared" si="48"/>
        <v>0.17265676203413113</v>
      </c>
      <c r="AN44" s="49">
        <f t="shared" si="49"/>
        <v>17.859598975747243</v>
      </c>
      <c r="AO44" s="49">
        <f t="shared" si="50"/>
        <v>54.746367548684539</v>
      </c>
      <c r="AP44" s="49">
        <f t="shared" si="51"/>
        <v>36.886768572937299</v>
      </c>
      <c r="AQ44" s="78">
        <f t="shared" si="52"/>
        <v>1.436656259670563E-2</v>
      </c>
      <c r="AR44" s="49">
        <f t="shared" si="53"/>
        <v>45.676847399521506</v>
      </c>
    </row>
    <row r="45" spans="1:45" ht="16.8" x14ac:dyDescent="0.4">
      <c r="A45" s="45"/>
      <c r="B45" s="49">
        <f t="shared" si="54"/>
        <v>1.1000000000000003</v>
      </c>
      <c r="C45" s="49">
        <f>Sheet1!H57-(Sheet1!H58/Sheet2!B45)</f>
        <v>67.128516486674471</v>
      </c>
      <c r="D45" s="49">
        <f>SQRT(-2*(Sheet1!H57^2*LN(Sheet2!B45)+Sheet1!H57*Sheet1!H58/Sheet2!B45-Sheet1!H57*Sheet1!H58)+Sheet1!L8^2)</f>
        <v>160.72653042782895</v>
      </c>
      <c r="E45" s="49">
        <f>DEGREES(ATAN(C45/D45))</f>
        <v>22.668182723363941</v>
      </c>
      <c r="F45" s="49">
        <f t="shared" si="46"/>
        <v>56.44437720629039</v>
      </c>
      <c r="G45" s="49">
        <f>2*3.14*Sheet1!H12*Sheet1!P8*Sheet2!B45</f>
        <v>309.44836617908214</v>
      </c>
      <c r="H45" s="50">
        <f>1+Sheet1!H57/Sheet1!C24-2*Sheet1!H57/Sheet1!C24/Sheet2!B45</f>
        <v>0.67272727272727284</v>
      </c>
      <c r="AI45" s="49">
        <f t="shared" si="43"/>
        <v>1.1000000000000003</v>
      </c>
      <c r="AJ45" s="49">
        <f>F45</f>
        <v>56.44437720629039</v>
      </c>
      <c r="AK45" s="49">
        <f>(AI45-1)/(AI48-1)*(B61-1)+1</f>
        <v>1.0924621107256955</v>
      </c>
      <c r="AL45" s="69">
        <f t="shared" si="47"/>
        <v>43.883812469600443</v>
      </c>
      <c r="AM45" s="50">
        <f t="shared" si="48"/>
        <v>0.18888518359329814</v>
      </c>
      <c r="AN45" s="49">
        <f t="shared" si="49"/>
        <v>15.485557016864973</v>
      </c>
      <c r="AO45" s="49">
        <f t="shared" si="50"/>
        <v>56.44437720629039</v>
      </c>
      <c r="AP45" s="49">
        <f t="shared" si="51"/>
        <v>40.958820189425417</v>
      </c>
      <c r="AQ45" s="78">
        <f t="shared" si="52"/>
        <v>1.2382431314473683E-2</v>
      </c>
      <c r="AR45" s="49">
        <f t="shared" si="53"/>
        <v>48.61065761056566</v>
      </c>
    </row>
    <row r="46" spans="1:45" ht="16.8" x14ac:dyDescent="0.4">
      <c r="A46" s="45"/>
      <c r="B46" s="49">
        <f t="shared" si="54"/>
        <v>1.1500000000000004</v>
      </c>
      <c r="C46" s="49">
        <f>Sheet1!H57-(Sheet1!H58/Sheet2!B46)</f>
        <v>69.102349622496249</v>
      </c>
      <c r="D46" s="49">
        <f>SQRT(-2*(Sheet1!H57^2*LN(Sheet2!B46)+Sheet1!H57*Sheet1!H58/Sheet2!B46-Sheet1!H57*Sheet1!H58)+Sheet1!L8^2)</f>
        <v>158.59229613622267</v>
      </c>
      <c r="E46" s="49">
        <f t="shared" si="45"/>
        <v>23.543876205019536</v>
      </c>
      <c r="F46" s="49">
        <f t="shared" si="46"/>
        <v>58.061892437941644</v>
      </c>
      <c r="G46" s="49">
        <f>2*3.14*Sheet1!H12*Sheet1!P8*Sheet2!B46</f>
        <v>323.51420100540406</v>
      </c>
      <c r="H46" s="50">
        <f>1+Sheet1!H57/Sheet1!C24-2*Sheet1!H57/Sheet1!C24/Sheet2!B46</f>
        <v>0.70434782608695656</v>
      </c>
      <c r="AI46" s="49">
        <f t="shared" si="43"/>
        <v>1.1500000000000004</v>
      </c>
      <c r="AJ46" s="49">
        <f t="shared" si="44"/>
        <v>58.061892437941644</v>
      </c>
      <c r="AK46" s="49">
        <f>(AI46-1)/(AI48-1)*(B61-1)+1</f>
        <v>1.1386931660885433</v>
      </c>
      <c r="AL46" s="69">
        <f t="shared" si="47"/>
        <v>47.502560716712978</v>
      </c>
      <c r="AM46" s="50">
        <f t="shared" si="48"/>
        <v>0.20647504550253237</v>
      </c>
      <c r="AN46" s="49">
        <f t="shared" si="49"/>
        <v>13.306867870230745</v>
      </c>
      <c r="AO46" s="49">
        <f t="shared" si="50"/>
        <v>58.061892437941644</v>
      </c>
      <c r="AP46" s="49">
        <f t="shared" si="51"/>
        <v>44.755024567710898</v>
      </c>
      <c r="AQ46" s="78">
        <f t="shared" si="52"/>
        <v>1.0590193128814734E-2</v>
      </c>
      <c r="AR46" s="49">
        <f t="shared" si="53"/>
        <v>51.350826252657917</v>
      </c>
    </row>
    <row r="47" spans="1:45" ht="16.8" x14ac:dyDescent="0.4">
      <c r="A47" s="45"/>
      <c r="B47" s="49">
        <f>B46+0.05</f>
        <v>1.2000000000000004</v>
      </c>
      <c r="C47" s="49">
        <f>Sheet1!H57-(Sheet1!H58/Sheet2!B47)</f>
        <v>70.91169666366622</v>
      </c>
      <c r="D47" s="49">
        <f>SQRT(-2*(Sheet1!H57^2*LN(Sheet2!B47)+Sheet1!H57*Sheet1!H58/Sheet2!B47-Sheet1!H57*Sheet1!H58)+Sheet1!L8^2)</f>
        <v>156.46378103277726</v>
      </c>
      <c r="E47" s="49">
        <f t="shared" si="45"/>
        <v>24.380735787482568</v>
      </c>
      <c r="F47" s="49">
        <f t="shared" si="46"/>
        <v>59.598338388074197</v>
      </c>
      <c r="G47" s="49">
        <f>2*3.14*Sheet1!H12*Sheet1!P8*Sheet2!B47</f>
        <v>337.58003583172604</v>
      </c>
      <c r="H47" s="50">
        <f>1+Sheet1!H57/Sheet1!C24-2*Sheet1!H57/Sheet1!C24/Sheet2!B47</f>
        <v>0.73333333333333339</v>
      </c>
      <c r="AI47" s="49">
        <f t="shared" si="43"/>
        <v>1.2000000000000004</v>
      </c>
      <c r="AJ47" s="49">
        <f t="shared" si="44"/>
        <v>59.598338388074197</v>
      </c>
      <c r="AK47" s="49">
        <f>(AI47-1)/(AI48-1)*(B61-1)+1</f>
        <v>1.1849242214513911</v>
      </c>
      <c r="AL47" s="69">
        <f t="shared" si="47"/>
        <v>50.836735297276093</v>
      </c>
      <c r="AM47" s="50">
        <f t="shared" si="48"/>
        <v>0.22603734362227942</v>
      </c>
      <c r="AN47" s="49">
        <f t="shared" si="49"/>
        <v>11.320446818201702</v>
      </c>
      <c r="AO47" s="49">
        <f t="shared" si="50"/>
        <v>59.598338388074197</v>
      </c>
      <c r="AP47" s="49">
        <f t="shared" si="51"/>
        <v>48.277891569872494</v>
      </c>
      <c r="AQ47" s="78">
        <f t="shared" si="52"/>
        <v>8.9763280373203799E-3</v>
      </c>
      <c r="AR47" s="49">
        <f t="shared" si="53"/>
        <v>53.902666469992887</v>
      </c>
    </row>
    <row r="48" spans="1:45" ht="16.8" x14ac:dyDescent="0.4">
      <c r="A48" s="45"/>
      <c r="B48" s="49">
        <f>Sheet1!H53/Sheet1!P8</f>
        <v>1.2525744901270635</v>
      </c>
      <c r="C48" s="49">
        <f>Sheet1!H57-(Sheet1!H58/Sheet2!B48)</f>
        <v>72.658408316147444</v>
      </c>
      <c r="D48" s="49">
        <f>SQRT(-2*(Sheet1!H57^2*LN(Sheet2!B48)+Sheet1!H57*Sheet1!H58/Sheet2!B48-Sheet1!H57*Sheet1!H58)+Sheet1!L8^2)</f>
        <v>154.23396741074694</v>
      </c>
      <c r="E48" s="49">
        <f t="shared" si="45"/>
        <v>25.224755714223466</v>
      </c>
      <c r="F48" s="49">
        <f t="shared" si="46"/>
        <v>61.127511734053527</v>
      </c>
      <c r="G48" s="49">
        <f>2*3.14*Sheet1!H12*Sheet1!P8*Sheet2!B48</f>
        <v>352.37011771583326</v>
      </c>
      <c r="H48" s="50">
        <f>1+Sheet1!H57/Sheet1!C24-2*Sheet1!H57/Sheet1!C24/Sheet2!B48</f>
        <v>0.76131542969644328</v>
      </c>
      <c r="AI48" s="49">
        <f t="shared" si="43"/>
        <v>1.2525744901270635</v>
      </c>
      <c r="AJ48" s="49">
        <f t="shared" si="44"/>
        <v>61.127511734053527</v>
      </c>
      <c r="AK48" s="49">
        <f>(AI48-1)/(AI48-1)*(B61-1)+1</f>
        <v>1.2335357047261459</v>
      </c>
      <c r="AL48" s="69">
        <f>F61</f>
        <v>54.058699799762998</v>
      </c>
      <c r="AM48" s="50">
        <f t="shared" si="48"/>
        <v>0.24988835801667136</v>
      </c>
      <c r="AN48" s="49">
        <f t="shared" si="49"/>
        <v>9.4236798079820154</v>
      </c>
      <c r="AO48" s="49">
        <f t="shared" si="50"/>
        <v>61.127511734053527</v>
      </c>
      <c r="AP48" s="49">
        <f t="shared" si="51"/>
        <v>51.703831926071516</v>
      </c>
      <c r="AQ48" s="78">
        <f t="shared" si="52"/>
        <v>7.4503849840632944E-3</v>
      </c>
      <c r="AR48" s="49">
        <f t="shared" si="53"/>
        <v>56.39523953772111</v>
      </c>
    </row>
    <row r="49" spans="1:45" ht="19.2" x14ac:dyDescent="0.4">
      <c r="A49" s="45"/>
      <c r="B49" s="101" t="s">
        <v>89</v>
      </c>
      <c r="C49" s="101"/>
      <c r="D49" s="101"/>
      <c r="E49" s="101"/>
      <c r="F49" s="101"/>
      <c r="G49" s="101"/>
      <c r="H49" s="101"/>
      <c r="AI49" s="99" t="s">
        <v>122</v>
      </c>
      <c r="AJ49" s="99"/>
      <c r="AK49" s="99"/>
      <c r="AL49" s="99"/>
      <c r="AM49" s="99"/>
      <c r="AN49" s="99"/>
      <c r="AO49" s="99"/>
      <c r="AP49" s="99"/>
      <c r="AQ49" s="99"/>
      <c r="AR49" s="99"/>
    </row>
    <row r="50" spans="1:45" ht="19.2" x14ac:dyDescent="0.4">
      <c r="A50" s="45"/>
      <c r="B50" s="46" t="s">
        <v>84</v>
      </c>
      <c r="C50" s="46" t="s">
        <v>55</v>
      </c>
      <c r="D50" s="46" t="s">
        <v>90</v>
      </c>
      <c r="E50" s="46" t="s">
        <v>56</v>
      </c>
      <c r="F50" s="46" t="s">
        <v>58</v>
      </c>
      <c r="G50" s="46" t="s">
        <v>86</v>
      </c>
      <c r="H50" s="46" t="s">
        <v>85</v>
      </c>
      <c r="AI50" s="75" t="s">
        <v>83</v>
      </c>
      <c r="AJ50" s="75" t="s">
        <v>15</v>
      </c>
      <c r="AK50" s="75" t="s">
        <v>84</v>
      </c>
      <c r="AL50" s="75" t="s">
        <v>56</v>
      </c>
      <c r="AM50" s="75" t="s">
        <v>115</v>
      </c>
      <c r="AN50" s="75" t="s">
        <v>118</v>
      </c>
      <c r="AO50" s="75" t="s">
        <v>119</v>
      </c>
      <c r="AP50" s="75" t="s">
        <v>120</v>
      </c>
      <c r="AQ50" s="75" t="s">
        <v>143</v>
      </c>
      <c r="AR50" s="75" t="s">
        <v>144</v>
      </c>
    </row>
    <row r="51" spans="1:45" ht="16.8" x14ac:dyDescent="0.4">
      <c r="A51" s="45"/>
      <c r="B51" s="49">
        <f>Sheet1!H56/Sheet1!P8</f>
        <v>0.76646429527385396</v>
      </c>
      <c r="C51" s="49">
        <f>Sheet1!H57+(Sheet1!H58/Sheet2!B51)</f>
        <v>177.68037023615628</v>
      </c>
      <c r="D51" s="49">
        <f>SQRT(-2*(Sheet1!H57^2*LN(Sheet2!B51)-Sheet1!H57*Sheet1!H58/Sheet2!B51+Sheet1!H57*Sheet1!H58)+Sheet1!L8^2)</f>
        <v>193.35158285478309</v>
      </c>
      <c r="E51" s="49">
        <f>DEGREES(ATAN(C51/D51))</f>
        <v>42.581445550847164</v>
      </c>
      <c r="F51" s="49">
        <f>DEGREES(ATAN((G51/D51)-TAN(RADIANS(E51))))</f>
        <v>11.101358502438217</v>
      </c>
      <c r="G51" s="49">
        <f>2*3.14*Sheet1!H12*Sheet1!P8*Sheet2!B51</f>
        <v>215.61920355190514</v>
      </c>
      <c r="H51" s="50">
        <f>1+Sheet1!H57/Sheet1!C24-2*Sheet1!H57/Sheet1!C24/Sheet2!B51</f>
        <v>0.35624622708072273</v>
      </c>
      <c r="AI51" s="49">
        <f t="shared" ref="AI51:AI55" si="55">B51</f>
        <v>0.76646429527385396</v>
      </c>
      <c r="AJ51" s="49">
        <f t="shared" ref="AJ51:AJ55" si="56">E51</f>
        <v>42.581445550847164</v>
      </c>
      <c r="AK51" s="49">
        <f>(1-AI51)/(1-AI51)*(B69-1)+1</f>
        <v>0.78550308067477137</v>
      </c>
      <c r="AL51" s="49">
        <f>E69</f>
        <v>22.104486531078187</v>
      </c>
      <c r="AM51" s="50">
        <f>(0.23*(2*0.3)^2+AL51/500)*SQRT((1.55/(TAN(RADIANS(AJ51))-TAN(RADIANS(AL51)))-1)/1.5)</f>
        <v>0.14748426122400035</v>
      </c>
      <c r="AN51" s="49">
        <f>(AO51-AL51)/(1-AM51)</f>
        <v>24.019449833464414</v>
      </c>
      <c r="AO51" s="49">
        <f>AJ51</f>
        <v>42.581445550847164</v>
      </c>
      <c r="AP51" s="49">
        <f>AO51-AN51</f>
        <v>18.56199571738275</v>
      </c>
      <c r="AQ51" s="78">
        <f>(SQRT(1+(4*TAN(RADIANS(AN51)))^2*(0.3-0.3^2-3/16))-1)/(4*TAN(RADIANS(AN51)))</f>
        <v>1.9707442807303729E-2</v>
      </c>
      <c r="AR51" s="49">
        <f>AO51-DEGREES(ATAN(AQ51/0.3^2))</f>
        <v>30.230242627099052</v>
      </c>
    </row>
    <row r="52" spans="1:45" ht="16.8" x14ac:dyDescent="0.4">
      <c r="A52" s="45"/>
      <c r="B52" s="49">
        <f>CEILING(Sheet1!H56/Sheet1!P8,0.05)</f>
        <v>0.8</v>
      </c>
      <c r="C52" s="49">
        <f>Sheet1!H57+(Sheet1!H58/Sheet2!B52)</f>
        <v>174.94915153093896</v>
      </c>
      <c r="D52" s="49">
        <f>SQRT(-2*(Sheet1!H57^2*LN(Sheet2!B52)-Sheet1!H57*Sheet1!H58/Sheet2!B52+Sheet1!H57*Sheet1!H58)+Sheet1!L8^2)</f>
        <v>188.90653191882592</v>
      </c>
      <c r="E52" s="49">
        <f t="shared" ref="E52:E57" si="57">DEGREES(ATAN(C52/D52))</f>
        <v>42.803230431879257</v>
      </c>
      <c r="F52" s="49">
        <f t="shared" ref="F52:F59" si="58">DEGREES(ATAN((G52/D52)-TAN(RADIANS(E52))))</f>
        <v>14.854688799040328</v>
      </c>
      <c r="G52" s="49">
        <f>2*3.14*Sheet1!H12*Sheet1!P8*Sheet2!B52</f>
        <v>225.05335722115061</v>
      </c>
      <c r="H52" s="50">
        <f>1+Sheet1!H57/Sheet1!C24-2*Sheet1!H57/Sheet1!C24/Sheet2!B52</f>
        <v>0.39999999999999991</v>
      </c>
      <c r="AI52" s="66">
        <f t="shared" si="55"/>
        <v>0.8</v>
      </c>
      <c r="AJ52" s="66">
        <f t="shared" si="56"/>
        <v>42.803230431879257</v>
      </c>
      <c r="AK52" s="49">
        <f>(1-AI52)/(1-AI51)*(B69-1)+1</f>
        <v>0.81630481764939811</v>
      </c>
      <c r="AL52" s="49">
        <f>-13.408*AK52^4 + 68.294*AK52^3 - 132.86*AK52^2+ 139.53*AK52- 33.517</f>
        <v>23.045121604522507</v>
      </c>
      <c r="AM52" s="50">
        <f t="shared" ref="AM52:AM61" si="59">(0.23*(2*0.3)^2+AL52/500)*SQRT((1.55/(TAN(RADIANS(AJ52))-TAN(RADIANS(AL52)))-1)/1.5)</f>
        <v>0.15234521815790103</v>
      </c>
      <c r="AN52" s="49">
        <f t="shared" ref="AN52:AN61" si="60">(AO52-AL52)/(1-AM52)</f>
        <v>23.309145716631242</v>
      </c>
      <c r="AO52" s="49">
        <f t="shared" ref="AO52:AO61" si="61">AJ52</f>
        <v>42.803230431879257</v>
      </c>
      <c r="AP52" s="49">
        <f t="shared" ref="AP52:AP61" si="62">AO52-AN52</f>
        <v>19.494084715248015</v>
      </c>
      <c r="AQ52" s="78">
        <f t="shared" ref="AQ52:AQ61" si="63">(SQRT(1+(4*TAN(RADIANS(AN52)))^2*(0.3-0.3^2-3/16))-1)/(4*TAN(RADIANS(AN52)))</f>
        <v>1.9075036770402631E-2</v>
      </c>
      <c r="AR52" s="49">
        <f t="shared" ref="AR52:AR61" si="64">AO52-DEGREES(ATAN(AQ52/0.3^2))</f>
        <v>30.836767881566679</v>
      </c>
    </row>
    <row r="53" spans="1:45" ht="16.8" x14ac:dyDescent="0.4">
      <c r="A53" s="45"/>
      <c r="B53" s="49">
        <f>B52+0.05</f>
        <v>0.85000000000000009</v>
      </c>
      <c r="C53" s="49">
        <f>Sheet1!H57+(Sheet1!H58/Sheet2!B53)</f>
        <v>171.27724135915287</v>
      </c>
      <c r="D53" s="49">
        <f>SQRT(-2*(Sheet1!H57^2*LN(Sheet2!B53)-Sheet1!H57*Sheet1!H58/Sheet2!B53+Sheet1!H57*Sheet1!H58)+Sheet1!L8^2)</f>
        <v>182.54866047903906</v>
      </c>
      <c r="E53" s="49">
        <f t="shared" si="57"/>
        <v>43.175412197651745</v>
      </c>
      <c r="F53" s="49">
        <f t="shared" si="58"/>
        <v>20.38696027418008</v>
      </c>
      <c r="G53" s="49">
        <f>2*3.14*Sheet1!H12*Sheet1!P8*Sheet2!B53</f>
        <v>239.11919204747252</v>
      </c>
      <c r="H53" s="50">
        <f>1+Sheet1!H57/Sheet1!C24-2*Sheet1!H57/Sheet1!C24/Sheet2!B53</f>
        <v>0.45882352941176463</v>
      </c>
      <c r="AI53" s="49">
        <f t="shared" si="55"/>
        <v>0.85000000000000009</v>
      </c>
      <c r="AJ53" s="49">
        <f t="shared" si="56"/>
        <v>43.175412197651745</v>
      </c>
      <c r="AK53" s="49">
        <f>(1-AI53)/(1-AI51)*(B69-1)+1</f>
        <v>0.86222861323704869</v>
      </c>
      <c r="AL53" s="49">
        <f t="shared" ref="AL53:AL60" si="65">-13.408*AK53^4 + 68.294*AK53^3 - 132.86*AK53^2+ 139.53*AK53- 33.517</f>
        <v>24.383343325010799</v>
      </c>
      <c r="AM53" s="50">
        <f t="shared" si="59"/>
        <v>0.15918920172974452</v>
      </c>
      <c r="AN53" s="49">
        <f t="shared" si="60"/>
        <v>22.349937597495927</v>
      </c>
      <c r="AO53" s="49">
        <f t="shared" si="61"/>
        <v>43.175412197651745</v>
      </c>
      <c r="AP53" s="49">
        <f t="shared" si="62"/>
        <v>20.825474600155818</v>
      </c>
      <c r="AQ53" s="78">
        <f t="shared" si="63"/>
        <v>1.8228449704095064E-2</v>
      </c>
      <c r="AR53" s="49">
        <f t="shared" si="64"/>
        <v>31.725706308341724</v>
      </c>
    </row>
    <row r="54" spans="1:45" ht="16.8" x14ac:dyDescent="0.4">
      <c r="A54" s="45"/>
      <c r="B54" s="49">
        <f t="shared" ref="B54:B60" si="66">B53+0.05</f>
        <v>0.90000000000000013</v>
      </c>
      <c r="C54" s="49">
        <f>Sheet1!H57+(Sheet1!H58/Sheet2!B54)</f>
        <v>168.01332120645409</v>
      </c>
      <c r="D54" s="49">
        <f>SQRT(-2*(Sheet1!H57^2*LN(Sheet2!B54)-Sheet1!H57*Sheet1!H58/Sheet2!B54+Sheet1!H57*Sheet1!H58)+Sheet1!L8^2)</f>
        <v>176.47081519264756</v>
      </c>
      <c r="E54" s="49">
        <f t="shared" si="57"/>
        <v>43.593603208390256</v>
      </c>
      <c r="F54" s="49">
        <f t="shared" si="58"/>
        <v>25.763771089048547</v>
      </c>
      <c r="G54" s="49">
        <f>2*3.14*Sheet1!H12*Sheet1!P8*Sheet2!B54</f>
        <v>253.18502687379447</v>
      </c>
      <c r="H54" s="50">
        <f>1+Sheet1!H57/Sheet1!C24-2*Sheet1!H57/Sheet1!C24/Sheet2!B54</f>
        <v>0.51111111111111107</v>
      </c>
      <c r="AI54" s="49">
        <f t="shared" si="55"/>
        <v>0.90000000000000013</v>
      </c>
      <c r="AJ54" s="49">
        <f>E54</f>
        <v>43.593603208390256</v>
      </c>
      <c r="AK54" s="49">
        <f>(1-AI54)/(1-AI51)*(B69-1)+1</f>
        <v>0.90815240882469916</v>
      </c>
      <c r="AL54" s="49">
        <f t="shared" si="65"/>
        <v>25.653903131157527</v>
      </c>
      <c r="AM54" s="50">
        <f t="shared" si="59"/>
        <v>0.1655316070554177</v>
      </c>
      <c r="AN54" s="49">
        <f t="shared" si="60"/>
        <v>21.498357791514483</v>
      </c>
      <c r="AO54" s="49">
        <f t="shared" si="61"/>
        <v>43.593603208390256</v>
      </c>
      <c r="AP54" s="49">
        <f t="shared" si="62"/>
        <v>22.095245416875773</v>
      </c>
      <c r="AQ54" s="78">
        <f t="shared" si="63"/>
        <v>1.7483681333345866E-2</v>
      </c>
      <c r="AR54" s="49">
        <f t="shared" si="64"/>
        <v>32.600073006257688</v>
      </c>
    </row>
    <row r="55" spans="1:45" ht="16.8" x14ac:dyDescent="0.4">
      <c r="A55" s="45"/>
      <c r="B55" s="49">
        <f t="shared" si="66"/>
        <v>0.95000000000000018</v>
      </c>
      <c r="C55" s="49">
        <f>Sheet1!H57+(Sheet1!H58/Sheet2!B55)</f>
        <v>165.09297159614468</v>
      </c>
      <c r="D55" s="49">
        <f>SQRT(-2*(Sheet1!H57^2*LN(Sheet2!B55)-Sheet1!H57*Sheet1!H58/Sheet2!B55+Sheet1!H57*Sheet1!H58)+Sheet1!L8^2)</f>
        <v>170.63261241062943</v>
      </c>
      <c r="E55" s="49">
        <f t="shared" si="57"/>
        <v>44.054676638046899</v>
      </c>
      <c r="F55" s="49">
        <f t="shared" si="58"/>
        <v>30.908992950034083</v>
      </c>
      <c r="G55" s="49">
        <f>2*3.14*Sheet1!H12*Sheet1!P8*Sheet2!B55</f>
        <v>267.25086170011639</v>
      </c>
      <c r="H55" s="50">
        <f>1+Sheet1!H57/Sheet1!C24-2*Sheet1!H57/Sheet1!C24/Sheet2!B55</f>
        <v>0.55789473684210533</v>
      </c>
      <c r="AI55" s="49">
        <f t="shared" si="55"/>
        <v>0.95000000000000018</v>
      </c>
      <c r="AJ55" s="49">
        <f t="shared" si="56"/>
        <v>44.054676638046899</v>
      </c>
      <c r="AK55" s="49">
        <f>(1-AI55)/(1-AI51)*(B69-1)+1</f>
        <v>0.95407620441234964</v>
      </c>
      <c r="AL55" s="49">
        <f t="shared" si="65"/>
        <v>26.868899594290575</v>
      </c>
      <c r="AM55" s="50">
        <f t="shared" si="59"/>
        <v>0.17137434217796307</v>
      </c>
      <c r="AN55" s="49">
        <f t="shared" si="60"/>
        <v>20.74009763217747</v>
      </c>
      <c r="AO55" s="49">
        <f t="shared" si="61"/>
        <v>44.054676638046899</v>
      </c>
      <c r="AP55" s="49">
        <f t="shared" si="62"/>
        <v>23.31457900586943</v>
      </c>
      <c r="AQ55" s="78">
        <f t="shared" si="63"/>
        <v>1.6825677142155257E-2</v>
      </c>
      <c r="AR55" s="49">
        <f t="shared" si="64"/>
        <v>33.46535786505806</v>
      </c>
    </row>
    <row r="56" spans="1:45" ht="16.8" x14ac:dyDescent="0.4">
      <c r="A56" s="45"/>
      <c r="B56" s="49">
        <f t="shared" si="66"/>
        <v>1.0000000000000002</v>
      </c>
      <c r="C56" s="49">
        <f>Sheet1!H57+(Sheet1!H58/Sheet2!B56)</f>
        <v>162.46465694686623</v>
      </c>
      <c r="D56" s="49">
        <f>SQRT(-2*(Sheet1!H57^2*LN(Sheet2!B56)-Sheet1!H57*Sheet1!H58/Sheet2!B56+Sheet1!H57*Sheet1!H58)+Sheet1!L8^2)</f>
        <v>164.99999999999997</v>
      </c>
      <c r="E56" s="49">
        <f t="shared" si="57"/>
        <v>44.556405398215773</v>
      </c>
      <c r="F56" s="49">
        <f t="shared" si="58"/>
        <v>35.765786551884844</v>
      </c>
      <c r="G56" s="49">
        <f>2*3.14*Sheet1!H12*Sheet1!P8*Sheet2!B56</f>
        <v>281.31669652643831</v>
      </c>
      <c r="H56" s="50">
        <f>1+Sheet1!H57/Sheet1!C24-2*Sheet1!H57/Sheet1!C24/Sheet2!B56</f>
        <v>0.60000000000000009</v>
      </c>
      <c r="AI56" s="49">
        <f>B56</f>
        <v>1.0000000000000002</v>
      </c>
      <c r="AJ56" s="49">
        <f>E56</f>
        <v>44.556405398215773</v>
      </c>
      <c r="AK56" s="49">
        <f>(1-AI56)/(1-AI51)*(B69-1)+1</f>
        <v>1.0000000000000002</v>
      </c>
      <c r="AL56" s="49">
        <f t="shared" si="65"/>
        <v>28.03899999999998</v>
      </c>
      <c r="AM56" s="50">
        <f t="shared" si="59"/>
        <v>0.17671967559207533</v>
      </c>
      <c r="AN56" s="49">
        <f t="shared" si="60"/>
        <v>20.062917706790273</v>
      </c>
      <c r="AO56" s="49">
        <f t="shared" si="61"/>
        <v>44.556405398215773</v>
      </c>
      <c r="AP56" s="49">
        <f t="shared" si="62"/>
        <v>24.4934876914255</v>
      </c>
      <c r="AQ56" s="78">
        <f t="shared" si="63"/>
        <v>1.6241956745728044E-2</v>
      </c>
      <c r="AR56" s="49">
        <f t="shared" si="64"/>
        <v>34.326561547419125</v>
      </c>
    </row>
    <row r="57" spans="1:45" ht="16.8" x14ac:dyDescent="0.4">
      <c r="A57" s="45"/>
      <c r="B57" s="49">
        <f t="shared" si="66"/>
        <v>1.0500000000000003</v>
      </c>
      <c r="C57" s="49">
        <f>Sheet1!H57+(Sheet1!H58/Sheet2!B57)</f>
        <v>160.08665797847141</v>
      </c>
      <c r="D57" s="49">
        <f>SQRT(-2*(Sheet1!H57^2*LN(Sheet2!B57)-Sheet1!H57*Sheet1!H58/Sheet2!B57+Sheet1!H57*Sheet1!H58)+Sheet1!L8^2)</f>
        <v>159.54383881710234</v>
      </c>
      <c r="E57" s="49">
        <f t="shared" si="57"/>
        <v>45.097303659685743</v>
      </c>
      <c r="F57" s="49">
        <f t="shared" si="58"/>
        <v>40.298508198770946</v>
      </c>
      <c r="G57" s="49">
        <f>2*3.14*Sheet1!H12*Sheet1!P8*Sheet2!B57</f>
        <v>295.38253135276022</v>
      </c>
      <c r="H57" s="50">
        <f>1+Sheet1!H57/Sheet1!C24-2*Sheet1!H57/Sheet1!C24/Sheet2!B57</f>
        <v>0.63809523809523816</v>
      </c>
      <c r="AI57" s="49">
        <f t="shared" ref="AI57:AI61" si="67">B57</f>
        <v>1.0500000000000003</v>
      </c>
      <c r="AJ57" s="49">
        <f t="shared" ref="AJ57:AJ61" si="68">E57</f>
        <v>45.097303659685743</v>
      </c>
      <c r="AK57" s="49">
        <f>(AI57-1)/(AI61-1)*(B77-1)+1</f>
        <v>1.0459237955876508</v>
      </c>
      <c r="AL57" s="49">
        <f t="shared" si="65"/>
        <v>29.17344034813808</v>
      </c>
      <c r="AM57" s="50">
        <f t="shared" si="59"/>
        <v>0.18156754726267635</v>
      </c>
      <c r="AN57" s="49">
        <f t="shared" si="60"/>
        <v>19.456539459412706</v>
      </c>
      <c r="AO57" s="49">
        <f t="shared" si="61"/>
        <v>45.097303659685743</v>
      </c>
      <c r="AP57" s="49">
        <f t="shared" si="62"/>
        <v>25.640764200273036</v>
      </c>
      <c r="AQ57" s="78">
        <f t="shared" si="63"/>
        <v>1.5722284474570896E-2</v>
      </c>
      <c r="AR57" s="49">
        <f t="shared" si="64"/>
        <v>35.188179000703457</v>
      </c>
    </row>
    <row r="58" spans="1:45" ht="16.8" x14ac:dyDescent="0.4">
      <c r="A58" s="45"/>
      <c r="B58" s="49">
        <f t="shared" si="66"/>
        <v>1.1000000000000003</v>
      </c>
      <c r="C58" s="49">
        <f>Sheet1!H57+(Sheet1!H58/Sheet2!B58)</f>
        <v>157.92484073447613</v>
      </c>
      <c r="D58" s="49">
        <f>SQRT(-2*(Sheet1!H57^2*LN(Sheet2!B58)-Sheet1!H57*Sheet1!H58/Sheet2!B58+Sheet1!H57*Sheet1!H58)+Sheet1!L8^2)</f>
        <v>154.23882722530348</v>
      </c>
      <c r="E58" s="49">
        <f>DEGREES(ATAN(C58/D58))</f>
        <v>45.676514355811833</v>
      </c>
      <c r="F58" s="49">
        <f t="shared" si="58"/>
        <v>44.491202100883235</v>
      </c>
      <c r="G58" s="49">
        <f>2*3.14*Sheet1!H12*Sheet1!P8*Sheet2!B58</f>
        <v>309.44836617908214</v>
      </c>
      <c r="H58" s="50">
        <f>1+Sheet1!H57/Sheet1!C24-2*Sheet1!H57/Sheet1!C24/Sheet2!B58</f>
        <v>0.67272727272727284</v>
      </c>
      <c r="AI58" s="49">
        <f t="shared" si="67"/>
        <v>1.1000000000000003</v>
      </c>
      <c r="AJ58" s="49">
        <f t="shared" si="68"/>
        <v>45.676514355811833</v>
      </c>
      <c r="AK58" s="49">
        <f>(AI58-1)/(AI61-1)*(B77-1)+1</f>
        <v>1.0918475911753014</v>
      </c>
      <c r="AL58" s="49">
        <f t="shared" si="65"/>
        <v>30.280025352819472</v>
      </c>
      <c r="AM58" s="50">
        <f t="shared" si="59"/>
        <v>0.18591259647659558</v>
      </c>
      <c r="AN58" s="49">
        <f t="shared" si="60"/>
        <v>18.912574910698421</v>
      </c>
      <c r="AO58" s="49">
        <f t="shared" si="61"/>
        <v>45.676514355811833</v>
      </c>
      <c r="AP58" s="49">
        <f t="shared" si="62"/>
        <v>26.763939445113412</v>
      </c>
      <c r="AQ58" s="78">
        <f t="shared" si="63"/>
        <v>1.5258440130847716E-2</v>
      </c>
      <c r="AR58" s="49">
        <f t="shared" si="64"/>
        <v>36.054185680271281</v>
      </c>
    </row>
    <row r="59" spans="1:45" ht="16.8" x14ac:dyDescent="0.4">
      <c r="A59" s="45"/>
      <c r="B59" s="49">
        <f t="shared" si="66"/>
        <v>1.1500000000000004</v>
      </c>
      <c r="C59" s="49">
        <f>Sheet1!H57+(Sheet1!H58/Sheet2!B59)</f>
        <v>155.95100759865437</v>
      </c>
      <c r="D59" s="49">
        <f>SQRT(-2*(Sheet1!H57^2*LN(Sheet2!B59)-Sheet1!H57*Sheet1!H58/Sheet2!B59+Sheet1!H57*Sheet1!H58)+Sheet1!L8^2)</f>
        <v>149.06266831975893</v>
      </c>
      <c r="E59" s="49">
        <f t="shared" ref="E59" si="69">DEGREES(ATAN(C59/D59))</f>
        <v>46.293731142944686</v>
      </c>
      <c r="F59" s="49">
        <f t="shared" si="58"/>
        <v>48.344004025559727</v>
      </c>
      <c r="G59" s="49">
        <f>2*3.14*Sheet1!H12*Sheet1!P8*Sheet2!B59</f>
        <v>323.51420100540406</v>
      </c>
      <c r="H59" s="50">
        <f>1+Sheet1!H57/Sheet1!C24-2*Sheet1!H57/Sheet1!C24/Sheet2!B59</f>
        <v>0.70434782608695656</v>
      </c>
      <c r="AI59" s="49">
        <f t="shared" si="67"/>
        <v>1.1500000000000004</v>
      </c>
      <c r="AJ59" s="49">
        <f t="shared" si="68"/>
        <v>46.293731142944686</v>
      </c>
      <c r="AK59" s="49">
        <f>(AI59-1)/(AI61-1)*(B77-1)+1</f>
        <v>1.1377713867629518</v>
      </c>
      <c r="AL59" s="49">
        <f t="shared" si="65"/>
        <v>31.365128442420875</v>
      </c>
      <c r="AM59" s="50">
        <f t="shared" si="59"/>
        <v>0.18974104535898201</v>
      </c>
      <c r="AN59" s="49">
        <f t="shared" si="60"/>
        <v>18.424483450649269</v>
      </c>
      <c r="AO59" s="49">
        <f t="shared" si="61"/>
        <v>46.293731142944686</v>
      </c>
      <c r="AP59" s="49">
        <f t="shared" si="62"/>
        <v>27.869247692295417</v>
      </c>
      <c r="AQ59" s="78">
        <f t="shared" si="63"/>
        <v>1.4844059820897754E-2</v>
      </c>
      <c r="AR59" s="49">
        <f t="shared" si="64"/>
        <v>36.928027494586743</v>
      </c>
    </row>
    <row r="60" spans="1:45" ht="16.8" x14ac:dyDescent="0.4">
      <c r="A60" s="45"/>
      <c r="B60" s="49">
        <f t="shared" si="66"/>
        <v>1.2000000000000004</v>
      </c>
      <c r="C60" s="49">
        <f>Sheet1!H57+(Sheet1!H58/Sheet2!B60)</f>
        <v>154.14166055748439</v>
      </c>
      <c r="D60" s="49">
        <f>SQRT(-2*(Sheet1!H57^2*LN(Sheet2!B60)-Sheet1!H57*Sheet1!H58/Sheet2!B60+Sheet1!H57*Sheet1!H58)+Sheet1!L8^2)</f>
        <v>143.99541039884946</v>
      </c>
      <c r="E60" s="49">
        <f>DEGREES(ATAN(C60/D60))</f>
        <v>46.949147193444759</v>
      </c>
      <c r="F60" s="49">
        <f>DEGREES(ATAN((G60/D60)-TAN(RADIANS(E60))))</f>
        <v>51.868804117320408</v>
      </c>
      <c r="G60" s="49">
        <f>2*3.14*Sheet1!H12*Sheet1!P8*Sheet2!B60</f>
        <v>337.58003583172604</v>
      </c>
      <c r="H60" s="50">
        <f>1+Sheet1!H57/Sheet1!C24-2*Sheet1!H57/Sheet1!C24/Sheet2!B60</f>
        <v>0.73333333333333339</v>
      </c>
      <c r="AI60" s="49">
        <f t="shared" si="67"/>
        <v>1.2000000000000004</v>
      </c>
      <c r="AJ60" s="49">
        <f t="shared" si="68"/>
        <v>46.949147193444759</v>
      </c>
      <c r="AK60" s="49">
        <f>(AI60-1)/(AI61-1)*(B77-1)+1</f>
        <v>1.1836951823506023</v>
      </c>
      <c r="AL60" s="49">
        <f t="shared" si="65"/>
        <v>32.433691759581343</v>
      </c>
      <c r="AM60" s="50">
        <f t="shared" si="59"/>
        <v>0.19302758017006225</v>
      </c>
      <c r="AN60" s="49">
        <f t="shared" si="60"/>
        <v>17.987548368657283</v>
      </c>
      <c r="AO60" s="49">
        <f t="shared" si="61"/>
        <v>46.949147193444759</v>
      </c>
      <c r="AP60" s="49">
        <f t="shared" si="62"/>
        <v>28.961598824787476</v>
      </c>
      <c r="AQ60" s="78">
        <f t="shared" si="63"/>
        <v>1.4474526725665659E-2</v>
      </c>
      <c r="AR60" s="49">
        <f t="shared" si="64"/>
        <v>37.812615350219772</v>
      </c>
    </row>
    <row r="61" spans="1:45" ht="16.8" x14ac:dyDescent="0.4">
      <c r="A61" s="45"/>
      <c r="B61" s="49">
        <f>Sheet1!H55/Sheet1!P8</f>
        <v>1.2335357047261459</v>
      </c>
      <c r="C61" s="49">
        <f>Sheet1!H57+(Sheet1!H58/Sheet2!B61)</f>
        <v>153.0102885660549</v>
      </c>
      <c r="D61" s="49">
        <f>SQRT(-2*(Sheet1!H57^2*LN(Sheet2!B61)-Sheet1!H57*Sheet1!H58/Sheet2!B61+Sheet1!H57*Sheet1!H58)+Sheet1!L8^2)</f>
        <v>140.64863530900729</v>
      </c>
      <c r="E61" s="49">
        <f>DEGREES(ATAN(C61/D61))</f>
        <v>47.410458499389975</v>
      </c>
      <c r="F61" s="49">
        <f>DEGREES(ATAN((G61/D61)-TAN(RADIANS(E61))))</f>
        <v>54.058699799762998</v>
      </c>
      <c r="G61" s="49">
        <f>2*3.14*Sheet1!H12*Sheet1!P8*Sheet2!B61</f>
        <v>347.01418950097133</v>
      </c>
      <c r="H61" s="50">
        <f>1+Sheet1!H57/Sheet1!C24-2*Sheet1!H57/Sheet1!C24/Sheet2!B61</f>
        <v>0.75145776734723213</v>
      </c>
      <c r="AI61" s="49">
        <f t="shared" si="67"/>
        <v>1.2335357047261459</v>
      </c>
      <c r="AJ61" s="49">
        <f t="shared" si="68"/>
        <v>47.410458499389975</v>
      </c>
      <c r="AK61" s="49">
        <f>(AI61-1)/(AI61-1)*(B77-1)+1</f>
        <v>1.2144969193252286</v>
      </c>
      <c r="AL61" s="49">
        <f>E77</f>
        <v>33.145093566745992</v>
      </c>
      <c r="AM61" s="50">
        <f t="shared" si="59"/>
        <v>0.19493147870701805</v>
      </c>
      <c r="AN61" s="49">
        <f t="shared" si="60"/>
        <v>17.719441954745744</v>
      </c>
      <c r="AO61" s="49">
        <f t="shared" si="61"/>
        <v>47.410458499389975</v>
      </c>
      <c r="AP61" s="49">
        <f t="shared" si="62"/>
        <v>29.691016544644231</v>
      </c>
      <c r="AQ61" s="78">
        <f t="shared" si="63"/>
        <v>1.4248424459895695E-2</v>
      </c>
      <c r="AR61" s="49">
        <f t="shared" si="64"/>
        <v>38.414293570757856</v>
      </c>
    </row>
    <row r="62" spans="1:45" ht="16.8" x14ac:dyDescent="0.4">
      <c r="A62" s="45"/>
      <c r="B62" s="45"/>
      <c r="C62" s="45"/>
      <c r="D62" s="45"/>
      <c r="E62" s="45"/>
      <c r="F62" s="45"/>
      <c r="G62" s="45"/>
      <c r="H62" s="45"/>
    </row>
    <row r="63" spans="1:45" ht="16.8" x14ac:dyDescent="0.4">
      <c r="A63" s="102"/>
      <c r="B63" s="102"/>
      <c r="C63" s="102"/>
      <c r="D63" s="102"/>
      <c r="E63" s="102"/>
      <c r="F63" s="102"/>
      <c r="G63" s="102"/>
      <c r="H63" s="102"/>
      <c r="I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ht="25.2" customHeight="1" x14ac:dyDescent="0.65">
      <c r="A64" s="27"/>
      <c r="B64" s="103" t="s">
        <v>44</v>
      </c>
      <c r="C64" s="103"/>
      <c r="D64" s="103"/>
      <c r="E64" s="103"/>
      <c r="F64" s="103"/>
      <c r="G64" s="103"/>
      <c r="H64" s="27"/>
      <c r="I64" s="18"/>
      <c r="AH64" s="18"/>
      <c r="AI64" s="88" t="s">
        <v>44</v>
      </c>
      <c r="AJ64" s="98"/>
      <c r="AK64" s="98"/>
      <c r="AL64" s="98"/>
      <c r="AM64" s="98"/>
      <c r="AN64" s="98"/>
      <c r="AO64" s="98"/>
      <c r="AP64" s="98"/>
      <c r="AQ64" s="18"/>
      <c r="AR64" s="18"/>
      <c r="AS64" s="18"/>
    </row>
    <row r="65" spans="1:45" ht="16.8" x14ac:dyDescent="0.4">
      <c r="A65" s="104"/>
      <c r="B65" s="104"/>
      <c r="C65" s="104"/>
      <c r="D65" s="104"/>
      <c r="E65" s="104"/>
      <c r="F65" s="104"/>
      <c r="G65" s="104"/>
      <c r="H65" s="104"/>
      <c r="I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</row>
    <row r="66" spans="1:45" ht="16.8" x14ac:dyDescent="0.4">
      <c r="A66" s="45"/>
      <c r="B66" s="45"/>
      <c r="C66" s="45"/>
      <c r="D66" s="45"/>
      <c r="E66" s="45"/>
      <c r="F66" s="45"/>
      <c r="G66" s="45"/>
      <c r="H66" s="45"/>
    </row>
    <row r="67" spans="1:45" ht="19.2" x14ac:dyDescent="0.4">
      <c r="A67" s="45"/>
      <c r="B67" s="101" t="s">
        <v>88</v>
      </c>
      <c r="C67" s="101"/>
      <c r="D67" s="101"/>
      <c r="E67" s="101"/>
      <c r="F67" s="101"/>
      <c r="G67" s="101"/>
      <c r="H67" s="101"/>
      <c r="AI67" s="99" t="s">
        <v>121</v>
      </c>
      <c r="AJ67" s="99"/>
      <c r="AK67" s="99"/>
      <c r="AL67" s="99"/>
      <c r="AM67" s="99"/>
      <c r="AN67" s="99"/>
      <c r="AO67" s="99"/>
      <c r="AP67" s="99"/>
      <c r="AQ67" s="99"/>
      <c r="AR67" s="99"/>
    </row>
    <row r="68" spans="1:45" ht="19.2" x14ac:dyDescent="0.4">
      <c r="A68" s="45"/>
      <c r="B68" s="46" t="s">
        <v>83</v>
      </c>
      <c r="C68" s="46" t="s">
        <v>54</v>
      </c>
      <c r="D68" s="46" t="s">
        <v>22</v>
      </c>
      <c r="E68" s="46" t="s">
        <v>15</v>
      </c>
      <c r="F68" s="46" t="s">
        <v>57</v>
      </c>
      <c r="G68" s="46" t="s">
        <v>86</v>
      </c>
      <c r="H68" s="46" t="s">
        <v>85</v>
      </c>
      <c r="AI68" s="75" t="s">
        <v>83</v>
      </c>
      <c r="AJ68" s="75" t="s">
        <v>57</v>
      </c>
      <c r="AK68" s="75" t="s">
        <v>84</v>
      </c>
      <c r="AL68" s="75" t="s">
        <v>58</v>
      </c>
      <c r="AM68" s="75" t="s">
        <v>115</v>
      </c>
      <c r="AN68" s="75" t="s">
        <v>118</v>
      </c>
      <c r="AO68" s="75" t="s">
        <v>116</v>
      </c>
      <c r="AP68" s="75" t="s">
        <v>117</v>
      </c>
      <c r="AQ68" s="75" t="s">
        <v>143</v>
      </c>
      <c r="AR68" s="75" t="s">
        <v>144</v>
      </c>
    </row>
    <row r="69" spans="1:45" ht="16.8" x14ac:dyDescent="0.4">
      <c r="A69" s="45"/>
      <c r="B69" s="49">
        <f>Sheet1!L54/Sheet1!P8</f>
        <v>0.78550308067477137</v>
      </c>
      <c r="C69" s="49">
        <f>Sheet1!L57-(Sheet1!L58/Sheet2!B69)</f>
        <v>73.471643630948321</v>
      </c>
      <c r="D69" s="49">
        <f>SQRT(-2*(Sheet1!L57^2*LN(Sheet2!B69)+Sheet1!L57*Sheet1!L58/Sheet2!B69-Sheet1!L57*Sheet1!L58)+Sheet1!L8^2)</f>
        <v>180.89820118828206</v>
      </c>
      <c r="E69" s="49">
        <f>DEGREES(ATAN(C69/D69))</f>
        <v>22.104486531078187</v>
      </c>
      <c r="F69" s="49">
        <f>DEGREES(ATAN((G69/D69)-TAN(RADIANS(E69))))</f>
        <v>39.19363036018715</v>
      </c>
      <c r="G69" s="49">
        <f>2*3.14*Sheet1!H12*Sheet1!P8*Sheet2!B69</f>
        <v>220.97513176676699</v>
      </c>
      <c r="H69" s="50">
        <f>1+Sheet1!L57/Sheet1!C24-2*Sheet1!L57/Sheet1!C24/Sheet2!B69</f>
        <v>0.22693051803059872</v>
      </c>
      <c r="AI69" s="49">
        <f t="shared" ref="AI69:AI71" si="70">B69</f>
        <v>0.78550308067477137</v>
      </c>
      <c r="AJ69" s="49">
        <f t="shared" ref="AJ69:AJ75" si="71">F69</f>
        <v>39.19363036018715</v>
      </c>
      <c r="AK69" s="49">
        <f>(1-AI69)/(1-AI69)*(B80-1)+1</f>
        <v>0.80200859844067729</v>
      </c>
      <c r="AL69" s="69">
        <f>F80</f>
        <v>5.4970921475585452</v>
      </c>
      <c r="AM69" s="50">
        <f>(0.23*(2*0.3)^2+AL69/500)*SQRT((1.55/(TAN(RADIANS(AJ69))-TAN(RADIANS(AL69)))-1)/1.5)</f>
        <v>8.2314778130532049E-2</v>
      </c>
      <c r="AN69" s="49">
        <f>(AO69-AL69)/(1-AM69)</f>
        <v>36.7190594439164</v>
      </c>
      <c r="AO69" s="49">
        <f>AJ69</f>
        <v>39.19363036018715</v>
      </c>
      <c r="AP69" s="49">
        <f>AO69-AN69</f>
        <v>2.4745709162707499</v>
      </c>
      <c r="AQ69" s="78">
        <f>(SQRT(1+(4*TAN(RADIANS(AN69)))^2*(0.3-0.3^2-3/16))-1)/(4*TAN(RADIANS(AN69)))</f>
        <v>3.2034381508874735E-2</v>
      </c>
      <c r="AR69" s="49">
        <f>AO69-DEGREES(ATAN(AQ69/0.3^2))</f>
        <v>19.601075441786588</v>
      </c>
    </row>
    <row r="70" spans="1:45" ht="16.8" x14ac:dyDescent="0.4">
      <c r="A70" s="45"/>
      <c r="B70" s="49">
        <f>CEILING(Sheet1!L56/Sheet1!P8,0.05)</f>
        <v>0.85000000000000009</v>
      </c>
      <c r="C70" s="49">
        <f>Sheet1!L57-(Sheet1!L58/Sheet2!B70)</f>
        <v>78.569685358472483</v>
      </c>
      <c r="D70" s="49">
        <f>SQRT(-2*(Sheet1!L57^2*LN(Sheet2!B70)+Sheet1!L57*Sheet1!L58/Sheet2!B70-Sheet1!L57*Sheet1!L58)+Sheet1!L8^2)</f>
        <v>176.16984121802267</v>
      </c>
      <c r="E70" s="49">
        <f t="shared" ref="E70:E75" si="72">DEGREES(ATAN(C70/D70))</f>
        <v>24.036311578979927</v>
      </c>
      <c r="F70" s="49">
        <f t="shared" ref="F70:F76" si="73">DEGREES(ATAN((G70/D70)-TAN(RADIANS(E70))))</f>
        <v>42.343965903449494</v>
      </c>
      <c r="G70" s="49">
        <f>2*3.14*Sheet1!H12*Sheet1!P8*Sheet2!B70</f>
        <v>239.11919204747252</v>
      </c>
      <c r="H70" s="50">
        <f>1+Sheet1!L57/Sheet1!C24-2*Sheet1!L57/Sheet1!C24/Sheet2!B70</f>
        <v>0.32352941176470607</v>
      </c>
      <c r="AI70" s="66">
        <f t="shared" si="70"/>
        <v>0.85000000000000009</v>
      </c>
      <c r="AJ70" s="66">
        <f t="shared" si="71"/>
        <v>42.343965903449494</v>
      </c>
      <c r="AK70" s="49">
        <f>(1-AI70)/(1-AI69)*(B80-1)+1</f>
        <v>0.86154248589058735</v>
      </c>
      <c r="AL70" s="69">
        <f t="shared" ref="AL70:AL76" si="74">80.341*AK70^4- 432.7*AK70^3+ 791.74*AK70^2- 492.71*AK70+ 81.375</f>
        <v>12.116069482253806</v>
      </c>
      <c r="AM70" s="50">
        <f t="shared" ref="AM70:AM77" si="75">(0.23*(2*0.3)^2+AL70/500)*SQRT((1.55/(TAN(RADIANS(AJ70))-TAN(RADIANS(AL70)))-1)/1.5)</f>
        <v>9.6720789161532719E-2</v>
      </c>
      <c r="AN70" s="49">
        <f t="shared" ref="AN70:AN77" si="76">(AO70-AL70)/(1-AM70)</f>
        <v>33.464620970449104</v>
      </c>
      <c r="AO70" s="49">
        <f t="shared" ref="AO70:AO77" si="77">AJ70</f>
        <v>42.343965903449494</v>
      </c>
      <c r="AP70" s="49">
        <f t="shared" ref="AP70:AP77" si="78">AO70-AN70</f>
        <v>8.8793449330003895</v>
      </c>
      <c r="AQ70" s="78">
        <f t="shared" ref="AQ70:AQ77" si="79">(SQRT(1+(4*TAN(RADIANS(AN70)))^2*(0.3-0.3^2-3/16))-1)/(4*TAN(RADIANS(AN70)))</f>
        <v>2.8659093914061323E-2</v>
      </c>
      <c r="AR70" s="49">
        <f t="shared" ref="AR70:AR77" si="80">AO70-DEGREES(ATAN(AQ70/0.3^2))</f>
        <v>24.680702411028911</v>
      </c>
    </row>
    <row r="71" spans="1:45" ht="16.8" x14ac:dyDescent="0.4">
      <c r="A71" s="45"/>
      <c r="B71" s="49">
        <f>B70+0.05</f>
        <v>0.90000000000000013</v>
      </c>
      <c r="C71" s="49">
        <f>Sheet1!L57-(Sheet1!L58/Sheet2!B71)</f>
        <v>82.019055519847299</v>
      </c>
      <c r="D71" s="49">
        <f>SQRT(-2*(Sheet1!L57^2*LN(Sheet2!B71)+Sheet1!L57*Sheet1!L58/Sheet2!B71-Sheet1!L57*Sheet1!L58)+Sheet1!L8^2)</f>
        <v>172.46578247259811</v>
      </c>
      <c r="E71" s="49">
        <f t="shared" si="72"/>
        <v>25.434224142022607</v>
      </c>
      <c r="F71" s="49">
        <f t="shared" si="73"/>
        <v>44.783275744308078</v>
      </c>
      <c r="G71" s="49">
        <f>2*3.14*Sheet1!H12*Sheet1!P8*Sheet2!B71</f>
        <v>253.18502687379447</v>
      </c>
      <c r="H71" s="50">
        <f>1+Sheet1!L57/Sheet1!C24-2*Sheet1!L57/Sheet1!C24/Sheet2!B71</f>
        <v>0.38888888888888906</v>
      </c>
      <c r="AI71" s="49">
        <f t="shared" si="70"/>
        <v>0.90000000000000013</v>
      </c>
      <c r="AJ71" s="49">
        <f t="shared" si="71"/>
        <v>44.783275744308078</v>
      </c>
      <c r="AK71" s="49">
        <f>(1-AI71)/(1-AI69)*(B80-1)+1</f>
        <v>0.90769499059372494</v>
      </c>
      <c r="AL71" s="69">
        <f t="shared" si="74"/>
        <v>17.406323478963202</v>
      </c>
      <c r="AM71" s="50">
        <f t="shared" si="75"/>
        <v>0.10876888886910711</v>
      </c>
      <c r="AN71" s="49">
        <f t="shared" si="76"/>
        <v>30.718129027841005</v>
      </c>
      <c r="AO71" s="49">
        <f t="shared" si="77"/>
        <v>44.783275744308078</v>
      </c>
      <c r="AP71" s="49">
        <f t="shared" si="78"/>
        <v>14.065146716467073</v>
      </c>
      <c r="AQ71" s="78">
        <f t="shared" si="79"/>
        <v>2.5938749552763596E-2</v>
      </c>
      <c r="AR71" s="49">
        <f t="shared" si="80"/>
        <v>28.705853702375613</v>
      </c>
    </row>
    <row r="72" spans="1:45" ht="16.8" x14ac:dyDescent="0.4">
      <c r="A72" s="45"/>
      <c r="B72" s="49">
        <f>B71+0.05</f>
        <v>0.95000000000000018</v>
      </c>
      <c r="C72" s="49">
        <f>Sheet1!L57-(Sheet1!L58/Sheet2!B72)</f>
        <v>85.105334085287922</v>
      </c>
      <c r="D72" s="49">
        <f>SQRT(-2*(Sheet1!L57^2*LN(Sheet2!B72)+Sheet1!L57*Sheet1!L58/Sheet2!B72-Sheet1!L57*Sheet1!L58)+Sheet1!L8^2)</f>
        <v>168.74019271798869</v>
      </c>
      <c r="E72" s="49">
        <f t="shared" si="72"/>
        <v>26.764423028443314</v>
      </c>
      <c r="F72" s="49">
        <f t="shared" si="73"/>
        <v>47.18787973482511</v>
      </c>
      <c r="G72" s="49">
        <f>2*3.14*Sheet1!H12*Sheet1!P8*Sheet2!B72</f>
        <v>267.25086170011639</v>
      </c>
      <c r="H72" s="50">
        <f>1+Sheet1!L57/Sheet1!C24-2*Sheet1!L57/Sheet1!C24/Sheet2!B72</f>
        <v>0.44736842105263186</v>
      </c>
      <c r="AI72" s="49">
        <f>B72</f>
        <v>0.95000000000000018</v>
      </c>
      <c r="AJ72" s="49">
        <f t="shared" si="71"/>
        <v>47.18787973482511</v>
      </c>
      <c r="AK72" s="49">
        <f>(1-AI72)/(1-AI69)*(B80-1)+1</f>
        <v>0.95384749529686264</v>
      </c>
      <c r="AL72" s="69">
        <f t="shared" si="74"/>
        <v>22.742564813709635</v>
      </c>
      <c r="AM72" s="50">
        <f t="shared" si="75"/>
        <v>0.12159170285982293</v>
      </c>
      <c r="AN72" s="49">
        <f t="shared" si="76"/>
        <v>27.829102936187855</v>
      </c>
      <c r="AO72" s="49">
        <f t="shared" si="77"/>
        <v>47.18787973482511</v>
      </c>
      <c r="AP72" s="49">
        <f t="shared" si="78"/>
        <v>19.358776798637255</v>
      </c>
      <c r="AQ72" s="78">
        <f t="shared" si="79"/>
        <v>2.3187383081351352E-2</v>
      </c>
      <c r="AR72" s="49">
        <f t="shared" si="80"/>
        <v>32.740521754160369</v>
      </c>
    </row>
    <row r="73" spans="1:45" ht="16.8" x14ac:dyDescent="0.4">
      <c r="A73" s="45"/>
      <c r="B73" s="49">
        <f t="shared" ref="B73:B76" si="81">B72+0.05</f>
        <v>1.0000000000000002</v>
      </c>
      <c r="C73" s="49">
        <f>Sheet1!L57-(Sheet1!L58/Sheet2!B73)</f>
        <v>87.882984794184495</v>
      </c>
      <c r="D73" s="49">
        <f>SQRT(-2*(Sheet1!L57^2*LN(Sheet2!B73)+Sheet1!L57*Sheet1!L58/Sheet2!B73-Sheet1!L57*Sheet1!L58)+Sheet1!L8^2)</f>
        <v>164.99999999999997</v>
      </c>
      <c r="E73" s="49">
        <f t="shared" si="72"/>
        <v>28.040842779188608</v>
      </c>
      <c r="F73" s="49">
        <f t="shared" si="73"/>
        <v>49.535642603619479</v>
      </c>
      <c r="G73" s="49">
        <f>2*3.14*Sheet1!H12*Sheet1!P8*Sheet2!B73</f>
        <v>281.31669652643831</v>
      </c>
      <c r="H73" s="50">
        <f>1+Sheet1!L57/Sheet1!C24-2*Sheet1!L57/Sheet1!C24/Sheet2!B73</f>
        <v>0.50000000000000022</v>
      </c>
      <c r="AI73" s="49">
        <f t="shared" ref="AI73:AI77" si="82">B73</f>
        <v>1.0000000000000002</v>
      </c>
      <c r="AJ73" s="49">
        <f t="shared" si="71"/>
        <v>49.535642603619479</v>
      </c>
      <c r="AK73" s="49">
        <f>(1-AI73)/(1-AI69)*(B80-1)+1</f>
        <v>1.0000000000000002</v>
      </c>
      <c r="AL73" s="69">
        <f t="shared" si="74"/>
        <v>28.046000000000049</v>
      </c>
      <c r="AM73" s="50">
        <f t="shared" si="75"/>
        <v>0.1353012138766268</v>
      </c>
      <c r="AN73" s="49">
        <f t="shared" si="76"/>
        <v>24.852171586781129</v>
      </c>
      <c r="AO73" s="49">
        <f t="shared" si="77"/>
        <v>49.535642603619479</v>
      </c>
      <c r="AP73" s="49">
        <f t="shared" si="78"/>
        <v>24.68347101683835</v>
      </c>
      <c r="AQ73" s="78">
        <f t="shared" si="79"/>
        <v>2.0455073759286953E-2</v>
      </c>
      <c r="AR73" s="49">
        <f t="shared" si="80"/>
        <v>36.731056728612245</v>
      </c>
    </row>
    <row r="74" spans="1:45" ht="16.8" x14ac:dyDescent="0.4">
      <c r="A74" s="45"/>
      <c r="B74" s="49">
        <f t="shared" si="81"/>
        <v>1.0500000000000003</v>
      </c>
      <c r="C74" s="49">
        <f>Sheet1!L57-(Sheet1!L58/Sheet2!B74)</f>
        <v>90.396097340328993</v>
      </c>
      <c r="D74" s="49">
        <f>SQRT(-2*(Sheet1!L57^2*LN(Sheet2!B74)+Sheet1!L57*Sheet1!L58/Sheet2!B74-Sheet1!L57*Sheet1!L58)+Sheet1!L8^2)</f>
        <v>161.24942193826013</v>
      </c>
      <c r="E74" s="49">
        <f t="shared" si="72"/>
        <v>29.274901226245845</v>
      </c>
      <c r="F74" s="49">
        <f t="shared" si="73"/>
        <v>51.81018506179926</v>
      </c>
      <c r="G74" s="49">
        <f>2*3.14*Sheet1!H12*Sheet1!P8*Sheet2!B74</f>
        <v>295.38253135276022</v>
      </c>
      <c r="H74" s="50">
        <f>1+Sheet1!L57/Sheet1!C24-2*Sheet1!L57/Sheet1!C24/Sheet2!B74</f>
        <v>0.54761904761904789</v>
      </c>
      <c r="AI74" s="49">
        <f t="shared" si="82"/>
        <v>1.0500000000000003</v>
      </c>
      <c r="AJ74" s="49">
        <f t="shared" si="71"/>
        <v>51.81018506179926</v>
      </c>
      <c r="AK74" s="49">
        <f>(AI74-1)/(AI77-1)*(B88-1)+1</f>
        <v>1.0461525047031379</v>
      </c>
      <c r="AL74" s="69">
        <f t="shared" si="74"/>
        <v>33.246583970352731</v>
      </c>
      <c r="AM74" s="50">
        <f t="shared" si="75"/>
        <v>0.15016058794242357</v>
      </c>
      <c r="AN74" s="49">
        <f t="shared" si="76"/>
        <v>21.843657552315129</v>
      </c>
      <c r="AO74" s="49">
        <f t="shared" si="77"/>
        <v>51.81018506179926</v>
      </c>
      <c r="AP74" s="49">
        <f t="shared" si="78"/>
        <v>29.966527509484131</v>
      </c>
      <c r="AQ74" s="78">
        <f t="shared" si="79"/>
        <v>1.7784918058959941E-2</v>
      </c>
      <c r="AR74" s="49">
        <f t="shared" si="80"/>
        <v>40.631971945173376</v>
      </c>
    </row>
    <row r="75" spans="1:45" ht="16.8" x14ac:dyDescent="0.4">
      <c r="A75" s="45"/>
      <c r="B75" s="49">
        <f t="shared" si="81"/>
        <v>1.1000000000000003</v>
      </c>
      <c r="C75" s="49">
        <f>Sheet1!L57-(Sheet1!L58/Sheet2!B75)</f>
        <v>92.680745109551282</v>
      </c>
      <c r="D75" s="49">
        <f>SQRT(-2*(Sheet1!L57^2*LN(Sheet2!B75)+Sheet1!L57*Sheet1!L58/Sheet2!B75-Sheet1!L57*Sheet1!L58)+Sheet1!L8^2)</f>
        <v>157.4906661742956</v>
      </c>
      <c r="E75" s="49">
        <f t="shared" si="72"/>
        <v>30.476132518477929</v>
      </c>
      <c r="F75" s="49">
        <f t="shared" si="73"/>
        <v>54.000039656100796</v>
      </c>
      <c r="G75" s="49">
        <f>2*3.14*Sheet1!H12*Sheet1!P8*Sheet2!B75</f>
        <v>309.44836617908214</v>
      </c>
      <c r="H75" s="50">
        <f>1+Sheet1!L57/Sheet1!C24-2*Sheet1!L57/Sheet1!C24/Sheet2!B75</f>
        <v>0.59090909090909116</v>
      </c>
      <c r="AI75" s="49">
        <f t="shared" si="82"/>
        <v>1.1000000000000003</v>
      </c>
      <c r="AJ75" s="49">
        <f t="shared" si="71"/>
        <v>54.000039656100796</v>
      </c>
      <c r="AK75" s="49">
        <f>(AI75-1)/(AI77-1)*(B88-1)+1</f>
        <v>1.0923050094062754</v>
      </c>
      <c r="AL75" s="69">
        <f t="shared" si="74"/>
        <v>38.283020076296907</v>
      </c>
      <c r="AM75" s="50">
        <f t="shared" si="75"/>
        <v>0.16663921347516969</v>
      </c>
      <c r="AN75" s="49">
        <f t="shared" si="76"/>
        <v>18.859802181651602</v>
      </c>
      <c r="AO75" s="49">
        <f t="shared" si="77"/>
        <v>54.000039656100796</v>
      </c>
      <c r="AP75" s="49">
        <f t="shared" si="78"/>
        <v>35.140237474449194</v>
      </c>
      <c r="AQ75" s="78">
        <f t="shared" si="79"/>
        <v>1.5213555098411118E-2</v>
      </c>
      <c r="AR75" s="49">
        <f t="shared" si="80"/>
        <v>44.4054895801046</v>
      </c>
    </row>
    <row r="76" spans="1:45" ht="16.8" x14ac:dyDescent="0.4">
      <c r="A76" s="45"/>
      <c r="B76" s="49">
        <f t="shared" si="81"/>
        <v>1.1500000000000004</v>
      </c>
      <c r="C76" s="49">
        <f>Sheet1!L57-(Sheet1!L58/Sheet2!B76)</f>
        <v>94.766727855362916</v>
      </c>
      <c r="D76" s="49">
        <f>SQRT(-2*(Sheet1!L57^2*LN(Sheet2!B76)+Sheet1!L57*Sheet1!L58/Sheet2!B76-Sheet1!L57*Sheet1!L58)+Sheet1!L8^2)</f>
        <v>153.72441519401951</v>
      </c>
      <c r="E76" s="49">
        <f>DEGREES(ATAN(C76/D76))</f>
        <v>31.652650858163586</v>
      </c>
      <c r="F76" s="49">
        <f t="shared" si="73"/>
        <v>56.097844401292122</v>
      </c>
      <c r="G76" s="49">
        <f>2*3.14*Sheet1!H12*Sheet1!P8*Sheet2!B76</f>
        <v>323.51420100540406</v>
      </c>
      <c r="H76" s="50">
        <f>1+Sheet1!L57/Sheet1!C24-2*Sheet1!L57/Sheet1!C24/Sheet2!B76</f>
        <v>0.6304347826086959</v>
      </c>
      <c r="AI76" s="49">
        <f t="shared" si="82"/>
        <v>1.1500000000000004</v>
      </c>
      <c r="AJ76" s="49">
        <f>F76</f>
        <v>56.097844401292122</v>
      </c>
      <c r="AK76" s="49">
        <f>(AI76-1)/(AI77-1)*(B88-1)+1</f>
        <v>1.1384575141094131</v>
      </c>
      <c r="AL76" s="69">
        <f t="shared" si="74"/>
        <v>43.102760088373543</v>
      </c>
      <c r="AM76" s="50">
        <f t="shared" si="75"/>
        <v>0.18550339817665107</v>
      </c>
      <c r="AN76" s="49">
        <f t="shared" si="76"/>
        <v>15.954743437636836</v>
      </c>
      <c r="AO76" s="49">
        <f t="shared" si="77"/>
        <v>56.097844401292122</v>
      </c>
      <c r="AP76" s="49">
        <f t="shared" si="78"/>
        <v>40.143100963655286</v>
      </c>
      <c r="AQ76" s="78">
        <f t="shared" si="79"/>
        <v>1.2771815491012849E-2</v>
      </c>
      <c r="AR76" s="49">
        <f t="shared" si="80"/>
        <v>48.020983765298816</v>
      </c>
    </row>
    <row r="77" spans="1:45" ht="16.8" x14ac:dyDescent="0.4">
      <c r="A77" s="45"/>
      <c r="B77" s="49">
        <f>Sheet1!L53/Sheet1!P8</f>
        <v>1.2144969193252286</v>
      </c>
      <c r="C77" s="49">
        <f>Sheet1!L57-(Sheet1!L58/Sheet2!B77)</f>
        <v>97.20384242687949</v>
      </c>
      <c r="D77" s="49">
        <f>SQRT(-2*(Sheet1!L57^2*LN(Sheet2!B77)+Sheet1!L57*Sheet1!L58/Sheet2!B77-Sheet1!L57*Sheet1!L58)+Sheet1!L8^2)</f>
        <v>148.85417851696999</v>
      </c>
      <c r="E77" s="49">
        <f>DEGREES(ATAN(C77/D77))</f>
        <v>33.145093566745992</v>
      </c>
      <c r="F77" s="49">
        <f>DEGREES(ATAN((G77/D77)-TAN(RADIANS(E77))))</f>
        <v>58.661759023989369</v>
      </c>
      <c r="G77" s="49">
        <f>2*3.14*Sheet1!H12*Sheet1!P8*Sheet2!B77</f>
        <v>341.65826128610951</v>
      </c>
      <c r="H77" s="50">
        <f>1+Sheet1!L57/Sheet1!C24-2*Sheet1!L57/Sheet1!C24/Sheet2!B77</f>
        <v>0.67661380272944827</v>
      </c>
      <c r="AI77" s="49">
        <f t="shared" si="82"/>
        <v>1.2144969193252286</v>
      </c>
      <c r="AJ77" s="49">
        <f t="shared" ref="AJ77" si="83">F77</f>
        <v>58.661759023989369</v>
      </c>
      <c r="AK77" s="49">
        <f>(AI77-1)/(AI77-1)*(B88-1)+1</f>
        <v>1.1979914015593227</v>
      </c>
      <c r="AL77" s="69">
        <f>F88</f>
        <v>48.92356566133806</v>
      </c>
      <c r="AM77" s="50">
        <f t="shared" si="75"/>
        <v>0.21534274254967475</v>
      </c>
      <c r="AN77" s="49">
        <f t="shared" si="76"/>
        <v>12.410760583920057</v>
      </c>
      <c r="AO77" s="49">
        <f t="shared" si="77"/>
        <v>58.661759023989369</v>
      </c>
      <c r="AP77" s="49">
        <f t="shared" si="78"/>
        <v>46.25099844006931</v>
      </c>
      <c r="AQ77" s="78">
        <f t="shared" si="79"/>
        <v>9.859963723021118E-3</v>
      </c>
      <c r="AR77" s="49">
        <f t="shared" si="80"/>
        <v>52.40964491957957</v>
      </c>
    </row>
    <row r="78" spans="1:45" ht="19.2" x14ac:dyDescent="0.4">
      <c r="A78" s="45"/>
      <c r="B78" s="101" t="s">
        <v>89</v>
      </c>
      <c r="C78" s="101"/>
      <c r="D78" s="101"/>
      <c r="E78" s="101"/>
      <c r="F78" s="101"/>
      <c r="G78" s="101"/>
      <c r="H78" s="101"/>
      <c r="AI78" s="99" t="s">
        <v>122</v>
      </c>
      <c r="AJ78" s="99"/>
      <c r="AK78" s="99"/>
      <c r="AL78" s="99"/>
      <c r="AM78" s="99"/>
      <c r="AN78" s="99"/>
      <c r="AO78" s="99"/>
      <c r="AP78" s="99"/>
      <c r="AQ78" s="99"/>
      <c r="AR78" s="99"/>
    </row>
    <row r="79" spans="1:45" ht="19.2" x14ac:dyDescent="0.4">
      <c r="A79" s="45"/>
      <c r="B79" s="46" t="s">
        <v>84</v>
      </c>
      <c r="C79" s="46" t="s">
        <v>55</v>
      </c>
      <c r="D79" s="46" t="s">
        <v>90</v>
      </c>
      <c r="E79" s="46" t="s">
        <v>56</v>
      </c>
      <c r="F79" s="46" t="s">
        <v>58</v>
      </c>
      <c r="G79" s="46" t="s">
        <v>86</v>
      </c>
      <c r="H79" s="46" t="s">
        <v>85</v>
      </c>
      <c r="AI79" s="75" t="s">
        <v>83</v>
      </c>
      <c r="AJ79" s="75" t="s">
        <v>15</v>
      </c>
      <c r="AK79" s="75" t="s">
        <v>84</v>
      </c>
      <c r="AL79" s="75" t="s">
        <v>56</v>
      </c>
      <c r="AM79" s="75" t="s">
        <v>115</v>
      </c>
      <c r="AN79" s="75" t="s">
        <v>118</v>
      </c>
      <c r="AO79" s="75" t="s">
        <v>119</v>
      </c>
      <c r="AP79" s="75" t="s">
        <v>120</v>
      </c>
      <c r="AQ79" s="75" t="s">
        <v>143</v>
      </c>
      <c r="AR79" s="75" t="s">
        <v>144</v>
      </c>
    </row>
    <row r="80" spans="1:45" ht="16.8" x14ac:dyDescent="0.4">
      <c r="A80" s="45"/>
      <c r="B80" s="49">
        <f>Sheet1!L56/Sheet1!P8</f>
        <v>0.80200859844067729</v>
      </c>
      <c r="C80" s="49">
        <f>Sheet1!L57+(Sheet1!L58/Sheet2!B80)</f>
        <v>206.46233536715329</v>
      </c>
      <c r="D80" s="49">
        <f>SQRT(-2*(Sheet1!L57^2*LN(Sheet2!B80)-Sheet1!L57*Sheet1!L58/Sheet2!B80+Sheet1!L57*Sheet1!L58)+Sheet1!L8^2)</f>
        <v>199.04932258200981</v>
      </c>
      <c r="E80" s="49">
        <f>DEGREES(ATAN(C80/D80))</f>
        <v>46.047286889028697</v>
      </c>
      <c r="F80" s="49">
        <f>DEGREES(ATAN((G80/D80)-TAN(RADIANS(E80))))</f>
        <v>5.4970921475585452</v>
      </c>
      <c r="G80" s="49">
        <f>2*3.14*Sheet1!H12*Sheet1!P8*Sheet2!B80</f>
        <v>225.61840949913008</v>
      </c>
      <c r="H80" s="50">
        <f>1+Sheet1!L57/Sheet1!C24-2*Sheet1!L57/Sheet1!C24/Sheet2!B80</f>
        <v>0.25313057497853286</v>
      </c>
      <c r="AI80" s="49">
        <f t="shared" ref="AI80:AI84" si="84">B80</f>
        <v>0.80200859844067729</v>
      </c>
      <c r="AJ80" s="49">
        <f t="shared" ref="AJ80:AJ82" si="85">E80</f>
        <v>46.047286889028697</v>
      </c>
      <c r="AK80" s="49">
        <f>(1-AI80)/(1-AI80)*(B96-1)+1</f>
        <v>0.81851411620658343</v>
      </c>
      <c r="AL80" s="49">
        <f>E96</f>
        <v>22.113030940943261</v>
      </c>
      <c r="AM80" s="50">
        <f>(0.23*(2*0.3)^2+AL80/500)*SQRT((1.55/(TAN(RADIANS(AJ80))-TAN(RADIANS(AL80)))-1)/1.5)</f>
        <v>0.12518063663255827</v>
      </c>
      <c r="AN80" s="49">
        <f>(AO80-AL80)/(1-AM80)</f>
        <v>27.359083429469734</v>
      </c>
      <c r="AO80" s="49">
        <f>AJ80</f>
        <v>46.047286889028697</v>
      </c>
      <c r="AP80" s="49">
        <f>AO80-AN80</f>
        <v>18.688203459558963</v>
      </c>
      <c r="AQ80" s="78">
        <f>(SQRT(1+(4*TAN(RADIANS(AN80)))^2*(0.3-0.3^2-3/16))-1)/(4*TAN(RADIANS(AN80)))</f>
        <v>2.2749435481387401E-2</v>
      </c>
      <c r="AR80" s="49">
        <f>AO80-DEGREES(ATAN(AQ80/0.3^2))</f>
        <v>31.861686513968827</v>
      </c>
    </row>
    <row r="81" spans="1:45" ht="16.8" x14ac:dyDescent="0.4">
      <c r="A81" s="45"/>
      <c r="B81" s="49">
        <f>CEILING(Sheet1!L56/Sheet1!P8,0.05)</f>
        <v>0.85000000000000009</v>
      </c>
      <c r="C81" s="49">
        <f>Sheet1!L57+(Sheet1!L58/Sheet2!B81)</f>
        <v>202.74701116796575</v>
      </c>
      <c r="D81" s="49">
        <f>SQRT(-2*(Sheet1!L57^2*LN(Sheet2!B81)-Sheet1!L57*Sheet1!L58/Sheet2!B81+Sheet1!L57*Sheet1!L58)+Sheet1!L8^2)</f>
        <v>190.46203353113552</v>
      </c>
      <c r="E81" s="49">
        <f t="shared" ref="E81:E86" si="86">DEGREES(ATAN(C81/D81))</f>
        <v>46.789502279704259</v>
      </c>
      <c r="F81" s="49">
        <f t="shared" ref="F81:F87" si="87">DEGREES(ATAN((G81/D81)-TAN(RADIANS(E81))))</f>
        <v>10.811495370011411</v>
      </c>
      <c r="G81" s="49">
        <f>2*3.14*Sheet1!H12*Sheet1!P8*Sheet2!B81</f>
        <v>239.11919204747252</v>
      </c>
      <c r="H81" s="50">
        <f>1+Sheet1!L57/Sheet1!C24-2*Sheet1!L57/Sheet1!C24/Sheet2!B81</f>
        <v>0.32352941176470607</v>
      </c>
      <c r="AI81" s="66">
        <f t="shared" si="84"/>
        <v>0.85000000000000009</v>
      </c>
      <c r="AJ81" s="66">
        <f t="shared" si="85"/>
        <v>46.789502279704259</v>
      </c>
      <c r="AK81" s="49">
        <f>(1-AI81)/(1-AI80)*(B96-1)+1</f>
        <v>0.86250472316164761</v>
      </c>
      <c r="AL81" s="49">
        <f t="shared" ref="AL81:AL87" si="88">-14.525*AK81^4+ 73.551*AK81^3- 143.04*AK81^2+ 149.08*AK81- 37.895</f>
        <v>23.431933052394307</v>
      </c>
      <c r="AM81" s="50">
        <f t="shared" ref="AM81:AM88" si="89">(0.23*(2*0.3)^2+AL81/500)*SQRT((1.55/(TAN(RADIANS(AJ81))-TAN(RADIANS(AL81)))-1)/1.5)</f>
        <v>0.1277491824096155</v>
      </c>
      <c r="AN81" s="49">
        <f t="shared" ref="AN81:AN88" si="90">(AO81-AL81)/(1-AM81)</f>
        <v>26.778500812227204</v>
      </c>
      <c r="AO81" s="49">
        <f t="shared" ref="AO81:AO88" si="91">AJ81</f>
        <v>46.789502279704259</v>
      </c>
      <c r="AP81" s="49">
        <f t="shared" ref="AP81:AP88" si="92">AO81-AN81</f>
        <v>20.011001467477055</v>
      </c>
      <c r="AQ81" s="78">
        <f t="shared" ref="AQ81:AQ88" si="93">(SQRT(1+(4*TAN(RADIANS(AN81)))^2*(0.3-0.3^2-3/16))-1)/(4*TAN(RADIANS(AN81)))</f>
        <v>2.2211970481825206E-2</v>
      </c>
      <c r="AR81" s="49">
        <f t="shared" ref="AR81:AR88" si="94">AO81-DEGREES(ATAN(AQ81/0.3^2))</f>
        <v>32.925967434826944</v>
      </c>
    </row>
    <row r="82" spans="1:45" ht="16.8" x14ac:dyDescent="0.4">
      <c r="A82" s="45"/>
      <c r="B82" s="49">
        <f>B81+0.05</f>
        <v>0.90000000000000013</v>
      </c>
      <c r="C82" s="49">
        <f>Sheet1!L57+(Sheet1!L58/Sheet2!B82)</f>
        <v>199.29764100659094</v>
      </c>
      <c r="D82" s="49">
        <f>SQRT(-2*(Sheet1!L57^2*LN(Sheet2!B82)-Sheet1!L57*Sheet1!L58/Sheet2!B82+Sheet1!L57*Sheet1!L58)+Sheet1!L8^2)</f>
        <v>181.77923024407366</v>
      </c>
      <c r="E82" s="49">
        <f t="shared" si="86"/>
        <v>47.632080046728078</v>
      </c>
      <c r="F82" s="49">
        <f t="shared" si="87"/>
        <v>16.512147744715087</v>
      </c>
      <c r="G82" s="49">
        <f>2*3.14*Sheet1!H12*Sheet1!P8*Sheet2!B82</f>
        <v>253.18502687379447</v>
      </c>
      <c r="H82" s="50">
        <f>1+Sheet1!L57/Sheet1!C24-2*Sheet1!L57/Sheet1!C24/Sheet2!B82</f>
        <v>0.38888888888888906</v>
      </c>
      <c r="AI82" s="49">
        <f t="shared" si="84"/>
        <v>0.90000000000000013</v>
      </c>
      <c r="AJ82" s="49">
        <f t="shared" si="85"/>
        <v>47.632080046728078</v>
      </c>
      <c r="AK82" s="49">
        <f>(1-AI82)/(1-AI80)*(B96-1)+1</f>
        <v>0.90833648210776519</v>
      </c>
      <c r="AL82" s="49">
        <f t="shared" si="88"/>
        <v>24.735664942077868</v>
      </c>
      <c r="AM82" s="50">
        <f t="shared" si="89"/>
        <v>0.129525817288174</v>
      </c>
      <c r="AN82" s="49">
        <f t="shared" si="90"/>
        <v>26.303382178802838</v>
      </c>
      <c r="AO82" s="49">
        <f t="shared" si="91"/>
        <v>47.632080046728078</v>
      </c>
      <c r="AP82" s="49">
        <f t="shared" si="92"/>
        <v>21.328697867925239</v>
      </c>
      <c r="AQ82" s="78">
        <f t="shared" si="93"/>
        <v>2.177494366237244E-2</v>
      </c>
      <c r="AR82" s="49">
        <f t="shared" si="94"/>
        <v>34.031086399509491</v>
      </c>
    </row>
    <row r="83" spans="1:45" ht="16.8" x14ac:dyDescent="0.4">
      <c r="A83" s="45"/>
      <c r="B83" s="49">
        <f>B82+0.05</f>
        <v>0.95000000000000018</v>
      </c>
      <c r="C83" s="49">
        <f>Sheet1!L57+(Sheet1!L58/Sheet2!B83)</f>
        <v>196.21136244115033</v>
      </c>
      <c r="D83" s="49">
        <f>SQRT(-2*(Sheet1!L57^2*LN(Sheet2!B83)-Sheet1!L57*Sheet1!L58/Sheet2!B83+Sheet1!L57*Sheet1!L58)+Sheet1!L8^2)</f>
        <v>173.30912174945135</v>
      </c>
      <c r="E83" s="49">
        <f t="shared" si="86"/>
        <v>48.546556852682173</v>
      </c>
      <c r="F83" s="49">
        <f t="shared" si="87"/>
        <v>22.288749492588124</v>
      </c>
      <c r="G83" s="49">
        <f>2*3.14*Sheet1!H12*Sheet1!P8*Sheet2!B83</f>
        <v>267.25086170011639</v>
      </c>
      <c r="H83" s="50">
        <f>1+Sheet1!L57/Sheet1!C24-2*Sheet1!L57/Sheet1!C24/Sheet2!B83</f>
        <v>0.44736842105263186</v>
      </c>
      <c r="AI83" s="49">
        <f t="shared" si="84"/>
        <v>0.95000000000000018</v>
      </c>
      <c r="AJ83" s="49">
        <f>E83</f>
        <v>48.546556852682173</v>
      </c>
      <c r="AK83" s="49">
        <f>(1-AI83)/(1-AI80)*(B96-1)+1</f>
        <v>0.95416824105388265</v>
      </c>
      <c r="AL83" s="49">
        <f t="shared" si="88"/>
        <v>25.978276531026303</v>
      </c>
      <c r="AM83" s="50">
        <f t="shared" si="89"/>
        <v>0.13035146332169636</v>
      </c>
      <c r="AN83" s="49">
        <f t="shared" si="90"/>
        <v>25.951035814833116</v>
      </c>
      <c r="AO83" s="49">
        <f t="shared" si="91"/>
        <v>48.546556852682173</v>
      </c>
      <c r="AP83" s="49">
        <f t="shared" si="92"/>
        <v>22.595521037849057</v>
      </c>
      <c r="AQ83" s="78">
        <f t="shared" si="93"/>
        <v>2.1452439044405476E-2</v>
      </c>
      <c r="AR83" s="49">
        <f t="shared" si="94"/>
        <v>35.139680522995086</v>
      </c>
    </row>
    <row r="84" spans="1:45" ht="16.8" x14ac:dyDescent="0.4">
      <c r="A84" s="45"/>
      <c r="B84" s="49">
        <f t="shared" ref="B84:B87" si="95">B83+0.05</f>
        <v>1.0000000000000002</v>
      </c>
      <c r="C84" s="49">
        <f>Sheet1!L57+(Sheet1!L58/Sheet2!B84)</f>
        <v>193.43371173225376</v>
      </c>
      <c r="D84" s="49">
        <f>SQRT(-2*(Sheet1!L57^2*LN(Sheet2!B84)-Sheet1!L57*Sheet1!L58/Sheet2!B84+Sheet1!L57*Sheet1!L58)+Sheet1!L8^2)</f>
        <v>164.99999999999994</v>
      </c>
      <c r="E84" s="49">
        <f t="shared" si="86"/>
        <v>49.535642603619472</v>
      </c>
      <c r="F84" s="49">
        <f t="shared" si="87"/>
        <v>28.040842779188637</v>
      </c>
      <c r="G84" s="49">
        <f>2*3.14*Sheet1!H12*Sheet1!P8*Sheet2!B84</f>
        <v>281.31669652643831</v>
      </c>
      <c r="H84" s="50">
        <f>1+Sheet1!L57/Sheet1!C24-2*Sheet1!L57/Sheet1!C24/Sheet2!B84</f>
        <v>0.50000000000000022</v>
      </c>
      <c r="AI84" s="49">
        <f t="shared" si="84"/>
        <v>1.0000000000000002</v>
      </c>
      <c r="AJ84" s="49">
        <f t="shared" ref="AJ84" si="96">E84</f>
        <v>49.535642603619472</v>
      </c>
      <c r="AK84" s="49">
        <f>(1-AI84)/(1-AI80)*(B96-1)+1</f>
        <v>1.0000000000000002</v>
      </c>
      <c r="AL84" s="49">
        <f t="shared" si="88"/>
        <v>27.171000000000028</v>
      </c>
      <c r="AM84" s="50">
        <f t="shared" si="89"/>
        <v>0.13019698642573907</v>
      </c>
      <c r="AN84" s="49">
        <f t="shared" si="90"/>
        <v>25.712307562280049</v>
      </c>
      <c r="AO84" s="49">
        <f t="shared" si="91"/>
        <v>49.535642603619472</v>
      </c>
      <c r="AP84" s="49">
        <f t="shared" si="92"/>
        <v>23.823335041339423</v>
      </c>
      <c r="AQ84" s="78">
        <f t="shared" si="93"/>
        <v>2.1234686810958203E-2</v>
      </c>
      <c r="AR84" s="49">
        <f t="shared" si="94"/>
        <v>36.260010373095895</v>
      </c>
    </row>
    <row r="85" spans="1:45" ht="16.8" x14ac:dyDescent="0.4">
      <c r="A85" s="45"/>
      <c r="B85" s="49">
        <f t="shared" si="95"/>
        <v>1.0500000000000003</v>
      </c>
      <c r="C85" s="49">
        <f>Sheet1!L57+(Sheet1!L58/Sheet2!B85)</f>
        <v>190.92059918610926</v>
      </c>
      <c r="D85" s="49">
        <f>SQRT(-2*(Sheet1!L57^2*LN(Sheet2!B85)-Sheet1!L57*Sheet1!L58/Sheet2!B85+Sheet1!L57*Sheet1!L58)+Sheet1!L8^2)</f>
        <v>156.80374688272599</v>
      </c>
      <c r="E85" s="49">
        <f t="shared" si="86"/>
        <v>50.603620192198726</v>
      </c>
      <c r="F85" s="49">
        <f t="shared" si="87"/>
        <v>33.671369364941732</v>
      </c>
      <c r="G85" s="49">
        <f>2*3.14*Sheet1!H12*Sheet1!P8*Sheet2!B85</f>
        <v>295.38253135276022</v>
      </c>
      <c r="H85" s="50">
        <f>1+Sheet1!L57/Sheet1!C24-2*Sheet1!L57/Sheet1!C24/Sheet2!B85</f>
        <v>0.54761904761904789</v>
      </c>
      <c r="AI85" s="49">
        <f>B85</f>
        <v>1.0500000000000003</v>
      </c>
      <c r="AJ85" s="49">
        <f>E85</f>
        <v>50.603620192198726</v>
      </c>
      <c r="AK85" s="49">
        <f>(AI85-1)/(AI88-1)*(B104-1)+1</f>
        <v>1.0458317589461177</v>
      </c>
      <c r="AL85" s="49">
        <f t="shared" si="88"/>
        <v>28.323529398200584</v>
      </c>
      <c r="AM85" s="50">
        <f t="shared" si="89"/>
        <v>0.12902213179360136</v>
      </c>
      <c r="AN85" s="49">
        <f t="shared" si="90"/>
        <v>25.58054757450892</v>
      </c>
      <c r="AO85" s="49">
        <f t="shared" si="91"/>
        <v>50.603620192198726</v>
      </c>
      <c r="AP85" s="49">
        <f t="shared" si="92"/>
        <v>25.023072617689806</v>
      </c>
      <c r="AQ85" s="78">
        <f t="shared" si="93"/>
        <v>2.1114762690054641E-2</v>
      </c>
      <c r="AR85" s="49">
        <f t="shared" si="94"/>
        <v>37.400329606361879</v>
      </c>
    </row>
    <row r="86" spans="1:45" ht="16.8" x14ac:dyDescent="0.4">
      <c r="A86" s="45"/>
      <c r="B86" s="49">
        <f t="shared" si="95"/>
        <v>1.1000000000000003</v>
      </c>
      <c r="C86" s="49">
        <f>Sheet1!L57+(Sheet1!L58/Sheet2!B86)</f>
        <v>188.63595141688697</v>
      </c>
      <c r="D86" s="49">
        <f>SQRT(-2*(Sheet1!L57^2*LN(Sheet2!B86)-Sheet1!L57*Sheet1!L58/Sheet2!B86+Sheet1!L57*Sheet1!L58)+Sheet1!L8^2)</f>
        <v>148.67390412151741</v>
      </c>
      <c r="E86" s="49">
        <f t="shared" si="86"/>
        <v>51.756498630792223</v>
      </c>
      <c r="F86" s="49">
        <f t="shared" si="87"/>
        <v>39.097310008835137</v>
      </c>
      <c r="G86" s="49">
        <f>2*3.14*Sheet1!H12*Sheet1!P8*Sheet2!B86</f>
        <v>309.44836617908214</v>
      </c>
      <c r="H86" s="50">
        <f>1+Sheet1!L57/Sheet1!C24-2*Sheet1!L57/Sheet1!C24/Sheet2!B86</f>
        <v>0.59090909090909116</v>
      </c>
      <c r="AI86" s="49">
        <f t="shared" ref="AI86:AI88" si="97">B86</f>
        <v>1.1000000000000003</v>
      </c>
      <c r="AJ86" s="49">
        <f t="shared" ref="AJ86:AJ88" si="98">E86</f>
        <v>51.756498630792223</v>
      </c>
      <c r="AK86" s="49">
        <f>(AI86-1)/(AI88-1)*(B104-1)+1</f>
        <v>1.0916635178922354</v>
      </c>
      <c r="AL86" s="49">
        <f t="shared" si="88"/>
        <v>29.444020643270285</v>
      </c>
      <c r="AM86" s="50">
        <f t="shared" si="89"/>
        <v>0.12676909323194371</v>
      </c>
      <c r="AN86" s="49">
        <f t="shared" si="90"/>
        <v>25.55163567229129</v>
      </c>
      <c r="AO86" s="49">
        <f t="shared" si="91"/>
        <v>51.756498630792223</v>
      </c>
      <c r="AP86" s="49">
        <f t="shared" si="92"/>
        <v>26.204862958500932</v>
      </c>
      <c r="AQ86" s="78">
        <f t="shared" si="93"/>
        <v>2.1088472363090433E-2</v>
      </c>
      <c r="AR86" s="49">
        <f t="shared" si="94"/>
        <v>38.569072856498366</v>
      </c>
    </row>
    <row r="87" spans="1:45" ht="16.8" x14ac:dyDescent="0.4">
      <c r="A87" s="45"/>
      <c r="B87" s="49">
        <f t="shared" si="95"/>
        <v>1.1500000000000004</v>
      </c>
      <c r="C87" s="49">
        <f>Sheet1!L57+(Sheet1!L58/Sheet2!B87)</f>
        <v>186.54996867107533</v>
      </c>
      <c r="D87" s="49">
        <f>SQRT(-2*(Sheet1!L57^2*LN(Sheet2!B87)-Sheet1!L57*Sheet1!L58/Sheet2!B87+Sheet1!L57*Sheet1!L58)+Sheet1!L8^2)</f>
        <v>140.56376528582419</v>
      </c>
      <c r="E87" s="49">
        <f>DEGREES(ATAN(C87/D87))</f>
        <v>53.002295799807456</v>
      </c>
      <c r="F87" s="49">
        <f t="shared" si="87"/>
        <v>44.256916474045326</v>
      </c>
      <c r="G87" s="49">
        <f>2*3.14*Sheet1!H12*Sheet1!P8*Sheet2!B87</f>
        <v>323.51420100540406</v>
      </c>
      <c r="H87" s="50">
        <f>1+Sheet1!L57/Sheet1!C24-2*Sheet1!L57/Sheet1!C24/Sheet2!B87</f>
        <v>0.6304347826086959</v>
      </c>
      <c r="AI87" s="49">
        <f t="shared" si="97"/>
        <v>1.1500000000000004</v>
      </c>
      <c r="AJ87" s="49">
        <f t="shared" si="98"/>
        <v>53.002295799807456</v>
      </c>
      <c r="AK87" s="49">
        <f>(AI87-1)/(AI88-1)*(B104-1)+1</f>
        <v>1.1374952768383528</v>
      </c>
      <c r="AL87" s="49">
        <f t="shared" si="88"/>
        <v>30.539091521292626</v>
      </c>
      <c r="AM87" s="50">
        <f t="shared" si="89"/>
        <v>0.12335407962655012</v>
      </c>
      <c r="AN87" s="49">
        <f t="shared" si="90"/>
        <v>25.624033325730345</v>
      </c>
      <c r="AO87" s="49">
        <f t="shared" si="91"/>
        <v>53.002295799807456</v>
      </c>
      <c r="AP87" s="49">
        <f t="shared" si="92"/>
        <v>27.378262474077111</v>
      </c>
      <c r="AQ87" s="78">
        <f t="shared" si="93"/>
        <v>2.1154321932084219E-2</v>
      </c>
      <c r="AR87" s="49">
        <f t="shared" si="94"/>
        <v>39.775137203492363</v>
      </c>
    </row>
    <row r="88" spans="1:45" ht="16.8" x14ac:dyDescent="0.4">
      <c r="A88" s="45"/>
      <c r="B88" s="49">
        <f>Sheet1!L55/Sheet1!P8</f>
        <v>1.1979914015593227</v>
      </c>
      <c r="C88" s="49">
        <f>Sheet1!L57+(Sheet1!L58/Sheet2!B88)</f>
        <v>184.71155549020045</v>
      </c>
      <c r="D88" s="49">
        <f>SQRT(-2*(Sheet1!L57^2*LN(Sheet2!B88)-Sheet1!L57*Sheet1!L58/Sheet2!B88+Sheet1!L57*Sheet1!L58)+Sheet1!L8^2)</f>
        <v>132.75247494329503</v>
      </c>
      <c r="E88" s="49">
        <f>DEGREES(ATAN(C88/D88))</f>
        <v>54.295140323461446</v>
      </c>
      <c r="F88" s="49">
        <f>DEGREES(ATAN((G88/D88)-TAN(RADIANS(E88))))</f>
        <v>48.92356566133806</v>
      </c>
      <c r="G88" s="49">
        <f>2*3.14*Sheet1!H12*Sheet1!P8*Sheet2!B88</f>
        <v>337.01498355374639</v>
      </c>
      <c r="H88" s="50">
        <f>1+Sheet1!L57/Sheet1!C24-2*Sheet1!L57/Sheet1!C24/Sheet2!B88</f>
        <v>0.66526946796246977</v>
      </c>
      <c r="AI88" s="49">
        <f t="shared" si="97"/>
        <v>1.1979914015593227</v>
      </c>
      <c r="AJ88" s="49">
        <f t="shared" si="98"/>
        <v>54.295140323461446</v>
      </c>
      <c r="AK88" s="49">
        <f>(AI88-1)/(AI88-1)*(B104-1)+1</f>
        <v>1.1814858837934166</v>
      </c>
      <c r="AL88" s="49">
        <f>E104</f>
        <v>31.575263814750198</v>
      </c>
      <c r="AM88" s="50">
        <f t="shared" si="89"/>
        <v>0.11889332671269125</v>
      </c>
      <c r="AN88" s="49">
        <f t="shared" si="90"/>
        <v>25.785613930202089</v>
      </c>
      <c r="AO88" s="49">
        <f t="shared" si="91"/>
        <v>54.295140323461446</v>
      </c>
      <c r="AP88" s="49">
        <f t="shared" si="92"/>
        <v>28.509526393259357</v>
      </c>
      <c r="AQ88" s="78">
        <f t="shared" si="93"/>
        <v>2.1301487577477837E-2</v>
      </c>
      <c r="AR88" s="49">
        <f t="shared" si="94"/>
        <v>40.979230635738141</v>
      </c>
    </row>
    <row r="89" spans="1:45" ht="16.8" x14ac:dyDescent="0.4">
      <c r="A89" s="45"/>
      <c r="B89" s="45"/>
      <c r="C89" s="45"/>
      <c r="D89" s="45"/>
      <c r="E89" s="45"/>
      <c r="F89" s="45"/>
      <c r="G89" s="45"/>
      <c r="H89" s="45"/>
      <c r="AI89" s="70"/>
      <c r="AJ89" s="70"/>
      <c r="AK89" s="70"/>
      <c r="AL89" s="70"/>
      <c r="AM89" s="71"/>
      <c r="AN89" s="71"/>
      <c r="AO89" s="71"/>
      <c r="AP89" s="71"/>
    </row>
    <row r="90" spans="1:45" ht="16.8" x14ac:dyDescent="0.4">
      <c r="A90" s="102"/>
      <c r="B90" s="102"/>
      <c r="C90" s="102"/>
      <c r="D90" s="102"/>
      <c r="E90" s="102"/>
      <c r="F90" s="102"/>
      <c r="G90" s="102"/>
      <c r="H90" s="102"/>
      <c r="I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ht="24.6" customHeight="1" x14ac:dyDescent="0.65">
      <c r="A91" s="27"/>
      <c r="B91" s="103" t="s">
        <v>91</v>
      </c>
      <c r="C91" s="103"/>
      <c r="D91" s="103"/>
      <c r="E91" s="103"/>
      <c r="F91" s="103"/>
      <c r="G91" s="103"/>
      <c r="H91" s="27"/>
      <c r="I91" s="18"/>
      <c r="AH91" s="18"/>
      <c r="AI91" s="88" t="s">
        <v>91</v>
      </c>
      <c r="AJ91" s="98"/>
      <c r="AK91" s="98"/>
      <c r="AL91" s="98"/>
      <c r="AM91" s="98"/>
      <c r="AN91" s="98"/>
      <c r="AO91" s="98"/>
      <c r="AP91" s="98"/>
      <c r="AQ91" s="18"/>
      <c r="AR91" s="18"/>
      <c r="AS91" s="18"/>
    </row>
    <row r="92" spans="1:45" ht="16.8" x14ac:dyDescent="0.4">
      <c r="A92" s="104"/>
      <c r="B92" s="104"/>
      <c r="C92" s="104"/>
      <c r="D92" s="104"/>
      <c r="E92" s="104"/>
      <c r="F92" s="104"/>
      <c r="G92" s="104"/>
      <c r="H92" s="104"/>
      <c r="I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</row>
    <row r="93" spans="1:45" ht="16.8" x14ac:dyDescent="0.4">
      <c r="A93" s="45"/>
      <c r="B93" s="45"/>
      <c r="C93" s="45"/>
      <c r="D93" s="45"/>
      <c r="E93" s="45"/>
      <c r="F93" s="45"/>
      <c r="G93" s="45"/>
      <c r="H93" s="45"/>
    </row>
    <row r="94" spans="1:45" ht="19.2" x14ac:dyDescent="0.4">
      <c r="A94" s="45"/>
      <c r="B94" s="101" t="s">
        <v>88</v>
      </c>
      <c r="C94" s="101"/>
      <c r="D94" s="101"/>
      <c r="E94" s="101"/>
      <c r="F94" s="101"/>
      <c r="G94" s="101"/>
      <c r="H94" s="101"/>
      <c r="AI94" s="99" t="s">
        <v>121</v>
      </c>
      <c r="AJ94" s="99"/>
      <c r="AK94" s="99"/>
      <c r="AL94" s="99"/>
      <c r="AM94" s="99"/>
      <c r="AN94" s="99"/>
      <c r="AO94" s="99"/>
      <c r="AP94" s="99"/>
      <c r="AQ94" s="99"/>
      <c r="AR94" s="99"/>
    </row>
    <row r="95" spans="1:45" ht="19.2" x14ac:dyDescent="0.4">
      <c r="A95" s="45"/>
      <c r="B95" s="46" t="s">
        <v>83</v>
      </c>
      <c r="C95" s="46" t="s">
        <v>54</v>
      </c>
      <c r="D95" s="46" t="s">
        <v>22</v>
      </c>
      <c r="E95" s="46" t="s">
        <v>15</v>
      </c>
      <c r="F95" s="46" t="s">
        <v>57</v>
      </c>
      <c r="G95" s="46" t="s">
        <v>86</v>
      </c>
      <c r="H95" s="46" t="s">
        <v>85</v>
      </c>
      <c r="AI95" s="75" t="s">
        <v>83</v>
      </c>
      <c r="AJ95" s="75" t="s">
        <v>57</v>
      </c>
      <c r="AK95" s="75" t="s">
        <v>84</v>
      </c>
      <c r="AL95" s="75" t="s">
        <v>58</v>
      </c>
      <c r="AM95" s="75" t="s">
        <v>115</v>
      </c>
      <c r="AN95" s="75" t="s">
        <v>118</v>
      </c>
      <c r="AO95" s="75" t="s">
        <v>116</v>
      </c>
      <c r="AP95" s="75" t="s">
        <v>117</v>
      </c>
      <c r="AQ95" s="75" t="s">
        <v>143</v>
      </c>
      <c r="AR95" s="75" t="s">
        <v>144</v>
      </c>
    </row>
    <row r="96" spans="1:45" ht="16.8" x14ac:dyDescent="0.4">
      <c r="A96" s="45"/>
      <c r="B96" s="49">
        <f>Sheet1!P54/Sheet1!P8</f>
        <v>0.81851411620658343</v>
      </c>
      <c r="C96" s="49">
        <f>Sheet1!P57-(Sheet1!P58/Sheet2!B96)</f>
        <v>72.297154333477195</v>
      </c>
      <c r="D96" s="49">
        <f>SQRT(-2*(Sheet1!P57^2*LN(Sheet2!B96)+Sheet1!P57*Sheet1!P58/Sheet2!B96-Sheet1!P57*Sheet1!P58)+Sheet1!L8^2)</f>
        <v>177.9303192367729</v>
      </c>
      <c r="E96" s="49">
        <f>DEGREES(ATAN(C96/D96))</f>
        <v>22.113030940943261</v>
      </c>
      <c r="F96" s="49">
        <f>DEGREES(ATAN((G96/D96)-TAN(RADIANS(E96))))</f>
        <v>41.598307876176058</v>
      </c>
      <c r="G96" s="49">
        <f>2*3.14*Sheet1!H12*Sheet1!P8*Sheet2!B96</f>
        <v>230.26168723149326</v>
      </c>
      <c r="H96" s="50">
        <f>1+Sheet1!P57/Sheet1!C24-2*Sheet1!P57/Sheet1!C24/Sheet2!B96</f>
        <v>0.27827397206719451</v>
      </c>
      <c r="AI96" s="49">
        <f t="shared" ref="AI96:AI98" si="99">B96</f>
        <v>0.81851411620658343</v>
      </c>
      <c r="AJ96" s="49">
        <f t="shared" ref="AJ96:AJ102" si="100">F96</f>
        <v>41.598307876176058</v>
      </c>
      <c r="AK96" s="49">
        <f>(1-AI96)/(1-AI96)*(B107-1)+1</f>
        <v>0.83141029501653441</v>
      </c>
      <c r="AL96" s="69">
        <f>F107</f>
        <v>7.6044930635393548</v>
      </c>
      <c r="AM96" s="50">
        <f>(0.23*(2*0.3)^2+AL96/500)*SQRT((1.55/(TAN(RADIANS(AJ96))-TAN(RADIANS(AL96)))-1)/1.5)</f>
        <v>8.2192817143839872E-2</v>
      </c>
      <c r="AN96" s="49">
        <f>(AO96-AL96)/(1-AM96)</f>
        <v>37.038078855353923</v>
      </c>
      <c r="AO96" s="49">
        <f>AJ96</f>
        <v>41.598307876176058</v>
      </c>
      <c r="AP96" s="49">
        <f>AO96-AN96</f>
        <v>4.5602290208221348</v>
      </c>
      <c r="AQ96" s="78">
        <f>(SQRT(1+(4*TAN(RADIANS(AN96)))^2*(0.3-0.3^2-3/16))-1)/(4*TAN(RADIANS(AN96)))</f>
        <v>3.2374998842578606E-2</v>
      </c>
      <c r="AR96" s="49">
        <f>AO96-DEGREES(ATAN(AQ96/0.3^2))</f>
        <v>21.813522916862162</v>
      </c>
    </row>
    <row r="97" spans="1:44" ht="16.8" x14ac:dyDescent="0.4">
      <c r="A97" s="45"/>
      <c r="B97" s="49">
        <f>CEILING(Sheet1!P54/Sheet1!P8,0.05)</f>
        <v>0.85000000000000009</v>
      </c>
      <c r="C97" s="49">
        <f>Sheet1!P57-(Sheet1!P58/Sheet2!B97)</f>
        <v>74.829404460596109</v>
      </c>
      <c r="D97" s="49">
        <f>SQRT(-2*(Sheet1!P57^2*LN(Sheet2!B97)+Sheet1!P57*Sheet1!P58/Sheet2!B97-Sheet1!P57*Sheet1!P58)+Sheet1!L8^2)</f>
        <v>175.72132037644889</v>
      </c>
      <c r="E97" s="49">
        <f t="shared" ref="E97:E102" si="101">DEGREES(ATAN(C97/D97))</f>
        <v>23.066310435213868</v>
      </c>
      <c r="F97" s="49">
        <f t="shared" ref="F97:F103" si="102">DEGREES(ATAN((G97/D97)-TAN(RADIANS(E97))))</f>
        <v>43.074380678909193</v>
      </c>
      <c r="G97" s="49">
        <f>2*3.14*Sheet1!H12*Sheet1!P8*Sheet2!B97</f>
        <v>239.11919204747252</v>
      </c>
      <c r="H97" s="50">
        <f>1+Sheet1!P57/Sheet1!C24-2*Sheet1!P57/Sheet1!C24/Sheet2!B97</f>
        <v>0.32352941176470607</v>
      </c>
      <c r="AI97" s="66">
        <f t="shared" si="99"/>
        <v>0.85000000000000009</v>
      </c>
      <c r="AJ97" s="66">
        <f t="shared" si="100"/>
        <v>43.074380678909193</v>
      </c>
      <c r="AK97" s="49">
        <f>(1-AI97)/(1-AI96)*(B107-1)+1</f>
        <v>0.86065882800942584</v>
      </c>
      <c r="AL97" s="69">
        <f t="shared" ref="AL97:AL103" si="103">78.499*AK97^4 - 435.59*AK97^3+ 814.27*AK97^2- 519.49*AK97+ 89.485</f>
        <v>10.912964350643776</v>
      </c>
      <c r="AM97" s="50">
        <f t="shared" ref="AM97:AM104" si="104">(0.23*(2*0.3)^2+AL97/500)*SQRT((1.55/(TAN(RADIANS(AJ97))-TAN(RADIANS(AL97)))-1)/1.5)</f>
        <v>8.9128867898868744E-2</v>
      </c>
      <c r="AN97" s="49">
        <f t="shared" ref="AN97:AN104" si="105">(AO97-AL97)/(1-AM97)</f>
        <v>35.30841542214408</v>
      </c>
      <c r="AO97" s="49">
        <f t="shared" ref="AO97:AO104" si="106">AJ97</f>
        <v>43.074380678909193</v>
      </c>
      <c r="AP97" s="49">
        <f t="shared" ref="AP97:AP104" si="107">AO97-AN97</f>
        <v>7.7659652567651136</v>
      </c>
      <c r="AQ97" s="78">
        <f t="shared" ref="AQ97:AQ104" si="108">(SQRT(1+(4*TAN(RADIANS(AN97)))^2*(0.3-0.3^2-3/16))-1)/(4*TAN(RADIANS(AN97)))</f>
        <v>3.0549685524069489E-2</v>
      </c>
      <c r="AR97" s="49">
        <f t="shared" ref="AR97:AR104" si="109">AO97-DEGREES(ATAN(AQ97/0.3^2))</f>
        <v>24.325064421292836</v>
      </c>
    </row>
    <row r="98" spans="1:44" ht="16.8" x14ac:dyDescent="0.4">
      <c r="A98" s="45"/>
      <c r="B98" s="49">
        <f>B97+0.05</f>
        <v>0.90000000000000013</v>
      </c>
      <c r="C98" s="49">
        <f>Sheet1!P57-(Sheet1!P58/Sheet2!B98)</f>
        <v>78.486568005186285</v>
      </c>
      <c r="D98" s="49">
        <f>SQRT(-2*(Sheet1!P57^2*LN(Sheet2!B98)+Sheet1!P57*Sheet1!P58/Sheet2!B98-Sheet1!P57*Sheet1!P58)+Sheet1!L8^2)</f>
        <v>172.17744147265924</v>
      </c>
      <c r="E98" s="49">
        <f t="shared" si="101"/>
        <v>24.50572757551511</v>
      </c>
      <c r="F98" s="49">
        <f t="shared" si="102"/>
        <v>45.416405733591297</v>
      </c>
      <c r="G98" s="49">
        <f>2*3.14*Sheet1!H12*Sheet1!P8*Sheet2!B98</f>
        <v>253.18502687379447</v>
      </c>
      <c r="H98" s="50">
        <f>1+Sheet1!P57/Sheet1!C24-2*Sheet1!P57/Sheet1!C24/Sheet2!B98</f>
        <v>0.38888888888888906</v>
      </c>
      <c r="AI98" s="49">
        <f t="shared" si="99"/>
        <v>0.90000000000000013</v>
      </c>
      <c r="AJ98" s="49">
        <f t="shared" si="100"/>
        <v>45.416405733591297</v>
      </c>
      <c r="AK98" s="49">
        <f>(1-AI98)/(1-AI96)*(B107-1)+1</f>
        <v>0.90710588533961722</v>
      </c>
      <c r="AL98" s="69">
        <f t="shared" si="103"/>
        <v>16.290378575536508</v>
      </c>
      <c r="AM98" s="50">
        <f t="shared" si="104"/>
        <v>0.10083400027920282</v>
      </c>
      <c r="AN98" s="49">
        <f t="shared" si="105"/>
        <v>32.392269244053715</v>
      </c>
      <c r="AO98" s="49">
        <f t="shared" si="106"/>
        <v>45.416405733591297</v>
      </c>
      <c r="AP98" s="49">
        <f t="shared" si="107"/>
        <v>13.024136489537582</v>
      </c>
      <c r="AQ98" s="78">
        <f t="shared" si="108"/>
        <v>2.7583911711223218E-2</v>
      </c>
      <c r="AR98" s="49">
        <f t="shared" si="109"/>
        <v>28.376736936782603</v>
      </c>
    </row>
    <row r="99" spans="1:44" ht="16.8" x14ac:dyDescent="0.4">
      <c r="A99" s="45"/>
      <c r="B99" s="49">
        <f>B98+0.05</f>
        <v>0.95000000000000018</v>
      </c>
      <c r="C99" s="49">
        <f>Sheet1!P57-(Sheet1!P58/Sheet2!B99)</f>
        <v>81.758766966135383</v>
      </c>
      <c r="D99" s="49">
        <f>SQRT(-2*(Sheet1!P57^2*LN(Sheet2!B99)+Sheet1!P57*Sheet1!P58/Sheet2!B99-Sheet1!P57*Sheet1!P58)+Sheet1!L8^2)</f>
        <v>168.60065355202738</v>
      </c>
      <c r="E99" s="49">
        <f t="shared" si="101"/>
        <v>25.869932406174875</v>
      </c>
      <c r="F99" s="49">
        <f t="shared" si="102"/>
        <v>47.73113520226466</v>
      </c>
      <c r="G99" s="49">
        <f>2*3.14*Sheet1!H12*Sheet1!P8*Sheet2!B99</f>
        <v>267.25086170011639</v>
      </c>
      <c r="H99" s="50">
        <f>1+Sheet1!P57/Sheet1!C24-2*Sheet1!P57/Sheet1!C24/Sheet2!B99</f>
        <v>0.44736842105263186</v>
      </c>
      <c r="AI99" s="49">
        <f>B99</f>
        <v>0.95000000000000018</v>
      </c>
      <c r="AJ99" s="49">
        <f t="shared" si="100"/>
        <v>47.73113520226466</v>
      </c>
      <c r="AK99" s="49">
        <f>(1-AI99)/(1-AI96)*(B107-1)+1</f>
        <v>0.95355294266980872</v>
      </c>
      <c r="AL99" s="69">
        <f t="shared" si="103"/>
        <v>21.739475693401388</v>
      </c>
      <c r="AM99" s="50">
        <f t="shared" si="104"/>
        <v>0.1134048581494327</v>
      </c>
      <c r="AN99" s="49">
        <f t="shared" si="105"/>
        <v>29.316266559516158</v>
      </c>
      <c r="AO99" s="49">
        <f t="shared" si="106"/>
        <v>47.73113520226466</v>
      </c>
      <c r="AP99" s="49">
        <f t="shared" si="107"/>
        <v>18.414868642748502</v>
      </c>
      <c r="AQ99" s="78">
        <f t="shared" si="108"/>
        <v>2.4590497123654569E-2</v>
      </c>
      <c r="AR99" s="49">
        <f t="shared" si="109"/>
        <v>32.449330087605148</v>
      </c>
    </row>
    <row r="100" spans="1:44" ht="16.8" x14ac:dyDescent="0.4">
      <c r="A100" s="45"/>
      <c r="B100" s="49">
        <f t="shared" ref="B100:B103" si="110">B99+0.05</f>
        <v>1.0000000000000002</v>
      </c>
      <c r="C100" s="49">
        <f>Sheet1!P57-(Sheet1!P58/Sheet2!B100)</f>
        <v>84.703746030989578</v>
      </c>
      <c r="D100" s="49">
        <f>SQRT(-2*(Sheet1!P57^2*LN(Sheet2!B100)+Sheet1!P57*Sheet1!P58/Sheet2!B100-Sheet1!P57*Sheet1!P58)+Sheet1!L8^2)</f>
        <v>164.99999999999997</v>
      </c>
      <c r="E100" s="49">
        <f t="shared" si="101"/>
        <v>27.173970648414457</v>
      </c>
      <c r="F100" s="49">
        <f t="shared" si="102"/>
        <v>49.9962130912456</v>
      </c>
      <c r="G100" s="49">
        <f>2*3.14*Sheet1!H12*Sheet1!P8*Sheet2!B100</f>
        <v>281.31669652643831</v>
      </c>
      <c r="H100" s="50">
        <f>1+Sheet1!P57/Sheet1!C24-2*Sheet1!P57/Sheet1!C24/Sheet2!B100</f>
        <v>0.50000000000000022</v>
      </c>
      <c r="AI100" s="49">
        <f t="shared" ref="AI100:AI104" si="111">B100</f>
        <v>1.0000000000000002</v>
      </c>
      <c r="AJ100" s="49">
        <f t="shared" si="100"/>
        <v>49.9962130912456</v>
      </c>
      <c r="AK100" s="49">
        <f>(1-AI100)/(1-AI96)*(B107-1)+1</f>
        <v>1.0000000000000002</v>
      </c>
      <c r="AL100" s="69">
        <f t="shared" si="103"/>
        <v>27.174000000000021</v>
      </c>
      <c r="AM100" s="50">
        <f t="shared" si="104"/>
        <v>0.12695574304155952</v>
      </c>
      <c r="AN100" s="49">
        <f t="shared" si="105"/>
        <v>26.140957814389456</v>
      </c>
      <c r="AO100" s="49">
        <f t="shared" si="106"/>
        <v>49.9962130912456</v>
      </c>
      <c r="AP100" s="49">
        <f t="shared" si="107"/>
        <v>23.855255276856145</v>
      </c>
      <c r="AQ100" s="78">
        <f t="shared" si="108"/>
        <v>2.1626108999154191E-2</v>
      </c>
      <c r="AR100" s="49">
        <f t="shared" si="109"/>
        <v>36.484764596261599</v>
      </c>
    </row>
    <row r="101" spans="1:44" ht="16.8" x14ac:dyDescent="0.4">
      <c r="A101" s="45"/>
      <c r="B101" s="49">
        <f t="shared" si="110"/>
        <v>1.0500000000000003</v>
      </c>
      <c r="C101" s="49">
        <f>Sheet1!P57-(Sheet1!P58/Sheet2!B101)</f>
        <v>87.368250899190969</v>
      </c>
      <c r="D101" s="49">
        <f>SQRT(-2*(Sheet1!P57^2*LN(Sheet2!B101)+Sheet1!P57*Sheet1!P58/Sheet2!B101-Sheet1!P57*Sheet1!P58)+Sheet1!L8^2)</f>
        <v>161.38142787614552</v>
      </c>
      <c r="E101" s="49">
        <f t="shared" si="101"/>
        <v>28.430111094415992</v>
      </c>
      <c r="F101" s="49">
        <f t="shared" si="102"/>
        <v>52.195011037529724</v>
      </c>
      <c r="G101" s="49">
        <f>2*3.14*Sheet1!H12*Sheet1!P8*Sheet2!B101</f>
        <v>295.38253135276022</v>
      </c>
      <c r="H101" s="50">
        <f>1+Sheet1!P57/Sheet1!C24-2*Sheet1!P57/Sheet1!C24/Sheet2!B101</f>
        <v>0.54761904761904789</v>
      </c>
      <c r="AI101" s="49">
        <f t="shared" si="111"/>
        <v>1.0500000000000003</v>
      </c>
      <c r="AJ101" s="49">
        <f t="shared" si="100"/>
        <v>52.195011037529724</v>
      </c>
      <c r="AK101" s="49">
        <f>(AI101-1)/(AI104-1)*(B115-1)+1</f>
        <v>1.0464470573301916</v>
      </c>
      <c r="AL101" s="69">
        <f t="shared" si="103"/>
        <v>32.516463945383961</v>
      </c>
      <c r="AM101" s="50">
        <f t="shared" si="104"/>
        <v>0.14175400525428075</v>
      </c>
      <c r="AN101" s="49">
        <f t="shared" si="105"/>
        <v>22.928795721296797</v>
      </c>
      <c r="AO101" s="49">
        <f t="shared" si="106"/>
        <v>52.195011037529724</v>
      </c>
      <c r="AP101" s="49">
        <f t="shared" si="107"/>
        <v>29.266215316232927</v>
      </c>
      <c r="AQ101" s="78">
        <f t="shared" si="108"/>
        <v>1.8738343072858658E-2</v>
      </c>
      <c r="AR101" s="49">
        <f t="shared" si="109"/>
        <v>40.433834624609787</v>
      </c>
    </row>
    <row r="102" spans="1:44" ht="16.8" x14ac:dyDescent="0.4">
      <c r="A102" s="45"/>
      <c r="B102" s="49">
        <f t="shared" si="110"/>
        <v>1.1000000000000003</v>
      </c>
      <c r="C102" s="49">
        <f>Sheet1!P57-(Sheet1!P58/Sheet2!B102)</f>
        <v>89.790528052101351</v>
      </c>
      <c r="D102" s="49">
        <f>SQRT(-2*(Sheet1!P57^2*LN(Sheet2!B102)+Sheet1!P57*Sheet1!P58/Sheet2!B102-Sheet1!P57*Sheet1!P58)+Sheet1!L8^2)</f>
        <v>157.74858656580108</v>
      </c>
      <c r="E102" s="49">
        <f t="shared" si="101"/>
        <v>29.648540920097133</v>
      </c>
      <c r="F102" s="49">
        <f t="shared" si="102"/>
        <v>54.31575702601063</v>
      </c>
      <c r="G102" s="49">
        <f>2*3.14*Sheet1!H12*Sheet1!P8*Sheet2!B102</f>
        <v>309.44836617908214</v>
      </c>
      <c r="H102" s="50">
        <f>1+Sheet1!P57/Sheet1!C24-2*Sheet1!P57/Sheet1!C24/Sheet2!B102</f>
        <v>0.59090909090909116</v>
      </c>
      <c r="AI102" s="49">
        <f t="shared" si="111"/>
        <v>1.1000000000000003</v>
      </c>
      <c r="AJ102" s="49">
        <f t="shared" si="100"/>
        <v>54.31575702601063</v>
      </c>
      <c r="AK102" s="49">
        <f>(AI102-1)/(AI104-1)*(B115-1)+1</f>
        <v>1.0928941146603832</v>
      </c>
      <c r="AL102" s="69">
        <f t="shared" si="103"/>
        <v>37.698148133893469</v>
      </c>
      <c r="AM102" s="50">
        <f t="shared" si="104"/>
        <v>0.15827734001746144</v>
      </c>
      <c r="AN102" s="49">
        <f t="shared" si="105"/>
        <v>19.742380337559037</v>
      </c>
      <c r="AO102" s="49">
        <f t="shared" si="106"/>
        <v>54.31575702601063</v>
      </c>
      <c r="AP102" s="49">
        <f t="shared" si="107"/>
        <v>34.573376688451589</v>
      </c>
      <c r="AQ102" s="78">
        <f t="shared" si="108"/>
        <v>1.5966904757520953E-2</v>
      </c>
      <c r="AR102" s="49">
        <f t="shared" si="109"/>
        <v>44.255583931082036</v>
      </c>
    </row>
    <row r="103" spans="1:44" ht="16.8" x14ac:dyDescent="0.4">
      <c r="A103" s="45"/>
      <c r="B103" s="49">
        <f t="shared" si="110"/>
        <v>1.1500000000000004</v>
      </c>
      <c r="C103" s="49">
        <f>Sheet1!P57-(Sheet1!P58/Sheet2!B103)</f>
        <v>92.002172409106464</v>
      </c>
      <c r="D103" s="49">
        <f>SQRT(-2*(Sheet1!P57^2*LN(Sheet2!B103)+Sheet1!P57*Sheet1!P58/Sheet2!B103-Sheet1!P57*Sheet1!P58)+Sheet1!L8^2)</f>
        <v>154.10338467265751</v>
      </c>
      <c r="E103" s="49">
        <f>DEGREES(ATAN(C103/D103))</f>
        <v>30.837873528593132</v>
      </c>
      <c r="F103" s="49">
        <f t="shared" si="102"/>
        <v>56.3507242201458</v>
      </c>
      <c r="G103" s="49">
        <f>2*3.14*Sheet1!H12*Sheet1!P8*Sheet2!B103</f>
        <v>323.51420100540406</v>
      </c>
      <c r="H103" s="50">
        <f>1+Sheet1!P57/Sheet1!C24-2*Sheet1!P57/Sheet1!C24/Sheet2!B103</f>
        <v>0.6304347826086959</v>
      </c>
      <c r="AI103" s="49">
        <f t="shared" si="111"/>
        <v>1.1500000000000004</v>
      </c>
      <c r="AJ103" s="49">
        <f>F103</f>
        <v>56.3507242201458</v>
      </c>
      <c r="AK103" s="49">
        <f>(AI103-1)/(AI104-1)*(B115-1)+1</f>
        <v>1.1393411719905746</v>
      </c>
      <c r="AL103" s="69">
        <f t="shared" si="103"/>
        <v>42.6591013241583</v>
      </c>
      <c r="AM103" s="50">
        <f t="shared" si="104"/>
        <v>0.17730641803238528</v>
      </c>
      <c r="AN103" s="49">
        <f t="shared" si="105"/>
        <v>16.642433095492983</v>
      </c>
      <c r="AO103" s="49">
        <f t="shared" si="106"/>
        <v>56.3507242201458</v>
      </c>
      <c r="AP103" s="49">
        <f t="shared" si="107"/>
        <v>39.708291124652817</v>
      </c>
      <c r="AQ103" s="78">
        <f t="shared" si="108"/>
        <v>1.3344912162674175E-2</v>
      </c>
      <c r="AR103" s="49">
        <f t="shared" si="109"/>
        <v>47.916542331577212</v>
      </c>
    </row>
    <row r="104" spans="1:44" ht="16.8" x14ac:dyDescent="0.4">
      <c r="A104" s="45"/>
      <c r="B104" s="49">
        <f>Sheet1!P53/Sheet1!P8</f>
        <v>1.1814858837934166</v>
      </c>
      <c r="C104" s="49">
        <f>Sheet1!P57-(Sheet1!P58/Sheet2!B104)</f>
        <v>93.298830049954319</v>
      </c>
      <c r="D104" s="49">
        <f>SQRT(-2*(Sheet1!P57^2*LN(Sheet2!B104)+Sheet1!P57*Sheet1!P58/Sheet2!B104-Sheet1!P57*Sheet1!P58)+Sheet1!L8^2)</f>
        <v>151.80189256044582</v>
      </c>
      <c r="E104" s="49">
        <f>DEGREES(ATAN(C104/D104))</f>
        <v>31.575263814750198</v>
      </c>
      <c r="F104" s="49">
        <f>DEGREES(ATAN((G104/D104)-TAN(RADIANS(E104))))</f>
        <v>57.586055325365813</v>
      </c>
      <c r="G104" s="49">
        <f>2*3.14*Sheet1!H12*Sheet1!P8*Sheet2!B104</f>
        <v>332.37170582138327</v>
      </c>
      <c r="H104" s="50">
        <f>1+Sheet1!P57/Sheet1!C24-2*Sheet1!P57/Sheet1!C24/Sheet2!B104</f>
        <v>0.65360816941013022</v>
      </c>
      <c r="AI104" s="49">
        <f t="shared" si="111"/>
        <v>1.1814858837934166</v>
      </c>
      <c r="AJ104" s="49">
        <f t="shared" ref="AJ104" si="112">F104</f>
        <v>57.586055325365813</v>
      </c>
      <c r="AK104" s="49">
        <f>(AI104-1)/(AI104-1)*(B115-1)+1</f>
        <v>1.1685897049834657</v>
      </c>
      <c r="AL104" s="69">
        <f>F115</f>
        <v>45.646625444704036</v>
      </c>
      <c r="AM104" s="50">
        <f t="shared" si="104"/>
        <v>0.19111247448238869</v>
      </c>
      <c r="AN104" s="49">
        <f t="shared" si="105"/>
        <v>14.760309071427049</v>
      </c>
      <c r="AO104" s="49">
        <f t="shared" si="106"/>
        <v>57.586055325365813</v>
      </c>
      <c r="AP104" s="49">
        <f t="shared" si="107"/>
        <v>42.82574625393876</v>
      </c>
      <c r="AQ104" s="78">
        <f t="shared" si="108"/>
        <v>1.1783009533674985E-2</v>
      </c>
      <c r="AR104" s="49">
        <f t="shared" si="109"/>
        <v>50.127182074176098</v>
      </c>
    </row>
    <row r="105" spans="1:44" ht="19.2" x14ac:dyDescent="0.4">
      <c r="A105" s="45"/>
      <c r="B105" s="101" t="s">
        <v>89</v>
      </c>
      <c r="C105" s="101"/>
      <c r="D105" s="101"/>
      <c r="E105" s="101"/>
      <c r="F105" s="101"/>
      <c r="G105" s="101"/>
      <c r="H105" s="101"/>
      <c r="AI105" s="99" t="s">
        <v>122</v>
      </c>
      <c r="AJ105" s="99"/>
      <c r="AK105" s="99"/>
      <c r="AL105" s="99"/>
      <c r="AM105" s="99"/>
      <c r="AN105" s="99"/>
      <c r="AO105" s="99"/>
      <c r="AP105" s="99"/>
      <c r="AQ105" s="99"/>
      <c r="AR105" s="99"/>
    </row>
    <row r="106" spans="1:44" ht="19.2" x14ac:dyDescent="0.4">
      <c r="A106" s="45"/>
      <c r="B106" s="46" t="s">
        <v>84</v>
      </c>
      <c r="C106" s="46" t="s">
        <v>55</v>
      </c>
      <c r="D106" s="46" t="s">
        <v>90</v>
      </c>
      <c r="E106" s="46" t="s">
        <v>56</v>
      </c>
      <c r="F106" s="46" t="s">
        <v>58</v>
      </c>
      <c r="G106" s="46" t="s">
        <v>86</v>
      </c>
      <c r="H106" s="46" t="s">
        <v>85</v>
      </c>
      <c r="AI106" s="75" t="s">
        <v>83</v>
      </c>
      <c r="AJ106" s="75" t="s">
        <v>15</v>
      </c>
      <c r="AK106" s="75" t="s">
        <v>84</v>
      </c>
      <c r="AL106" s="75" t="s">
        <v>56</v>
      </c>
      <c r="AM106" s="75" t="s">
        <v>115</v>
      </c>
      <c r="AN106" s="75" t="s">
        <v>118</v>
      </c>
      <c r="AO106" s="75" t="s">
        <v>119</v>
      </c>
      <c r="AP106" s="75" t="s">
        <v>120</v>
      </c>
      <c r="AQ106" s="75" t="s">
        <v>143</v>
      </c>
      <c r="AR106" s="75" t="s">
        <v>144</v>
      </c>
    </row>
    <row r="107" spans="1:44" ht="16.8" x14ac:dyDescent="0.4">
      <c r="A107" s="45"/>
      <c r="B107" s="49">
        <f>Sheet1!P56/Sheet1!P8</f>
        <v>0.83141029501653441</v>
      </c>
      <c r="C107" s="49">
        <f>Sheet1!P57+(Sheet1!P58/Sheet2!B107)</f>
        <v>207.95917742978219</v>
      </c>
      <c r="D107" s="49">
        <f>SQRT(-2*(Sheet1!P57^2*LN(Sheet2!B107)-Sheet1!P57*Sheet1!P58/Sheet2!B107+Sheet1!P57*Sheet1!P58)+Sheet1!L8^2)</f>
        <v>194.22327762151403</v>
      </c>
      <c r="E107" s="49">
        <f>DEGREES(ATAN(C107/D107))</f>
        <v>46.956085571045939</v>
      </c>
      <c r="F107" s="49">
        <f>DEGREES(ATAN((G107/D107)-TAN(RADIANS(E107))))</f>
        <v>7.6044930635393548</v>
      </c>
      <c r="G107" s="49">
        <f>2*3.14*Sheet1!H12*Sheet1!P8*Sheet2!B107</f>
        <v>233.88959765212292</v>
      </c>
      <c r="H107" s="50">
        <f>1+Sheet1!P57/Sheet1!C24-2*Sheet1!P57/Sheet1!C24/Sheet2!B107</f>
        <v>0.2972244197672429</v>
      </c>
      <c r="AI107" s="49">
        <f t="shared" ref="AI107:AI111" si="113">B107</f>
        <v>0.83141029501653441</v>
      </c>
      <c r="AJ107" s="49">
        <f t="shared" ref="AJ107:AJ109" si="114">E107</f>
        <v>46.956085571045939</v>
      </c>
      <c r="AK107" s="49">
        <f>(1-AI107)/(1-AI107)*(B123-1)+1</f>
        <v>0.84430647382648538</v>
      </c>
      <c r="AL107" s="49">
        <f>E123</f>
        <v>22.896838201897761</v>
      </c>
      <c r="AM107" s="50">
        <f>(0.23*(2*0.3)^2+AL107/500)*SQRT((1.55/(TAN(RADIANS(AJ107))-TAN(RADIANS(AL107)))-1)/1.5)</f>
        <v>0.12381586595557607</v>
      </c>
      <c r="AN107" s="49">
        <f>(AO107-AL107)/(1-AM107)</f>
        <v>27.459122385715713</v>
      </c>
      <c r="AO107" s="49">
        <f>AJ107</f>
        <v>46.956085571045939</v>
      </c>
      <c r="AP107" s="49">
        <f>AO107-AN107</f>
        <v>19.496963185330227</v>
      </c>
      <c r="AQ107" s="78">
        <f>(SQRT(1+(4*TAN(RADIANS(AN107)))^2*(0.3-0.3^2-3/16))-1)/(4*TAN(RADIANS(AN107)))</f>
        <v>2.2842433372067438E-2</v>
      </c>
      <c r="AR107" s="49">
        <f>AO107-DEGREES(ATAN(AQ107/0.3^2))</f>
        <v>32.714850163270626</v>
      </c>
    </row>
    <row r="108" spans="1:44" ht="16.8" x14ac:dyDescent="0.4">
      <c r="A108" s="45"/>
      <c r="B108" s="49">
        <f>CEILING(Sheet1!P56/Sheet1!P8,0.05)</f>
        <v>0.85000000000000009</v>
      </c>
      <c r="C108" s="49">
        <f>Sheet1!P57+(Sheet1!P58/Sheet2!B108)</f>
        <v>206.48729206584215</v>
      </c>
      <c r="D108" s="49">
        <f>SQRT(-2*(Sheet1!P57^2*LN(Sheet2!B108)-Sheet1!P57*Sheet1!P58/Sheet2!B108+Sheet1!P57*Sheet1!P58)+Sheet1!L8^2)</f>
        <v>190.87591974043275</v>
      </c>
      <c r="E108" s="49">
        <f t="shared" ref="E108:E113" si="115">DEGREES(ATAN(C108/D108))</f>
        <v>47.2498458411889</v>
      </c>
      <c r="F108" s="49">
        <f t="shared" ref="F108:F114" si="116">DEGREES(ATAN((G108/D108)-TAN(RADIANS(E108))))</f>
        <v>9.7014236939131102</v>
      </c>
      <c r="G108" s="49">
        <f>2*3.14*Sheet1!H12*Sheet1!P8*Sheet2!B108</f>
        <v>239.11919204747252</v>
      </c>
      <c r="H108" s="50">
        <f>1+Sheet1!P57/Sheet1!C24-2*Sheet1!P57/Sheet1!C24/Sheet2!B108</f>
        <v>0.32352941176470607</v>
      </c>
      <c r="AI108" s="66">
        <f t="shared" si="113"/>
        <v>0.85000000000000009</v>
      </c>
      <c r="AJ108" s="66">
        <f t="shared" si="114"/>
        <v>47.2498458411889</v>
      </c>
      <c r="AK108" s="49">
        <f>(1-AI108)/(1-AI107)*(B123-1)+1</f>
        <v>0.86147416932535936</v>
      </c>
      <c r="AL108" s="49">
        <f t="shared" ref="AL108:AL114" si="117">-14.249*AK108^4+ 72.268*AK108^3- 140.85*AK108^2+ 147.45*AK108- 37.449</f>
        <v>23.40064646870583</v>
      </c>
      <c r="AM108" s="50">
        <f t="shared" ref="AM108:AM115" si="118">(0.23*(2*0.3)^2+AL108/500)*SQRT((1.55/(TAN(RADIANS(AJ108))-TAN(RADIANS(AL108)))-1)/1.5)</f>
        <v>0.12467604427371257</v>
      </c>
      <c r="AN108" s="49">
        <f t="shared" ref="AN108:AN115" si="119">(AO108-AL108)/(1-AM108)</f>
        <v>27.246140376330203</v>
      </c>
      <c r="AO108" s="49">
        <f t="shared" ref="AO108:AO115" si="120">AJ108</f>
        <v>47.2498458411889</v>
      </c>
      <c r="AP108" s="49">
        <f t="shared" ref="AP108:AP115" si="121">AO108-AN108</f>
        <v>20.003705464858697</v>
      </c>
      <c r="AQ108" s="78">
        <f t="shared" ref="AQ108:AQ115" si="122">(SQRT(1+(4*TAN(RADIANS(AN108)))^2*(0.3-0.3^2-3/16))-1)/(4*TAN(RADIANS(AN108)))</f>
        <v>2.2644580029809139E-2</v>
      </c>
      <c r="AR108" s="49">
        <f t="shared" ref="AR108:AR115" si="123">AO108-DEGREES(ATAN(AQ108/0.3^2))</f>
        <v>33.127006930548106</v>
      </c>
    </row>
    <row r="109" spans="1:44" ht="16.8" x14ac:dyDescent="0.4">
      <c r="A109" s="45"/>
      <c r="B109" s="49">
        <f>B108+0.05</f>
        <v>0.90000000000000013</v>
      </c>
      <c r="C109" s="49">
        <f>Sheet1!P57+(Sheet1!P58/Sheet2!B109)</f>
        <v>202.83012852125196</v>
      </c>
      <c r="D109" s="49">
        <f>SQRT(-2*(Sheet1!P57^2*LN(Sheet2!B109)-Sheet1!P57*Sheet1!P58/Sheet2!B109+Sheet1!P57*Sheet1!P58)+Sheet1!L8^2)</f>
        <v>182.05236422508355</v>
      </c>
      <c r="E109" s="49">
        <f t="shared" si="115"/>
        <v>48.090095687224945</v>
      </c>
      <c r="F109" s="49">
        <f t="shared" si="116"/>
        <v>15.461214553422932</v>
      </c>
      <c r="G109" s="49">
        <f>2*3.14*Sheet1!H12*Sheet1!P8*Sheet2!B109</f>
        <v>253.18502687379447</v>
      </c>
      <c r="H109" s="50">
        <f>1+Sheet1!P57/Sheet1!C24-2*Sheet1!P57/Sheet1!C24/Sheet2!B109</f>
        <v>0.38888888888888906</v>
      </c>
      <c r="AI109" s="49">
        <f t="shared" si="113"/>
        <v>0.90000000000000013</v>
      </c>
      <c r="AJ109" s="49">
        <f t="shared" si="114"/>
        <v>48.090095687224945</v>
      </c>
      <c r="AK109" s="49">
        <f>(1-AI109)/(1-AI107)*(B123-1)+1</f>
        <v>0.90764944621690624</v>
      </c>
      <c r="AL109" s="49">
        <f t="shared" si="117"/>
        <v>24.715276448335729</v>
      </c>
      <c r="AM109" s="50">
        <f t="shared" si="118"/>
        <v>0.12639569773206183</v>
      </c>
      <c r="AN109" s="49">
        <f t="shared" si="119"/>
        <v>26.756758383866178</v>
      </c>
      <c r="AO109" s="49">
        <f t="shared" si="120"/>
        <v>48.090095687224945</v>
      </c>
      <c r="AP109" s="49">
        <f t="shared" si="121"/>
        <v>21.333337303358768</v>
      </c>
      <c r="AQ109" s="78">
        <f t="shared" si="122"/>
        <v>2.2191916616602938E-2</v>
      </c>
      <c r="AR109" s="49">
        <f t="shared" si="123"/>
        <v>34.238595178698844</v>
      </c>
    </row>
    <row r="110" spans="1:44" ht="16.8" x14ac:dyDescent="0.4">
      <c r="A110" s="45"/>
      <c r="B110" s="49">
        <f>B109+0.05</f>
        <v>0.95000000000000018</v>
      </c>
      <c r="C110" s="49">
        <f>Sheet1!P57+(Sheet1!P58/Sheet2!B110)</f>
        <v>199.55792956030285</v>
      </c>
      <c r="D110" s="49">
        <f>SQRT(-2*(Sheet1!P57^2*LN(Sheet2!B110)-Sheet1!P57*Sheet1!P58/Sheet2!B110+Sheet1!P57*Sheet1!P58)+Sheet1!L8^2)</f>
        <v>173.44487291903255</v>
      </c>
      <c r="E110" s="49">
        <f t="shared" si="115"/>
        <v>49.004610185365216</v>
      </c>
      <c r="F110" s="49">
        <f t="shared" si="116"/>
        <v>21.319955731995709</v>
      </c>
      <c r="G110" s="49">
        <f>2*3.14*Sheet1!H12*Sheet1!P8*Sheet2!B110</f>
        <v>267.25086170011639</v>
      </c>
      <c r="H110" s="50">
        <f>1+Sheet1!P57/Sheet1!C24-2*Sheet1!P57/Sheet1!C24/Sheet2!B110</f>
        <v>0.44736842105263186</v>
      </c>
      <c r="AI110" s="49">
        <f t="shared" si="113"/>
        <v>0.95000000000000018</v>
      </c>
      <c r="AJ110" s="49">
        <f>E110</f>
        <v>49.004610185365216</v>
      </c>
      <c r="AK110" s="49">
        <f>(1-AI110)/(1-AI107)*(B123-1)+1</f>
        <v>0.95382472310845323</v>
      </c>
      <c r="AL110" s="49">
        <f t="shared" si="117"/>
        <v>25.967943153128402</v>
      </c>
      <c r="AM110" s="50">
        <f t="shared" si="118"/>
        <v>0.12715922500772472</v>
      </c>
      <c r="AN110" s="49">
        <f t="shared" si="119"/>
        <v>26.392748474016571</v>
      </c>
      <c r="AO110" s="49">
        <f t="shared" si="120"/>
        <v>49.004610185365216</v>
      </c>
      <c r="AP110" s="49">
        <f t="shared" si="121"/>
        <v>22.611861711348645</v>
      </c>
      <c r="AQ110" s="78">
        <f t="shared" si="122"/>
        <v>2.185695540231878E-2</v>
      </c>
      <c r="AR110" s="49">
        <f t="shared" si="123"/>
        <v>35.354303741641509</v>
      </c>
    </row>
    <row r="111" spans="1:44" ht="16.8" x14ac:dyDescent="0.4">
      <c r="A111" s="45"/>
      <c r="B111" s="49">
        <f t="shared" ref="B111:B114" si="124">B110+0.05</f>
        <v>1.0000000000000002</v>
      </c>
      <c r="C111" s="49">
        <f>Sheet1!P57+(Sheet1!P58/Sheet2!B111)</f>
        <v>196.61295049544867</v>
      </c>
      <c r="D111" s="49">
        <f>SQRT(-2*(Sheet1!P57^2*LN(Sheet2!B111)-Sheet1!P57*Sheet1!P58/Sheet2!B111+Sheet1!P57*Sheet1!P58)+Sheet1!L8^2)</f>
        <v>164.99999999999994</v>
      </c>
      <c r="E111" s="49">
        <f t="shared" si="115"/>
        <v>49.9962130912456</v>
      </c>
      <c r="F111" s="49">
        <f t="shared" si="116"/>
        <v>27.173970648414475</v>
      </c>
      <c r="G111" s="49">
        <f>2*3.14*Sheet1!H12*Sheet1!P8*Sheet2!B111</f>
        <v>281.31669652643831</v>
      </c>
      <c r="H111" s="50">
        <f>1+Sheet1!P57/Sheet1!C24-2*Sheet1!P57/Sheet1!C24/Sheet2!B111</f>
        <v>0.50000000000000022</v>
      </c>
      <c r="AI111" s="49">
        <f t="shared" si="113"/>
        <v>1.0000000000000002</v>
      </c>
      <c r="AJ111" s="49">
        <f t="shared" ref="AJ111" si="125">E111</f>
        <v>49.9962130912456</v>
      </c>
      <c r="AK111" s="49">
        <f>(1-AI111)/(1-AI107)*(B123-1)+1</f>
        <v>1.0000000000000002</v>
      </c>
      <c r="AL111" s="49">
        <f t="shared" si="117"/>
        <v>27.17</v>
      </c>
      <c r="AM111" s="50">
        <f t="shared" si="118"/>
        <v>0.12693366093089695</v>
      </c>
      <c r="AN111" s="49">
        <f t="shared" si="119"/>
        <v>26.144878195148134</v>
      </c>
      <c r="AO111" s="49">
        <f t="shared" si="120"/>
        <v>49.9962130912456</v>
      </c>
      <c r="AP111" s="49">
        <f t="shared" si="121"/>
        <v>23.851334896097466</v>
      </c>
      <c r="AQ111" s="78">
        <f t="shared" si="122"/>
        <v>2.1629698000418467E-2</v>
      </c>
      <c r="AR111" s="49">
        <f t="shared" si="123"/>
        <v>36.482604509746054</v>
      </c>
    </row>
    <row r="112" spans="1:44" ht="16.8" x14ac:dyDescent="0.4">
      <c r="A112" s="45"/>
      <c r="B112" s="49">
        <f t="shared" si="124"/>
        <v>1.0500000000000003</v>
      </c>
      <c r="C112" s="49">
        <f>Sheet1!P57+(Sheet1!P58/Sheet2!B112)</f>
        <v>193.94844562724728</v>
      </c>
      <c r="D112" s="49">
        <f>SQRT(-2*(Sheet1!P57^2*LN(Sheet2!B112)-Sheet1!P57*Sheet1!P58/Sheet2!B112+Sheet1!P57*Sheet1!P58)+Sheet1!L8^2)</f>
        <v>156.66788390905612</v>
      </c>
      <c r="E112" s="49">
        <f t="shared" si="115"/>
        <v>51.06937853557632</v>
      </c>
      <c r="F112" s="49">
        <f t="shared" si="116"/>
        <v>32.920900318569792</v>
      </c>
      <c r="G112" s="49">
        <f>2*3.14*Sheet1!H12*Sheet1!P8*Sheet2!B112</f>
        <v>295.38253135276022</v>
      </c>
      <c r="H112" s="50">
        <f>1+Sheet1!P57/Sheet1!C24-2*Sheet1!P57/Sheet1!C24/Sheet2!B112</f>
        <v>0.54761904761904789</v>
      </c>
      <c r="AI112" s="49">
        <f>B112</f>
        <v>1.0500000000000003</v>
      </c>
      <c r="AJ112" s="49">
        <f>E112</f>
        <v>51.06937853557632</v>
      </c>
      <c r="AK112" s="49">
        <f>(AI112-1)/(AI115-1)*(B129-1)+1</f>
        <v>1.0461752768915471</v>
      </c>
      <c r="AL112" s="49">
        <f t="shared" si="117"/>
        <v>28.331245752177594</v>
      </c>
      <c r="AM112" s="50">
        <f t="shared" si="118"/>
        <v>0.12567385065638439</v>
      </c>
      <c r="AN112" s="49">
        <f t="shared" si="119"/>
        <v>26.00646543680406</v>
      </c>
      <c r="AO112" s="49">
        <f t="shared" si="120"/>
        <v>51.06937853557632</v>
      </c>
      <c r="AP112" s="49">
        <f t="shared" si="121"/>
        <v>25.06291309877226</v>
      </c>
      <c r="AQ112" s="78">
        <f t="shared" si="122"/>
        <v>2.150308534354553E-2</v>
      </c>
      <c r="AR112" s="49">
        <f t="shared" si="123"/>
        <v>37.631997037667638</v>
      </c>
    </row>
    <row r="113" spans="1:45" ht="16.8" x14ac:dyDescent="0.4">
      <c r="A113" s="45"/>
      <c r="B113" s="49">
        <f t="shared" si="124"/>
        <v>1.1000000000000003</v>
      </c>
      <c r="C113" s="49">
        <f>Sheet1!P57+(Sheet1!P58/Sheet2!B113)</f>
        <v>191.52616847433688</v>
      </c>
      <c r="D113" s="49">
        <f>SQRT(-2*(Sheet1!P57^2*LN(Sheet2!B113)-Sheet1!P57*Sheet1!P58/Sheet2!B113+Sheet1!P57*Sheet1!P58)+Sheet1!L8^2)</f>
        <v>148.40021271969098</v>
      </c>
      <c r="E113" s="49">
        <f t="shared" si="115"/>
        <v>52.230403064525511</v>
      </c>
      <c r="F113" s="49">
        <f t="shared" si="116"/>
        <v>38.471455810125462</v>
      </c>
      <c r="G113" s="49">
        <f>2*3.14*Sheet1!H12*Sheet1!P8*Sheet2!B113</f>
        <v>309.44836617908214</v>
      </c>
      <c r="H113" s="50">
        <f>1+Sheet1!P57/Sheet1!C24-2*Sheet1!P57/Sheet1!C24/Sheet2!B113</f>
        <v>0.59090909090909116</v>
      </c>
      <c r="AI113" s="49">
        <f t="shared" ref="AI113:AI115" si="126">B113</f>
        <v>1.1000000000000003</v>
      </c>
      <c r="AJ113" s="49">
        <f t="shared" ref="AJ113:AJ115" si="127">E113</f>
        <v>52.230403064525511</v>
      </c>
      <c r="AK113" s="49">
        <f>(AI113-1)/(AI115-1)*(B129-1)+1</f>
        <v>1.092350553783094</v>
      </c>
      <c r="AL113" s="49">
        <f t="shared" si="117"/>
        <v>29.459924519199475</v>
      </c>
      <c r="AM113" s="50">
        <f t="shared" si="118"/>
        <v>0.12331549703868835</v>
      </c>
      <c r="AN113" s="49">
        <f t="shared" si="119"/>
        <v>25.97340145560997</v>
      </c>
      <c r="AO113" s="49">
        <f t="shared" si="120"/>
        <v>52.230403064525511</v>
      </c>
      <c r="AP113" s="49">
        <f t="shared" si="121"/>
        <v>26.257001608915541</v>
      </c>
      <c r="AQ113" s="78">
        <f t="shared" si="122"/>
        <v>2.1472870667498863E-2</v>
      </c>
      <c r="AR113" s="49">
        <f t="shared" si="123"/>
        <v>38.811219471504977</v>
      </c>
    </row>
    <row r="114" spans="1:45" ht="16.8" x14ac:dyDescent="0.4">
      <c r="A114" s="45"/>
      <c r="B114" s="49">
        <f t="shared" si="124"/>
        <v>1.1500000000000004</v>
      </c>
      <c r="C114" s="49">
        <f>Sheet1!P57+(Sheet1!P58/Sheet2!B114)</f>
        <v>189.31452411733179</v>
      </c>
      <c r="D114" s="49">
        <f>SQRT(-2*(Sheet1!P57^2*LN(Sheet2!B114)-Sheet1!P57*Sheet1!P58/Sheet2!B114+Sheet1!P57*Sheet1!P58)+Sheet1!L8^2)</f>
        <v>140.14818860942344</v>
      </c>
      <c r="E114" s="49">
        <f>DEGREES(ATAN(C114/D114))</f>
        <v>53.487718403352901</v>
      </c>
      <c r="F114" s="49">
        <f t="shared" si="116"/>
        <v>43.757886377620714</v>
      </c>
      <c r="G114" s="49">
        <f>2*3.14*Sheet1!H12*Sheet1!P8*Sheet2!B114</f>
        <v>323.51420100540406</v>
      </c>
      <c r="H114" s="50">
        <f>1+Sheet1!P57/Sheet1!C24-2*Sheet1!P57/Sheet1!C24/Sheet2!B114</f>
        <v>0.6304347826086959</v>
      </c>
      <c r="AI114" s="49">
        <f t="shared" si="126"/>
        <v>1.1500000000000004</v>
      </c>
      <c r="AJ114" s="49">
        <f t="shared" si="127"/>
        <v>53.487718403352901</v>
      </c>
      <c r="AK114" s="49">
        <f>(AI114-1)/(AI115-1)*(B129-1)+1</f>
        <v>1.1385258306746411</v>
      </c>
      <c r="AL114" s="49">
        <f t="shared" si="117"/>
        <v>30.56272575691473</v>
      </c>
      <c r="AM114" s="50">
        <f t="shared" si="118"/>
        <v>0.11976576346895346</v>
      </c>
      <c r="AN114" s="49">
        <f t="shared" si="119"/>
        <v>26.044195618639279</v>
      </c>
      <c r="AO114" s="49">
        <f t="shared" si="120"/>
        <v>53.487718403352901</v>
      </c>
      <c r="AP114" s="49">
        <f t="shared" si="121"/>
        <v>27.443522784713622</v>
      </c>
      <c r="AQ114" s="78">
        <f t="shared" si="122"/>
        <v>2.153757845321538E-2</v>
      </c>
      <c r="AR114" s="49">
        <f t="shared" si="123"/>
        <v>40.029565531734093</v>
      </c>
    </row>
    <row r="115" spans="1:45" ht="16.8" x14ac:dyDescent="0.4">
      <c r="A115" s="45"/>
      <c r="B115" s="49">
        <f>Sheet1!P55/Sheet1!P8</f>
        <v>1.1685897049834657</v>
      </c>
      <c r="C115" s="49">
        <f>Sheet1!P57+(Sheet1!P58/Sheet2!B115)</f>
        <v>188.54051083371795</v>
      </c>
      <c r="D115" s="49">
        <f>SQRT(-2*(Sheet1!P57^2*LN(Sheet2!B115)-Sheet1!P57*Sheet1!P58/Sheet2!B115+Sheet1!P57*Sheet1!P58)+Sheet1!L8^2)</f>
        <v>137.07387295373169</v>
      </c>
      <c r="E115" s="49">
        <f>DEGREES(ATAN(C115/D115))</f>
        <v>53.981869808760429</v>
      </c>
      <c r="F115" s="49">
        <f>DEGREES(ATAN((G115/D115)-TAN(RADIANS(E115))))</f>
        <v>45.646625444704036</v>
      </c>
      <c r="G115" s="49">
        <f>2*3.14*Sheet1!H12*Sheet1!P8*Sheet2!B115</f>
        <v>328.74379540075364</v>
      </c>
      <c r="H115" s="50">
        <f>1+Sheet1!P57/Sheet1!C24-2*Sheet1!P57/Sheet1!C24/Sheet2!B115</f>
        <v>0.64426766234933674</v>
      </c>
      <c r="AI115" s="49">
        <f t="shared" si="126"/>
        <v>1.1685897049834657</v>
      </c>
      <c r="AJ115" s="49">
        <f t="shared" si="127"/>
        <v>53.981869808760429</v>
      </c>
      <c r="AK115" s="49">
        <f>(AI115-1)/(AI115-1)*(B129-1)+1</f>
        <v>1.1556935261735146</v>
      </c>
      <c r="AL115" s="49">
        <f>E129</f>
        <v>30.971799555514238</v>
      </c>
      <c r="AM115" s="50">
        <f t="shared" si="118"/>
        <v>0.11814064891687731</v>
      </c>
      <c r="AN115" s="49">
        <f t="shared" si="119"/>
        <v>26.092675918200129</v>
      </c>
      <c r="AO115" s="49">
        <f t="shared" si="120"/>
        <v>53.981869808760429</v>
      </c>
      <c r="AP115" s="49">
        <f t="shared" si="121"/>
        <v>27.8891938905603</v>
      </c>
      <c r="AQ115" s="78">
        <f t="shared" si="122"/>
        <v>2.1581921863131907E-2</v>
      </c>
      <c r="AR115" s="49">
        <f t="shared" si="123"/>
        <v>40.497019114832163</v>
      </c>
    </row>
    <row r="116" spans="1:45" ht="16.8" x14ac:dyDescent="0.4">
      <c r="A116" s="45"/>
      <c r="B116" s="45"/>
      <c r="C116" s="45"/>
      <c r="D116" s="45"/>
      <c r="E116" s="45"/>
      <c r="F116" s="45"/>
      <c r="G116" s="45"/>
      <c r="H116" s="45"/>
    </row>
    <row r="117" spans="1:45" ht="16.8" x14ac:dyDescent="0.4">
      <c r="A117" s="28"/>
      <c r="B117" s="28"/>
      <c r="C117" s="28"/>
      <c r="D117" s="28"/>
      <c r="E117" s="28"/>
      <c r="F117" s="28"/>
      <c r="G117" s="28"/>
      <c r="H117" s="28"/>
      <c r="I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ht="24.6" customHeight="1" x14ac:dyDescent="0.65">
      <c r="A118" s="27"/>
      <c r="B118" s="24" t="s">
        <v>46</v>
      </c>
      <c r="C118" s="24"/>
      <c r="D118" s="24"/>
      <c r="E118" s="24"/>
      <c r="F118" s="24"/>
      <c r="G118" s="24"/>
      <c r="H118" s="27"/>
      <c r="I118" s="18"/>
      <c r="AH118" s="18"/>
      <c r="AI118" s="88" t="s">
        <v>46</v>
      </c>
      <c r="AJ118" s="98"/>
      <c r="AK118" s="98"/>
      <c r="AL118" s="98"/>
      <c r="AM118" s="98"/>
      <c r="AN118" s="98"/>
      <c r="AO118" s="98"/>
      <c r="AP118" s="98"/>
      <c r="AQ118" s="18"/>
      <c r="AR118" s="18"/>
      <c r="AS118" s="18"/>
    </row>
    <row r="119" spans="1:45" ht="16.8" x14ac:dyDescent="0.4">
      <c r="A119" s="29"/>
      <c r="B119" s="29"/>
      <c r="C119" s="29"/>
      <c r="D119" s="29"/>
      <c r="E119" s="29"/>
      <c r="F119" s="29"/>
      <c r="G119" s="29"/>
      <c r="H119" s="29"/>
      <c r="I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</row>
    <row r="120" spans="1:45" ht="16.8" x14ac:dyDescent="0.4">
      <c r="A120" s="45"/>
      <c r="B120" s="45"/>
      <c r="C120" s="45"/>
      <c r="D120" s="45"/>
      <c r="E120" s="45"/>
      <c r="F120" s="45"/>
      <c r="G120" s="45"/>
      <c r="H120" s="45"/>
    </row>
    <row r="121" spans="1:45" ht="19.2" x14ac:dyDescent="0.4">
      <c r="A121" s="45"/>
      <c r="B121" s="101" t="s">
        <v>88</v>
      </c>
      <c r="C121" s="101"/>
      <c r="D121" s="101"/>
      <c r="E121" s="101"/>
      <c r="F121" s="101"/>
      <c r="G121" s="101"/>
      <c r="H121" s="101"/>
      <c r="AI121" s="99" t="s">
        <v>121</v>
      </c>
      <c r="AJ121" s="99"/>
      <c r="AK121" s="99"/>
      <c r="AL121" s="99"/>
      <c r="AM121" s="99"/>
      <c r="AN121" s="99"/>
      <c r="AO121" s="99"/>
      <c r="AP121" s="99"/>
      <c r="AQ121" s="99"/>
      <c r="AR121" s="99"/>
    </row>
    <row r="122" spans="1:45" ht="19.2" x14ac:dyDescent="0.4">
      <c r="A122" s="45"/>
      <c r="B122" s="46" t="s">
        <v>83</v>
      </c>
      <c r="C122" s="46" t="s">
        <v>54</v>
      </c>
      <c r="D122" s="46" t="s">
        <v>22</v>
      </c>
      <c r="E122" s="46" t="s">
        <v>15</v>
      </c>
      <c r="F122" s="46" t="s">
        <v>57</v>
      </c>
      <c r="G122" s="46" t="s">
        <v>86</v>
      </c>
      <c r="H122" s="46" t="s">
        <v>85</v>
      </c>
      <c r="AI122" s="75" t="s">
        <v>83</v>
      </c>
      <c r="AJ122" s="75" t="s">
        <v>57</v>
      </c>
      <c r="AK122" s="75" t="s">
        <v>84</v>
      </c>
      <c r="AL122" s="75" t="s">
        <v>58</v>
      </c>
      <c r="AM122" s="75" t="s">
        <v>115</v>
      </c>
      <c r="AN122" s="75" t="s">
        <v>118</v>
      </c>
      <c r="AO122" s="75" t="s">
        <v>116</v>
      </c>
      <c r="AP122" s="75" t="s">
        <v>117</v>
      </c>
      <c r="AQ122" s="75" t="s">
        <v>143</v>
      </c>
      <c r="AR122" s="75" t="s">
        <v>144</v>
      </c>
    </row>
    <row r="123" spans="1:45" ht="16.8" x14ac:dyDescent="0.4">
      <c r="A123" s="45"/>
      <c r="B123" s="49">
        <f>Sheet1!T54/Sheet1!P8</f>
        <v>0.84430647382648538</v>
      </c>
      <c r="C123" s="49">
        <f>Sheet1!T57-(Sheet1!T58/Sheet2!B123)</f>
        <v>74.385491229875001</v>
      </c>
      <c r="D123" s="49">
        <f>SQRT(-2*(Sheet1!T57^2*LN(Sheet2!B123)+Sheet1!T57*Sheet1!T58/Sheet2!B123-Sheet1!T57*Sheet1!T58)+Sheet1!L8^2)</f>
        <v>176.12223373075659</v>
      </c>
      <c r="E123" s="49">
        <f>DEGREES(ATAN(C123/D123))</f>
        <v>22.896838201897761</v>
      </c>
      <c r="F123" s="49">
        <f>DEGREES(ATAN((G123/D123)-TAN(RADIANS(E123))))</f>
        <v>42.807186870749923</v>
      </c>
      <c r="G123" s="49">
        <f>2*3.14*Sheet1!H12*Sheet1!P8*Sheet2!B123</f>
        <v>237.51750807275258</v>
      </c>
      <c r="H123" s="50">
        <f>1+Sheet1!T57/Sheet1!C24-2*Sheet1!T57/Sheet1!C24/Sheet2!B123</f>
        <v>0.31559595833975407</v>
      </c>
      <c r="AI123" s="49">
        <f t="shared" ref="AI123:AI125" si="128">B123</f>
        <v>0.84430647382648538</v>
      </c>
      <c r="AJ123" s="49">
        <f t="shared" ref="AJ123:AJ129" si="129">F123</f>
        <v>42.807186870749923</v>
      </c>
      <c r="AK123" s="49">
        <f>(1-AI123)/(1-AI123)*(B132-1)+1</f>
        <v>0.85425734152996224</v>
      </c>
      <c r="AL123" s="69">
        <f>F132</f>
        <v>10.185573326334046</v>
      </c>
      <c r="AM123" s="50">
        <f>(0.23*(2*0.3)^2+AL123/500)*SQRT((1.55/(TAN(RADIANS(AJ123))-TAN(RADIANS(AL123)))-1)/1.5)</f>
        <v>8.7387384477481705E-2</v>
      </c>
      <c r="AN123" s="49">
        <f>(AO123-AL123)/(1-AM123)</f>
        <v>35.745301992936298</v>
      </c>
      <c r="AO123" s="49">
        <f>AJ123</f>
        <v>42.807186870749923</v>
      </c>
      <c r="AP123" s="49">
        <f>AO123-AN123</f>
        <v>7.0618848778136254</v>
      </c>
      <c r="AQ123" s="78">
        <f>(SQRT(1+(4*TAN(RADIANS(AN123)))^2*(0.3-0.3^2-3/16))-1)/(4*TAN(RADIANS(AN123)))</f>
        <v>3.1005838831553587E-2</v>
      </c>
      <c r="AR123" s="49">
        <f>AO123-DEGREES(ATAN(AQ123/0.3^2))</f>
        <v>23.797879858798588</v>
      </c>
    </row>
    <row r="124" spans="1:45" ht="16.8" x14ac:dyDescent="0.4">
      <c r="A124" s="45"/>
      <c r="B124" s="49">
        <f>CEILING(Sheet1!T54/Sheet1!P8,0.05)+0.05</f>
        <v>0.90000000000000013</v>
      </c>
      <c r="C124" s="49">
        <f>Sheet1!T57-(Sheet1!T58/Sheet2!B124)</f>
        <v>78.486568005186285</v>
      </c>
      <c r="D124" s="49">
        <f>SQRT(-2*(Sheet1!T57^2*LN(Sheet2!B124)+Sheet1!T57*Sheet1!T58/Sheet2!B124-Sheet1!T57*Sheet1!T58)+Sheet1!L8^2)</f>
        <v>172.17744147265924</v>
      </c>
      <c r="E124" s="49">
        <f t="shared" ref="E124:E128" si="130">DEGREES(ATAN(C124/D124))</f>
        <v>24.50572757551511</v>
      </c>
      <c r="F124" s="49">
        <f t="shared" ref="F124:F128" si="131">DEGREES(ATAN((G124/D124)-TAN(RADIANS(E124))))</f>
        <v>45.416405733591297</v>
      </c>
      <c r="G124" s="49">
        <f>2*3.14*Sheet1!H12*Sheet1!P8*Sheet2!B124</f>
        <v>253.18502687379447</v>
      </c>
      <c r="H124" s="50">
        <f>1+Sheet1!T57/Sheet1!C24-2*Sheet1!T57/Sheet1!C24/Sheet2!B124</f>
        <v>0.38888888888888906</v>
      </c>
      <c r="AI124" s="66">
        <f t="shared" si="128"/>
        <v>0.90000000000000013</v>
      </c>
      <c r="AJ124" s="66">
        <f t="shared" si="129"/>
        <v>45.416405733591297</v>
      </c>
      <c r="AK124" s="49">
        <f>(1-AI124)/(1-AI123)*(B132-1)+1</f>
        <v>0.90639131757629232</v>
      </c>
      <c r="AL124" s="69">
        <f t="shared" ref="AL124:AL128" si="132">81.529*AK124^4- 449.77*AK124^3+ 838.57*AK124^2- 537.64*AK124+ 94.489</f>
        <v>16.209462395623376</v>
      </c>
      <c r="AM124" s="50">
        <f t="shared" ref="AM124:AM129" si="133">(0.23*(2*0.3)^2+AL124/500)*SQRT((1.55/(TAN(RADIANS(AJ124))-TAN(RADIANS(AL124)))-1)/1.5)</f>
        <v>0.10049279829839652</v>
      </c>
      <c r="AN124" s="49">
        <f t="shared" ref="AN124:AN129" si="134">(AO124-AL124)/(1-AM124)</f>
        <v>32.469938298122528</v>
      </c>
      <c r="AO124" s="49">
        <f t="shared" ref="AO124:AO129" si="135">AJ124</f>
        <v>45.416405733591297</v>
      </c>
      <c r="AP124" s="49">
        <f t="shared" ref="AP124:AP129" si="136">AO124-AN124</f>
        <v>12.946467435468769</v>
      </c>
      <c r="AQ124" s="78">
        <f t="shared" ref="AQ124:AQ129" si="137">(SQRT(1+(4*TAN(RADIANS(AN124)))^2*(0.3-0.3^2-3/16))-1)/(4*TAN(RADIANS(AN124)))</f>
        <v>2.7661209264795057E-2</v>
      </c>
      <c r="AR124" s="49">
        <f t="shared" ref="AR124:AR129" si="138">AO124-DEGREES(ATAN(AQ124/0.3^2))</f>
        <v>28.331764145956324</v>
      </c>
    </row>
    <row r="125" spans="1:45" ht="16.8" x14ac:dyDescent="0.4">
      <c r="A125" s="45"/>
      <c r="B125" s="49">
        <f>B124+0.05</f>
        <v>0.95000000000000018</v>
      </c>
      <c r="C125" s="49">
        <f>Sheet1!T57-(Sheet1!T58/Sheet2!B125)</f>
        <v>81.758766966135383</v>
      </c>
      <c r="D125" s="49">
        <f>SQRT(-2*(Sheet1!T57^2*LN(Sheet2!B125)+Sheet1!T57*Sheet1!T58/Sheet2!B125-Sheet1!T57*Sheet1!T58)+Sheet1!L8^2)</f>
        <v>168.60065355202738</v>
      </c>
      <c r="E125" s="49">
        <f t="shared" si="130"/>
        <v>25.869932406174875</v>
      </c>
      <c r="F125" s="49">
        <f t="shared" si="131"/>
        <v>47.73113520226466</v>
      </c>
      <c r="G125" s="49">
        <f>2*3.14*Sheet1!H12*Sheet1!P8*Sheet2!B125</f>
        <v>267.25086170011639</v>
      </c>
      <c r="H125" s="50">
        <f>1+Sheet1!T57/Sheet1!C24-2*Sheet1!T57/Sheet1!C24/Sheet2!B125</f>
        <v>0.44736842105263186</v>
      </c>
      <c r="AI125" s="49">
        <f t="shared" si="128"/>
        <v>0.95000000000000018</v>
      </c>
      <c r="AJ125" s="49">
        <f t="shared" si="129"/>
        <v>47.73113520226466</v>
      </c>
      <c r="AK125" s="49">
        <f>(1-AI125)/(1-AI123)*(B132-1)+1</f>
        <v>0.95319565878814627</v>
      </c>
      <c r="AL125" s="69">
        <f t="shared" si="132"/>
        <v>21.700200525970985</v>
      </c>
      <c r="AM125" s="50">
        <f t="shared" si="133"/>
        <v>0.11321718200860378</v>
      </c>
      <c r="AN125" s="49">
        <f t="shared" si="134"/>
        <v>29.354351649770276</v>
      </c>
      <c r="AO125" s="49">
        <f t="shared" si="135"/>
        <v>47.73113520226466</v>
      </c>
      <c r="AP125" s="49">
        <f t="shared" si="136"/>
        <v>18.376783552494384</v>
      </c>
      <c r="AQ125" s="78">
        <f t="shared" si="137"/>
        <v>2.4626789107743741E-2</v>
      </c>
      <c r="AR125" s="49">
        <f t="shared" si="138"/>
        <v>32.427833086752713</v>
      </c>
    </row>
    <row r="126" spans="1:45" ht="16.8" x14ac:dyDescent="0.4">
      <c r="A126" s="45"/>
      <c r="B126" s="49">
        <f>B125+0.05</f>
        <v>1.0000000000000002</v>
      </c>
      <c r="C126" s="49">
        <f>Sheet1!T57-(Sheet1!T58/Sheet2!B126)</f>
        <v>84.703746030989578</v>
      </c>
      <c r="D126" s="49">
        <f>SQRT(-2*(Sheet1!T57^2*LN(Sheet2!B126)+Sheet1!T57*Sheet1!T58/Sheet2!B126-Sheet1!T57*Sheet1!T58)+Sheet1!L8^2)</f>
        <v>164.99999999999997</v>
      </c>
      <c r="E126" s="49">
        <f t="shared" si="130"/>
        <v>27.173970648414457</v>
      </c>
      <c r="F126" s="49">
        <f t="shared" si="131"/>
        <v>49.9962130912456</v>
      </c>
      <c r="G126" s="49">
        <f>2*3.14*Sheet1!H12*Sheet1!P8*Sheet2!B126</f>
        <v>281.31669652643831</v>
      </c>
      <c r="H126" s="50">
        <f>1+Sheet1!T57/Sheet1!C24-2*Sheet1!T57/Sheet1!C24/Sheet2!B126</f>
        <v>0.50000000000000022</v>
      </c>
      <c r="AI126" s="49">
        <f>B126</f>
        <v>1.0000000000000002</v>
      </c>
      <c r="AJ126" s="49">
        <f t="shared" si="129"/>
        <v>49.9962130912456</v>
      </c>
      <c r="AK126" s="49">
        <f>(1-AI126)/(1-AI123)*(B132-1)+1</f>
        <v>1.0000000000000002</v>
      </c>
      <c r="AL126" s="69">
        <f t="shared" si="132"/>
        <v>27.178000000000083</v>
      </c>
      <c r="AM126" s="50">
        <f t="shared" si="133"/>
        <v>0.12697783003795568</v>
      </c>
      <c r="AN126" s="49">
        <f t="shared" si="134"/>
        <v>26.1370373815794</v>
      </c>
      <c r="AO126" s="49">
        <f t="shared" si="135"/>
        <v>49.9962130912456</v>
      </c>
      <c r="AP126" s="49">
        <f t="shared" si="136"/>
        <v>23.8591757096662</v>
      </c>
      <c r="AQ126" s="78">
        <f t="shared" si="137"/>
        <v>2.1622520116453343E-2</v>
      </c>
      <c r="AR126" s="49">
        <f t="shared" si="138"/>
        <v>36.486924650553803</v>
      </c>
    </row>
    <row r="127" spans="1:45" ht="16.8" x14ac:dyDescent="0.4">
      <c r="A127" s="45"/>
      <c r="B127" s="49">
        <f t="shared" ref="B127:B128" si="139">B126+0.05</f>
        <v>1.0500000000000003</v>
      </c>
      <c r="C127" s="49">
        <f>Sheet1!T57-(Sheet1!T58/Sheet2!B127)</f>
        <v>87.368250899190969</v>
      </c>
      <c r="D127" s="49">
        <f>SQRT(-2*(Sheet1!T57^2*LN(Sheet2!B127)+Sheet1!T57*Sheet1!T58/Sheet2!B127-Sheet1!T57*Sheet1!T58)+Sheet1!L8^2)</f>
        <v>161.38142787614552</v>
      </c>
      <c r="E127" s="49">
        <f t="shared" si="130"/>
        <v>28.430111094415992</v>
      </c>
      <c r="F127" s="49">
        <f t="shared" si="131"/>
        <v>52.195011037529724</v>
      </c>
      <c r="G127" s="49">
        <f>2*3.14*Sheet1!H12*Sheet1!P8*Sheet2!B127</f>
        <v>295.38253135276022</v>
      </c>
      <c r="H127" s="50">
        <f>1+Sheet1!T57/Sheet1!C24-2*Sheet1!T57/Sheet1!C24/Sheet2!B127</f>
        <v>0.54761904761904789</v>
      </c>
      <c r="AI127" s="49">
        <f t="shared" ref="AI127:AI129" si="140">B127</f>
        <v>1.0500000000000003</v>
      </c>
      <c r="AJ127" s="49">
        <f t="shared" si="129"/>
        <v>52.195011037529724</v>
      </c>
      <c r="AK127" s="49">
        <f>(AI127-1)/(AI129-1)*(B138-1)+1</f>
        <v>1.0468043412118542</v>
      </c>
      <c r="AL127" s="69">
        <f t="shared" si="132"/>
        <v>32.562095019556097</v>
      </c>
      <c r="AM127" s="50">
        <f t="shared" si="133"/>
        <v>0.14205216386362382</v>
      </c>
      <c r="AN127" s="49">
        <f t="shared" si="134"/>
        <v>22.883577755014997</v>
      </c>
      <c r="AO127" s="49">
        <f t="shared" si="135"/>
        <v>52.195011037529724</v>
      </c>
      <c r="AP127" s="49">
        <f t="shared" si="136"/>
        <v>29.311433282514727</v>
      </c>
      <c r="AQ127" s="78">
        <f t="shared" si="137"/>
        <v>1.8698403518005568E-2</v>
      </c>
      <c r="AR127" s="49">
        <f t="shared" si="138"/>
        <v>40.458206685018958</v>
      </c>
    </row>
    <row r="128" spans="1:45" ht="16.8" x14ac:dyDescent="0.4">
      <c r="A128" s="45"/>
      <c r="B128" s="49">
        <f t="shared" si="139"/>
        <v>1.1000000000000003</v>
      </c>
      <c r="C128" s="49">
        <f>Sheet1!T57-(Sheet1!T58/Sheet2!B128)</f>
        <v>89.790528052101351</v>
      </c>
      <c r="D128" s="49">
        <f>SQRT(-2*(Sheet1!T57^2*LN(Sheet2!B128)+Sheet1!T57*Sheet1!T58/Sheet2!B128-Sheet1!T57*Sheet1!T58)+Sheet1!L8^2)</f>
        <v>157.74858656580108</v>
      </c>
      <c r="E128" s="49">
        <f t="shared" si="130"/>
        <v>29.648540920097133</v>
      </c>
      <c r="F128" s="49">
        <f t="shared" si="131"/>
        <v>54.31575702601063</v>
      </c>
      <c r="G128" s="49">
        <f>2*3.14*Sheet1!H12*Sheet1!P8*Sheet2!B128</f>
        <v>309.44836617908214</v>
      </c>
      <c r="H128" s="50">
        <f>1+Sheet1!T57/Sheet1!C24-2*Sheet1!T57/Sheet1!C24/Sheet2!B128</f>
        <v>0.59090909090909116</v>
      </c>
      <c r="AI128" s="49">
        <f t="shared" si="140"/>
        <v>1.1000000000000003</v>
      </c>
      <c r="AJ128" s="49">
        <f t="shared" si="129"/>
        <v>54.31575702601063</v>
      </c>
      <c r="AK128" s="49">
        <f>(AI128-1)/(AI129-1)*(B138-1)+1</f>
        <v>1.0936086824237081</v>
      </c>
      <c r="AL128" s="69">
        <f t="shared" si="132"/>
        <v>37.78110983647295</v>
      </c>
      <c r="AM128" s="50">
        <f t="shared" si="133"/>
        <v>0.15893761437494341</v>
      </c>
      <c r="AN128" s="49">
        <f t="shared" si="134"/>
        <v>19.659239875826266</v>
      </c>
      <c r="AO128" s="49">
        <f t="shared" si="135"/>
        <v>54.31575702601063</v>
      </c>
      <c r="AP128" s="49">
        <f t="shared" si="136"/>
        <v>34.656517150184364</v>
      </c>
      <c r="AQ128" s="78">
        <f t="shared" si="137"/>
        <v>1.5895690299557133E-2</v>
      </c>
      <c r="AR128" s="49">
        <f t="shared" si="138"/>
        <v>44.299543041747931</v>
      </c>
    </row>
    <row r="129" spans="1:45" ht="16.8" x14ac:dyDescent="0.4">
      <c r="A129" s="45"/>
      <c r="B129" s="49">
        <f>Sheet1!T53/Sheet1!P8</f>
        <v>1.1556935261735146</v>
      </c>
      <c r="C129" s="49">
        <f>Sheet1!T57-(Sheet1!T58/Sheet2!B129)</f>
        <v>92.241877144362476</v>
      </c>
      <c r="D129" s="49">
        <f>SQRT(-2*(Sheet1!T57^2*LN(Sheet2!B129)+Sheet1!T57*Sheet1!T58/Sheet2!B129-Sheet1!T57*Sheet1!T58)+Sheet1!L8^2)</f>
        <v>153.68755618825878</v>
      </c>
      <c r="E129" s="49">
        <f>DEGREES(ATAN(C129/D129))</f>
        <v>30.971799555514238</v>
      </c>
      <c r="F129" s="49">
        <f>DEGREES(ATAN((G129/D129)-TAN(RADIANS(E129))))</f>
        <v>56.576780821978559</v>
      </c>
      <c r="G129" s="49">
        <f>2*3.14*Sheet1!H12*Sheet1!P8*Sheet2!B129</f>
        <v>325.11588498012395</v>
      </c>
      <c r="H129" s="50">
        <f>1+Sheet1!T57/Sheet1!C24-2*Sheet1!T57/Sheet1!C24/Sheet2!B129</f>
        <v>0.63471869716966722</v>
      </c>
      <c r="AI129" s="49">
        <f t="shared" si="140"/>
        <v>1.1556935261735146</v>
      </c>
      <c r="AJ129" s="49">
        <f t="shared" si="129"/>
        <v>56.576780821978559</v>
      </c>
      <c r="AK129" s="49">
        <f>(AI129-1)/(AI129-1)*(B138-1)+1</f>
        <v>1.1457426584700376</v>
      </c>
      <c r="AL129" s="69">
        <f>F138</f>
        <v>43.319279622162803</v>
      </c>
      <c r="AM129" s="50">
        <f t="shared" si="133"/>
        <v>0.18083582491707775</v>
      </c>
      <c r="AN129" s="49">
        <f t="shared" si="134"/>
        <v>16.184180904241483</v>
      </c>
      <c r="AO129" s="49">
        <f t="shared" si="135"/>
        <v>56.576780821978559</v>
      </c>
      <c r="AP129" s="49">
        <f t="shared" si="136"/>
        <v>40.392599917737073</v>
      </c>
      <c r="AQ129" s="78">
        <f t="shared" si="137"/>
        <v>1.2962701862659619E-2</v>
      </c>
      <c r="AR129" s="49">
        <f t="shared" si="138"/>
        <v>48.380832377872295</v>
      </c>
    </row>
    <row r="130" spans="1:45" ht="19.2" x14ac:dyDescent="0.4">
      <c r="A130" s="45"/>
      <c r="B130" s="101" t="s">
        <v>89</v>
      </c>
      <c r="C130" s="101"/>
      <c r="D130" s="101"/>
      <c r="E130" s="101"/>
      <c r="F130" s="101"/>
      <c r="G130" s="101"/>
      <c r="H130" s="101"/>
      <c r="AI130" s="99" t="s">
        <v>122</v>
      </c>
      <c r="AJ130" s="99"/>
      <c r="AK130" s="99"/>
      <c r="AL130" s="99"/>
      <c r="AM130" s="99"/>
      <c r="AN130" s="99"/>
      <c r="AO130" s="99"/>
      <c r="AP130" s="99"/>
      <c r="AQ130" s="99"/>
      <c r="AR130" s="99"/>
    </row>
    <row r="131" spans="1:45" ht="19.2" x14ac:dyDescent="0.4">
      <c r="A131" s="45"/>
      <c r="B131" s="46" t="s">
        <v>84</v>
      </c>
      <c r="C131" s="46" t="s">
        <v>55</v>
      </c>
      <c r="D131" s="46" t="s">
        <v>90</v>
      </c>
      <c r="E131" s="46" t="s">
        <v>56</v>
      </c>
      <c r="F131" s="46" t="s">
        <v>58</v>
      </c>
      <c r="G131" s="46" t="s">
        <v>86</v>
      </c>
      <c r="H131" s="46" t="s">
        <v>85</v>
      </c>
      <c r="AI131" s="75" t="s">
        <v>83</v>
      </c>
      <c r="AJ131" s="75" t="s">
        <v>15</v>
      </c>
      <c r="AK131" s="75" t="s">
        <v>84</v>
      </c>
      <c r="AL131" s="75" t="s">
        <v>56</v>
      </c>
      <c r="AM131" s="75" t="s">
        <v>115</v>
      </c>
      <c r="AN131" s="75" t="s">
        <v>118</v>
      </c>
      <c r="AO131" s="75" t="s">
        <v>119</v>
      </c>
      <c r="AP131" s="75" t="s">
        <v>120</v>
      </c>
      <c r="AQ131" s="75" t="s">
        <v>143</v>
      </c>
      <c r="AR131" s="75" t="s">
        <v>144</v>
      </c>
    </row>
    <row r="132" spans="1:45" ht="16.8" x14ac:dyDescent="0.4">
      <c r="A132" s="45"/>
      <c r="B132" s="49">
        <f>Sheet1!T56/Sheet1!P8</f>
        <v>0.85425734152996224</v>
      </c>
      <c r="C132" s="49">
        <f>Sheet1!T57+(Sheet1!T58/Sheet2!B132)</f>
        <v>206.15922196014949</v>
      </c>
      <c r="D132" s="49">
        <f>SQRT(-2*(Sheet1!T57^2*LN(Sheet2!B132)-Sheet1!T57*Sheet1!T58/Sheet2!B132+Sheet1!T57*Sheet1!T58)+Sheet1!L8^2)</f>
        <v>190.11478201777516</v>
      </c>
      <c r="E132" s="49">
        <f>DEGREES(ATAN(C132/D132))</f>
        <v>47.318539327988972</v>
      </c>
      <c r="F132" s="49">
        <f>DEGREES(ATAN((G132/D132)-TAN(RADIANS(E132))))</f>
        <v>10.185573326334046</v>
      </c>
      <c r="G132" s="49">
        <f>2*3.14*Sheet1!H12*Sheet1!P8*Sheet2!B132</f>
        <v>240.31685330266632</v>
      </c>
      <c r="H132" s="50">
        <f>1+Sheet1!T57/Sheet1!C24-2*Sheet1!T57/Sheet1!C24/Sheet2!B132</f>
        <v>0.32939255961322522</v>
      </c>
      <c r="AI132" s="49">
        <f t="shared" ref="AI132:AI136" si="141">B132</f>
        <v>0.85425734152996224</v>
      </c>
      <c r="AJ132" s="49">
        <f t="shared" ref="AJ132:AJ134" si="142">E132</f>
        <v>47.318539327988972</v>
      </c>
      <c r="AK132" s="49">
        <f>(1-AI132)/(1-AI132)*(B146-1)+1</f>
        <v>0.86420820923343933</v>
      </c>
      <c r="AL132" s="49">
        <f>E146</f>
        <v>26.848375933631058</v>
      </c>
      <c r="AM132" s="50">
        <f>(0.23*(2*0.3)^2+AL132/500)*SQRT((1.55/(TAN(RADIANS(AJ132))-TAN(RADIANS(AL132)))-1)/1.5)</f>
        <v>0.14448672947199173</v>
      </c>
      <c r="AN132" s="49">
        <f>(AO132-AL132)/(1-AM132)</f>
        <v>23.92734759301171</v>
      </c>
      <c r="AO132" s="49">
        <f>AJ132</f>
        <v>47.318539327988972</v>
      </c>
      <c r="AP132" s="49">
        <f>AO132-AN132</f>
        <v>23.391191734977262</v>
      </c>
      <c r="AQ132" s="78">
        <f>(SQRT(1+(4*TAN(RADIANS(AN132)))^2*(0.3-0.3^2-3/16))-1)/(4*TAN(RADIANS(AN132)))</f>
        <v>1.9625169653712984E-2</v>
      </c>
      <c r="AR132" s="49">
        <f>AO132-DEGREES(ATAN(AQ132/0.3^2))</f>
        <v>35.017326176434239</v>
      </c>
    </row>
    <row r="133" spans="1:45" ht="16.8" x14ac:dyDescent="0.4">
      <c r="A133" s="45"/>
      <c r="B133" s="49">
        <f>CEILING(Sheet1!T56/Sheet1!P8,0.05)</f>
        <v>0.9</v>
      </c>
      <c r="C133" s="49">
        <f>Sheet1!T57+(Sheet1!T58/Sheet2!B133)</f>
        <v>202.83012852125199</v>
      </c>
      <c r="D133" s="49">
        <f>SQRT(-2*(Sheet1!T57^2*LN(Sheet2!B133)-Sheet1!T57*Sheet1!T58/Sheet2!B133+Sheet1!T57*Sheet1!T58)+Sheet1!L8^2)</f>
        <v>182.05236422508355</v>
      </c>
      <c r="E133" s="49">
        <f t="shared" ref="E133:E137" si="143">DEGREES(ATAN(C133/D133))</f>
        <v>48.090095687224952</v>
      </c>
      <c r="F133" s="49">
        <f t="shared" ref="F133:F137" si="144">DEGREES(ATAN((G133/D133)-TAN(RADIANS(E133))))</f>
        <v>15.461214553422895</v>
      </c>
      <c r="G133" s="49">
        <f>2*3.14*Sheet1!H12*Sheet1!P8*Sheet2!B133</f>
        <v>253.18502687379444</v>
      </c>
      <c r="H133" s="50">
        <f>1+Sheet1!T57/Sheet1!C24-2*Sheet1!T57/Sheet1!C24/Sheet2!B133</f>
        <v>0.38888888888888884</v>
      </c>
      <c r="AI133" s="66">
        <f t="shared" si="141"/>
        <v>0.9</v>
      </c>
      <c r="AJ133" s="66">
        <f t="shared" si="142"/>
        <v>48.090095687224952</v>
      </c>
      <c r="AK133" s="49">
        <f>(1-AI133)/(1-AI132)*(B146-1)+1</f>
        <v>0.90682769740029334</v>
      </c>
      <c r="AL133" s="49">
        <f t="shared" ref="AL133:AL137" si="145">-9.5923*AK133^4+ 50.143*AK133^3- 98.593*AK133^2+ 109.04*AK133- 20.765</f>
        <v>27.944713562467818</v>
      </c>
      <c r="AM133" s="50">
        <f t="shared" ref="AM133:AM138" si="146">(0.23*(2*0.3)^2+AL133/500)*SQRT((1.55/(TAN(RADIANS(AJ133))-TAN(RADIANS(AL133)))-1)/1.5)</f>
        <v>0.14570810563186656</v>
      </c>
      <c r="AN133" s="49">
        <f t="shared" ref="AN133:AN138" si="147">(AO133-AL133)/(1-AM133)</f>
        <v>23.581380389494878</v>
      </c>
      <c r="AO133" s="49">
        <f t="shared" ref="AO133:AO138" si="148">AJ133</f>
        <v>48.090095687224952</v>
      </c>
      <c r="AP133" s="49">
        <f t="shared" ref="AP133:AP138" si="149">AO133-AN133</f>
        <v>24.508715297730074</v>
      </c>
      <c r="AQ133" s="78">
        <f t="shared" ref="AQ133:AQ138" si="150">(SQRT(1+(4*TAN(RADIANS(AN133)))^2*(0.3-0.3^2-3/16))-1)/(4*TAN(RADIANS(AN133)))</f>
        <v>1.9316850410371476E-2</v>
      </c>
      <c r="AR133" s="49">
        <f t="shared" ref="AR133:AR138" si="151">AO133-DEGREES(ATAN(AQ133/0.3^2))</f>
        <v>35.976388310043042</v>
      </c>
    </row>
    <row r="134" spans="1:45" ht="16.8" x14ac:dyDescent="0.4">
      <c r="A134" s="45"/>
      <c r="B134" s="49">
        <f>B133+0.05</f>
        <v>0.95000000000000007</v>
      </c>
      <c r="C134" s="49">
        <f>Sheet1!T57+(Sheet1!T58/Sheet2!B134)</f>
        <v>199.55792956030288</v>
      </c>
      <c r="D134" s="49">
        <f>SQRT(-2*(Sheet1!T57^2*LN(Sheet2!B134)-Sheet1!T57*Sheet1!T58/Sheet2!B134+Sheet1!T57*Sheet1!T58)+Sheet1!L8^2)</f>
        <v>173.44487291903258</v>
      </c>
      <c r="E134" s="49">
        <f t="shared" si="143"/>
        <v>49.004610185365216</v>
      </c>
      <c r="F134" s="49">
        <f t="shared" si="144"/>
        <v>21.319955731995684</v>
      </c>
      <c r="G134" s="49">
        <f>2*3.14*Sheet1!H12*Sheet1!P8*Sheet2!B134</f>
        <v>267.25086170011633</v>
      </c>
      <c r="H134" s="50">
        <f>1+Sheet1!T57/Sheet1!C24-2*Sheet1!T57/Sheet1!C24/Sheet2!B134</f>
        <v>0.44736842105263164</v>
      </c>
      <c r="AI134" s="49">
        <f t="shared" si="141"/>
        <v>0.95000000000000007</v>
      </c>
      <c r="AJ134" s="49">
        <f t="shared" si="142"/>
        <v>49.004610185365216</v>
      </c>
      <c r="AK134" s="49">
        <f>(1-AI134)/(1-AI132)*(B146-1)+1</f>
        <v>0.95341384870014667</v>
      </c>
      <c r="AL134" s="49">
        <f t="shared" si="145"/>
        <v>29.105003363540625</v>
      </c>
      <c r="AM134" s="50">
        <f t="shared" si="146"/>
        <v>0.14609321614056553</v>
      </c>
      <c r="AN134" s="49">
        <f t="shared" si="147"/>
        <v>23.304191040482888</v>
      </c>
      <c r="AO134" s="49">
        <f t="shared" si="148"/>
        <v>49.004610185365216</v>
      </c>
      <c r="AP134" s="49">
        <f t="shared" si="149"/>
        <v>25.700419144882328</v>
      </c>
      <c r="AQ134" s="78">
        <f t="shared" si="150"/>
        <v>1.907064218556238E-2</v>
      </c>
      <c r="AR134" s="49">
        <f t="shared" si="151"/>
        <v>37.040825070306489</v>
      </c>
    </row>
    <row r="135" spans="1:45" ht="16.8" x14ac:dyDescent="0.4">
      <c r="A135" s="45"/>
      <c r="B135" s="49">
        <f>B134+0.05</f>
        <v>1</v>
      </c>
      <c r="C135" s="49">
        <f>Sheet1!T57+(Sheet1!T58/Sheet2!B135)</f>
        <v>196.6129504954487</v>
      </c>
      <c r="D135" s="49">
        <f>SQRT(-2*(Sheet1!T57^2*LN(Sheet2!B135)-Sheet1!T57*Sheet1!T58/Sheet2!B135+Sheet1!T57*Sheet1!T58)+Sheet1!L8^2)</f>
        <v>165</v>
      </c>
      <c r="E135" s="49">
        <f t="shared" si="143"/>
        <v>49.996213091245593</v>
      </c>
      <c r="F135" s="49">
        <f t="shared" si="144"/>
        <v>27.173970648414446</v>
      </c>
      <c r="G135" s="49">
        <f>2*3.14*Sheet1!H12*Sheet1!P8*Sheet2!B135</f>
        <v>281.31669652643825</v>
      </c>
      <c r="H135" s="50">
        <f>1+Sheet1!T57/Sheet1!C24-2*Sheet1!T57/Sheet1!C24/Sheet2!B135</f>
        <v>0.5</v>
      </c>
      <c r="AI135" s="49">
        <f t="shared" si="141"/>
        <v>1</v>
      </c>
      <c r="AJ135" s="49">
        <f>E135</f>
        <v>49.996213091245593</v>
      </c>
      <c r="AK135" s="49">
        <f>(1-AI135)/(1-AI132)*(B146-1)+1</f>
        <v>1</v>
      </c>
      <c r="AL135" s="49">
        <f t="shared" si="145"/>
        <v>30.232700000000001</v>
      </c>
      <c r="AM135" s="50">
        <f t="shared" si="146"/>
        <v>0.14544214015473345</v>
      </c>
      <c r="AN135" s="49">
        <f t="shared" si="147"/>
        <v>23.127179585972261</v>
      </c>
      <c r="AO135" s="49">
        <f t="shared" si="148"/>
        <v>49.996213091245593</v>
      </c>
      <c r="AP135" s="49">
        <f t="shared" si="149"/>
        <v>26.869033505273332</v>
      </c>
      <c r="AQ135" s="78">
        <f t="shared" si="150"/>
        <v>1.8913790149862258E-2</v>
      </c>
      <c r="AR135" s="49">
        <f t="shared" si="151"/>
        <v>38.128025952427407</v>
      </c>
    </row>
    <row r="136" spans="1:45" ht="16.8" x14ac:dyDescent="0.4">
      <c r="A136" s="45"/>
      <c r="B136" s="49">
        <f t="shared" ref="B136:B137" si="152">B135+0.05</f>
        <v>1.05</v>
      </c>
      <c r="C136" s="49">
        <f>Sheet1!T57+(Sheet1!T58/Sheet2!B136)</f>
        <v>193.94844562724728</v>
      </c>
      <c r="D136" s="49">
        <f>SQRT(-2*(Sheet1!T57^2*LN(Sheet2!B136)-Sheet1!T57*Sheet1!T58/Sheet2!B136+Sheet1!T57*Sheet1!T58)+Sheet1!L8^2)</f>
        <v>156.66788390905617</v>
      </c>
      <c r="E136" s="49">
        <f t="shared" si="143"/>
        <v>51.069378535576305</v>
      </c>
      <c r="F136" s="49">
        <f t="shared" si="144"/>
        <v>32.920900318569764</v>
      </c>
      <c r="G136" s="49">
        <f>2*3.14*Sheet1!H12*Sheet1!P8*Sheet2!B136</f>
        <v>295.38253135276017</v>
      </c>
      <c r="H136" s="50">
        <f>1+Sheet1!T57/Sheet1!C24-2*Sheet1!T57/Sheet1!C24/Sheet2!B136</f>
        <v>0.54761904761904767</v>
      </c>
      <c r="AI136" s="49">
        <f t="shared" si="141"/>
        <v>1.05</v>
      </c>
      <c r="AJ136" s="49">
        <f t="shared" ref="AJ136" si="153">E136</f>
        <v>51.069378535576305</v>
      </c>
      <c r="AK136" s="49">
        <f>(AI136-1)/(AI138-1)*(B152-1)+1</f>
        <v>1.0465861512998536</v>
      </c>
      <c r="AL136" s="49">
        <f t="shared" si="145"/>
        <v>31.335487941843375</v>
      </c>
      <c r="AM136" s="50">
        <f t="shared" si="146"/>
        <v>0.1437065443505979</v>
      </c>
      <c r="AN136" s="49">
        <f t="shared" si="147"/>
        <v>23.045709929859267</v>
      </c>
      <c r="AO136" s="49">
        <f t="shared" si="148"/>
        <v>51.069378535576305</v>
      </c>
      <c r="AP136" s="49">
        <f t="shared" si="149"/>
        <v>28.023668605717038</v>
      </c>
      <c r="AQ136" s="78">
        <f t="shared" si="150"/>
        <v>1.8841696166680452E-2</v>
      </c>
      <c r="AR136" s="49">
        <f t="shared" si="151"/>
        <v>39.245153676877749</v>
      </c>
    </row>
    <row r="137" spans="1:45" ht="16.8" x14ac:dyDescent="0.4">
      <c r="A137" s="45"/>
      <c r="B137" s="49">
        <f t="shared" si="152"/>
        <v>1.1000000000000001</v>
      </c>
      <c r="C137" s="49">
        <f>Sheet1!T57+(Sheet1!T58/Sheet2!B137)</f>
        <v>191.52616847433691</v>
      </c>
      <c r="D137" s="49">
        <f>SQRT(-2*(Sheet1!T57^2*LN(Sheet2!B137)-Sheet1!T57*Sheet1!T58/Sheet2!B137+Sheet1!T57*Sheet1!T58)+Sheet1!L8^2)</f>
        <v>148.40021271969101</v>
      </c>
      <c r="E137" s="49">
        <f t="shared" si="143"/>
        <v>52.230403064525504</v>
      </c>
      <c r="F137" s="49">
        <f t="shared" si="144"/>
        <v>38.471455810125455</v>
      </c>
      <c r="G137" s="49">
        <f>2*3.14*Sheet1!H12*Sheet1!P8*Sheet2!B137</f>
        <v>309.44836617908209</v>
      </c>
      <c r="H137" s="50">
        <f>1+Sheet1!T57/Sheet1!C24-2*Sheet1!T57/Sheet1!C24/Sheet2!B137</f>
        <v>0.59090909090909094</v>
      </c>
      <c r="AI137" s="49">
        <f>B137</f>
        <v>1.1000000000000001</v>
      </c>
      <c r="AJ137" s="49">
        <f>E137</f>
        <v>52.230403064525504</v>
      </c>
      <c r="AK137" s="49">
        <f>(AI137-1)/(AI138-1)*(B152-1)+1</f>
        <v>1.0931723025997069</v>
      </c>
      <c r="AL137" s="49">
        <f t="shared" si="145"/>
        <v>32.419967329436602</v>
      </c>
      <c r="AM137" s="50">
        <f t="shared" si="146"/>
        <v>0.14081971944421551</v>
      </c>
      <c r="AN137" s="49">
        <f t="shared" si="147"/>
        <v>23.057367799775356</v>
      </c>
      <c r="AO137" s="49">
        <f t="shared" si="148"/>
        <v>52.230403064525504</v>
      </c>
      <c r="AP137" s="49">
        <f t="shared" si="149"/>
        <v>29.173035264750148</v>
      </c>
      <c r="AQ137" s="78">
        <f t="shared" si="150"/>
        <v>1.8852008685231954E-2</v>
      </c>
      <c r="AR137" s="49">
        <f t="shared" si="151"/>
        <v>40.39988885527508</v>
      </c>
    </row>
    <row r="138" spans="1:45" ht="16.8" x14ac:dyDescent="0.4">
      <c r="A138" s="45"/>
      <c r="B138" s="49">
        <f>Sheet1!T55/Sheet1!P8</f>
        <v>1.1457426584700376</v>
      </c>
      <c r="C138" s="49">
        <f>Sheet1!T57+(Sheet1!T58/Sheet2!B138)</f>
        <v>189.49532035165328</v>
      </c>
      <c r="D138" s="49">
        <f>SQRT(-2*(Sheet1!T57^2*LN(Sheet2!B138)-Sheet1!T57*Sheet1!T58/Sheet2!B138+Sheet1!T57*Sheet1!T58)+Sheet1!L8^2)</f>
        <v>140.85146596909524</v>
      </c>
      <c r="E138" s="49">
        <f>DEGREES(ATAN(C138/D138))</f>
        <v>53.376656809338314</v>
      </c>
      <c r="F138" s="49">
        <f>DEGREES(ATAN((G138/D138)-TAN(RADIANS(E138))))</f>
        <v>43.319279622162803</v>
      </c>
      <c r="G138" s="49">
        <f>2*3.14*Sheet1!H12*Sheet1!P8*Sheet2!B138</f>
        <v>322.31653975021015</v>
      </c>
      <c r="H138" s="50">
        <f>1+Sheet1!T57/Sheet1!C24-2*Sheet1!T57/Sheet1!C24/Sheet2!B138</f>
        <v>0.62720365903514008</v>
      </c>
      <c r="AI138" s="49">
        <f t="shared" ref="AI138" si="154">B138</f>
        <v>1.1457426584700376</v>
      </c>
      <c r="AJ138" s="49">
        <f t="shared" ref="AJ138" si="155">E138</f>
        <v>53.376656809338314</v>
      </c>
      <c r="AK138" s="49">
        <f>(AI138-1)/(AI138-1)*(B152-1)+1</f>
        <v>1.1357917907665607</v>
      </c>
      <c r="AL138" s="49">
        <f>E152</f>
        <v>33.402522552792909</v>
      </c>
      <c r="AM138" s="50">
        <f t="shared" si="146"/>
        <v>0.1371021478935413</v>
      </c>
      <c r="AN138" s="49">
        <f t="shared" si="147"/>
        <v>23.147738991104969</v>
      </c>
      <c r="AO138" s="49">
        <f t="shared" si="148"/>
        <v>53.376656809338314</v>
      </c>
      <c r="AP138" s="49">
        <f t="shared" si="149"/>
        <v>30.228917818233345</v>
      </c>
      <c r="AQ138" s="78">
        <f t="shared" si="150"/>
        <v>1.8931993205206516E-2</v>
      </c>
      <c r="AR138" s="49">
        <f t="shared" si="151"/>
        <v>41.497371845940343</v>
      </c>
    </row>
    <row r="139" spans="1:45" ht="16.8" x14ac:dyDescent="0.4">
      <c r="A139" s="45"/>
      <c r="B139" s="45"/>
      <c r="C139" s="45"/>
      <c r="D139" s="45"/>
      <c r="E139" s="45"/>
      <c r="F139" s="45"/>
      <c r="G139" s="45"/>
      <c r="H139" s="45"/>
      <c r="AI139" s="70"/>
      <c r="AJ139" s="70"/>
      <c r="AK139" s="70"/>
      <c r="AL139" s="70"/>
      <c r="AM139" s="71"/>
      <c r="AN139" s="71"/>
      <c r="AO139" s="71"/>
      <c r="AP139" s="71"/>
    </row>
    <row r="140" spans="1:45" ht="15" customHeight="1" x14ac:dyDescent="0.4">
      <c r="A140" s="28"/>
      <c r="B140" s="28"/>
      <c r="C140" s="28"/>
      <c r="D140" s="28"/>
      <c r="E140" s="28"/>
      <c r="F140" s="28"/>
      <c r="G140" s="28"/>
      <c r="H140" s="28"/>
      <c r="I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ht="24.6" customHeight="1" x14ac:dyDescent="0.65">
      <c r="A141" s="27"/>
      <c r="B141" s="24" t="s">
        <v>47</v>
      </c>
      <c r="C141" s="24"/>
      <c r="D141" s="24"/>
      <c r="E141" s="24"/>
      <c r="F141" s="24"/>
      <c r="G141" s="24"/>
      <c r="H141" s="27"/>
      <c r="I141" s="18"/>
      <c r="AH141" s="18"/>
      <c r="AI141" s="88" t="s">
        <v>47</v>
      </c>
      <c r="AJ141" s="98"/>
      <c r="AK141" s="98"/>
      <c r="AL141" s="98"/>
      <c r="AM141" s="98"/>
      <c r="AN141" s="98"/>
      <c r="AO141" s="98"/>
      <c r="AP141" s="98"/>
      <c r="AQ141" s="18"/>
      <c r="AR141" s="18"/>
      <c r="AS141" s="18"/>
    </row>
    <row r="142" spans="1:45" ht="16.8" x14ac:dyDescent="0.4">
      <c r="A142" s="29"/>
      <c r="B142" s="29"/>
      <c r="C142" s="29"/>
      <c r="D142" s="29"/>
      <c r="E142" s="29"/>
      <c r="F142" s="29"/>
      <c r="G142" s="29"/>
      <c r="H142" s="29"/>
      <c r="I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</row>
    <row r="143" spans="1:45" ht="16.8" x14ac:dyDescent="0.4">
      <c r="A143" s="45"/>
      <c r="B143" s="45"/>
      <c r="C143" s="45"/>
      <c r="D143" s="45"/>
      <c r="E143" s="45"/>
      <c r="F143" s="45"/>
      <c r="G143" s="45"/>
      <c r="H143" s="45"/>
    </row>
    <row r="144" spans="1:45" ht="19.2" x14ac:dyDescent="0.4">
      <c r="A144" s="45"/>
      <c r="B144" s="101" t="s">
        <v>88</v>
      </c>
      <c r="C144" s="101"/>
      <c r="D144" s="101"/>
      <c r="E144" s="101"/>
      <c r="F144" s="101"/>
      <c r="G144" s="101"/>
      <c r="H144" s="101"/>
      <c r="AI144" s="99" t="s">
        <v>121</v>
      </c>
      <c r="AJ144" s="99"/>
      <c r="AK144" s="99"/>
      <c r="AL144" s="99"/>
      <c r="AM144" s="99"/>
      <c r="AN144" s="99"/>
      <c r="AO144" s="99"/>
      <c r="AP144" s="99"/>
      <c r="AQ144" s="99"/>
      <c r="AR144" s="99"/>
    </row>
    <row r="145" spans="1:44" ht="19.2" x14ac:dyDescent="0.4">
      <c r="A145" s="45"/>
      <c r="B145" s="46" t="s">
        <v>83</v>
      </c>
      <c r="C145" s="46" t="s">
        <v>54</v>
      </c>
      <c r="D145" s="46" t="s">
        <v>22</v>
      </c>
      <c r="E145" s="46" t="s">
        <v>15</v>
      </c>
      <c r="F145" s="46" t="s">
        <v>57</v>
      </c>
      <c r="G145" s="46" t="s">
        <v>86</v>
      </c>
      <c r="H145" s="46" t="s">
        <v>85</v>
      </c>
      <c r="AI145" s="75" t="s">
        <v>83</v>
      </c>
      <c r="AJ145" s="75" t="s">
        <v>57</v>
      </c>
      <c r="AK145" s="75" t="s">
        <v>84</v>
      </c>
      <c r="AL145" s="75" t="s">
        <v>58</v>
      </c>
      <c r="AM145" s="75" t="s">
        <v>115</v>
      </c>
      <c r="AN145" s="75" t="s">
        <v>118</v>
      </c>
      <c r="AO145" s="75" t="s">
        <v>116</v>
      </c>
      <c r="AP145" s="75" t="s">
        <v>117</v>
      </c>
      <c r="AQ145" s="75" t="s">
        <v>143</v>
      </c>
      <c r="AR145" s="75" t="s">
        <v>144</v>
      </c>
    </row>
    <row r="146" spans="1:44" ht="16.8" x14ac:dyDescent="0.4">
      <c r="A146" s="45"/>
      <c r="B146" s="49">
        <f>Sheet1!X54/Sheet1!P8</f>
        <v>0.86420820923343933</v>
      </c>
      <c r="C146" s="49">
        <f>Sheet1!X57-(Sheet1!X58/Sheet2!B146)</f>
        <v>89.172611826587769</v>
      </c>
      <c r="D146" s="49">
        <f>SQRT(-2*(Sheet1!X57^2*LN(Sheet2!B146)+Sheet1!X57*Sheet1!X58/Sheet2!B146-Sheet1!X57*Sheet1!X58)+Sheet1!L8^2)</f>
        <v>176.16202698506439</v>
      </c>
      <c r="E146" s="49">
        <f>DEGREES(ATAN(C146/D146))</f>
        <v>26.848375933631058</v>
      </c>
      <c r="F146" s="49">
        <f>DEGREES(ATAN((G146/D146)-TAN(RADIANS(E146))))</f>
        <v>41.149396907439382</v>
      </c>
      <c r="G146" s="49">
        <f>2*3.14*Sheet1!H12*Sheet1!P8*Sheet2!B146</f>
        <v>243.11619853258011</v>
      </c>
      <c r="H146" s="50">
        <f>1+Sheet1!X57/Sheet1!C24-2*Sheet1!X57/Sheet1!C24/Sheet2!B146</f>
        <v>0.34287144079896059</v>
      </c>
      <c r="AI146" s="49">
        <f t="shared" ref="AI146:AI148" si="156">B146</f>
        <v>0.86420820923343933</v>
      </c>
      <c r="AJ146" s="49">
        <f t="shared" ref="AJ146:AJ152" si="157">F146</f>
        <v>41.149396907439382</v>
      </c>
      <c r="AK146" s="49">
        <f>(1-AI146)/(1-AI146)*(B155-1)+1</f>
        <v>0.87113305552162179</v>
      </c>
      <c r="AL146" s="69">
        <f>F155</f>
        <v>16.011774970039607</v>
      </c>
      <c r="AM146" s="50">
        <f>(0.23*(2*0.3)^2+AL146/500)*SQRT((1.55/(TAN(RADIANS(AJ146))-TAN(RADIANS(AL146)))-1)/1.5)</f>
        <v>0.12009770552419215</v>
      </c>
      <c r="AN146" s="49">
        <f>(AO146-AL146)/(1-AM146)</f>
        <v>28.568651423252895</v>
      </c>
      <c r="AO146" s="49">
        <f>AJ146</f>
        <v>41.149396907439382</v>
      </c>
      <c r="AP146" s="49">
        <f>AO146-AN146</f>
        <v>12.580745484186487</v>
      </c>
      <c r="AQ146" s="78">
        <f>(SQRT(1+(4*TAN(RADIANS(AN146)))^2*(0.3-0.3^2-3/16))-1)/(4*TAN(RADIANS(AN146)))</f>
        <v>2.3881758183051632E-2</v>
      </c>
      <c r="AR146" s="49">
        <f>AO146-DEGREES(ATAN(AQ146/0.3^2))</f>
        <v>26.288280251394784</v>
      </c>
    </row>
    <row r="147" spans="1:44" ht="16.8" x14ac:dyDescent="0.4">
      <c r="A147" s="45"/>
      <c r="B147" s="49">
        <f>CEILING(Sheet1!X54/Sheet1!P8,0.05)</f>
        <v>0.9</v>
      </c>
      <c r="C147" s="49">
        <f>Sheet1!X57-(Sheet1!X58/Sheet2!B147)</f>
        <v>91.220130388812436</v>
      </c>
      <c r="D147" s="49">
        <f>SQRT(-2*(Sheet1!X57^2*LN(Sheet2!B147)+Sheet1!X57*Sheet1!X58/Sheet2!B147-Sheet1!X57*Sheet1!X58)+Sheet1!L8^2)</f>
        <v>173.21457133436698</v>
      </c>
      <c r="E147" s="49">
        <f t="shared" ref="E147:E151" si="158">DEGREES(ATAN(C147/D147))</f>
        <v>27.772672952192551</v>
      </c>
      <c r="F147" s="49">
        <f t="shared" ref="F147:F151" si="159">DEGREES(ATAN((G147/D147)-TAN(RADIANS(E147))))</f>
        <v>43.077695424099318</v>
      </c>
      <c r="G147" s="49">
        <f>2*3.14*Sheet1!H12*Sheet1!P8*Sheet2!B147</f>
        <v>253.18502687379444</v>
      </c>
      <c r="H147" s="50">
        <f>1+Sheet1!X57/Sheet1!C24-2*Sheet1!X57/Sheet1!C24/Sheet2!B147</f>
        <v>0.38888888888888884</v>
      </c>
      <c r="AI147" s="66">
        <f t="shared" si="156"/>
        <v>0.9</v>
      </c>
      <c r="AJ147" s="66">
        <f t="shared" si="157"/>
        <v>43.077695424099318</v>
      </c>
      <c r="AK147" s="49">
        <f>(1-AI147)/(1-AI146)*(B155-1)+1</f>
        <v>0.90509960598434624</v>
      </c>
      <c r="AL147" s="69">
        <f t="shared" ref="AL147:AL151" si="160">98.433*AK147^4- 492.78*AK147^3+ 857.19*AK147^2- 521.48*AK147+ 88.874</f>
        <v>19.77753092970525</v>
      </c>
      <c r="AM147" s="50">
        <f t="shared" ref="AM147:AM152" si="161">(0.23*(2*0.3)^2+AL147/500)*SQRT((1.55/(TAN(RADIANS(AJ147))-TAN(RADIANS(AL147)))-1)/1.5)</f>
        <v>0.13000498049938602</v>
      </c>
      <c r="AN147" s="49">
        <f t="shared" ref="AN147:AN152" si="162">(AO147-AL147)/(1-AM147)</f>
        <v>26.781951588376447</v>
      </c>
      <c r="AO147" s="49">
        <f t="shared" ref="AO147:AO152" si="163">AJ147</f>
        <v>43.077695424099318</v>
      </c>
      <c r="AP147" s="49">
        <f t="shared" ref="AP147:AP152" si="164">AO147-AN147</f>
        <v>16.29574383572287</v>
      </c>
      <c r="AQ147" s="78">
        <f t="shared" ref="AQ147:AQ152" si="165">(SQRT(1+(4*TAN(RADIANS(AN147)))^2*(0.3-0.3^2-3/16))-1)/(4*TAN(RADIANS(AN147)))</f>
        <v>2.2215153748791475E-2</v>
      </c>
      <c r="AR147" s="49">
        <f t="shared" ref="AR147:AR152" si="166">AO147-DEGREES(ATAN(AQ147/0.3^2))</f>
        <v>29.212250413546073</v>
      </c>
    </row>
    <row r="148" spans="1:44" ht="16.8" x14ac:dyDescent="0.4">
      <c r="A148" s="45"/>
      <c r="B148" s="49">
        <f>B147+0.05</f>
        <v>0.95000000000000007</v>
      </c>
      <c r="C148" s="49">
        <f>Sheet1!X57-(Sheet1!X58/Sheet2!B148)</f>
        <v>93.822141855886471</v>
      </c>
      <c r="D148" s="49">
        <f>SQRT(-2*(Sheet1!X57^2*LN(Sheet2!B148)+Sheet1!X57*Sheet1!X58/Sheet2!B148-Sheet1!X57*Sheet1!X58)+Sheet1!L8^2)</f>
        <v>169.10311001521526</v>
      </c>
      <c r="E148" s="49">
        <f t="shared" si="158"/>
        <v>29.022481294844923</v>
      </c>
      <c r="F148" s="49">
        <f t="shared" si="159"/>
        <v>45.72351236280911</v>
      </c>
      <c r="G148" s="49">
        <f>2*3.14*Sheet1!H12*Sheet1!P8*Sheet2!B148</f>
        <v>267.25086170011633</v>
      </c>
      <c r="H148" s="50">
        <f>1+Sheet1!X57/Sheet1!C24-2*Sheet1!X57/Sheet1!C24/Sheet2!B148</f>
        <v>0.44736842105263164</v>
      </c>
      <c r="AI148" s="49">
        <f t="shared" si="156"/>
        <v>0.95000000000000007</v>
      </c>
      <c r="AJ148" s="49">
        <f t="shared" si="157"/>
        <v>45.72351236280911</v>
      </c>
      <c r="AK148" s="49">
        <f>(1-AI148)/(1-AI146)*(B155-1)+1</f>
        <v>0.95254980299217318</v>
      </c>
      <c r="AL148" s="69">
        <f t="shared" si="160"/>
        <v>25.040815586541413</v>
      </c>
      <c r="AM148" s="50">
        <f t="shared" si="161"/>
        <v>0.14458130364636967</v>
      </c>
      <c r="AN148" s="49">
        <f t="shared" si="162"/>
        <v>24.178448360354125</v>
      </c>
      <c r="AO148" s="49">
        <f t="shared" si="163"/>
        <v>45.72351236280911</v>
      </c>
      <c r="AP148" s="49">
        <f t="shared" si="164"/>
        <v>21.545064002454986</v>
      </c>
      <c r="AQ148" s="78">
        <f t="shared" si="165"/>
        <v>1.9849666576187891E-2</v>
      </c>
      <c r="AR148" s="49">
        <f t="shared" si="166"/>
        <v>33.285938302778526</v>
      </c>
    </row>
    <row r="149" spans="1:44" ht="16.8" x14ac:dyDescent="0.4">
      <c r="A149" s="45"/>
      <c r="B149" s="49">
        <f>B148+0.05</f>
        <v>1</v>
      </c>
      <c r="C149" s="49">
        <f>Sheet1!X57-(Sheet1!X58/Sheet2!B149)</f>
        <v>96.163952176253105</v>
      </c>
      <c r="D149" s="49">
        <f>SQRT(-2*(Sheet1!X57^2*LN(Sheet2!B149)+Sheet1!X57*Sheet1!X58/Sheet2!B149-Sheet1!X57*Sheet1!X58)+Sheet1!L8^2)</f>
        <v>165</v>
      </c>
      <c r="E149" s="49">
        <f t="shared" si="158"/>
        <v>30.234138320750176</v>
      </c>
      <c r="F149" s="49">
        <f t="shared" si="159"/>
        <v>48.293976145909475</v>
      </c>
      <c r="G149" s="49">
        <f>2*3.14*Sheet1!H12*Sheet1!P8*Sheet2!B149</f>
        <v>281.31669652643825</v>
      </c>
      <c r="H149" s="50">
        <f>1+Sheet1!X57/Sheet1!C24-2*Sheet1!X57/Sheet1!C24/Sheet2!B149</f>
        <v>0.5</v>
      </c>
      <c r="AI149" s="49">
        <f>B149</f>
        <v>1</v>
      </c>
      <c r="AJ149" s="49">
        <f t="shared" si="157"/>
        <v>48.293976145909475</v>
      </c>
      <c r="AK149" s="49">
        <f>(1-AI149)/(1-AI146)*(B155-1)+1</f>
        <v>1</v>
      </c>
      <c r="AL149" s="69">
        <f t="shared" si="160"/>
        <v>30.237000000000052</v>
      </c>
      <c r="AM149" s="50">
        <f t="shared" si="161"/>
        <v>0.16015589723107435</v>
      </c>
      <c r="AN149" s="49">
        <f t="shared" si="162"/>
        <v>21.50039047291806</v>
      </c>
      <c r="AO149" s="49">
        <f t="shared" si="163"/>
        <v>48.293976145909475</v>
      </c>
      <c r="AP149" s="49">
        <f t="shared" si="164"/>
        <v>26.793585672991416</v>
      </c>
      <c r="AQ149" s="78">
        <f t="shared" si="165"/>
        <v>1.7485451670757858E-2</v>
      </c>
      <c r="AR149" s="49">
        <f t="shared" si="166"/>
        <v>37.299359901371176</v>
      </c>
    </row>
    <row r="150" spans="1:44" ht="16.8" x14ac:dyDescent="0.4">
      <c r="A150" s="45"/>
      <c r="B150" s="49">
        <f t="shared" ref="B150:B151" si="167">B149+0.05</f>
        <v>1.05</v>
      </c>
      <c r="C150" s="49">
        <f>Sheet1!X57-(Sheet1!X58/Sheet2!B150)</f>
        <v>98.282732942299106</v>
      </c>
      <c r="D150" s="49">
        <f>SQRT(-2*(Sheet1!X57^2*LN(Sheet2!B150)+Sheet1!X57*Sheet1!X58/Sheet2!B150-Sheet1!X57*Sheet1!X58)+Sheet1!L8^2)</f>
        <v>160.90507748890445</v>
      </c>
      <c r="E150" s="49">
        <f t="shared" si="158"/>
        <v>31.417081100365095</v>
      </c>
      <c r="F150" s="49">
        <f t="shared" si="159"/>
        <v>50.773055461240446</v>
      </c>
      <c r="G150" s="49">
        <f>2*3.14*Sheet1!H12*Sheet1!P8*Sheet2!B150</f>
        <v>295.38253135276017</v>
      </c>
      <c r="H150" s="50">
        <f>1+Sheet1!X57/Sheet1!C24-2*Sheet1!X57/Sheet1!C24/Sheet2!B150</f>
        <v>0.54761904761904767</v>
      </c>
      <c r="AI150" s="49">
        <f t="shared" ref="AI150:AI152" si="168">B150</f>
        <v>1.05</v>
      </c>
      <c r="AJ150" s="49">
        <f t="shared" si="157"/>
        <v>50.773055461240446</v>
      </c>
      <c r="AK150" s="49">
        <f>(AI150-1)/(AI152-1)*(B161-1)+1</f>
        <v>1.0474501970078269</v>
      </c>
      <c r="AL150" s="69">
        <f t="shared" si="160"/>
        <v>35.296605444497146</v>
      </c>
      <c r="AM150" s="50">
        <f t="shared" si="161"/>
        <v>0.17703908649837022</v>
      </c>
      <c r="AN150" s="49">
        <f t="shared" si="162"/>
        <v>18.805814180034748</v>
      </c>
      <c r="AO150" s="49">
        <f t="shared" si="163"/>
        <v>50.773055461240446</v>
      </c>
      <c r="AP150" s="49">
        <f t="shared" si="164"/>
        <v>31.967241281205698</v>
      </c>
      <c r="AQ150" s="78">
        <f t="shared" si="165"/>
        <v>1.5167657170730996E-2</v>
      </c>
      <c r="AR150" s="49">
        <f t="shared" si="166"/>
        <v>41.206915557954126</v>
      </c>
    </row>
    <row r="151" spans="1:44" ht="16.8" x14ac:dyDescent="0.4">
      <c r="A151" s="45"/>
      <c r="B151" s="49">
        <f t="shared" si="167"/>
        <v>1.1000000000000001</v>
      </c>
      <c r="C151" s="49">
        <f>Sheet1!X57-(Sheet1!X58/Sheet2!B151)</f>
        <v>100.2088972750682</v>
      </c>
      <c r="D151" s="49">
        <f>SQRT(-2*(Sheet1!X57^2*LN(Sheet2!B151)+Sheet1!X57*Sheet1!X58/Sheet2!B151-Sheet1!X57*Sheet1!X58)+Sheet1!L8^2)</f>
        <v>156.81686912513035</v>
      </c>
      <c r="E151" s="49">
        <f t="shared" si="158"/>
        <v>32.579334778559975</v>
      </c>
      <c r="F151" s="49">
        <f t="shared" si="159"/>
        <v>53.149863887973972</v>
      </c>
      <c r="G151" s="49">
        <f>2*3.14*Sheet1!H12*Sheet1!P8*Sheet2!B151</f>
        <v>309.44836617908209</v>
      </c>
      <c r="H151" s="50">
        <f>1+Sheet1!X57/Sheet1!C24-2*Sheet1!X57/Sheet1!C24/Sheet2!B151</f>
        <v>0.59090909090909094</v>
      </c>
      <c r="AI151" s="49">
        <f t="shared" si="168"/>
        <v>1.1000000000000001</v>
      </c>
      <c r="AJ151" s="49">
        <f t="shared" si="157"/>
        <v>53.149863887973972</v>
      </c>
      <c r="AK151" s="49">
        <f>(AI151-1)/(AI152-1)*(B161-1)+1</f>
        <v>1.0949003940156539</v>
      </c>
      <c r="AL151" s="69">
        <f t="shared" si="160"/>
        <v>40.162128980890969</v>
      </c>
      <c r="AM151" s="50">
        <f t="shared" si="161"/>
        <v>0.19579221675506717</v>
      </c>
      <c r="AN151" s="49">
        <f t="shared" si="162"/>
        <v>16.149725453636158</v>
      </c>
      <c r="AO151" s="49">
        <f t="shared" si="163"/>
        <v>53.149863887973972</v>
      </c>
      <c r="AP151" s="49">
        <f t="shared" si="164"/>
        <v>37.000138434337813</v>
      </c>
      <c r="AQ151" s="78">
        <f t="shared" si="165"/>
        <v>1.2934015628181476E-2</v>
      </c>
      <c r="AR151" s="49">
        <f t="shared" si="166"/>
        <v>44.97180732789429</v>
      </c>
    </row>
    <row r="152" spans="1:44" ht="16.8" x14ac:dyDescent="0.4">
      <c r="A152" s="45"/>
      <c r="B152" s="49">
        <f>Sheet1!X53/Sheet1!P8</f>
        <v>1.1357917907665607</v>
      </c>
      <c r="C152" s="49">
        <f>Sheet1!X57-(Sheet1!X58/Sheet2!B152)</f>
        <v>101.48356601115145</v>
      </c>
      <c r="D152" s="49">
        <f>SQRT(-2*(Sheet1!X57^2*LN(Sheet2!B152)+Sheet1!X57*Sheet1!X58/Sheet2!B152-Sheet1!X57*Sheet1!X58)+Sheet1!L8^2)</f>
        <v>153.89316295458428</v>
      </c>
      <c r="E152" s="49">
        <f>DEGREES(ATAN(C152/D152))</f>
        <v>33.402522552792909</v>
      </c>
      <c r="F152" s="49">
        <f>DEGREES(ATAN((G152/D152)-TAN(RADIANS(E152))))</f>
        <v>54.784674516864371</v>
      </c>
      <c r="G152" s="49">
        <f>2*3.14*Sheet1!H12*Sheet1!P8*Sheet2!B152</f>
        <v>319.51719452029641</v>
      </c>
      <c r="H152" s="50">
        <f>1+Sheet1!X57/Sheet1!C24-2*Sheet1!X57/Sheet1!C24/Sheet2!B152</f>
        <v>0.61955693981104853</v>
      </c>
      <c r="AI152" s="49">
        <f t="shared" si="168"/>
        <v>1.1357917907665607</v>
      </c>
      <c r="AJ152" s="49">
        <f t="shared" si="157"/>
        <v>54.784674516864371</v>
      </c>
      <c r="AK152" s="49">
        <f>(AI152-1)/(AI152-1)*(B161-1)+1</f>
        <v>1.1288669444783783</v>
      </c>
      <c r="AL152" s="69">
        <f>F161</f>
        <v>43.495548361475606</v>
      </c>
      <c r="AM152" s="50">
        <f t="shared" si="161"/>
        <v>0.21080492519944202</v>
      </c>
      <c r="AN152" s="49">
        <f t="shared" si="162"/>
        <v>14.30460796811448</v>
      </c>
      <c r="AO152" s="49">
        <f t="shared" si="163"/>
        <v>54.784674516864371</v>
      </c>
      <c r="AP152" s="49">
        <f t="shared" si="164"/>
        <v>40.480066548749889</v>
      </c>
      <c r="AQ152" s="78">
        <f t="shared" si="165"/>
        <v>1.1407844201308351E-2</v>
      </c>
      <c r="AR152" s="49">
        <f t="shared" si="166"/>
        <v>47.560738828864103</v>
      </c>
    </row>
    <row r="153" spans="1:44" ht="19.2" x14ac:dyDescent="0.4">
      <c r="A153" s="45"/>
      <c r="B153" s="101" t="s">
        <v>89</v>
      </c>
      <c r="C153" s="101"/>
      <c r="D153" s="101"/>
      <c r="E153" s="101"/>
      <c r="F153" s="101"/>
      <c r="G153" s="101"/>
      <c r="H153" s="101"/>
      <c r="AI153" s="99" t="s">
        <v>122</v>
      </c>
      <c r="AJ153" s="99"/>
      <c r="AK153" s="99"/>
      <c r="AL153" s="99"/>
      <c r="AM153" s="99"/>
      <c r="AN153" s="99"/>
      <c r="AO153" s="99"/>
      <c r="AP153" s="99"/>
      <c r="AQ153" s="99"/>
      <c r="AR153" s="99"/>
    </row>
    <row r="154" spans="1:44" ht="19.2" x14ac:dyDescent="0.4">
      <c r="A154" s="45"/>
      <c r="B154" s="72" t="s">
        <v>84</v>
      </c>
      <c r="C154" s="72" t="s">
        <v>55</v>
      </c>
      <c r="D154" s="72" t="s">
        <v>90</v>
      </c>
      <c r="E154" s="72" t="s">
        <v>56</v>
      </c>
      <c r="F154" s="72" t="s">
        <v>58</v>
      </c>
      <c r="G154" s="72" t="s">
        <v>86</v>
      </c>
      <c r="H154" s="72" t="s">
        <v>85</v>
      </c>
      <c r="AI154" s="75" t="s">
        <v>83</v>
      </c>
      <c r="AJ154" s="75" t="s">
        <v>15</v>
      </c>
      <c r="AK154" s="75" t="s">
        <v>84</v>
      </c>
      <c r="AL154" s="75" t="s">
        <v>56</v>
      </c>
      <c r="AM154" s="75" t="s">
        <v>115</v>
      </c>
      <c r="AN154" s="75" t="s">
        <v>118</v>
      </c>
      <c r="AO154" s="75" t="s">
        <v>119</v>
      </c>
      <c r="AP154" s="75" t="s">
        <v>120</v>
      </c>
      <c r="AQ154" s="75" t="s">
        <v>143</v>
      </c>
      <c r="AR154" s="75" t="s">
        <v>144</v>
      </c>
    </row>
    <row r="155" spans="1:44" ht="16.8" x14ac:dyDescent="0.4">
      <c r="A155" s="45"/>
      <c r="B155" s="49">
        <f>Sheet1!X56/Sheet1!P8</f>
        <v>0.87113305552162179</v>
      </c>
      <c r="C155" s="49">
        <f>Sheet1!X57+(Sheet1!X58/Sheet2!B155)</f>
        <v>191.73481219136548</v>
      </c>
      <c r="D155" s="49">
        <f>SQRT(-2*(Sheet1!X57^2*LN(Sheet2!B155)-Sheet1!X57*Sheet1!X58/Sheet2!B155+Sheet1!X57*Sheet1!X58)+Sheet1!L8^2)</f>
        <v>185.83778254333299</v>
      </c>
      <c r="E155" s="49">
        <f>DEGREES(ATAN(C155/D155))</f>
        <v>45.894788039672527</v>
      </c>
      <c r="F155" s="49">
        <f>DEGREES(ATAN((G155/D155)-TAN(RADIANS(E155))))</f>
        <v>16.011774970039607</v>
      </c>
      <c r="G155" s="49">
        <f>2*3.14*Sheet1!H12*Sheet1!P8*Sheet2!B155</f>
        <v>245.06427341432496</v>
      </c>
      <c r="H155" s="50">
        <f>1+Sheet1!X57/Sheet1!C24-2*Sheet1!X57/Sheet1!C24/Sheet2!B155</f>
        <v>0.35206973416797438</v>
      </c>
      <c r="AI155" s="49">
        <f t="shared" ref="AI155:AI159" si="169">B155</f>
        <v>0.87113305552162179</v>
      </c>
      <c r="AJ155" s="49">
        <f t="shared" ref="AJ155:AJ157" si="170">E155</f>
        <v>45.894788039672527</v>
      </c>
      <c r="AK155" s="49">
        <f>(1-AI155)/(1-AI155)*(Sheet1!X52/Sheet1!P8-1)+1</f>
        <v>0.87805790180980403</v>
      </c>
      <c r="AL155" s="49">
        <f>-9.5923*AK155^4+ 50.143*AK155^3- 98.593*AK155^2+ 109.04*AK155- 20.765</f>
        <v>27.208108089903988</v>
      </c>
      <c r="AM155" s="50">
        <f>(0.23*(2*0.3)^2+AL155/500)*SQRT((1.55/(TAN(RADIANS(AJ155))-TAN(RADIANS(AL155)))-1)/1.5)</f>
        <v>0.15822392782726438</v>
      </c>
      <c r="AN155" s="49">
        <f>(AO155-AL155)/(1-AM155)</f>
        <v>22.199110389935104</v>
      </c>
      <c r="AO155" s="49">
        <f>AJ155</f>
        <v>45.894788039672527</v>
      </c>
      <c r="AP155" s="49">
        <f>AO155-AN155</f>
        <v>23.695677649737423</v>
      </c>
      <c r="AQ155" s="78">
        <f>(SQRT(1+(4*TAN(RADIANS(AN155)))^2*(0.3-0.3^2-3/16))-1)/(4*TAN(RADIANS(AN155)))</f>
        <v>1.8096082061980143E-2</v>
      </c>
      <c r="AR155" s="49">
        <f>AO155-DEGREES(ATAN(AQ155/0.3^2))</f>
        <v>34.526052523750351</v>
      </c>
    </row>
    <row r="156" spans="1:44" ht="16.8" x14ac:dyDescent="0.4">
      <c r="A156" s="45"/>
      <c r="B156" s="49">
        <f>CEILING(Sheet1!X56/Sheet1!P8,0.05)</f>
        <v>0.9</v>
      </c>
      <c r="C156" s="49">
        <f>Sheet1!X57+(Sheet1!X58/Sheet2!B156)</f>
        <v>190.09656613762581</v>
      </c>
      <c r="D156" s="49">
        <f>SQRT(-2*(Sheet1!X57^2*LN(Sheet2!B156)-Sheet1!X57*Sheet1!X58/Sheet2!B156+Sheet1!X57*Sheet1!X58)+Sheet1!L8^2)</f>
        <v>181.06586356755651</v>
      </c>
      <c r="E156" s="49">
        <f t="shared" ref="E156:E160" si="171">DEGREES(ATAN(C156/D156))</f>
        <v>46.393780822829228</v>
      </c>
      <c r="F156" s="49">
        <f t="shared" ref="F156:F160" si="172">DEGREES(ATAN((G156/D156)-TAN(RADIANS(E156))))</f>
        <v>19.209779732636203</v>
      </c>
      <c r="G156" s="49">
        <f>2*3.14*Sheet1!H12*Sheet1!P8*Sheet2!B156</f>
        <v>253.18502687379444</v>
      </c>
      <c r="H156" s="50">
        <f>1+Sheet1!X57/Sheet1!C24-2*Sheet1!X57/Sheet1!C24/Sheet2!B156</f>
        <v>0.38888888888888884</v>
      </c>
      <c r="AI156" s="66">
        <f t="shared" si="169"/>
        <v>0.9</v>
      </c>
      <c r="AJ156" s="66">
        <f t="shared" si="170"/>
        <v>46.393780822829228</v>
      </c>
      <c r="AK156" s="49">
        <f>(1-AI156)/(1-AI155)*(Sheet1!X52/Sheet1!P8-1)+1</f>
        <v>0.90537364047561797</v>
      </c>
      <c r="AL156" s="49">
        <f t="shared" ref="AL156:AL161" si="173">-9.5923*AK156^4+ 50.143*AK156^3- 98.593*AK156^2+ 109.04*AK156- 20.765</f>
        <v>27.907881134927294</v>
      </c>
      <c r="AM156" s="50">
        <f t="shared" ref="AM156:AM161" si="174">(0.23*(2*0.3)^2+AL156/500)*SQRT((1.55/(TAN(RADIANS(AJ156))-TAN(RADIANS(AL156)))-1)/1.5)</f>
        <v>0.15923615912804795</v>
      </c>
      <c r="AN156" s="49">
        <f t="shared" ref="AN156:AN161" si="175">(AO156-AL156)/(1-AM156)</f>
        <v>21.987029875987886</v>
      </c>
      <c r="AO156" s="49">
        <f t="shared" ref="AO156:AO161" si="176">AJ156</f>
        <v>46.393780822829228</v>
      </c>
      <c r="AP156" s="49">
        <f t="shared" ref="AP156:AP161" si="177">AO156-AN156</f>
        <v>24.406750946841342</v>
      </c>
      <c r="AQ156" s="78">
        <f t="shared" ref="AQ156:AQ161" si="178">(SQRT(1+(4*TAN(RADIANS(AN156)))^2*(0.3-0.3^2-3/16))-1)/(4*TAN(RADIANS(AN156)))</f>
        <v>1.7910294628459226E-2</v>
      </c>
      <c r="AR156" s="49">
        <f t="shared" ref="AR156:AR161" si="179">AO156-DEGREES(ATAN(AQ156/0.3^2))</f>
        <v>35.138770602857505</v>
      </c>
    </row>
    <row r="157" spans="1:44" ht="16.8" x14ac:dyDescent="0.4">
      <c r="A157" s="45"/>
      <c r="B157" s="49">
        <f>B156+0.05</f>
        <v>0.95000000000000007</v>
      </c>
      <c r="C157" s="49">
        <f>Sheet1!X57+(Sheet1!X58/Sheet2!B157)</f>
        <v>187.49455467055179</v>
      </c>
      <c r="D157" s="49">
        <f>SQRT(-2*(Sheet1!X57^2*LN(Sheet2!B157)-Sheet1!X57*Sheet1!X58/Sheet2!B157+Sheet1!X57*Sheet1!X58)+Sheet1!L8^2)</f>
        <v>172.95503029184238</v>
      </c>
      <c r="E157" s="49">
        <f t="shared" si="171"/>
        <v>47.309898640405336</v>
      </c>
      <c r="F157" s="49">
        <f t="shared" si="172"/>
        <v>24.7562687690987</v>
      </c>
      <c r="G157" s="49">
        <f>2*3.14*Sheet1!H12*Sheet1!P8*Sheet2!B157</f>
        <v>267.25086170011633</v>
      </c>
      <c r="H157" s="50">
        <f>1+Sheet1!X57/Sheet1!C24-2*Sheet1!X57/Sheet1!C24/Sheet2!B157</f>
        <v>0.44736842105263164</v>
      </c>
      <c r="AI157" s="49">
        <f t="shared" si="169"/>
        <v>0.95000000000000007</v>
      </c>
      <c r="AJ157" s="49">
        <f t="shared" si="170"/>
        <v>47.309898640405336</v>
      </c>
      <c r="AK157" s="49">
        <f>(1-AI157)/(1-AI155)*(Sheet1!X52/Sheet1!P8-1)+1</f>
        <v>0.95268682023780904</v>
      </c>
      <c r="AL157" s="49">
        <f t="shared" si="173"/>
        <v>29.087167517322129</v>
      </c>
      <c r="AM157" s="50">
        <f t="shared" si="174"/>
        <v>0.16019501771859382</v>
      </c>
      <c r="AN157" s="49">
        <f t="shared" si="175"/>
        <v>21.698765198533962</v>
      </c>
      <c r="AO157" s="49">
        <f t="shared" si="176"/>
        <v>47.309898640405336</v>
      </c>
      <c r="AP157" s="49">
        <f t="shared" si="177"/>
        <v>25.611133441871374</v>
      </c>
      <c r="AQ157" s="78">
        <f t="shared" si="178"/>
        <v>1.7658391598293122E-2</v>
      </c>
      <c r="AR157" s="49">
        <f t="shared" si="179"/>
        <v>36.209228236586661</v>
      </c>
    </row>
    <row r="158" spans="1:44" ht="16.8" x14ac:dyDescent="0.4">
      <c r="A158" s="45"/>
      <c r="B158" s="49">
        <f>B157+0.05</f>
        <v>1</v>
      </c>
      <c r="C158" s="49">
        <f>Sheet1!X57+(Sheet1!X58/Sheet2!B158)</f>
        <v>185.15274435018515</v>
      </c>
      <c r="D158" s="49">
        <f>SQRT(-2*(Sheet1!X57^2*LN(Sheet2!B158)-Sheet1!X57*Sheet1!X58/Sheet2!B158+Sheet1!X57*Sheet1!X58)+Sheet1!L8^2)</f>
        <v>165</v>
      </c>
      <c r="E158" s="49">
        <f t="shared" si="171"/>
        <v>48.293976145909475</v>
      </c>
      <c r="F158" s="49">
        <f t="shared" si="172"/>
        <v>30.234138320750176</v>
      </c>
      <c r="G158" s="49">
        <f>2*3.14*Sheet1!H12*Sheet1!P8*Sheet2!B158</f>
        <v>281.31669652643825</v>
      </c>
      <c r="H158" s="50">
        <f>1+Sheet1!X57/Sheet1!C24-2*Sheet1!X57/Sheet1!C24/Sheet2!B158</f>
        <v>0.5</v>
      </c>
      <c r="AI158" s="49">
        <f t="shared" si="169"/>
        <v>1</v>
      </c>
      <c r="AJ158" s="49">
        <f>E158</f>
        <v>48.293976145909475</v>
      </c>
      <c r="AK158" s="49">
        <f>(1-AI158)/(1-AI155)*(Sheet1!X52/Sheet1!P8-1)+1</f>
        <v>1</v>
      </c>
      <c r="AL158" s="49">
        <f t="shared" si="173"/>
        <v>30.232700000000001</v>
      </c>
      <c r="AM158" s="50">
        <f t="shared" si="174"/>
        <v>0.16012339203438267</v>
      </c>
      <c r="AN158" s="49">
        <f t="shared" si="175"/>
        <v>21.504678157019061</v>
      </c>
      <c r="AO158" s="49">
        <f t="shared" si="176"/>
        <v>48.293976145909475</v>
      </c>
      <c r="AP158" s="49">
        <f t="shared" si="177"/>
        <v>26.789297988890414</v>
      </c>
      <c r="AQ158" s="78">
        <f t="shared" si="178"/>
        <v>1.7489186087543431E-2</v>
      </c>
      <c r="AR158" s="49">
        <f t="shared" si="179"/>
        <v>37.297068988622406</v>
      </c>
    </row>
    <row r="159" spans="1:44" ht="16.8" x14ac:dyDescent="0.4">
      <c r="A159" s="45"/>
      <c r="B159" s="49">
        <f t="shared" ref="B159:B160" si="180">B158+0.05</f>
        <v>1.05</v>
      </c>
      <c r="C159" s="49">
        <f>Sheet1!X57+(Sheet1!X58/Sheet2!B159)</f>
        <v>183.03396358413914</v>
      </c>
      <c r="D159" s="49">
        <f>SQRT(-2*(Sheet1!X57^2*LN(Sheet2!B159)-Sheet1!X57*Sheet1!X58/Sheet2!B159+Sheet1!X57*Sheet1!X58)+Sheet1!L8^2)</f>
        <v>157.15707795124823</v>
      </c>
      <c r="E159" s="49">
        <f t="shared" si="171"/>
        <v>49.349869717468351</v>
      </c>
      <c r="F159" s="49">
        <f t="shared" si="172"/>
        <v>35.560246078055869</v>
      </c>
      <c r="G159" s="49">
        <f>2*3.14*Sheet1!H12*Sheet1!P8*Sheet2!B159</f>
        <v>295.38253135276017</v>
      </c>
      <c r="H159" s="50">
        <f>1+Sheet1!X57/Sheet1!C24-2*Sheet1!X57/Sheet1!C24/Sheet2!B159</f>
        <v>0.54761904761904767</v>
      </c>
      <c r="AI159" s="49">
        <f t="shared" si="169"/>
        <v>1.05</v>
      </c>
      <c r="AJ159" s="49">
        <f t="shared" ref="AJ159" si="181">E159</f>
        <v>49.349869717468351</v>
      </c>
      <c r="AK159" s="49">
        <f>(AI159-1)/(AI161-1)*(Sheet1!X51/Sheet1!P8-1)+1</f>
        <v>1.0473131797621911</v>
      </c>
      <c r="AL159" s="49">
        <f t="shared" si="173"/>
        <v>31.35253733425067</v>
      </c>
      <c r="AM159" s="50">
        <f t="shared" si="174"/>
        <v>0.15898636207031372</v>
      </c>
      <c r="AN159" s="49">
        <f t="shared" si="175"/>
        <v>21.399572577112433</v>
      </c>
      <c r="AO159" s="49">
        <f t="shared" si="176"/>
        <v>49.349869717468351</v>
      </c>
      <c r="AP159" s="49">
        <f t="shared" si="177"/>
        <v>27.950297140355918</v>
      </c>
      <c r="AQ159" s="78">
        <f t="shared" si="178"/>
        <v>1.7397687494104315E-2</v>
      </c>
      <c r="AR159" s="49">
        <f t="shared" si="179"/>
        <v>38.409103457835343</v>
      </c>
    </row>
    <row r="160" spans="1:44" ht="16.8" x14ac:dyDescent="0.4">
      <c r="A160" s="45"/>
      <c r="B160" s="49">
        <f t="shared" si="180"/>
        <v>1.1000000000000001</v>
      </c>
      <c r="C160" s="49">
        <f>Sheet1!X57+(Sheet1!X58/Sheet2!B160)</f>
        <v>181.10779925137007</v>
      </c>
      <c r="D160" s="49">
        <f>SQRT(-2*(Sheet1!X57^2*LN(Sheet2!B160)-Sheet1!X57*Sheet1!X58/Sheet2!B160+Sheet1!X57*Sheet1!X58)+Sheet1!L8^2)</f>
        <v>149.38443445201821</v>
      </c>
      <c r="E160" s="49">
        <f t="shared" si="171"/>
        <v>50.482922274862858</v>
      </c>
      <c r="F160" s="49">
        <f t="shared" si="172"/>
        <v>40.666846086829032</v>
      </c>
      <c r="G160" s="49">
        <f>2*3.14*Sheet1!H12*Sheet1!P8*Sheet2!B160</f>
        <v>309.44836617908209</v>
      </c>
      <c r="H160" s="50">
        <f>1+Sheet1!X57/Sheet1!C24-2*Sheet1!X57/Sheet1!C24/Sheet2!B160</f>
        <v>0.59090909090909094</v>
      </c>
      <c r="AI160" s="49">
        <f>B160</f>
        <v>1.1000000000000001</v>
      </c>
      <c r="AJ160" s="49">
        <f>E160</f>
        <v>50.482922274862858</v>
      </c>
      <c r="AK160" s="49">
        <f>(AI160-1)/(AI161-1)*(Sheet1!X51/Sheet1!P8-1)+1</f>
        <v>1.0946263595243821</v>
      </c>
      <c r="AL160" s="49">
        <f t="shared" si="173"/>
        <v>32.453584651990724</v>
      </c>
      <c r="AM160" s="50">
        <f t="shared" si="174"/>
        <v>0.15673539374444687</v>
      </c>
      <c r="AN160" s="49">
        <f t="shared" si="175"/>
        <v>21.380403599446584</v>
      </c>
      <c r="AO160" s="49">
        <f t="shared" si="176"/>
        <v>50.482922274862858</v>
      </c>
      <c r="AP160" s="49">
        <f t="shared" si="177"/>
        <v>29.102518675416274</v>
      </c>
      <c r="AQ160" s="78">
        <f t="shared" si="178"/>
        <v>1.7381010125992868E-2</v>
      </c>
      <c r="AR160" s="49">
        <f t="shared" si="179"/>
        <v>39.552391062396289</v>
      </c>
    </row>
    <row r="161" spans="1:44" ht="16.8" x14ac:dyDescent="0.4">
      <c r="A161" s="45"/>
      <c r="B161" s="49">
        <f>Sheet1!X55/Sheet1!P8</f>
        <v>1.1288669444783783</v>
      </c>
      <c r="C161" s="49">
        <f>Sheet1!X57+(Sheet1!X58/Sheet2!B161)</f>
        <v>180.07344169349562</v>
      </c>
      <c r="D161" s="49">
        <f>SQRT(-2*(Sheet1!X57^2*LN(Sheet2!B161)-Sheet1!X57*Sheet1!X58/Sheet2!B161+Sheet1!X57*Sheet1!X58)+Sheet1!L8^2)</f>
        <v>144.91276018190689</v>
      </c>
      <c r="E161" s="49">
        <f>DEGREES(ATAN(C161/D161))</f>
        <v>51.174886854804704</v>
      </c>
      <c r="F161" s="49">
        <f>DEGREES(ATAN((G161/D161)-TAN(RADIANS(E161))))</f>
        <v>43.495548361475606</v>
      </c>
      <c r="G161" s="49">
        <f>2*3.14*Sheet1!H12*Sheet1!P8*Sheet2!B161</f>
        <v>317.56911963855157</v>
      </c>
      <c r="H161" s="50">
        <f>1+Sheet1!X57/Sheet1!C24-2*Sheet1!X57/Sheet1!C24/Sheet2!B161</f>
        <v>0.61415600847265894</v>
      </c>
      <c r="AI161" s="49">
        <f t="shared" ref="AI161" si="182">B161</f>
        <v>1.1288669444783783</v>
      </c>
      <c r="AJ161" s="49">
        <f t="shared" ref="AJ161" si="183">E161</f>
        <v>51.174886854804704</v>
      </c>
      <c r="AK161" s="49">
        <f>(AI161-1)/(AI161-1)*(Sheet1!X51/Sheet1!P8-1)+1</f>
        <v>1.121942098190196</v>
      </c>
      <c r="AL161" s="49">
        <f t="shared" si="173"/>
        <v>33.083003995850504</v>
      </c>
      <c r="AM161" s="50">
        <f t="shared" si="174"/>
        <v>0.15490290939487261</v>
      </c>
      <c r="AN161" s="49">
        <f t="shared" si="175"/>
        <v>21.408052471225055</v>
      </c>
      <c r="AO161" s="49">
        <f t="shared" si="176"/>
        <v>51.174886854804704</v>
      </c>
      <c r="AP161" s="49">
        <f t="shared" si="177"/>
        <v>29.766834383579649</v>
      </c>
      <c r="AQ161" s="78">
        <f t="shared" si="178"/>
        <v>1.7405066141600121E-2</v>
      </c>
      <c r="AR161" s="49">
        <f t="shared" si="179"/>
        <v>40.229592479954874</v>
      </c>
    </row>
    <row r="162" spans="1:44" ht="19.2" x14ac:dyDescent="0.4">
      <c r="A162" s="45"/>
      <c r="B162" s="100"/>
      <c r="C162" s="100"/>
      <c r="D162" s="100"/>
      <c r="E162" s="100"/>
      <c r="F162" s="100"/>
      <c r="G162" s="100"/>
      <c r="H162" s="100"/>
    </row>
    <row r="163" spans="1:44" ht="19.2" x14ac:dyDescent="0.4">
      <c r="A163" s="45"/>
      <c r="B163" s="73"/>
      <c r="C163" s="73"/>
      <c r="D163" s="73"/>
      <c r="E163" s="73"/>
      <c r="F163" s="73"/>
      <c r="G163" s="73"/>
      <c r="H163" s="73"/>
    </row>
    <row r="164" spans="1:44" ht="16.8" x14ac:dyDescent="0.3">
      <c r="B164" s="70"/>
      <c r="C164" s="70"/>
      <c r="D164" s="70"/>
      <c r="E164" s="70"/>
      <c r="F164" s="70"/>
      <c r="G164" s="70"/>
      <c r="H164" s="74"/>
    </row>
    <row r="165" spans="1:44" ht="16.8" x14ac:dyDescent="0.3">
      <c r="B165" s="70"/>
      <c r="C165" s="70"/>
      <c r="D165" s="70"/>
      <c r="E165" s="70"/>
      <c r="F165" s="70"/>
      <c r="G165" s="70"/>
      <c r="H165" s="74"/>
    </row>
    <row r="166" spans="1:44" ht="16.8" x14ac:dyDescent="0.3">
      <c r="B166" s="70"/>
      <c r="C166" s="70"/>
      <c r="D166" s="70"/>
      <c r="E166" s="70"/>
      <c r="F166" s="70"/>
      <c r="G166" s="70"/>
      <c r="H166" s="74"/>
    </row>
    <row r="167" spans="1:44" ht="16.8" x14ac:dyDescent="0.3">
      <c r="B167" s="70"/>
      <c r="C167" s="70"/>
      <c r="D167" s="70"/>
      <c r="E167" s="70"/>
      <c r="F167" s="70"/>
      <c r="G167" s="70"/>
      <c r="H167" s="74"/>
    </row>
    <row r="168" spans="1:44" ht="16.8" x14ac:dyDescent="0.3">
      <c r="B168" s="70"/>
      <c r="C168" s="70"/>
      <c r="D168" s="70"/>
      <c r="E168" s="70"/>
      <c r="F168" s="70"/>
      <c r="G168" s="70"/>
      <c r="H168" s="74"/>
    </row>
    <row r="169" spans="1:44" ht="16.8" x14ac:dyDescent="0.3">
      <c r="B169" s="70"/>
      <c r="C169" s="70"/>
      <c r="D169" s="70"/>
      <c r="E169" s="70"/>
      <c r="F169" s="70"/>
      <c r="G169" s="70"/>
      <c r="H169" s="74"/>
    </row>
    <row r="170" spans="1:44" ht="16.8" x14ac:dyDescent="0.3">
      <c r="B170" s="70"/>
      <c r="C170" s="70"/>
      <c r="D170" s="70"/>
      <c r="E170" s="70"/>
      <c r="F170" s="70"/>
      <c r="G170" s="70"/>
      <c r="H170" s="74"/>
    </row>
  </sheetData>
  <mergeCells count="59">
    <mergeCell ref="U18:AA18"/>
    <mergeCell ref="AI33:AP33"/>
    <mergeCell ref="AI64:AP64"/>
    <mergeCell ref="AI49:AR49"/>
    <mergeCell ref="AI36:AR36"/>
    <mergeCell ref="A1:H1"/>
    <mergeCell ref="A3:H3"/>
    <mergeCell ref="B2:G2"/>
    <mergeCell ref="B5:H5"/>
    <mergeCell ref="B18:H18"/>
    <mergeCell ref="A32:H32"/>
    <mergeCell ref="B33:G33"/>
    <mergeCell ref="A34:H34"/>
    <mergeCell ref="B36:H36"/>
    <mergeCell ref="AI2:AP2"/>
    <mergeCell ref="AI5:AR5"/>
    <mergeCell ref="AI18:AR18"/>
    <mergeCell ref="AD5:AF5"/>
    <mergeCell ref="AD18:AF18"/>
    <mergeCell ref="AD2:AF2"/>
    <mergeCell ref="K2:R2"/>
    <mergeCell ref="K5:R5"/>
    <mergeCell ref="K13:R13"/>
    <mergeCell ref="K18:R18"/>
    <mergeCell ref="U2:Z2"/>
    <mergeCell ref="U5:AA5"/>
    <mergeCell ref="AI78:AR78"/>
    <mergeCell ref="AI67:AR67"/>
    <mergeCell ref="B49:H49"/>
    <mergeCell ref="A63:H63"/>
    <mergeCell ref="B64:G64"/>
    <mergeCell ref="A65:H65"/>
    <mergeCell ref="B67:H67"/>
    <mergeCell ref="B78:H78"/>
    <mergeCell ref="A90:H90"/>
    <mergeCell ref="B91:G91"/>
    <mergeCell ref="A92:H92"/>
    <mergeCell ref="B94:H94"/>
    <mergeCell ref="B105:H105"/>
    <mergeCell ref="AI91:AP91"/>
    <mergeCell ref="AI118:AP118"/>
    <mergeCell ref="AI141:AP141"/>
    <mergeCell ref="AI94:AR94"/>
    <mergeCell ref="B162:H162"/>
    <mergeCell ref="B121:H121"/>
    <mergeCell ref="B130:H130"/>
    <mergeCell ref="B144:H144"/>
    <mergeCell ref="B153:H153"/>
    <mergeCell ref="AI153:AR153"/>
    <mergeCell ref="AI144:AR144"/>
    <mergeCell ref="AI130:AR130"/>
    <mergeCell ref="AI121:AR121"/>
    <mergeCell ref="AI105:AR105"/>
    <mergeCell ref="AV5:AX5"/>
    <mergeCell ref="AY5:BA5"/>
    <mergeCell ref="AU2:BB2"/>
    <mergeCell ref="BD5:BO5"/>
    <mergeCell ref="BD18:BO18"/>
    <mergeCell ref="BD2:BP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2022-01-11T07:39:50Z</dcterms:created>
  <dcterms:modified xsi:type="dcterms:W3CDTF">2022-01-23T08:31:14Z</dcterms:modified>
</cp:coreProperties>
</file>