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c382136b131bf1/Dokumente/HTW/Spitzwegerich/"/>
    </mc:Choice>
  </mc:AlternateContent>
  <xr:revisionPtr revIDLastSave="90" documentId="8_{8CDB0B1D-157A-4B22-9235-131EDBE1BD7A}" xr6:coauthVersionLast="47" xr6:coauthVersionMax="47" xr10:uidLastSave="{E26381DF-9F60-4498-AC03-9749D8318E7E}"/>
  <bookViews>
    <workbookView xWindow="-110" yWindow="-110" windowWidth="22780" windowHeight="14660" firstSheet="6" activeTab="9" xr2:uid="{00000000-000D-0000-FFFF-FFFF00000000}"/>
  </bookViews>
  <sheets>
    <sheet name="R-Data-GM" sheetId="14" r:id="rId1"/>
    <sheet name="Bautzen 1. Schnitt 2020" sheetId="19" r:id="rId2"/>
    <sheet name="Struppen 1. Schnitt 2020" sheetId="16" r:id="rId3"/>
    <sheet name="Struppen 2. Schnitt 2020" sheetId="17" r:id="rId4"/>
    <sheet name="Bautzen 2. Schnitt 2020" sheetId="20" r:id="rId5"/>
    <sheet name="Struppen 3. Schnitt 2020" sheetId="18" r:id="rId6"/>
    <sheet name="Bautzen 3. Schnitt 2020" sheetId="21" r:id="rId7"/>
    <sheet name="Struppen 1. Schnitt 2021" sheetId="5" r:id="rId8"/>
    <sheet name="Bautzen 1. Schnitt 2021" sheetId="6" r:id="rId9"/>
    <sheet name="Struppen 2. Schnitt 2021" sheetId="1" r:id="rId10"/>
    <sheet name="Bautzen 2. Schnitt 2021" sheetId="2" r:id="rId11"/>
    <sheet name="Struppen 3. Schnitt 2021" sheetId="10" r:id="rId12"/>
    <sheet name="Bautzen 3. Schnitt 2021" sheetId="12" r:id="rId13"/>
    <sheet name="Umbruch Pflanzenmasse 2020" sheetId="13" r:id="rId14"/>
    <sheet name="Mittelwerte" sheetId="3" r:id="rId15"/>
    <sheet name="FM S 1. Schnitt" sheetId="7" r:id="rId16"/>
    <sheet name="FM B 1. Schnitt" sheetId="8" r:id="rId17"/>
  </sheets>
  <definedNames>
    <definedName name="_xlnm._FilterDatabase" localSheetId="1" hidden="1">'Bautzen 1. Schnitt 2020'!$B$11:$AK$11</definedName>
    <definedName name="_xlnm._FilterDatabase" localSheetId="8" hidden="1">'Bautzen 1. Schnitt 2021'!$B$11:$AM$11</definedName>
    <definedName name="_xlnm._FilterDatabase" localSheetId="4" hidden="1">'Bautzen 2. Schnitt 2020'!$B$11:$AK$11</definedName>
    <definedName name="_xlnm._FilterDatabase" localSheetId="10" hidden="1">'Bautzen 2. Schnitt 2021'!$B$11:$AK$11</definedName>
    <definedName name="_xlnm._FilterDatabase" localSheetId="6" hidden="1">'Bautzen 3. Schnitt 2020'!$B$11:$AK$11</definedName>
    <definedName name="_xlnm._FilterDatabase" localSheetId="12" hidden="1">'Bautzen 3. Schnitt 2021'!$B$11:$AK$11</definedName>
    <definedName name="_xlnm._FilterDatabase" localSheetId="16" hidden="1">'FM B 1. Schnitt'!$A$1:$Q$1</definedName>
    <definedName name="_xlnm._FilterDatabase" localSheetId="15" hidden="1">'FM S 1. Schnitt'!$A$4:$Q$16</definedName>
    <definedName name="_xlnm._FilterDatabase" localSheetId="2" hidden="1">'Struppen 1. Schnitt 2020'!$B$11:$AL$11</definedName>
    <definedName name="_xlnm._FilterDatabase" localSheetId="7" hidden="1">'Struppen 1. Schnitt 2021'!$B$11:$AR$11</definedName>
    <definedName name="_xlnm._FilterDatabase" localSheetId="3" hidden="1">'Struppen 2. Schnitt 2020'!$B$11:$AK$11</definedName>
    <definedName name="_xlnm._FilterDatabase" localSheetId="9" hidden="1">'Struppen 2. Schnitt 2021'!$B$11:$AK$11</definedName>
    <definedName name="_xlnm._FilterDatabase" localSheetId="5" hidden="1">'Struppen 3. Schnitt 2020'!$B$11:$AK$11</definedName>
    <definedName name="_xlnm._FilterDatabase" localSheetId="11" hidden="1">'Struppen 3. Schnitt 2021'!$B$11:$AK$11</definedName>
    <definedName name="_xlnm._FilterDatabase" localSheetId="13" hidden="1">'Umbruch Pflanzenmasse 2020'!$B$11:$S$11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I29" i="1"/>
  <c r="J29" i="1" s="1"/>
  <c r="K29" i="1" s="1"/>
  <c r="L307" i="14" s="1"/>
  <c r="D13" i="1"/>
  <c r="E12" i="5"/>
  <c r="AQ43" i="5"/>
  <c r="AR43" i="5"/>
  <c r="AQ29" i="5"/>
  <c r="AR29" i="5"/>
  <c r="AS29" i="5"/>
  <c r="AQ30" i="5"/>
  <c r="AS30" i="5"/>
  <c r="AQ31" i="5"/>
  <c r="AR31" i="5"/>
  <c r="AS31" i="5"/>
  <c r="AQ32" i="5"/>
  <c r="AR32" i="5"/>
  <c r="AS32" i="5"/>
  <c r="AQ33" i="5"/>
  <c r="AR33" i="5"/>
  <c r="AS33" i="5"/>
  <c r="AQ34" i="5"/>
  <c r="AR34" i="5"/>
  <c r="AQ35" i="5"/>
  <c r="AR35" i="5"/>
  <c r="AS35" i="5"/>
  <c r="AQ36" i="5"/>
  <c r="AR36" i="5"/>
  <c r="AS36" i="5"/>
  <c r="AQ37" i="5"/>
  <c r="AR37" i="5"/>
  <c r="AS37" i="5"/>
  <c r="AQ38" i="5"/>
  <c r="AR38" i="5"/>
  <c r="AQ39" i="5"/>
  <c r="AS39" i="5"/>
  <c r="AQ40" i="5"/>
  <c r="AR40" i="5"/>
  <c r="AS40" i="5"/>
  <c r="AQ41" i="5"/>
  <c r="AR41" i="5"/>
  <c r="AS41" i="5"/>
  <c r="AQ42" i="5"/>
  <c r="AR42" i="5"/>
  <c r="AS42" i="5"/>
  <c r="AQ44" i="5"/>
  <c r="AR44" i="5"/>
  <c r="AS44" i="5"/>
  <c r="AQ45" i="5"/>
  <c r="AR45" i="5"/>
  <c r="AS45" i="5"/>
  <c r="AQ46" i="5"/>
  <c r="AR46" i="5"/>
  <c r="AS46" i="5"/>
  <c r="AJ43" i="1"/>
  <c r="AK43" i="1"/>
  <c r="AL43" i="1"/>
  <c r="AJ29" i="1"/>
  <c r="AK29" i="1"/>
  <c r="AL29" i="1"/>
  <c r="AJ30" i="1"/>
  <c r="AK30" i="1"/>
  <c r="AL30" i="1"/>
  <c r="AJ31" i="1"/>
  <c r="F309" i="14" s="1"/>
  <c r="AK31" i="1"/>
  <c r="G309" i="14" s="1"/>
  <c r="AL31" i="1"/>
  <c r="H309" i="14" s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2" i="14"/>
  <c r="F183" i="14"/>
  <c r="G183" i="14"/>
  <c r="H183" i="14"/>
  <c r="I183" i="14"/>
  <c r="J183" i="14"/>
  <c r="L183" i="14"/>
  <c r="F184" i="14"/>
  <c r="G184" i="14"/>
  <c r="H184" i="14"/>
  <c r="I184" i="14"/>
  <c r="J184" i="14"/>
  <c r="L184" i="14"/>
  <c r="F185" i="14"/>
  <c r="G185" i="14"/>
  <c r="H185" i="14"/>
  <c r="I185" i="14"/>
  <c r="J185" i="14"/>
  <c r="L185" i="14"/>
  <c r="F186" i="14"/>
  <c r="G186" i="14"/>
  <c r="H186" i="14"/>
  <c r="I186" i="14"/>
  <c r="J186" i="14"/>
  <c r="L186" i="14"/>
  <c r="F187" i="14"/>
  <c r="G187" i="14"/>
  <c r="H187" i="14"/>
  <c r="I187" i="14"/>
  <c r="J187" i="14"/>
  <c r="L187" i="14"/>
  <c r="F188" i="14"/>
  <c r="G188" i="14"/>
  <c r="H188" i="14"/>
  <c r="I188" i="14"/>
  <c r="J188" i="14"/>
  <c r="L188" i="14"/>
  <c r="F189" i="14"/>
  <c r="G189" i="14"/>
  <c r="H189" i="14"/>
  <c r="I189" i="14"/>
  <c r="J189" i="14"/>
  <c r="L189" i="14"/>
  <c r="F190" i="14"/>
  <c r="G190" i="14"/>
  <c r="H190" i="14"/>
  <c r="I190" i="14"/>
  <c r="J190" i="14"/>
  <c r="L190" i="14"/>
  <c r="F191" i="14"/>
  <c r="G191" i="14"/>
  <c r="H191" i="14"/>
  <c r="I191" i="14"/>
  <c r="J191" i="14"/>
  <c r="L191" i="14"/>
  <c r="F192" i="14"/>
  <c r="G192" i="14"/>
  <c r="H192" i="14"/>
  <c r="I192" i="14"/>
  <c r="J192" i="14"/>
  <c r="L192" i="14"/>
  <c r="F193" i="14"/>
  <c r="G193" i="14"/>
  <c r="H193" i="14"/>
  <c r="I193" i="14"/>
  <c r="J193" i="14"/>
  <c r="L193" i="14"/>
  <c r="F194" i="14"/>
  <c r="G194" i="14"/>
  <c r="H194" i="14"/>
  <c r="I194" i="14"/>
  <c r="J194" i="14"/>
  <c r="L194" i="14"/>
  <c r="F195" i="14"/>
  <c r="G195" i="14"/>
  <c r="H195" i="14"/>
  <c r="I195" i="14"/>
  <c r="J195" i="14"/>
  <c r="L195" i="14"/>
  <c r="F196" i="14"/>
  <c r="G196" i="14"/>
  <c r="H196" i="14"/>
  <c r="I196" i="14"/>
  <c r="J196" i="14"/>
  <c r="L196" i="14"/>
  <c r="F197" i="14"/>
  <c r="G197" i="14"/>
  <c r="H197" i="14"/>
  <c r="I197" i="14"/>
  <c r="J197" i="14"/>
  <c r="L197" i="14"/>
  <c r="F198" i="14"/>
  <c r="G198" i="14"/>
  <c r="H198" i="14"/>
  <c r="I198" i="14"/>
  <c r="J198" i="14"/>
  <c r="L198" i="14"/>
  <c r="F199" i="14"/>
  <c r="G199" i="14"/>
  <c r="H199" i="14"/>
  <c r="I199" i="14"/>
  <c r="J199" i="14"/>
  <c r="L199" i="14"/>
  <c r="F200" i="14"/>
  <c r="G200" i="14"/>
  <c r="H200" i="14"/>
  <c r="I200" i="14"/>
  <c r="J200" i="14"/>
  <c r="L200" i="14"/>
  <c r="F201" i="14"/>
  <c r="G201" i="14"/>
  <c r="H201" i="14"/>
  <c r="I201" i="14"/>
  <c r="J201" i="14"/>
  <c r="L201" i="14"/>
  <c r="F202" i="14"/>
  <c r="G202" i="14"/>
  <c r="H202" i="14"/>
  <c r="I202" i="14"/>
  <c r="J202" i="14"/>
  <c r="L202" i="14"/>
  <c r="F203" i="14"/>
  <c r="G203" i="14"/>
  <c r="H203" i="14"/>
  <c r="I203" i="14"/>
  <c r="J203" i="14"/>
  <c r="L203" i="14"/>
  <c r="F204" i="14"/>
  <c r="G204" i="14"/>
  <c r="H204" i="14"/>
  <c r="I204" i="14"/>
  <c r="J204" i="14"/>
  <c r="L204" i="14"/>
  <c r="F205" i="14"/>
  <c r="G205" i="14"/>
  <c r="H205" i="14"/>
  <c r="I205" i="14"/>
  <c r="J205" i="14"/>
  <c r="L205" i="14"/>
  <c r="F206" i="14"/>
  <c r="G206" i="14"/>
  <c r="H206" i="14"/>
  <c r="I206" i="14"/>
  <c r="J206" i="14"/>
  <c r="L206" i="14"/>
  <c r="F207" i="14"/>
  <c r="G207" i="14"/>
  <c r="H207" i="14"/>
  <c r="I207" i="14"/>
  <c r="J207" i="14"/>
  <c r="L207" i="14"/>
  <c r="F208" i="14"/>
  <c r="G208" i="14"/>
  <c r="H208" i="14"/>
  <c r="I208" i="14"/>
  <c r="J208" i="14"/>
  <c r="L208" i="14"/>
  <c r="F209" i="14"/>
  <c r="G209" i="14"/>
  <c r="H209" i="14"/>
  <c r="I209" i="14"/>
  <c r="J209" i="14"/>
  <c r="L209" i="14"/>
  <c r="F210" i="14"/>
  <c r="G210" i="14"/>
  <c r="H210" i="14"/>
  <c r="I210" i="14"/>
  <c r="J210" i="14"/>
  <c r="L210" i="14"/>
  <c r="F211" i="14"/>
  <c r="G211" i="14"/>
  <c r="H211" i="14"/>
  <c r="I211" i="14"/>
  <c r="J211" i="14"/>
  <c r="L211" i="14"/>
  <c r="F212" i="14"/>
  <c r="G212" i="14"/>
  <c r="H212" i="14"/>
  <c r="I212" i="14"/>
  <c r="J212" i="14"/>
  <c r="L212" i="14"/>
  <c r="F213" i="14"/>
  <c r="G213" i="14"/>
  <c r="H213" i="14"/>
  <c r="I213" i="14"/>
  <c r="J213" i="14"/>
  <c r="L213" i="14"/>
  <c r="F214" i="14"/>
  <c r="G214" i="14"/>
  <c r="H214" i="14"/>
  <c r="I214" i="14"/>
  <c r="J214" i="14"/>
  <c r="L214" i="14"/>
  <c r="F215" i="14"/>
  <c r="G215" i="14"/>
  <c r="H215" i="14"/>
  <c r="I215" i="14"/>
  <c r="J215" i="14"/>
  <c r="L215" i="14"/>
  <c r="F216" i="14"/>
  <c r="G216" i="14"/>
  <c r="H216" i="14"/>
  <c r="I216" i="14"/>
  <c r="J216" i="14"/>
  <c r="L216" i="14"/>
  <c r="F217" i="14"/>
  <c r="G217" i="14"/>
  <c r="H217" i="14"/>
  <c r="I217" i="14"/>
  <c r="J217" i="14"/>
  <c r="L217" i="14"/>
  <c r="L182" i="14"/>
  <c r="J182" i="14"/>
  <c r="I182" i="14"/>
  <c r="H182" i="14"/>
  <c r="G182" i="14"/>
  <c r="F182" i="14"/>
  <c r="F147" i="14"/>
  <c r="G147" i="14"/>
  <c r="H147" i="14"/>
  <c r="I147" i="14"/>
  <c r="J147" i="14"/>
  <c r="L147" i="14"/>
  <c r="F148" i="14"/>
  <c r="G148" i="14"/>
  <c r="H148" i="14"/>
  <c r="I148" i="14"/>
  <c r="J148" i="14"/>
  <c r="L148" i="14"/>
  <c r="F149" i="14"/>
  <c r="G149" i="14"/>
  <c r="H149" i="14"/>
  <c r="I149" i="14"/>
  <c r="J149" i="14"/>
  <c r="L149" i="14"/>
  <c r="F150" i="14"/>
  <c r="G150" i="14"/>
  <c r="H150" i="14"/>
  <c r="I150" i="14"/>
  <c r="J150" i="14"/>
  <c r="L150" i="14"/>
  <c r="F151" i="14"/>
  <c r="G151" i="14"/>
  <c r="H151" i="14"/>
  <c r="I151" i="14"/>
  <c r="J151" i="14"/>
  <c r="L151" i="14"/>
  <c r="F152" i="14"/>
  <c r="G152" i="14"/>
  <c r="H152" i="14"/>
  <c r="I152" i="14"/>
  <c r="J152" i="14"/>
  <c r="L152" i="14"/>
  <c r="F153" i="14"/>
  <c r="G153" i="14"/>
  <c r="H153" i="14"/>
  <c r="I153" i="14"/>
  <c r="J153" i="14"/>
  <c r="L153" i="14"/>
  <c r="F154" i="14"/>
  <c r="G154" i="14"/>
  <c r="H154" i="14"/>
  <c r="I154" i="14"/>
  <c r="J154" i="14"/>
  <c r="L154" i="14"/>
  <c r="F155" i="14"/>
  <c r="G155" i="14"/>
  <c r="H155" i="14"/>
  <c r="I155" i="14"/>
  <c r="J155" i="14"/>
  <c r="L155" i="14"/>
  <c r="F156" i="14"/>
  <c r="G156" i="14"/>
  <c r="H156" i="14"/>
  <c r="I156" i="14"/>
  <c r="J156" i="14"/>
  <c r="L156" i="14"/>
  <c r="F157" i="14"/>
  <c r="G157" i="14"/>
  <c r="H157" i="14"/>
  <c r="I157" i="14"/>
  <c r="J157" i="14"/>
  <c r="L157" i="14"/>
  <c r="F158" i="14"/>
  <c r="G158" i="14"/>
  <c r="H158" i="14"/>
  <c r="I158" i="14"/>
  <c r="J158" i="14"/>
  <c r="L158" i="14"/>
  <c r="F159" i="14"/>
  <c r="G159" i="14"/>
  <c r="H159" i="14"/>
  <c r="I159" i="14"/>
  <c r="J159" i="14"/>
  <c r="L159" i="14"/>
  <c r="F160" i="14"/>
  <c r="G160" i="14"/>
  <c r="H160" i="14"/>
  <c r="I160" i="14"/>
  <c r="J160" i="14"/>
  <c r="L160" i="14"/>
  <c r="F161" i="14"/>
  <c r="G161" i="14"/>
  <c r="H161" i="14"/>
  <c r="I161" i="14"/>
  <c r="J161" i="14"/>
  <c r="L161" i="14"/>
  <c r="F162" i="14"/>
  <c r="G162" i="14"/>
  <c r="H162" i="14"/>
  <c r="I162" i="14"/>
  <c r="J162" i="14"/>
  <c r="L162" i="14"/>
  <c r="F163" i="14"/>
  <c r="G163" i="14"/>
  <c r="H163" i="14"/>
  <c r="I163" i="14"/>
  <c r="J163" i="14"/>
  <c r="L163" i="14"/>
  <c r="F164" i="14"/>
  <c r="G164" i="14"/>
  <c r="H164" i="14"/>
  <c r="I164" i="14"/>
  <c r="J164" i="14"/>
  <c r="L164" i="14"/>
  <c r="F165" i="14"/>
  <c r="G165" i="14"/>
  <c r="H165" i="14"/>
  <c r="I165" i="14"/>
  <c r="J165" i="14"/>
  <c r="L165" i="14"/>
  <c r="F166" i="14"/>
  <c r="G166" i="14"/>
  <c r="H166" i="14"/>
  <c r="I166" i="14"/>
  <c r="J166" i="14"/>
  <c r="L166" i="14"/>
  <c r="F167" i="14"/>
  <c r="G167" i="14"/>
  <c r="H167" i="14"/>
  <c r="I167" i="14"/>
  <c r="J167" i="14"/>
  <c r="L167" i="14"/>
  <c r="F168" i="14"/>
  <c r="G168" i="14"/>
  <c r="H168" i="14"/>
  <c r="I168" i="14"/>
  <c r="J168" i="14"/>
  <c r="L168" i="14"/>
  <c r="F169" i="14"/>
  <c r="G169" i="14"/>
  <c r="H169" i="14"/>
  <c r="I169" i="14"/>
  <c r="J169" i="14"/>
  <c r="L169" i="14"/>
  <c r="F170" i="14"/>
  <c r="G170" i="14"/>
  <c r="H170" i="14"/>
  <c r="I170" i="14"/>
  <c r="J170" i="14"/>
  <c r="L170" i="14"/>
  <c r="F171" i="14"/>
  <c r="G171" i="14"/>
  <c r="H171" i="14"/>
  <c r="I171" i="14"/>
  <c r="J171" i="14"/>
  <c r="L171" i="14"/>
  <c r="F172" i="14"/>
  <c r="G172" i="14"/>
  <c r="H172" i="14"/>
  <c r="I172" i="14"/>
  <c r="J172" i="14"/>
  <c r="L172" i="14"/>
  <c r="F173" i="14"/>
  <c r="G173" i="14"/>
  <c r="H173" i="14"/>
  <c r="I173" i="14"/>
  <c r="J173" i="14"/>
  <c r="L173" i="14"/>
  <c r="F174" i="14"/>
  <c r="G174" i="14"/>
  <c r="H174" i="14"/>
  <c r="I174" i="14"/>
  <c r="J174" i="14"/>
  <c r="L174" i="14"/>
  <c r="F175" i="14"/>
  <c r="G175" i="14"/>
  <c r="H175" i="14"/>
  <c r="I175" i="14"/>
  <c r="J175" i="14"/>
  <c r="L175" i="14"/>
  <c r="F176" i="14"/>
  <c r="G176" i="14"/>
  <c r="H176" i="14"/>
  <c r="I176" i="14"/>
  <c r="J176" i="14"/>
  <c r="L176" i="14"/>
  <c r="F177" i="14"/>
  <c r="G177" i="14"/>
  <c r="H177" i="14"/>
  <c r="I177" i="14"/>
  <c r="J177" i="14"/>
  <c r="L177" i="14"/>
  <c r="F178" i="14"/>
  <c r="G178" i="14"/>
  <c r="H178" i="14"/>
  <c r="I178" i="14"/>
  <c r="J178" i="14"/>
  <c r="L178" i="14"/>
  <c r="F179" i="14"/>
  <c r="G179" i="14"/>
  <c r="H179" i="14"/>
  <c r="I179" i="14"/>
  <c r="J179" i="14"/>
  <c r="L179" i="14"/>
  <c r="F180" i="14"/>
  <c r="G180" i="14"/>
  <c r="H180" i="14"/>
  <c r="I180" i="14"/>
  <c r="J180" i="14"/>
  <c r="L180" i="14"/>
  <c r="F181" i="14"/>
  <c r="G181" i="14"/>
  <c r="H181" i="14"/>
  <c r="I181" i="14"/>
  <c r="J181" i="14"/>
  <c r="L181" i="14"/>
  <c r="L146" i="14"/>
  <c r="J146" i="14"/>
  <c r="I146" i="14"/>
  <c r="H146" i="14"/>
  <c r="G146" i="14"/>
  <c r="F146" i="14"/>
  <c r="F111" i="14"/>
  <c r="G111" i="14"/>
  <c r="H111" i="14"/>
  <c r="I111" i="14"/>
  <c r="J111" i="14"/>
  <c r="L111" i="14"/>
  <c r="F112" i="14"/>
  <c r="G112" i="14"/>
  <c r="H112" i="14"/>
  <c r="I112" i="14"/>
  <c r="J112" i="14"/>
  <c r="L112" i="14"/>
  <c r="F113" i="14"/>
  <c r="G113" i="14"/>
  <c r="H113" i="14"/>
  <c r="I113" i="14"/>
  <c r="J113" i="14"/>
  <c r="L113" i="14"/>
  <c r="F114" i="14"/>
  <c r="G114" i="14"/>
  <c r="H114" i="14"/>
  <c r="I114" i="14"/>
  <c r="J114" i="14"/>
  <c r="L114" i="14"/>
  <c r="F115" i="14"/>
  <c r="G115" i="14"/>
  <c r="H115" i="14"/>
  <c r="I115" i="14"/>
  <c r="J115" i="14"/>
  <c r="L115" i="14"/>
  <c r="F116" i="14"/>
  <c r="G116" i="14"/>
  <c r="H116" i="14"/>
  <c r="I116" i="14"/>
  <c r="J116" i="14"/>
  <c r="L116" i="14"/>
  <c r="F117" i="14"/>
  <c r="G117" i="14"/>
  <c r="I117" i="14"/>
  <c r="J117" i="14"/>
  <c r="L117" i="14"/>
  <c r="F118" i="14"/>
  <c r="G118" i="14"/>
  <c r="H118" i="14"/>
  <c r="I118" i="14"/>
  <c r="J118" i="14"/>
  <c r="L118" i="14"/>
  <c r="F119" i="14"/>
  <c r="G119" i="14"/>
  <c r="H119" i="14"/>
  <c r="I119" i="14"/>
  <c r="J119" i="14"/>
  <c r="L119" i="14"/>
  <c r="F120" i="14"/>
  <c r="G120" i="14"/>
  <c r="H120" i="14"/>
  <c r="I120" i="14"/>
  <c r="J120" i="14"/>
  <c r="L120" i="14"/>
  <c r="F121" i="14"/>
  <c r="G121" i="14"/>
  <c r="H121" i="14"/>
  <c r="I121" i="14"/>
  <c r="J121" i="14"/>
  <c r="L121" i="14"/>
  <c r="F122" i="14"/>
  <c r="G122" i="14"/>
  <c r="H122" i="14"/>
  <c r="I122" i="14"/>
  <c r="J122" i="14"/>
  <c r="L122" i="14"/>
  <c r="F123" i="14"/>
  <c r="G123" i="14"/>
  <c r="H123" i="14"/>
  <c r="I123" i="14"/>
  <c r="J123" i="14"/>
  <c r="L123" i="14"/>
  <c r="F124" i="14"/>
  <c r="G124" i="14"/>
  <c r="H124" i="14"/>
  <c r="I124" i="14"/>
  <c r="J124" i="14"/>
  <c r="L124" i="14"/>
  <c r="F125" i="14"/>
  <c r="G125" i="14"/>
  <c r="I125" i="14"/>
  <c r="J125" i="14"/>
  <c r="L125" i="14"/>
  <c r="F126" i="14"/>
  <c r="G126" i="14"/>
  <c r="H126" i="14"/>
  <c r="I126" i="14"/>
  <c r="J126" i="14"/>
  <c r="L126" i="14"/>
  <c r="F127" i="14"/>
  <c r="G127" i="14"/>
  <c r="H127" i="14"/>
  <c r="I127" i="14"/>
  <c r="J127" i="14"/>
  <c r="L127" i="14"/>
  <c r="F128" i="14"/>
  <c r="G128" i="14"/>
  <c r="H128" i="14"/>
  <c r="I128" i="14"/>
  <c r="J128" i="14"/>
  <c r="L128" i="14"/>
  <c r="F129" i="14"/>
  <c r="G129" i="14"/>
  <c r="H129" i="14"/>
  <c r="I129" i="14"/>
  <c r="J129" i="14"/>
  <c r="L129" i="14"/>
  <c r="F130" i="14"/>
  <c r="G130" i="14"/>
  <c r="H130" i="14"/>
  <c r="I130" i="14"/>
  <c r="J130" i="14"/>
  <c r="L130" i="14"/>
  <c r="F131" i="14"/>
  <c r="G131" i="14"/>
  <c r="H131" i="14"/>
  <c r="I131" i="14"/>
  <c r="J131" i="14"/>
  <c r="L131" i="14"/>
  <c r="F132" i="14"/>
  <c r="G132" i="14"/>
  <c r="H132" i="14"/>
  <c r="I132" i="14"/>
  <c r="J132" i="14"/>
  <c r="L132" i="14"/>
  <c r="F133" i="14"/>
  <c r="G133" i="14"/>
  <c r="H133" i="14"/>
  <c r="I133" i="14"/>
  <c r="J133" i="14"/>
  <c r="L133" i="14"/>
  <c r="F134" i="14"/>
  <c r="G134" i="14"/>
  <c r="I134" i="14"/>
  <c r="J134" i="14"/>
  <c r="L134" i="14"/>
  <c r="F135" i="14"/>
  <c r="G135" i="14"/>
  <c r="I135" i="14"/>
  <c r="J135" i="14"/>
  <c r="L135" i="14"/>
  <c r="F136" i="14"/>
  <c r="G136" i="14"/>
  <c r="H136" i="14"/>
  <c r="I136" i="14"/>
  <c r="J136" i="14"/>
  <c r="L136" i="14"/>
  <c r="F137" i="14"/>
  <c r="G137" i="14"/>
  <c r="H137" i="14"/>
  <c r="I137" i="14"/>
  <c r="J137" i="14"/>
  <c r="L137" i="14"/>
  <c r="F138" i="14"/>
  <c r="G138" i="14"/>
  <c r="H138" i="14"/>
  <c r="I138" i="14"/>
  <c r="J138" i="14"/>
  <c r="L138" i="14"/>
  <c r="F139" i="14"/>
  <c r="G139" i="14"/>
  <c r="H139" i="14"/>
  <c r="I139" i="14"/>
  <c r="J139" i="14"/>
  <c r="L139" i="14"/>
  <c r="F140" i="14"/>
  <c r="G140" i="14"/>
  <c r="I140" i="14"/>
  <c r="J140" i="14"/>
  <c r="L140" i="14"/>
  <c r="F141" i="14"/>
  <c r="G141" i="14"/>
  <c r="H141" i="14"/>
  <c r="I141" i="14"/>
  <c r="J141" i="14"/>
  <c r="L141" i="14"/>
  <c r="F142" i="14"/>
  <c r="G142" i="14"/>
  <c r="I142" i="14"/>
  <c r="J142" i="14"/>
  <c r="L142" i="14"/>
  <c r="F143" i="14"/>
  <c r="G143" i="14"/>
  <c r="H143" i="14"/>
  <c r="I143" i="14"/>
  <c r="J143" i="14"/>
  <c r="L143" i="14"/>
  <c r="F144" i="14"/>
  <c r="G144" i="14"/>
  <c r="I144" i="14"/>
  <c r="J144" i="14"/>
  <c r="L144" i="14"/>
  <c r="F145" i="14"/>
  <c r="G145" i="14"/>
  <c r="H145" i="14"/>
  <c r="I145" i="14"/>
  <c r="J145" i="14"/>
  <c r="L145" i="14"/>
  <c r="L110" i="14"/>
  <c r="J110" i="14"/>
  <c r="I110" i="14"/>
  <c r="H110" i="14"/>
  <c r="G110" i="14"/>
  <c r="F110" i="14"/>
  <c r="F75" i="14"/>
  <c r="G75" i="14"/>
  <c r="H75" i="14"/>
  <c r="I75" i="14"/>
  <c r="J75" i="14"/>
  <c r="L75" i="14"/>
  <c r="F76" i="14"/>
  <c r="G76" i="14"/>
  <c r="H76" i="14"/>
  <c r="I76" i="14"/>
  <c r="J76" i="14"/>
  <c r="L76" i="14"/>
  <c r="F77" i="14"/>
  <c r="G77" i="14"/>
  <c r="H77" i="14"/>
  <c r="I77" i="14"/>
  <c r="J77" i="14"/>
  <c r="L77" i="14"/>
  <c r="F78" i="14"/>
  <c r="G78" i="14"/>
  <c r="H78" i="14"/>
  <c r="I78" i="14"/>
  <c r="J78" i="14"/>
  <c r="L78" i="14"/>
  <c r="F79" i="14"/>
  <c r="G79" i="14"/>
  <c r="H79" i="14"/>
  <c r="I79" i="14"/>
  <c r="J79" i="14"/>
  <c r="L79" i="14"/>
  <c r="F80" i="14"/>
  <c r="G80" i="14"/>
  <c r="H80" i="14"/>
  <c r="I80" i="14"/>
  <c r="J80" i="14"/>
  <c r="L80" i="14"/>
  <c r="F81" i="14"/>
  <c r="G81" i="14"/>
  <c r="H81" i="14"/>
  <c r="I81" i="14"/>
  <c r="J81" i="14"/>
  <c r="L81" i="14"/>
  <c r="F82" i="14"/>
  <c r="G82" i="14"/>
  <c r="H82" i="14"/>
  <c r="I82" i="14"/>
  <c r="J82" i="14"/>
  <c r="L82" i="14"/>
  <c r="F83" i="14"/>
  <c r="G83" i="14"/>
  <c r="H83" i="14"/>
  <c r="I83" i="14"/>
  <c r="J83" i="14"/>
  <c r="L83" i="14"/>
  <c r="F84" i="14"/>
  <c r="G84" i="14"/>
  <c r="H84" i="14"/>
  <c r="I84" i="14"/>
  <c r="J84" i="14"/>
  <c r="L84" i="14"/>
  <c r="F85" i="14"/>
  <c r="G85" i="14"/>
  <c r="H85" i="14"/>
  <c r="I85" i="14"/>
  <c r="J85" i="14"/>
  <c r="L85" i="14"/>
  <c r="F86" i="14"/>
  <c r="G86" i="14"/>
  <c r="H86" i="14"/>
  <c r="I86" i="14"/>
  <c r="J86" i="14"/>
  <c r="L86" i="14"/>
  <c r="F87" i="14"/>
  <c r="G87" i="14"/>
  <c r="H87" i="14"/>
  <c r="I87" i="14"/>
  <c r="J87" i="14"/>
  <c r="L87" i="14"/>
  <c r="F88" i="14"/>
  <c r="G88" i="14"/>
  <c r="H88" i="14"/>
  <c r="I88" i="14"/>
  <c r="J88" i="14"/>
  <c r="L88" i="14"/>
  <c r="F89" i="14"/>
  <c r="G89" i="14"/>
  <c r="H89" i="14"/>
  <c r="I89" i="14"/>
  <c r="J89" i="14"/>
  <c r="L89" i="14"/>
  <c r="F90" i="14"/>
  <c r="G90" i="14"/>
  <c r="H90" i="14"/>
  <c r="I90" i="14"/>
  <c r="J90" i="14"/>
  <c r="L90" i="14"/>
  <c r="F91" i="14"/>
  <c r="G91" i="14"/>
  <c r="H91" i="14"/>
  <c r="I91" i="14"/>
  <c r="J91" i="14"/>
  <c r="L91" i="14"/>
  <c r="F92" i="14"/>
  <c r="G92" i="14"/>
  <c r="H92" i="14"/>
  <c r="I92" i="14"/>
  <c r="J92" i="14"/>
  <c r="L92" i="14"/>
  <c r="F93" i="14"/>
  <c r="G93" i="14"/>
  <c r="H93" i="14"/>
  <c r="I93" i="14"/>
  <c r="J93" i="14"/>
  <c r="L93" i="14"/>
  <c r="F94" i="14"/>
  <c r="G94" i="14"/>
  <c r="H94" i="14"/>
  <c r="I94" i="14"/>
  <c r="J94" i="14"/>
  <c r="L94" i="14"/>
  <c r="F95" i="14"/>
  <c r="G95" i="14"/>
  <c r="H95" i="14"/>
  <c r="I95" i="14"/>
  <c r="J95" i="14"/>
  <c r="L95" i="14"/>
  <c r="F96" i="14"/>
  <c r="G96" i="14"/>
  <c r="H96" i="14"/>
  <c r="I96" i="14"/>
  <c r="J96" i="14"/>
  <c r="L96" i="14"/>
  <c r="F97" i="14"/>
  <c r="G97" i="14"/>
  <c r="H97" i="14"/>
  <c r="I97" i="14"/>
  <c r="J97" i="14"/>
  <c r="L97" i="14"/>
  <c r="F98" i="14"/>
  <c r="G98" i="14"/>
  <c r="H98" i="14"/>
  <c r="I98" i="14"/>
  <c r="J98" i="14"/>
  <c r="L98" i="14"/>
  <c r="F99" i="14"/>
  <c r="G99" i="14"/>
  <c r="H99" i="14"/>
  <c r="I99" i="14"/>
  <c r="J99" i="14"/>
  <c r="L99" i="14"/>
  <c r="F100" i="14"/>
  <c r="G100" i="14"/>
  <c r="H100" i="14"/>
  <c r="I100" i="14"/>
  <c r="J100" i="14"/>
  <c r="L100" i="14"/>
  <c r="F101" i="14"/>
  <c r="G101" i="14"/>
  <c r="H101" i="14"/>
  <c r="I101" i="14"/>
  <c r="J101" i="14"/>
  <c r="L101" i="14"/>
  <c r="F102" i="14"/>
  <c r="G102" i="14"/>
  <c r="H102" i="14"/>
  <c r="I102" i="14"/>
  <c r="J102" i="14"/>
  <c r="L102" i="14"/>
  <c r="F103" i="14"/>
  <c r="G103" i="14"/>
  <c r="H103" i="14"/>
  <c r="I103" i="14"/>
  <c r="J103" i="14"/>
  <c r="L103" i="14"/>
  <c r="F104" i="14"/>
  <c r="G104" i="14"/>
  <c r="H104" i="14"/>
  <c r="I104" i="14"/>
  <c r="J104" i="14"/>
  <c r="L104" i="14"/>
  <c r="F105" i="14"/>
  <c r="G105" i="14"/>
  <c r="H105" i="14"/>
  <c r="I105" i="14"/>
  <c r="J105" i="14"/>
  <c r="L105" i="14"/>
  <c r="F106" i="14"/>
  <c r="G106" i="14"/>
  <c r="H106" i="14"/>
  <c r="I106" i="14"/>
  <c r="J106" i="14"/>
  <c r="L106" i="14"/>
  <c r="F107" i="14"/>
  <c r="G107" i="14"/>
  <c r="H107" i="14"/>
  <c r="I107" i="14"/>
  <c r="J107" i="14"/>
  <c r="L107" i="14"/>
  <c r="F108" i="14"/>
  <c r="G108" i="14"/>
  <c r="H108" i="14"/>
  <c r="I108" i="14"/>
  <c r="J108" i="14"/>
  <c r="L108" i="14"/>
  <c r="F109" i="14"/>
  <c r="G109" i="14"/>
  <c r="H109" i="14"/>
  <c r="I109" i="14"/>
  <c r="J109" i="14"/>
  <c r="L109" i="14"/>
  <c r="L74" i="14"/>
  <c r="J74" i="14"/>
  <c r="I74" i="14"/>
  <c r="H74" i="14"/>
  <c r="G74" i="14"/>
  <c r="F74" i="14"/>
  <c r="F39" i="14"/>
  <c r="G39" i="14"/>
  <c r="H39" i="14"/>
  <c r="I39" i="14"/>
  <c r="J39" i="14"/>
  <c r="L39" i="14"/>
  <c r="F40" i="14"/>
  <c r="G40" i="14"/>
  <c r="H40" i="14"/>
  <c r="I40" i="14"/>
  <c r="J40" i="14"/>
  <c r="L40" i="14"/>
  <c r="F41" i="14"/>
  <c r="G41" i="14"/>
  <c r="H41" i="14"/>
  <c r="I41" i="14"/>
  <c r="J41" i="14"/>
  <c r="L41" i="14"/>
  <c r="F42" i="14"/>
  <c r="G42" i="14"/>
  <c r="H42" i="14"/>
  <c r="I42" i="14"/>
  <c r="J42" i="14"/>
  <c r="L42" i="14"/>
  <c r="F43" i="14"/>
  <c r="G43" i="14"/>
  <c r="H43" i="14"/>
  <c r="I43" i="14"/>
  <c r="J43" i="14"/>
  <c r="L43" i="14"/>
  <c r="F44" i="14"/>
  <c r="G44" i="14"/>
  <c r="H44" i="14"/>
  <c r="I44" i="14"/>
  <c r="J44" i="14"/>
  <c r="L44" i="14"/>
  <c r="F45" i="14"/>
  <c r="G45" i="14"/>
  <c r="H45" i="14"/>
  <c r="I45" i="14"/>
  <c r="J45" i="14"/>
  <c r="L45" i="14"/>
  <c r="F46" i="14"/>
  <c r="G46" i="14"/>
  <c r="H46" i="14"/>
  <c r="I46" i="14"/>
  <c r="J46" i="14"/>
  <c r="L46" i="14"/>
  <c r="F47" i="14"/>
  <c r="G47" i="14"/>
  <c r="H47" i="14"/>
  <c r="I47" i="14"/>
  <c r="J47" i="14"/>
  <c r="L47" i="14"/>
  <c r="F48" i="14"/>
  <c r="G48" i="14"/>
  <c r="H48" i="14"/>
  <c r="I48" i="14"/>
  <c r="J48" i="14"/>
  <c r="L48" i="14"/>
  <c r="F49" i="14"/>
  <c r="G49" i="14"/>
  <c r="H49" i="14"/>
  <c r="I49" i="14"/>
  <c r="J49" i="14"/>
  <c r="L49" i="14"/>
  <c r="F50" i="14"/>
  <c r="G50" i="14"/>
  <c r="H50" i="14"/>
  <c r="I50" i="14"/>
  <c r="J50" i="14"/>
  <c r="L50" i="14"/>
  <c r="F51" i="14"/>
  <c r="G51" i="14"/>
  <c r="H51" i="14"/>
  <c r="I51" i="14"/>
  <c r="J51" i="14"/>
  <c r="L51" i="14"/>
  <c r="F52" i="14"/>
  <c r="G52" i="14"/>
  <c r="H52" i="14"/>
  <c r="I52" i="14"/>
  <c r="J52" i="14"/>
  <c r="L52" i="14"/>
  <c r="F53" i="14"/>
  <c r="G53" i="14"/>
  <c r="H53" i="14"/>
  <c r="I53" i="14"/>
  <c r="J53" i="14"/>
  <c r="L53" i="14"/>
  <c r="F54" i="14"/>
  <c r="G54" i="14"/>
  <c r="H54" i="14"/>
  <c r="I54" i="14"/>
  <c r="J54" i="14"/>
  <c r="L54" i="14"/>
  <c r="F55" i="14"/>
  <c r="G55" i="14"/>
  <c r="H55" i="14"/>
  <c r="I55" i="14"/>
  <c r="J55" i="14"/>
  <c r="L55" i="14"/>
  <c r="F56" i="14"/>
  <c r="G56" i="14"/>
  <c r="H56" i="14"/>
  <c r="I56" i="14"/>
  <c r="J56" i="14"/>
  <c r="L56" i="14"/>
  <c r="F57" i="14"/>
  <c r="G57" i="14"/>
  <c r="H57" i="14"/>
  <c r="I57" i="14"/>
  <c r="J57" i="14"/>
  <c r="L57" i="14"/>
  <c r="F58" i="14"/>
  <c r="G58" i="14"/>
  <c r="H58" i="14"/>
  <c r="I58" i="14"/>
  <c r="J58" i="14"/>
  <c r="L58" i="14"/>
  <c r="F59" i="14"/>
  <c r="G59" i="14"/>
  <c r="H59" i="14"/>
  <c r="I59" i="14"/>
  <c r="J59" i="14"/>
  <c r="L59" i="14"/>
  <c r="F60" i="14"/>
  <c r="G60" i="14"/>
  <c r="H60" i="14"/>
  <c r="I60" i="14"/>
  <c r="J60" i="14"/>
  <c r="L60" i="14"/>
  <c r="F61" i="14"/>
  <c r="G61" i="14"/>
  <c r="H61" i="14"/>
  <c r="I61" i="14"/>
  <c r="J61" i="14"/>
  <c r="L61" i="14"/>
  <c r="F62" i="14"/>
  <c r="G62" i="14"/>
  <c r="H62" i="14"/>
  <c r="I62" i="14"/>
  <c r="J62" i="14"/>
  <c r="L62" i="14"/>
  <c r="F63" i="14"/>
  <c r="G63" i="14"/>
  <c r="H63" i="14"/>
  <c r="I63" i="14"/>
  <c r="J63" i="14"/>
  <c r="L63" i="14"/>
  <c r="F64" i="14"/>
  <c r="G64" i="14"/>
  <c r="H64" i="14"/>
  <c r="I64" i="14"/>
  <c r="J64" i="14"/>
  <c r="L64" i="14"/>
  <c r="F65" i="14"/>
  <c r="G65" i="14"/>
  <c r="H65" i="14"/>
  <c r="I65" i="14"/>
  <c r="J65" i="14"/>
  <c r="L65" i="14"/>
  <c r="F66" i="14"/>
  <c r="G66" i="14"/>
  <c r="H66" i="14"/>
  <c r="I66" i="14"/>
  <c r="J66" i="14"/>
  <c r="L66" i="14"/>
  <c r="F67" i="14"/>
  <c r="G67" i="14"/>
  <c r="H67" i="14"/>
  <c r="I67" i="14"/>
  <c r="J67" i="14"/>
  <c r="L67" i="14"/>
  <c r="F68" i="14"/>
  <c r="G68" i="14"/>
  <c r="H68" i="14"/>
  <c r="I68" i="14"/>
  <c r="J68" i="14"/>
  <c r="L68" i="14"/>
  <c r="F69" i="14"/>
  <c r="G69" i="14"/>
  <c r="H69" i="14"/>
  <c r="I69" i="14"/>
  <c r="J69" i="14"/>
  <c r="L69" i="14"/>
  <c r="F70" i="14"/>
  <c r="G70" i="14"/>
  <c r="H70" i="14"/>
  <c r="I70" i="14"/>
  <c r="J70" i="14"/>
  <c r="L70" i="14"/>
  <c r="F71" i="14"/>
  <c r="G71" i="14"/>
  <c r="H71" i="14"/>
  <c r="I71" i="14"/>
  <c r="J71" i="14"/>
  <c r="L71" i="14"/>
  <c r="F72" i="14"/>
  <c r="G72" i="14"/>
  <c r="H72" i="14"/>
  <c r="I72" i="14"/>
  <c r="J72" i="14"/>
  <c r="L72" i="14"/>
  <c r="F73" i="14"/>
  <c r="G73" i="14"/>
  <c r="H73" i="14"/>
  <c r="I73" i="14"/>
  <c r="J73" i="14"/>
  <c r="L73" i="14"/>
  <c r="L38" i="14"/>
  <c r="J38" i="14"/>
  <c r="I38" i="14"/>
  <c r="H38" i="14"/>
  <c r="G38" i="14"/>
  <c r="F38" i="14"/>
  <c r="L37" i="14"/>
  <c r="J37" i="14"/>
  <c r="I37" i="14"/>
  <c r="L36" i="14"/>
  <c r="J36" i="14"/>
  <c r="I36" i="14"/>
  <c r="L35" i="14"/>
  <c r="J35" i="14"/>
  <c r="I35" i="14"/>
  <c r="L34" i="14"/>
  <c r="J34" i="14"/>
  <c r="I34" i="14"/>
  <c r="L33" i="14"/>
  <c r="J33" i="14"/>
  <c r="I33" i="14"/>
  <c r="L32" i="14"/>
  <c r="J32" i="14"/>
  <c r="I32" i="14"/>
  <c r="L31" i="14"/>
  <c r="J31" i="14"/>
  <c r="I31" i="14"/>
  <c r="L30" i="14"/>
  <c r="J30" i="14"/>
  <c r="I30" i="14"/>
  <c r="L29" i="14"/>
  <c r="J29" i="14"/>
  <c r="I29" i="14"/>
  <c r="L28" i="14"/>
  <c r="J28" i="14"/>
  <c r="I28" i="14"/>
  <c r="L27" i="14"/>
  <c r="J27" i="14"/>
  <c r="I27" i="14"/>
  <c r="L26" i="14"/>
  <c r="J26" i="14"/>
  <c r="I26" i="14"/>
  <c r="L25" i="14"/>
  <c r="J25" i="14"/>
  <c r="I25" i="14"/>
  <c r="L24" i="14"/>
  <c r="J24" i="14"/>
  <c r="I24" i="14"/>
  <c r="L23" i="14"/>
  <c r="J23" i="14"/>
  <c r="I23" i="14"/>
  <c r="L22" i="14"/>
  <c r="J22" i="14"/>
  <c r="I22" i="14"/>
  <c r="L21" i="14"/>
  <c r="J21" i="14"/>
  <c r="I21" i="14"/>
  <c r="L20" i="14"/>
  <c r="J20" i="14"/>
  <c r="I20" i="14"/>
  <c r="L19" i="14"/>
  <c r="J19" i="14"/>
  <c r="I19" i="14"/>
  <c r="L18" i="14"/>
  <c r="J18" i="14"/>
  <c r="I18" i="14"/>
  <c r="L17" i="14"/>
  <c r="J17" i="14"/>
  <c r="I17" i="14"/>
  <c r="L16" i="14"/>
  <c r="J16" i="14"/>
  <c r="I16" i="14"/>
  <c r="L15" i="14"/>
  <c r="J15" i="14"/>
  <c r="I15" i="14"/>
  <c r="L14" i="14"/>
  <c r="J14" i="14"/>
  <c r="I14" i="14"/>
  <c r="L13" i="14"/>
  <c r="J13" i="14"/>
  <c r="I13" i="14"/>
  <c r="L12" i="14"/>
  <c r="J12" i="14"/>
  <c r="I12" i="14"/>
  <c r="L11" i="14"/>
  <c r="J11" i="14"/>
  <c r="I11" i="14"/>
  <c r="L10" i="14"/>
  <c r="J10" i="14"/>
  <c r="I10" i="14"/>
  <c r="L9" i="14"/>
  <c r="J9" i="14"/>
  <c r="I9" i="14"/>
  <c r="L8" i="14"/>
  <c r="J8" i="14"/>
  <c r="I8" i="14"/>
  <c r="L7" i="14"/>
  <c r="J7" i="14"/>
  <c r="I7" i="14"/>
  <c r="L6" i="14"/>
  <c r="J6" i="14"/>
  <c r="I6" i="14"/>
  <c r="L5" i="14"/>
  <c r="J5" i="14"/>
  <c r="I5" i="14"/>
  <c r="L4" i="14"/>
  <c r="J4" i="14"/>
  <c r="I4" i="14"/>
  <c r="L3" i="14"/>
  <c r="J3" i="14"/>
  <c r="I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L2" i="14"/>
  <c r="J2" i="14"/>
  <c r="I2" i="14"/>
  <c r="F2" i="14"/>
  <c r="AJ47" i="21"/>
  <c r="AI47" i="21"/>
  <c r="AH47" i="21"/>
  <c r="AD47" i="21"/>
  <c r="AC47" i="21"/>
  <c r="AB47" i="21"/>
  <c r="Y47" i="21"/>
  <c r="X47" i="21"/>
  <c r="W47" i="21"/>
  <c r="V47" i="21"/>
  <c r="Q47" i="21"/>
  <c r="R47" i="21" s="1"/>
  <c r="AK47" i="21" s="1"/>
  <c r="AN47" i="21" s="1"/>
  <c r="P47" i="21"/>
  <c r="I47" i="21"/>
  <c r="J47" i="21" s="1"/>
  <c r="K47" i="21" s="1"/>
  <c r="G47" i="21"/>
  <c r="AL46" i="21"/>
  <c r="AJ46" i="21"/>
  <c r="AI46" i="21"/>
  <c r="AH46" i="21"/>
  <c r="AD46" i="21"/>
  <c r="AC46" i="21"/>
  <c r="AB46" i="21"/>
  <c r="Y46" i="21"/>
  <c r="V46" i="21"/>
  <c r="T46" i="21"/>
  <c r="W46" i="21" s="1"/>
  <c r="X46" i="21" s="1"/>
  <c r="N46" i="21"/>
  <c r="I46" i="21"/>
  <c r="J46" i="21" s="1"/>
  <c r="K46" i="21" s="1"/>
  <c r="G46" i="21"/>
  <c r="AJ45" i="21"/>
  <c r="AI45" i="21"/>
  <c r="AH45" i="21"/>
  <c r="AD45" i="21"/>
  <c r="AC45" i="21"/>
  <c r="AB45" i="21"/>
  <c r="Y45" i="21"/>
  <c r="V45" i="21"/>
  <c r="T45" i="21"/>
  <c r="W45" i="21" s="1"/>
  <c r="X45" i="21" s="1"/>
  <c r="AL45" i="21" s="1"/>
  <c r="AM45" i="21" s="1"/>
  <c r="P45" i="21"/>
  <c r="Q45" i="21" s="1"/>
  <c r="R45" i="21" s="1"/>
  <c r="AK45" i="21" s="1"/>
  <c r="G45" i="21"/>
  <c r="I45" i="21" s="1"/>
  <c r="J45" i="21" s="1"/>
  <c r="K45" i="21" s="1"/>
  <c r="AJ44" i="21"/>
  <c r="AI44" i="21"/>
  <c r="AH44" i="21"/>
  <c r="AD44" i="21"/>
  <c r="AC44" i="21"/>
  <c r="AB44" i="21"/>
  <c r="Y44" i="21"/>
  <c r="T44" i="21"/>
  <c r="P44" i="21"/>
  <c r="Q44" i="21" s="1"/>
  <c r="R44" i="21" s="1"/>
  <c r="AK44" i="21" s="1"/>
  <c r="K44" i="21"/>
  <c r="J44" i="21"/>
  <c r="I44" i="21"/>
  <c r="G44" i="21"/>
  <c r="AJ43" i="21"/>
  <c r="AI43" i="21"/>
  <c r="AH43" i="21"/>
  <c r="AB43" i="21"/>
  <c r="Z43" i="21"/>
  <c r="AC43" i="21" s="1"/>
  <c r="AD43" i="21" s="1"/>
  <c r="X43" i="21"/>
  <c r="W43" i="21"/>
  <c r="V43" i="21"/>
  <c r="R43" i="21"/>
  <c r="Q43" i="21"/>
  <c r="P43" i="21"/>
  <c r="G43" i="21"/>
  <c r="I43" i="21" s="1"/>
  <c r="J43" i="21" s="1"/>
  <c r="K43" i="21" s="1"/>
  <c r="AI42" i="21"/>
  <c r="AH42" i="21"/>
  <c r="AB42" i="21"/>
  <c r="AC42" i="21" s="1"/>
  <c r="AD42" i="21" s="1"/>
  <c r="AK42" i="21" s="1"/>
  <c r="Z42" i="21"/>
  <c r="T42" i="21"/>
  <c r="R42" i="21"/>
  <c r="Q42" i="21"/>
  <c r="P42" i="21"/>
  <c r="I42" i="21"/>
  <c r="J42" i="21" s="1"/>
  <c r="K42" i="21" s="1"/>
  <c r="G42" i="21"/>
  <c r="AJ41" i="21"/>
  <c r="AI41" i="21"/>
  <c r="AH41" i="21"/>
  <c r="Z41" i="21"/>
  <c r="V41" i="21"/>
  <c r="T41" i="21"/>
  <c r="W41" i="21" s="1"/>
  <c r="X41" i="21" s="1"/>
  <c r="AL41" i="21" s="1"/>
  <c r="R41" i="21"/>
  <c r="Q41" i="21"/>
  <c r="P41" i="21"/>
  <c r="G41" i="21"/>
  <c r="I41" i="21" s="1"/>
  <c r="J41" i="21" s="1"/>
  <c r="K41" i="21" s="1"/>
  <c r="AL40" i="21"/>
  <c r="AJ40" i="21"/>
  <c r="AI40" i="21"/>
  <c r="AH40" i="21"/>
  <c r="Z40" i="21"/>
  <c r="X40" i="21"/>
  <c r="W40" i="21"/>
  <c r="V40" i="21"/>
  <c r="R40" i="21"/>
  <c r="Q40" i="21"/>
  <c r="P40" i="21"/>
  <c r="I40" i="21"/>
  <c r="J40" i="21" s="1"/>
  <c r="K40" i="21" s="1"/>
  <c r="G40" i="21"/>
  <c r="AJ39" i="21"/>
  <c r="AI39" i="21"/>
  <c r="AH39" i="21"/>
  <c r="AD39" i="21"/>
  <c r="AC39" i="21"/>
  <c r="AB39" i="21"/>
  <c r="V39" i="21"/>
  <c r="W39" i="21" s="1"/>
  <c r="X39" i="21" s="1"/>
  <c r="AL39" i="21" s="1"/>
  <c r="R39" i="21"/>
  <c r="Q39" i="21"/>
  <c r="P39" i="21"/>
  <c r="G39" i="21"/>
  <c r="I39" i="21" s="1"/>
  <c r="J39" i="21" s="1"/>
  <c r="K39" i="21" s="1"/>
  <c r="AJ38" i="21"/>
  <c r="AI38" i="21"/>
  <c r="AH38" i="21"/>
  <c r="AD38" i="21"/>
  <c r="AC38" i="21"/>
  <c r="AB38" i="21"/>
  <c r="X38" i="21"/>
  <c r="W38" i="21"/>
  <c r="V38" i="21"/>
  <c r="N38" i="21"/>
  <c r="I38" i="21"/>
  <c r="J38" i="21" s="1"/>
  <c r="K38" i="21" s="1"/>
  <c r="G38" i="21"/>
  <c r="AJ37" i="21"/>
  <c r="AI37" i="21"/>
  <c r="AH37" i="21"/>
  <c r="AD37" i="21"/>
  <c r="AC37" i="21"/>
  <c r="AB37" i="21"/>
  <c r="T37" i="21"/>
  <c r="P37" i="21"/>
  <c r="N37" i="21"/>
  <c r="Q37" i="21" s="1"/>
  <c r="R37" i="21" s="1"/>
  <c r="AK37" i="21" s="1"/>
  <c r="G37" i="21"/>
  <c r="I37" i="21" s="1"/>
  <c r="J37" i="21" s="1"/>
  <c r="K37" i="21" s="1"/>
  <c r="AJ36" i="21"/>
  <c r="AI36" i="21"/>
  <c r="AH36" i="21"/>
  <c r="AD36" i="21"/>
  <c r="AC36" i="21"/>
  <c r="AB36" i="21"/>
  <c r="T36" i="21"/>
  <c r="N36" i="21"/>
  <c r="G36" i="21"/>
  <c r="I36" i="21" s="1"/>
  <c r="J36" i="21" s="1"/>
  <c r="K36" i="21" s="1"/>
  <c r="AJ35" i="21"/>
  <c r="AI35" i="21"/>
  <c r="AH35" i="21"/>
  <c r="AD35" i="21"/>
  <c r="AC35" i="21"/>
  <c r="AB35" i="21"/>
  <c r="V35" i="21"/>
  <c r="W35" i="21" s="1"/>
  <c r="X35" i="21" s="1"/>
  <c r="AL35" i="21" s="1"/>
  <c r="P35" i="21"/>
  <c r="Q35" i="21" s="1"/>
  <c r="R35" i="21" s="1"/>
  <c r="AK35" i="21" s="1"/>
  <c r="I35" i="21"/>
  <c r="J35" i="21" s="1"/>
  <c r="K35" i="21" s="1"/>
  <c r="G35" i="21"/>
  <c r="AJ34" i="21"/>
  <c r="AI34" i="21"/>
  <c r="AH34" i="21"/>
  <c r="Z34" i="21"/>
  <c r="X34" i="21"/>
  <c r="W34" i="21"/>
  <c r="V34" i="21"/>
  <c r="R34" i="21"/>
  <c r="Q34" i="21"/>
  <c r="P34" i="21"/>
  <c r="G34" i="21"/>
  <c r="I34" i="21" s="1"/>
  <c r="J34" i="21" s="1"/>
  <c r="K34" i="21" s="1"/>
  <c r="AJ33" i="21"/>
  <c r="AI33" i="21"/>
  <c r="AH33" i="21"/>
  <c r="AB33" i="21"/>
  <c r="Z33" i="21"/>
  <c r="AC33" i="21" s="1"/>
  <c r="AD33" i="21" s="1"/>
  <c r="V33" i="21"/>
  <c r="W33" i="21" s="1"/>
  <c r="X33" i="21" s="1"/>
  <c r="AL33" i="21" s="1"/>
  <c r="R33" i="21"/>
  <c r="Q33" i="21"/>
  <c r="P33" i="21"/>
  <c r="G33" i="21"/>
  <c r="I33" i="21" s="1"/>
  <c r="J33" i="21" s="1"/>
  <c r="K33" i="21" s="1"/>
  <c r="AJ32" i="21"/>
  <c r="AI32" i="21"/>
  <c r="AH32" i="21"/>
  <c r="AC32" i="21"/>
  <c r="AD32" i="21" s="1"/>
  <c r="AK32" i="21" s="1"/>
  <c r="AB32" i="21"/>
  <c r="Z32" i="21"/>
  <c r="V32" i="21"/>
  <c r="W32" i="21" s="1"/>
  <c r="X32" i="21" s="1"/>
  <c r="AL32" i="21" s="1"/>
  <c r="R32" i="21"/>
  <c r="Q32" i="21"/>
  <c r="P32" i="21"/>
  <c r="I32" i="21"/>
  <c r="J32" i="21" s="1"/>
  <c r="K32" i="21" s="1"/>
  <c r="G32" i="21"/>
  <c r="AJ31" i="21"/>
  <c r="AI31" i="21"/>
  <c r="AH31" i="21"/>
  <c r="AB31" i="21"/>
  <c r="AC31" i="21" s="1"/>
  <c r="AD31" i="21" s="1"/>
  <c r="X31" i="21"/>
  <c r="AL31" i="21" s="1"/>
  <c r="AM31" i="21" s="1"/>
  <c r="W31" i="21"/>
  <c r="V31" i="21"/>
  <c r="R31" i="21"/>
  <c r="AK31" i="21" s="1"/>
  <c r="Q31" i="21"/>
  <c r="P31" i="21"/>
  <c r="J31" i="21"/>
  <c r="K31" i="21" s="1"/>
  <c r="I31" i="21"/>
  <c r="G31" i="21"/>
  <c r="AJ30" i="21"/>
  <c r="AI30" i="21"/>
  <c r="AH30" i="21"/>
  <c r="AD30" i="21"/>
  <c r="AC30" i="21"/>
  <c r="AB30" i="21"/>
  <c r="V30" i="21"/>
  <c r="W30" i="21" s="1"/>
  <c r="X30" i="21" s="1"/>
  <c r="AL30" i="21" s="1"/>
  <c r="R30" i="21"/>
  <c r="AK30" i="21" s="1"/>
  <c r="AN30" i="21" s="1"/>
  <c r="Q30" i="21"/>
  <c r="P30" i="21"/>
  <c r="K30" i="21"/>
  <c r="G30" i="21"/>
  <c r="I30" i="21" s="1"/>
  <c r="J30" i="21" s="1"/>
  <c r="AO29" i="21"/>
  <c r="AN29" i="21"/>
  <c r="AJ29" i="21"/>
  <c r="AI29" i="21"/>
  <c r="AH29" i="21"/>
  <c r="AD29" i="21"/>
  <c r="AC29" i="21"/>
  <c r="AB29" i="21"/>
  <c r="X29" i="21"/>
  <c r="W29" i="21"/>
  <c r="V29" i="21"/>
  <c r="R29" i="21"/>
  <c r="AK29" i="21" s="1"/>
  <c r="P29" i="21"/>
  <c r="Q29" i="21" s="1"/>
  <c r="I29" i="21"/>
  <c r="J29" i="21" s="1"/>
  <c r="K29" i="21" s="1"/>
  <c r="G29" i="21"/>
  <c r="AJ28" i="21"/>
  <c r="AI28" i="21"/>
  <c r="AH28" i="21"/>
  <c r="AD28" i="21"/>
  <c r="AC28" i="21"/>
  <c r="AB28" i="21"/>
  <c r="V28" i="21"/>
  <c r="W28" i="21" s="1"/>
  <c r="X28" i="21" s="1"/>
  <c r="AL28" i="21" s="1"/>
  <c r="N28" i="21"/>
  <c r="G28" i="21"/>
  <c r="I28" i="21" s="1"/>
  <c r="J28" i="21" s="1"/>
  <c r="K28" i="21" s="1"/>
  <c r="AJ27" i="21"/>
  <c r="AI27" i="21"/>
  <c r="AH27" i="21"/>
  <c r="AD27" i="21"/>
  <c r="AC27" i="21"/>
  <c r="AB27" i="21"/>
  <c r="T27" i="21"/>
  <c r="Q27" i="21"/>
  <c r="R27" i="21" s="1"/>
  <c r="AK27" i="21" s="1"/>
  <c r="P27" i="21"/>
  <c r="N27" i="21"/>
  <c r="K27" i="21"/>
  <c r="G27" i="21"/>
  <c r="I27" i="21" s="1"/>
  <c r="J27" i="21" s="1"/>
  <c r="AJ26" i="21"/>
  <c r="AI26" i="21"/>
  <c r="AH26" i="21"/>
  <c r="AD26" i="21"/>
  <c r="AC26" i="21"/>
  <c r="AB26" i="21"/>
  <c r="T26" i="21"/>
  <c r="Q26" i="21"/>
  <c r="R26" i="21" s="1"/>
  <c r="P26" i="21"/>
  <c r="N26" i="21"/>
  <c r="J26" i="21"/>
  <c r="K26" i="21" s="1"/>
  <c r="G26" i="21"/>
  <c r="I26" i="21" s="1"/>
  <c r="AJ25" i="21"/>
  <c r="AI25" i="21"/>
  <c r="AH25" i="21"/>
  <c r="Z25" i="21"/>
  <c r="X25" i="21"/>
  <c r="W25" i="21"/>
  <c r="V25" i="21"/>
  <c r="R25" i="21"/>
  <c r="Q25" i="21"/>
  <c r="P25" i="21"/>
  <c r="I25" i="21"/>
  <c r="J25" i="21" s="1"/>
  <c r="K25" i="21" s="1"/>
  <c r="G25" i="21"/>
  <c r="AJ24" i="21"/>
  <c r="AI24" i="21"/>
  <c r="AH24" i="21"/>
  <c r="Z24" i="21"/>
  <c r="V24" i="21"/>
  <c r="W24" i="21" s="1"/>
  <c r="X24" i="21" s="1"/>
  <c r="AL24" i="21" s="1"/>
  <c r="R24" i="21"/>
  <c r="Q24" i="21"/>
  <c r="P24" i="21"/>
  <c r="G24" i="21"/>
  <c r="I24" i="21" s="1"/>
  <c r="J24" i="21" s="1"/>
  <c r="K24" i="21" s="1"/>
  <c r="AJ23" i="21"/>
  <c r="AI23" i="21"/>
  <c r="AH23" i="21"/>
  <c r="AD23" i="21"/>
  <c r="AC23" i="21"/>
  <c r="AB23" i="21"/>
  <c r="T23" i="21"/>
  <c r="R23" i="21"/>
  <c r="AK23" i="21" s="1"/>
  <c r="Q23" i="21"/>
  <c r="P23" i="21"/>
  <c r="AJ22" i="21"/>
  <c r="AO22" i="21" s="1"/>
  <c r="AI22" i="21"/>
  <c r="AH22" i="21"/>
  <c r="AD22" i="21"/>
  <c r="AC22" i="21"/>
  <c r="AB22" i="21"/>
  <c r="Z22" i="21"/>
  <c r="W22" i="21"/>
  <c r="X22" i="21" s="1"/>
  <c r="AL22" i="21" s="1"/>
  <c r="V22" i="21"/>
  <c r="R22" i="21"/>
  <c r="AK22" i="21" s="1"/>
  <c r="Q22" i="21"/>
  <c r="P22" i="21"/>
  <c r="K22" i="21"/>
  <c r="G22" i="21"/>
  <c r="I22" i="21" s="1"/>
  <c r="J22" i="21" s="1"/>
  <c r="AJ21" i="21"/>
  <c r="AI21" i="21"/>
  <c r="AH21" i="21"/>
  <c r="AD21" i="21"/>
  <c r="AC21" i="21"/>
  <c r="AB21" i="21"/>
  <c r="W21" i="21"/>
  <c r="X21" i="21" s="1"/>
  <c r="AL21" i="21" s="1"/>
  <c r="AM21" i="21" s="1"/>
  <c r="V21" i="21"/>
  <c r="R21" i="21"/>
  <c r="Q21" i="21"/>
  <c r="P21" i="21"/>
  <c r="I21" i="21"/>
  <c r="J21" i="21" s="1"/>
  <c r="K21" i="21" s="1"/>
  <c r="G21" i="21"/>
  <c r="AO20" i="21"/>
  <c r="AN20" i="21"/>
  <c r="AJ20" i="21"/>
  <c r="AI20" i="21"/>
  <c r="AH20" i="21"/>
  <c r="AD20" i="21"/>
  <c r="AC20" i="21"/>
  <c r="AB20" i="21"/>
  <c r="X20" i="21"/>
  <c r="W20" i="21"/>
  <c r="V20" i="21"/>
  <c r="P20" i="21"/>
  <c r="Q20" i="21" s="1"/>
  <c r="R20" i="21" s="1"/>
  <c r="AK20" i="21" s="1"/>
  <c r="J20" i="21"/>
  <c r="K20" i="21" s="1"/>
  <c r="I20" i="21"/>
  <c r="G20" i="21"/>
  <c r="AK19" i="21"/>
  <c r="AJ19" i="21"/>
  <c r="AI19" i="21"/>
  <c r="AH19" i="21"/>
  <c r="AD19" i="21"/>
  <c r="AC19" i="21"/>
  <c r="AB19" i="21"/>
  <c r="X19" i="21"/>
  <c r="AL19" i="21" s="1"/>
  <c r="AM19" i="21" s="1"/>
  <c r="W19" i="21"/>
  <c r="T19" i="21"/>
  <c r="V19" i="21" s="1"/>
  <c r="Q19" i="21"/>
  <c r="R19" i="21" s="1"/>
  <c r="P19" i="21"/>
  <c r="K19" i="21"/>
  <c r="I19" i="21"/>
  <c r="J19" i="21" s="1"/>
  <c r="G19" i="21"/>
  <c r="AJ18" i="21"/>
  <c r="AI18" i="21"/>
  <c r="AH18" i="21"/>
  <c r="AD18" i="21"/>
  <c r="AC18" i="21"/>
  <c r="AB18" i="21"/>
  <c r="V18" i="21"/>
  <c r="T18" i="21"/>
  <c r="Q18" i="21"/>
  <c r="R18" i="21" s="1"/>
  <c r="AK18" i="21" s="1"/>
  <c r="P18" i="21"/>
  <c r="G18" i="21"/>
  <c r="I18" i="21" s="1"/>
  <c r="J18" i="21" s="1"/>
  <c r="K18" i="21" s="1"/>
  <c r="AJ17" i="21"/>
  <c r="AI17" i="21"/>
  <c r="AH17" i="21"/>
  <c r="AD17" i="21"/>
  <c r="AK17" i="21" s="1"/>
  <c r="AC17" i="21"/>
  <c r="AB17" i="21"/>
  <c r="W17" i="21"/>
  <c r="V17" i="21"/>
  <c r="T17" i="21"/>
  <c r="P17" i="21"/>
  <c r="Q17" i="21" s="1"/>
  <c r="R17" i="21" s="1"/>
  <c r="K17" i="21"/>
  <c r="G17" i="21"/>
  <c r="I17" i="21" s="1"/>
  <c r="J17" i="21" s="1"/>
  <c r="AJ16" i="21"/>
  <c r="AI16" i="21"/>
  <c r="AH16" i="21"/>
  <c r="AC16" i="21"/>
  <c r="AD16" i="21" s="1"/>
  <c r="AB16" i="21"/>
  <c r="X16" i="21"/>
  <c r="W16" i="21"/>
  <c r="V16" i="21"/>
  <c r="R16" i="21"/>
  <c r="Q16" i="21"/>
  <c r="P16" i="21"/>
  <c r="M16" i="21"/>
  <c r="I16" i="21"/>
  <c r="J16" i="21" s="1"/>
  <c r="K16" i="21" s="1"/>
  <c r="G16" i="21"/>
  <c r="AJ15" i="21"/>
  <c r="AI15" i="21"/>
  <c r="AH15" i="21"/>
  <c r="AB15" i="21"/>
  <c r="Z15" i="21"/>
  <c r="W15" i="21"/>
  <c r="V15" i="21"/>
  <c r="T15" i="21"/>
  <c r="X15" i="21" s="1"/>
  <c r="AL15" i="21" s="1"/>
  <c r="R15" i="21"/>
  <c r="Q15" i="21"/>
  <c r="P15" i="21"/>
  <c r="M15" i="21"/>
  <c r="J15" i="21"/>
  <c r="K15" i="21" s="1"/>
  <c r="I15" i="21"/>
  <c r="G15" i="21"/>
  <c r="AJ14" i="21"/>
  <c r="AI14" i="21"/>
  <c r="AH14" i="21"/>
  <c r="AB14" i="21"/>
  <c r="Z14" i="21"/>
  <c r="T14" i="21"/>
  <c r="V14" i="21" s="1"/>
  <c r="R14" i="21"/>
  <c r="Q14" i="21"/>
  <c r="P14" i="21"/>
  <c r="M14" i="21"/>
  <c r="G14" i="21"/>
  <c r="AJ13" i="21"/>
  <c r="AI13" i="21"/>
  <c r="AH13" i="21"/>
  <c r="AB13" i="21"/>
  <c r="AC13" i="21" s="1"/>
  <c r="AD13" i="21" s="1"/>
  <c r="W13" i="21"/>
  <c r="X13" i="21" s="1"/>
  <c r="AL13" i="21" s="1"/>
  <c r="V13" i="21"/>
  <c r="R13" i="21"/>
  <c r="Q13" i="21"/>
  <c r="P13" i="21"/>
  <c r="M13" i="21"/>
  <c r="I13" i="21"/>
  <c r="J13" i="21" s="1"/>
  <c r="K13" i="21" s="1"/>
  <c r="G13" i="21"/>
  <c r="AJ12" i="21"/>
  <c r="AI12" i="21"/>
  <c r="AH12" i="21"/>
  <c r="AD12" i="21"/>
  <c r="AC12" i="21"/>
  <c r="AB12" i="21"/>
  <c r="Y12" i="21"/>
  <c r="V12" i="21"/>
  <c r="W12" i="21" s="1"/>
  <c r="X12" i="21" s="1"/>
  <c r="AL12" i="21" s="1"/>
  <c r="R12" i="21"/>
  <c r="Q12" i="21"/>
  <c r="P12" i="21"/>
  <c r="M12" i="21"/>
  <c r="K12" i="21"/>
  <c r="I12" i="21"/>
  <c r="J12" i="21" s="1"/>
  <c r="G12" i="21"/>
  <c r="AJ47" i="20"/>
  <c r="AI47" i="20"/>
  <c r="AH47" i="20"/>
  <c r="AD47" i="20"/>
  <c r="AC47" i="20"/>
  <c r="AB47" i="20"/>
  <c r="Y47" i="20"/>
  <c r="X47" i="20"/>
  <c r="W47" i="20"/>
  <c r="V47" i="20"/>
  <c r="S47" i="20"/>
  <c r="P47" i="20"/>
  <c r="Q47" i="20" s="1"/>
  <c r="R47" i="20" s="1"/>
  <c r="AK47" i="20" s="1"/>
  <c r="AN47" i="20" s="1"/>
  <c r="M47" i="20"/>
  <c r="J47" i="20"/>
  <c r="K47" i="20" s="1"/>
  <c r="I47" i="20"/>
  <c r="G47" i="20"/>
  <c r="AL46" i="20"/>
  <c r="AM46" i="20" s="1"/>
  <c r="AJ46" i="20"/>
  <c r="AO46" i="20" s="1"/>
  <c r="AI46" i="20"/>
  <c r="AH46" i="20"/>
  <c r="AD46" i="20"/>
  <c r="AC46" i="20"/>
  <c r="AB46" i="20"/>
  <c r="Y46" i="20"/>
  <c r="X46" i="20"/>
  <c r="W46" i="20"/>
  <c r="V46" i="20"/>
  <c r="S46" i="20"/>
  <c r="P46" i="20"/>
  <c r="Q46" i="20" s="1"/>
  <c r="R46" i="20" s="1"/>
  <c r="AK46" i="20" s="1"/>
  <c r="M46" i="20"/>
  <c r="K46" i="20"/>
  <c r="J46" i="20"/>
  <c r="I46" i="20"/>
  <c r="G46" i="20"/>
  <c r="AJ45" i="20"/>
  <c r="AI45" i="20"/>
  <c r="AH45" i="20"/>
  <c r="AD45" i="20"/>
  <c r="AC45" i="20"/>
  <c r="AB45" i="20"/>
  <c r="Y45" i="20"/>
  <c r="W45" i="20"/>
  <c r="X45" i="20" s="1"/>
  <c r="AL45" i="20" s="1"/>
  <c r="V45" i="20"/>
  <c r="S45" i="20"/>
  <c r="R45" i="20"/>
  <c r="P45" i="20"/>
  <c r="Q45" i="20" s="1"/>
  <c r="M45" i="20"/>
  <c r="K45" i="20"/>
  <c r="J45" i="20"/>
  <c r="I45" i="20"/>
  <c r="G45" i="20"/>
  <c r="AL44" i="20"/>
  <c r="AJ44" i="20"/>
  <c r="AI44" i="20"/>
  <c r="AH44" i="20"/>
  <c r="AD44" i="20"/>
  <c r="AC44" i="20"/>
  <c r="AB44" i="20"/>
  <c r="Y44" i="20"/>
  <c r="X44" i="20"/>
  <c r="W44" i="20"/>
  <c r="V44" i="20"/>
  <c r="S44" i="20"/>
  <c r="P44" i="20"/>
  <c r="M44" i="20"/>
  <c r="K44" i="20"/>
  <c r="J44" i="20"/>
  <c r="I44" i="20"/>
  <c r="G44" i="20"/>
  <c r="AJ43" i="20"/>
  <c r="AI43" i="20"/>
  <c r="AH43" i="20"/>
  <c r="AB43" i="20"/>
  <c r="Y43" i="20"/>
  <c r="X43" i="20"/>
  <c r="W43" i="20"/>
  <c r="V43" i="20"/>
  <c r="S43" i="20"/>
  <c r="R43" i="20"/>
  <c r="Q43" i="20"/>
  <c r="P43" i="20"/>
  <c r="M43" i="20"/>
  <c r="I43" i="20"/>
  <c r="J43" i="20" s="1"/>
  <c r="K43" i="20" s="1"/>
  <c r="G43" i="20"/>
  <c r="AL42" i="20"/>
  <c r="AI42" i="20"/>
  <c r="AH42" i="20"/>
  <c r="AC42" i="20"/>
  <c r="AD42" i="20" s="1"/>
  <c r="AK42" i="20" s="1"/>
  <c r="AN42" i="20" s="1"/>
  <c r="AB42" i="20"/>
  <c r="Y42" i="20"/>
  <c r="X42" i="20"/>
  <c r="W42" i="20"/>
  <c r="V42" i="20"/>
  <c r="S42" i="20"/>
  <c r="R42" i="20"/>
  <c r="Q42" i="20"/>
  <c r="P42" i="20"/>
  <c r="M42" i="20"/>
  <c r="K42" i="20"/>
  <c r="J42" i="20"/>
  <c r="G42" i="20"/>
  <c r="I42" i="20" s="1"/>
  <c r="AJ41" i="20"/>
  <c r="AI41" i="20"/>
  <c r="AH41" i="20"/>
  <c r="AB41" i="20"/>
  <c r="Y41" i="20"/>
  <c r="AC41" i="20" s="1"/>
  <c r="AD41" i="20" s="1"/>
  <c r="W41" i="20"/>
  <c r="X41" i="20" s="1"/>
  <c r="AL41" i="20" s="1"/>
  <c r="V41" i="20"/>
  <c r="S41" i="20"/>
  <c r="R41" i="20"/>
  <c r="AK41" i="20" s="1"/>
  <c r="Q41" i="20"/>
  <c r="P41" i="20"/>
  <c r="M41" i="20"/>
  <c r="I41" i="20"/>
  <c r="J41" i="20" s="1"/>
  <c r="K41" i="20" s="1"/>
  <c r="G41" i="20"/>
  <c r="AJ40" i="20"/>
  <c r="AI40" i="20"/>
  <c r="AH40" i="20"/>
  <c r="AB40" i="20"/>
  <c r="Y40" i="20"/>
  <c r="AC40" i="20" s="1"/>
  <c r="AD40" i="20" s="1"/>
  <c r="AK40" i="20" s="1"/>
  <c r="V40" i="20"/>
  <c r="S40" i="20"/>
  <c r="R40" i="20"/>
  <c r="Q40" i="20"/>
  <c r="P40" i="20"/>
  <c r="M40" i="20"/>
  <c r="K40" i="20"/>
  <c r="I40" i="20"/>
  <c r="J40" i="20" s="1"/>
  <c r="G40" i="20"/>
  <c r="AE39" i="20"/>
  <c r="AD39" i="20"/>
  <c r="AC39" i="20"/>
  <c r="AB39" i="20"/>
  <c r="Y39" i="20"/>
  <c r="V39" i="20"/>
  <c r="S39" i="20"/>
  <c r="W39" i="20" s="1"/>
  <c r="X39" i="20" s="1"/>
  <c r="AL39" i="20" s="1"/>
  <c r="R39" i="20"/>
  <c r="Q39" i="20"/>
  <c r="P39" i="20"/>
  <c r="M39" i="20"/>
  <c r="J39" i="20"/>
  <c r="K39" i="20" s="1"/>
  <c r="G39" i="20"/>
  <c r="I39" i="20" s="1"/>
  <c r="AO38" i="20"/>
  <c r="AJ38" i="20"/>
  <c r="AI38" i="20"/>
  <c r="AH38" i="20"/>
  <c r="AD38" i="20"/>
  <c r="AC38" i="20"/>
  <c r="AB38" i="20"/>
  <c r="Y38" i="20"/>
  <c r="X38" i="20"/>
  <c r="W38" i="20"/>
  <c r="V38" i="20"/>
  <c r="Q38" i="20"/>
  <c r="R38" i="20" s="1"/>
  <c r="AK38" i="20" s="1"/>
  <c r="P38" i="20"/>
  <c r="M38" i="20"/>
  <c r="G38" i="20"/>
  <c r="I38" i="20" s="1"/>
  <c r="J38" i="20" s="1"/>
  <c r="K38" i="20" s="1"/>
  <c r="AJ37" i="20"/>
  <c r="AI37" i="20"/>
  <c r="AH37" i="20"/>
  <c r="AD37" i="20"/>
  <c r="AC37" i="20"/>
  <c r="AB37" i="20"/>
  <c r="Y37" i="20"/>
  <c r="X37" i="20"/>
  <c r="AL37" i="20" s="1"/>
  <c r="W37" i="20"/>
  <c r="V37" i="20"/>
  <c r="S37" i="20"/>
  <c r="Q37" i="20"/>
  <c r="R37" i="20" s="1"/>
  <c r="AK37" i="20" s="1"/>
  <c r="P37" i="20"/>
  <c r="M37" i="20"/>
  <c r="K37" i="20"/>
  <c r="I37" i="20"/>
  <c r="J37" i="20" s="1"/>
  <c r="G37" i="20"/>
  <c r="AL36" i="20"/>
  <c r="AJ36" i="20"/>
  <c r="AI36" i="20"/>
  <c r="AH36" i="20"/>
  <c r="AD36" i="20"/>
  <c r="AC36" i="20"/>
  <c r="AB36" i="20"/>
  <c r="Y36" i="20"/>
  <c r="X36" i="20"/>
  <c r="W36" i="20"/>
  <c r="V36" i="20"/>
  <c r="S36" i="20"/>
  <c r="P36" i="20"/>
  <c r="Q36" i="20" s="1"/>
  <c r="R36" i="20" s="1"/>
  <c r="AK36" i="20" s="1"/>
  <c r="AO36" i="20" s="1"/>
  <c r="M36" i="20"/>
  <c r="I36" i="20"/>
  <c r="J36" i="20" s="1"/>
  <c r="K36" i="20" s="1"/>
  <c r="G36" i="20"/>
  <c r="AE35" i="20"/>
  <c r="AD35" i="20"/>
  <c r="AC35" i="20"/>
  <c r="AB35" i="20"/>
  <c r="Y35" i="20"/>
  <c r="V35" i="20"/>
  <c r="S35" i="20"/>
  <c r="W35" i="20" s="1"/>
  <c r="X35" i="20" s="1"/>
  <c r="AL35" i="20" s="1"/>
  <c r="R35" i="20"/>
  <c r="AK35" i="20" s="1"/>
  <c r="P35" i="20"/>
  <c r="Q35" i="20" s="1"/>
  <c r="M35" i="20"/>
  <c r="J35" i="20"/>
  <c r="K35" i="20" s="1"/>
  <c r="I35" i="20"/>
  <c r="G35" i="20"/>
  <c r="AJ34" i="20"/>
  <c r="AI34" i="20"/>
  <c r="AH34" i="20"/>
  <c r="AB34" i="20"/>
  <c r="Y34" i="20"/>
  <c r="X34" i="20"/>
  <c r="W34" i="20"/>
  <c r="V34" i="20"/>
  <c r="S34" i="20"/>
  <c r="R34" i="20"/>
  <c r="Q34" i="20"/>
  <c r="P34" i="20"/>
  <c r="M34" i="20"/>
  <c r="G34" i="20"/>
  <c r="I34" i="20" s="1"/>
  <c r="J34" i="20" s="1"/>
  <c r="K34" i="20" s="1"/>
  <c r="AJ33" i="20"/>
  <c r="AI33" i="20"/>
  <c r="AH33" i="20"/>
  <c r="AD33" i="20"/>
  <c r="AK33" i="20" s="1"/>
  <c r="AC33" i="20"/>
  <c r="AB33" i="20"/>
  <c r="Y33" i="20"/>
  <c r="X33" i="20"/>
  <c r="AL33" i="20" s="1"/>
  <c r="V33" i="20"/>
  <c r="S33" i="20"/>
  <c r="W33" i="20" s="1"/>
  <c r="R33" i="20"/>
  <c r="Q33" i="20"/>
  <c r="P33" i="20"/>
  <c r="M33" i="20"/>
  <c r="G33" i="20"/>
  <c r="I33" i="20" s="1"/>
  <c r="J33" i="20" s="1"/>
  <c r="K33" i="20" s="1"/>
  <c r="AJ32" i="20"/>
  <c r="AI32" i="20"/>
  <c r="AH32" i="20"/>
  <c r="AD32" i="20"/>
  <c r="AB32" i="20"/>
  <c r="AC32" i="20" s="1"/>
  <c r="Y32" i="20"/>
  <c r="W32" i="20"/>
  <c r="X32" i="20" s="1"/>
  <c r="AL32" i="20" s="1"/>
  <c r="AM32" i="20" s="1"/>
  <c r="V32" i="20"/>
  <c r="S32" i="20"/>
  <c r="R32" i="20"/>
  <c r="AK32" i="20" s="1"/>
  <c r="Q32" i="20"/>
  <c r="P32" i="20"/>
  <c r="M32" i="20"/>
  <c r="J32" i="20"/>
  <c r="K32" i="20" s="1"/>
  <c r="G32" i="20"/>
  <c r="I32" i="20" s="1"/>
  <c r="AJ31" i="20"/>
  <c r="AI31" i="20"/>
  <c r="AH31" i="20"/>
  <c r="AB31" i="20"/>
  <c r="AC31" i="20" s="1"/>
  <c r="AD31" i="20" s="1"/>
  <c r="Y31" i="20"/>
  <c r="W31" i="20"/>
  <c r="X31" i="20" s="1"/>
  <c r="AL31" i="20" s="1"/>
  <c r="V31" i="20"/>
  <c r="S31" i="20"/>
  <c r="R31" i="20"/>
  <c r="AK31" i="20" s="1"/>
  <c r="AN31" i="20" s="1"/>
  <c r="Q31" i="20"/>
  <c r="P31" i="20"/>
  <c r="M31" i="20"/>
  <c r="G31" i="20"/>
  <c r="I31" i="20" s="1"/>
  <c r="J31" i="20" s="1"/>
  <c r="K31" i="20" s="1"/>
  <c r="AE30" i="20"/>
  <c r="AD30" i="20"/>
  <c r="AC30" i="20"/>
  <c r="AB30" i="20"/>
  <c r="X30" i="20"/>
  <c r="AL30" i="20" s="1"/>
  <c r="W30" i="20"/>
  <c r="V30" i="20"/>
  <c r="S30" i="20"/>
  <c r="R30" i="20"/>
  <c r="AK30" i="20" s="1"/>
  <c r="Q30" i="20"/>
  <c r="P30" i="20"/>
  <c r="M30" i="20"/>
  <c r="K30" i="20"/>
  <c r="J30" i="20"/>
  <c r="G30" i="20"/>
  <c r="I30" i="20" s="1"/>
  <c r="AJ29" i="20"/>
  <c r="AI29" i="20"/>
  <c r="AH29" i="20"/>
  <c r="AD29" i="20"/>
  <c r="AC29" i="20"/>
  <c r="AB29" i="20"/>
  <c r="Y29" i="20"/>
  <c r="X29" i="20"/>
  <c r="W29" i="20"/>
  <c r="V29" i="20"/>
  <c r="S29" i="20"/>
  <c r="Q29" i="20"/>
  <c r="R29" i="20" s="1"/>
  <c r="AK29" i="20" s="1"/>
  <c r="AN29" i="20" s="1"/>
  <c r="P29" i="20"/>
  <c r="M29" i="20"/>
  <c r="I29" i="20"/>
  <c r="J29" i="20" s="1"/>
  <c r="K29" i="20" s="1"/>
  <c r="G29" i="20"/>
  <c r="AJ28" i="20"/>
  <c r="AI28" i="20"/>
  <c r="AH28" i="20"/>
  <c r="AD28" i="20"/>
  <c r="AC28" i="20"/>
  <c r="AB28" i="20"/>
  <c r="Y28" i="20"/>
  <c r="W28" i="20"/>
  <c r="X28" i="20" s="1"/>
  <c r="AL28" i="20" s="1"/>
  <c r="AM28" i="20" s="1"/>
  <c r="V28" i="20"/>
  <c r="S28" i="20"/>
  <c r="Q28" i="20"/>
  <c r="R28" i="20" s="1"/>
  <c r="AK28" i="20" s="1"/>
  <c r="P28" i="20"/>
  <c r="M28" i="20"/>
  <c r="I28" i="20"/>
  <c r="J28" i="20" s="1"/>
  <c r="K28" i="20" s="1"/>
  <c r="G28" i="20"/>
  <c r="AL27" i="20"/>
  <c r="AM27" i="20" s="1"/>
  <c r="AJ27" i="20"/>
  <c r="AI27" i="20"/>
  <c r="AH27" i="20"/>
  <c r="AD27" i="20"/>
  <c r="AC27" i="20"/>
  <c r="AB27" i="20"/>
  <c r="Y27" i="20"/>
  <c r="X27" i="20"/>
  <c r="W27" i="20"/>
  <c r="V27" i="20"/>
  <c r="S27" i="20"/>
  <c r="P27" i="20"/>
  <c r="Q27" i="20" s="1"/>
  <c r="R27" i="20" s="1"/>
  <c r="AK27" i="20" s="1"/>
  <c r="M27" i="20"/>
  <c r="J27" i="20"/>
  <c r="K27" i="20" s="1"/>
  <c r="G27" i="20"/>
  <c r="I27" i="20" s="1"/>
  <c r="AK26" i="20"/>
  <c r="AJ26" i="20"/>
  <c r="AI26" i="20"/>
  <c r="AH26" i="20"/>
  <c r="AD26" i="20"/>
  <c r="AC26" i="20"/>
  <c r="AB26" i="20"/>
  <c r="Y26" i="20"/>
  <c r="W26" i="20"/>
  <c r="X26" i="20" s="1"/>
  <c r="AL26" i="20" s="1"/>
  <c r="AM26" i="20" s="1"/>
  <c r="V26" i="20"/>
  <c r="S26" i="20"/>
  <c r="Q26" i="20"/>
  <c r="R26" i="20" s="1"/>
  <c r="P26" i="20"/>
  <c r="M26" i="20"/>
  <c r="I26" i="20"/>
  <c r="J26" i="20" s="1"/>
  <c r="K26" i="20" s="1"/>
  <c r="G26" i="20"/>
  <c r="AJ25" i="20"/>
  <c r="AI25" i="20"/>
  <c r="AH25" i="20"/>
  <c r="AC25" i="20"/>
  <c r="AD25" i="20" s="1"/>
  <c r="AB25" i="20"/>
  <c r="Y25" i="20"/>
  <c r="X25" i="20"/>
  <c r="W25" i="20"/>
  <c r="V25" i="20"/>
  <c r="S25" i="20"/>
  <c r="R25" i="20"/>
  <c r="Q25" i="20"/>
  <c r="P25" i="20"/>
  <c r="M25" i="20"/>
  <c r="J25" i="20"/>
  <c r="K25" i="20" s="1"/>
  <c r="G25" i="20"/>
  <c r="I25" i="20" s="1"/>
  <c r="AJ24" i="20"/>
  <c r="AI24" i="20"/>
  <c r="AH24" i="20"/>
  <c r="AB24" i="20"/>
  <c r="Y24" i="20"/>
  <c r="AC24" i="20" s="1"/>
  <c r="AD24" i="20" s="1"/>
  <c r="V24" i="20"/>
  <c r="W24" i="20" s="1"/>
  <c r="X24" i="20" s="1"/>
  <c r="AL24" i="20" s="1"/>
  <c r="S24" i="20"/>
  <c r="R24" i="20"/>
  <c r="Q24" i="20"/>
  <c r="P24" i="20"/>
  <c r="M24" i="20"/>
  <c r="I24" i="20"/>
  <c r="J24" i="20" s="1"/>
  <c r="K24" i="20" s="1"/>
  <c r="G24" i="20"/>
  <c r="AJ23" i="20"/>
  <c r="AI23" i="20"/>
  <c r="AH23" i="20"/>
  <c r="AC23" i="20"/>
  <c r="AD23" i="20" s="1"/>
  <c r="AK23" i="20" s="1"/>
  <c r="AB23" i="20"/>
  <c r="Y23" i="20"/>
  <c r="V23" i="20"/>
  <c r="S23" i="20"/>
  <c r="R23" i="20"/>
  <c r="Q23" i="20"/>
  <c r="P23" i="20"/>
  <c r="M23" i="20"/>
  <c r="I23" i="20"/>
  <c r="J23" i="20" s="1"/>
  <c r="K23" i="20" s="1"/>
  <c r="G23" i="20"/>
  <c r="AJ22" i="20"/>
  <c r="AI22" i="20"/>
  <c r="AH22" i="20"/>
  <c r="AD22" i="20"/>
  <c r="AK22" i="20" s="1"/>
  <c r="AN22" i="20" s="1"/>
  <c r="AB22" i="20"/>
  <c r="Y22" i="20"/>
  <c r="AC22" i="20" s="1"/>
  <c r="W22" i="20"/>
  <c r="X22" i="20" s="1"/>
  <c r="AL22" i="20" s="1"/>
  <c r="V22" i="20"/>
  <c r="S22" i="20"/>
  <c r="R22" i="20"/>
  <c r="Q22" i="20"/>
  <c r="P22" i="20"/>
  <c r="M22" i="20"/>
  <c r="G22" i="20"/>
  <c r="I22" i="20" s="1"/>
  <c r="J22" i="20" s="1"/>
  <c r="K22" i="20" s="1"/>
  <c r="AJ21" i="20"/>
  <c r="AI21" i="20"/>
  <c r="AH21" i="20"/>
  <c r="AD21" i="20"/>
  <c r="AC21" i="20"/>
  <c r="AB21" i="20"/>
  <c r="Y21" i="20"/>
  <c r="V21" i="20"/>
  <c r="S21" i="20"/>
  <c r="W21" i="20" s="1"/>
  <c r="X21" i="20" s="1"/>
  <c r="AL21" i="20" s="1"/>
  <c r="AM21" i="20" s="1"/>
  <c r="R21" i="20"/>
  <c r="Q21" i="20"/>
  <c r="P21" i="20"/>
  <c r="M21" i="20"/>
  <c r="G21" i="20"/>
  <c r="I21" i="20" s="1"/>
  <c r="J21" i="20" s="1"/>
  <c r="K21" i="20" s="1"/>
  <c r="AJ20" i="20"/>
  <c r="AI20" i="20"/>
  <c r="AH20" i="20"/>
  <c r="AD20" i="20"/>
  <c r="AC20" i="20"/>
  <c r="AB20" i="20"/>
  <c r="Y20" i="20"/>
  <c r="X20" i="20"/>
  <c r="W20" i="20"/>
  <c r="V20" i="20"/>
  <c r="S20" i="20"/>
  <c r="R20" i="20"/>
  <c r="AK20" i="20" s="1"/>
  <c r="AN20" i="20" s="1"/>
  <c r="P20" i="20"/>
  <c r="M20" i="20"/>
  <c r="Q20" i="20" s="1"/>
  <c r="K20" i="20"/>
  <c r="I20" i="20"/>
  <c r="J20" i="20" s="1"/>
  <c r="G20" i="20"/>
  <c r="AK19" i="20"/>
  <c r="AJ19" i="20"/>
  <c r="AI19" i="20"/>
  <c r="AH19" i="20"/>
  <c r="AD19" i="20"/>
  <c r="AC19" i="20"/>
  <c r="AB19" i="20"/>
  <c r="Y19" i="20"/>
  <c r="X19" i="20"/>
  <c r="AL19" i="20" s="1"/>
  <c r="AM19" i="20" s="1"/>
  <c r="W19" i="20"/>
  <c r="V19" i="20"/>
  <c r="S19" i="20"/>
  <c r="P19" i="20"/>
  <c r="M19" i="20"/>
  <c r="Q19" i="20" s="1"/>
  <c r="R19" i="20" s="1"/>
  <c r="K19" i="20"/>
  <c r="G19" i="20"/>
  <c r="I19" i="20" s="1"/>
  <c r="J19" i="20" s="1"/>
  <c r="AK18" i="20"/>
  <c r="AJ18" i="20"/>
  <c r="AI18" i="20"/>
  <c r="AH18" i="20"/>
  <c r="AD18" i="20"/>
  <c r="AC18" i="20"/>
  <c r="AB18" i="20"/>
  <c r="Y18" i="20"/>
  <c r="V18" i="20"/>
  <c r="S18" i="20"/>
  <c r="R18" i="20"/>
  <c r="Q18" i="20"/>
  <c r="P18" i="20"/>
  <c r="M18" i="20"/>
  <c r="I18" i="20"/>
  <c r="J18" i="20" s="1"/>
  <c r="K18" i="20" s="1"/>
  <c r="G18" i="20"/>
  <c r="AO17" i="20"/>
  <c r="AL17" i="20"/>
  <c r="AJ17" i="20"/>
  <c r="AI17" i="20"/>
  <c r="AH17" i="20"/>
  <c r="AD17" i="20"/>
  <c r="AC17" i="20"/>
  <c r="AB17" i="20"/>
  <c r="Y17" i="20"/>
  <c r="X17" i="20"/>
  <c r="V17" i="20"/>
  <c r="W17" i="20" s="1"/>
  <c r="S17" i="20"/>
  <c r="P17" i="20"/>
  <c r="M17" i="20"/>
  <c r="Q17" i="20" s="1"/>
  <c r="R17" i="20" s="1"/>
  <c r="AK17" i="20" s="1"/>
  <c r="AN17" i="20" s="1"/>
  <c r="I17" i="20"/>
  <c r="J17" i="20" s="1"/>
  <c r="K17" i="20" s="1"/>
  <c r="G17" i="20"/>
  <c r="AJ16" i="20"/>
  <c r="AI16" i="20"/>
  <c r="AH16" i="20"/>
  <c r="AD16" i="20"/>
  <c r="AC16" i="20"/>
  <c r="AB16" i="20"/>
  <c r="Y16" i="20"/>
  <c r="X16" i="20"/>
  <c r="W16" i="20"/>
  <c r="V16" i="20"/>
  <c r="S16" i="20"/>
  <c r="R16" i="20"/>
  <c r="AK16" i="20" s="1"/>
  <c r="AN16" i="20" s="1"/>
  <c r="Q16" i="20"/>
  <c r="P16" i="20"/>
  <c r="M16" i="20"/>
  <c r="J16" i="20"/>
  <c r="K16" i="20" s="1"/>
  <c r="I16" i="20"/>
  <c r="G16" i="20"/>
  <c r="AJ15" i="20"/>
  <c r="AI15" i="20"/>
  <c r="AH15" i="20"/>
  <c r="AB15" i="20"/>
  <c r="Y15" i="20"/>
  <c r="W15" i="20"/>
  <c r="X15" i="20" s="1"/>
  <c r="AL15" i="20" s="1"/>
  <c r="V15" i="20"/>
  <c r="S15" i="20"/>
  <c r="R15" i="20"/>
  <c r="Q15" i="20"/>
  <c r="P15" i="20"/>
  <c r="M15" i="20"/>
  <c r="J15" i="20"/>
  <c r="K15" i="20" s="1"/>
  <c r="I15" i="20"/>
  <c r="G15" i="20"/>
  <c r="AJ14" i="20"/>
  <c r="AI14" i="20"/>
  <c r="AH14" i="20"/>
  <c r="AC14" i="20"/>
  <c r="AD14" i="20" s="1"/>
  <c r="AB14" i="20"/>
  <c r="Y14" i="20"/>
  <c r="W14" i="20"/>
  <c r="X14" i="20" s="1"/>
  <c r="AL14" i="20" s="1"/>
  <c r="AM14" i="20" s="1"/>
  <c r="V14" i="20"/>
  <c r="R14" i="20"/>
  <c r="AK14" i="20" s="1"/>
  <c r="Q14" i="20"/>
  <c r="P14" i="20"/>
  <c r="M14" i="20"/>
  <c r="I14" i="20"/>
  <c r="J14" i="20" s="1"/>
  <c r="K14" i="20" s="1"/>
  <c r="G14" i="20"/>
  <c r="AJ13" i="20"/>
  <c r="AI13" i="20"/>
  <c r="AH13" i="20"/>
  <c r="AB13" i="20"/>
  <c r="AC13" i="20" s="1"/>
  <c r="AD13" i="20" s="1"/>
  <c r="Y13" i="20"/>
  <c r="X13" i="20"/>
  <c r="AL13" i="20" s="1"/>
  <c r="V13" i="20"/>
  <c r="W13" i="20" s="1"/>
  <c r="R13" i="20"/>
  <c r="Q13" i="20"/>
  <c r="P13" i="20"/>
  <c r="M13" i="20"/>
  <c r="K13" i="20"/>
  <c r="J13" i="20"/>
  <c r="G13" i="20"/>
  <c r="I13" i="20" s="1"/>
  <c r="AJ12" i="20"/>
  <c r="AI12" i="20"/>
  <c r="AH12" i="20"/>
  <c r="AD12" i="20"/>
  <c r="AC12" i="20"/>
  <c r="AB12" i="20"/>
  <c r="Y12" i="20"/>
  <c r="V12" i="20"/>
  <c r="W12" i="20" s="1"/>
  <c r="X12" i="20" s="1"/>
  <c r="AL12" i="20" s="1"/>
  <c r="AM12" i="20" s="1"/>
  <c r="R12" i="20"/>
  <c r="Q12" i="20"/>
  <c r="P12" i="20"/>
  <c r="M12" i="20"/>
  <c r="I12" i="20"/>
  <c r="J12" i="20" s="1"/>
  <c r="K12" i="20" s="1"/>
  <c r="G12" i="20"/>
  <c r="AH47" i="19"/>
  <c r="AI47" i="19" s="1"/>
  <c r="AJ47" i="19" s="1"/>
  <c r="AO47" i="19" s="1"/>
  <c r="AD47" i="19"/>
  <c r="AC47" i="19"/>
  <c r="AB47" i="19"/>
  <c r="X47" i="19"/>
  <c r="W47" i="19"/>
  <c r="V47" i="19"/>
  <c r="Q47" i="19"/>
  <c r="R47" i="19" s="1"/>
  <c r="AK47" i="19" s="1"/>
  <c r="P47" i="19"/>
  <c r="I47" i="19"/>
  <c r="J47" i="19" s="1"/>
  <c r="K47" i="19" s="1"/>
  <c r="G47" i="19"/>
  <c r="AI46" i="19"/>
  <c r="AJ46" i="19" s="1"/>
  <c r="AH46" i="19"/>
  <c r="AD46" i="19"/>
  <c r="AC46" i="19"/>
  <c r="AB46" i="19"/>
  <c r="V46" i="19"/>
  <c r="T46" i="19"/>
  <c r="P46" i="19"/>
  <c r="Q46" i="19" s="1"/>
  <c r="R46" i="19" s="1"/>
  <c r="J46" i="19"/>
  <c r="K46" i="19" s="1"/>
  <c r="G46" i="19"/>
  <c r="I46" i="19" s="1"/>
  <c r="AJ45" i="19"/>
  <c r="AH45" i="19"/>
  <c r="AI45" i="19" s="1"/>
  <c r="AD45" i="19"/>
  <c r="AC45" i="19"/>
  <c r="AB45" i="19"/>
  <c r="V45" i="19"/>
  <c r="W45" i="19" s="1"/>
  <c r="X45" i="19" s="1"/>
  <c r="AL45" i="19" s="1"/>
  <c r="AM45" i="19" s="1"/>
  <c r="T45" i="19"/>
  <c r="R45" i="19"/>
  <c r="AK45" i="19" s="1"/>
  <c r="Q45" i="19"/>
  <c r="P45" i="19"/>
  <c r="J45" i="19"/>
  <c r="K45" i="19" s="1"/>
  <c r="G45" i="19"/>
  <c r="I45" i="19" s="1"/>
  <c r="AH44" i="19"/>
  <c r="AI44" i="19" s="1"/>
  <c r="AJ44" i="19" s="1"/>
  <c r="AD44" i="19"/>
  <c r="AC44" i="19"/>
  <c r="AB44" i="19"/>
  <c r="W44" i="19"/>
  <c r="V44" i="19"/>
  <c r="T44" i="19"/>
  <c r="P44" i="19"/>
  <c r="Q44" i="19" s="1"/>
  <c r="R44" i="19" s="1"/>
  <c r="AK44" i="19" s="1"/>
  <c r="I44" i="19"/>
  <c r="J44" i="19" s="1"/>
  <c r="K44" i="19" s="1"/>
  <c r="G44" i="19"/>
  <c r="AN43" i="19"/>
  <c r="AK43" i="19"/>
  <c r="AO43" i="19" s="1"/>
  <c r="AH43" i="19"/>
  <c r="AI43" i="19" s="1"/>
  <c r="AJ43" i="19" s="1"/>
  <c r="AC43" i="19"/>
  <c r="AD43" i="19" s="1"/>
  <c r="AB43" i="19"/>
  <c r="X43" i="19"/>
  <c r="W43" i="19"/>
  <c r="V43" i="19"/>
  <c r="R43" i="19"/>
  <c r="Q43" i="19"/>
  <c r="P43" i="19"/>
  <c r="G43" i="19"/>
  <c r="I43" i="19" s="1"/>
  <c r="J43" i="19" s="1"/>
  <c r="K43" i="19" s="1"/>
  <c r="AK42" i="19"/>
  <c r="AJ42" i="19"/>
  <c r="AH42" i="19"/>
  <c r="AD42" i="19"/>
  <c r="AC42" i="19"/>
  <c r="AB42" i="19"/>
  <c r="V42" i="19"/>
  <c r="T42" i="19"/>
  <c r="W42" i="19" s="1"/>
  <c r="X42" i="19" s="1"/>
  <c r="AL42" i="19" s="1"/>
  <c r="R42" i="19"/>
  <c r="Q42" i="19"/>
  <c r="P42" i="19"/>
  <c r="I42" i="19"/>
  <c r="J42" i="19" s="1"/>
  <c r="K42" i="19" s="1"/>
  <c r="G42" i="19"/>
  <c r="AJ41" i="19"/>
  <c r="AH41" i="19"/>
  <c r="AI41" i="19" s="1"/>
  <c r="AD41" i="19"/>
  <c r="AB41" i="19"/>
  <c r="AC41" i="19" s="1"/>
  <c r="T41" i="19"/>
  <c r="R41" i="19"/>
  <c r="AK41" i="19" s="1"/>
  <c r="Q41" i="19"/>
  <c r="P41" i="19"/>
  <c r="K41" i="19"/>
  <c r="G41" i="19"/>
  <c r="I41" i="19" s="1"/>
  <c r="J41" i="19" s="1"/>
  <c r="AJ40" i="19"/>
  <c r="AH40" i="19"/>
  <c r="AI40" i="19" s="1"/>
  <c r="AC40" i="19"/>
  <c r="AD40" i="19" s="1"/>
  <c r="AB40" i="19"/>
  <c r="Z40" i="19"/>
  <c r="T40" i="19"/>
  <c r="V40" i="19" s="1"/>
  <c r="R40" i="19"/>
  <c r="AK40" i="19" s="1"/>
  <c r="Q40" i="19"/>
  <c r="P40" i="19"/>
  <c r="I40" i="19"/>
  <c r="J40" i="19" s="1"/>
  <c r="K40" i="19" s="1"/>
  <c r="G40" i="19"/>
  <c r="AH39" i="19"/>
  <c r="AI39" i="19" s="1"/>
  <c r="AJ39" i="19" s="1"/>
  <c r="AD39" i="19"/>
  <c r="AC39" i="19"/>
  <c r="AB39" i="19"/>
  <c r="X39" i="19"/>
  <c r="AL39" i="19" s="1"/>
  <c r="V39" i="19"/>
  <c r="T39" i="19"/>
  <c r="W39" i="19" s="1"/>
  <c r="R39" i="19"/>
  <c r="Q39" i="19"/>
  <c r="P39" i="19"/>
  <c r="G39" i="19"/>
  <c r="I39" i="19" s="1"/>
  <c r="J39" i="19" s="1"/>
  <c r="K39" i="19" s="1"/>
  <c r="AJ38" i="19"/>
  <c r="AH38" i="19"/>
  <c r="AD38" i="19"/>
  <c r="AC38" i="19"/>
  <c r="AB38" i="19"/>
  <c r="X38" i="19"/>
  <c r="W38" i="19"/>
  <c r="V38" i="19"/>
  <c r="R38" i="19"/>
  <c r="AK38" i="19" s="1"/>
  <c r="AN38" i="19" s="1"/>
  <c r="Q38" i="19"/>
  <c r="P38" i="19"/>
  <c r="I38" i="19"/>
  <c r="J38" i="19" s="1"/>
  <c r="K38" i="19" s="1"/>
  <c r="G38" i="19"/>
  <c r="AI37" i="19"/>
  <c r="AJ37" i="19" s="1"/>
  <c r="AH37" i="19"/>
  <c r="AD37" i="19"/>
  <c r="AC37" i="19"/>
  <c r="AB37" i="19"/>
  <c r="T37" i="19"/>
  <c r="Q37" i="19"/>
  <c r="R37" i="19" s="1"/>
  <c r="AK37" i="19" s="1"/>
  <c r="P37" i="19"/>
  <c r="K37" i="19"/>
  <c r="I37" i="19"/>
  <c r="J37" i="19" s="1"/>
  <c r="G37" i="19"/>
  <c r="AI36" i="19"/>
  <c r="AJ36" i="19" s="1"/>
  <c r="AH36" i="19"/>
  <c r="AD36" i="19"/>
  <c r="AC36" i="19"/>
  <c r="AB36" i="19"/>
  <c r="W36" i="19"/>
  <c r="X36" i="19" s="1"/>
  <c r="AL36" i="19" s="1"/>
  <c r="T36" i="19"/>
  <c r="V36" i="19" s="1"/>
  <c r="Q36" i="19"/>
  <c r="R36" i="19" s="1"/>
  <c r="AK36" i="19" s="1"/>
  <c r="AO36" i="19" s="1"/>
  <c r="P36" i="19"/>
  <c r="J36" i="19"/>
  <c r="K36" i="19" s="1"/>
  <c r="I36" i="19"/>
  <c r="G36" i="19"/>
  <c r="AI35" i="19"/>
  <c r="AJ35" i="19" s="1"/>
  <c r="AH35" i="19"/>
  <c r="AD35" i="19"/>
  <c r="AC35" i="19"/>
  <c r="AB35" i="19"/>
  <c r="V35" i="19"/>
  <c r="W35" i="19" s="1"/>
  <c r="X35" i="19" s="1"/>
  <c r="AL35" i="19" s="1"/>
  <c r="P35" i="19"/>
  <c r="Q35" i="19" s="1"/>
  <c r="R35" i="19" s="1"/>
  <c r="AK35" i="19" s="1"/>
  <c r="AN35" i="19" s="1"/>
  <c r="I35" i="19"/>
  <c r="J35" i="19" s="1"/>
  <c r="K35" i="19" s="1"/>
  <c r="G35" i="19"/>
  <c r="AH34" i="19"/>
  <c r="AI34" i="19" s="1"/>
  <c r="AJ34" i="19" s="1"/>
  <c r="AC34" i="19"/>
  <c r="AD34" i="19" s="1"/>
  <c r="AB34" i="19"/>
  <c r="X34" i="19"/>
  <c r="W34" i="19"/>
  <c r="V34" i="19"/>
  <c r="R34" i="19"/>
  <c r="Q34" i="19"/>
  <c r="P34" i="19"/>
  <c r="G34" i="19"/>
  <c r="I34" i="19" s="1"/>
  <c r="J34" i="19" s="1"/>
  <c r="K34" i="19" s="1"/>
  <c r="AK33" i="19"/>
  <c r="AJ33" i="19"/>
  <c r="AI33" i="19"/>
  <c r="AB33" i="19"/>
  <c r="AC33" i="19" s="1"/>
  <c r="AD33" i="19" s="1"/>
  <c r="V33" i="19"/>
  <c r="T33" i="19"/>
  <c r="R33" i="19"/>
  <c r="Q33" i="19"/>
  <c r="P33" i="19"/>
  <c r="G33" i="19"/>
  <c r="I33" i="19" s="1"/>
  <c r="J33" i="19" s="1"/>
  <c r="K33" i="19" s="1"/>
  <c r="AI32" i="19"/>
  <c r="AJ32" i="19" s="1"/>
  <c r="AH32" i="19"/>
  <c r="AB32" i="19"/>
  <c r="AC32" i="19" s="1"/>
  <c r="AD32" i="19" s="1"/>
  <c r="AK32" i="19" s="1"/>
  <c r="T32" i="19"/>
  <c r="R32" i="19"/>
  <c r="Q32" i="19"/>
  <c r="P32" i="19"/>
  <c r="G32" i="19"/>
  <c r="I32" i="19" s="1"/>
  <c r="J32" i="19" s="1"/>
  <c r="K32" i="19" s="1"/>
  <c r="AJ31" i="19"/>
  <c r="AH31" i="19"/>
  <c r="AD31" i="19"/>
  <c r="AK31" i="19" s="1"/>
  <c r="AC31" i="19"/>
  <c r="AB31" i="19"/>
  <c r="V31" i="19"/>
  <c r="T31" i="19"/>
  <c r="W31" i="19" s="1"/>
  <c r="X31" i="19" s="1"/>
  <c r="AL31" i="19" s="1"/>
  <c r="R31" i="19"/>
  <c r="Q31" i="19"/>
  <c r="P31" i="19"/>
  <c r="K31" i="19"/>
  <c r="G31" i="19"/>
  <c r="I31" i="19" s="1"/>
  <c r="J31" i="19" s="1"/>
  <c r="AI30" i="19"/>
  <c r="AJ30" i="19" s="1"/>
  <c r="AH30" i="19"/>
  <c r="AD30" i="19"/>
  <c r="AC30" i="19"/>
  <c r="AB30" i="19"/>
  <c r="T30" i="19"/>
  <c r="R30" i="19"/>
  <c r="Q30" i="19"/>
  <c r="P30" i="19"/>
  <c r="G30" i="19"/>
  <c r="I30" i="19" s="1"/>
  <c r="J30" i="19" s="1"/>
  <c r="K30" i="19" s="1"/>
  <c r="AI29" i="19"/>
  <c r="AJ29" i="19" s="1"/>
  <c r="AO29" i="19" s="1"/>
  <c r="AD29" i="19"/>
  <c r="AC29" i="19"/>
  <c r="AB29" i="19"/>
  <c r="X29" i="19"/>
  <c r="W29" i="19"/>
  <c r="V29" i="19"/>
  <c r="Q29" i="19"/>
  <c r="R29" i="19" s="1"/>
  <c r="AK29" i="19" s="1"/>
  <c r="AN29" i="19" s="1"/>
  <c r="P29" i="19"/>
  <c r="G29" i="19"/>
  <c r="I29" i="19" s="1"/>
  <c r="J29" i="19" s="1"/>
  <c r="K29" i="19" s="1"/>
  <c r="AH28" i="19"/>
  <c r="AI28" i="19" s="1"/>
  <c r="AJ28" i="19" s="1"/>
  <c r="AD28" i="19"/>
  <c r="AC28" i="19"/>
  <c r="AB28" i="19"/>
  <c r="V28" i="19"/>
  <c r="W28" i="19" s="1"/>
  <c r="X28" i="19" s="1"/>
  <c r="AL28" i="19" s="1"/>
  <c r="AM28" i="19" s="1"/>
  <c r="T28" i="19"/>
  <c r="R28" i="19"/>
  <c r="AK28" i="19" s="1"/>
  <c r="AN28" i="19" s="1"/>
  <c r="P28" i="19"/>
  <c r="Q28" i="19" s="1"/>
  <c r="J28" i="19"/>
  <c r="K28" i="19" s="1"/>
  <c r="I28" i="19"/>
  <c r="G28" i="19"/>
  <c r="AH27" i="19"/>
  <c r="AI27" i="19" s="1"/>
  <c r="AJ27" i="19" s="1"/>
  <c r="AD27" i="19"/>
  <c r="AC27" i="19"/>
  <c r="AB27" i="19"/>
  <c r="T27" i="19"/>
  <c r="R27" i="19"/>
  <c r="AK27" i="19" s="1"/>
  <c r="P27" i="19"/>
  <c r="Q27" i="19" s="1"/>
  <c r="I27" i="19"/>
  <c r="J27" i="19" s="1"/>
  <c r="K27" i="19" s="1"/>
  <c r="G27" i="19"/>
  <c r="AL26" i="19"/>
  <c r="AJ26" i="19"/>
  <c r="AO26" i="19" s="1"/>
  <c r="AI26" i="19"/>
  <c r="AH26" i="19"/>
  <c r="AD26" i="19"/>
  <c r="AC26" i="19"/>
  <c r="AB26" i="19"/>
  <c r="V26" i="19"/>
  <c r="W26" i="19" s="1"/>
  <c r="X26" i="19" s="1"/>
  <c r="R26" i="19"/>
  <c r="AK26" i="19" s="1"/>
  <c r="AN26" i="19" s="1"/>
  <c r="Q26" i="19"/>
  <c r="P26" i="19"/>
  <c r="K26" i="19"/>
  <c r="I26" i="19"/>
  <c r="J26" i="19" s="1"/>
  <c r="G26" i="19"/>
  <c r="AK25" i="19"/>
  <c r="AN25" i="19" s="1"/>
  <c r="AH25" i="19"/>
  <c r="AI25" i="19" s="1"/>
  <c r="AJ25" i="19" s="1"/>
  <c r="AB25" i="19"/>
  <c r="AC25" i="19" s="1"/>
  <c r="AD25" i="19" s="1"/>
  <c r="X25" i="19"/>
  <c r="W25" i="19"/>
  <c r="V25" i="19"/>
  <c r="R25" i="19"/>
  <c r="Q25" i="19"/>
  <c r="P25" i="19"/>
  <c r="J25" i="19"/>
  <c r="K25" i="19" s="1"/>
  <c r="G25" i="19"/>
  <c r="I25" i="19" s="1"/>
  <c r="AJ24" i="19"/>
  <c r="AI24" i="19"/>
  <c r="AD24" i="19"/>
  <c r="AC24" i="19"/>
  <c r="AB24" i="19"/>
  <c r="V24" i="19"/>
  <c r="T24" i="19"/>
  <c r="R24" i="19"/>
  <c r="AK24" i="19" s="1"/>
  <c r="Q24" i="19"/>
  <c r="P24" i="19"/>
  <c r="G24" i="19"/>
  <c r="I24" i="19" s="1"/>
  <c r="J24" i="19" s="1"/>
  <c r="K24" i="19" s="1"/>
  <c r="AH23" i="19"/>
  <c r="AI23" i="19" s="1"/>
  <c r="AJ23" i="19" s="1"/>
  <c r="AC23" i="19"/>
  <c r="AD23" i="19" s="1"/>
  <c r="AB23" i="19"/>
  <c r="V23" i="19"/>
  <c r="W23" i="19" s="1"/>
  <c r="X23" i="19" s="1"/>
  <c r="AL23" i="19" s="1"/>
  <c r="AM23" i="19" s="1"/>
  <c r="R23" i="19"/>
  <c r="AK23" i="19" s="1"/>
  <c r="AO23" i="19" s="1"/>
  <c r="Q23" i="19"/>
  <c r="P23" i="19"/>
  <c r="I23" i="19"/>
  <c r="J23" i="19" s="1"/>
  <c r="K23" i="19" s="1"/>
  <c r="G23" i="19"/>
  <c r="AI22" i="19"/>
  <c r="AJ22" i="19" s="1"/>
  <c r="AO22" i="19" s="1"/>
  <c r="AH22" i="19"/>
  <c r="AB22" i="19"/>
  <c r="AC22" i="19" s="1"/>
  <c r="AD22" i="19" s="1"/>
  <c r="AK22" i="19" s="1"/>
  <c r="V22" i="19"/>
  <c r="W22" i="19" s="1"/>
  <c r="X22" i="19" s="1"/>
  <c r="AL22" i="19" s="1"/>
  <c r="AM22" i="19" s="1"/>
  <c r="R22" i="19"/>
  <c r="Q22" i="19"/>
  <c r="P22" i="19"/>
  <c r="G22" i="19"/>
  <c r="I22" i="19" s="1"/>
  <c r="J22" i="19" s="1"/>
  <c r="K22" i="19" s="1"/>
  <c r="AH21" i="19"/>
  <c r="AI21" i="19" s="1"/>
  <c r="AJ21" i="19" s="1"/>
  <c r="AD21" i="19"/>
  <c r="AC21" i="19"/>
  <c r="AB21" i="19"/>
  <c r="W21" i="19"/>
  <c r="X21" i="19" s="1"/>
  <c r="AL21" i="19" s="1"/>
  <c r="V21" i="19"/>
  <c r="R21" i="19"/>
  <c r="Q21" i="19"/>
  <c r="P21" i="19"/>
  <c r="K21" i="19"/>
  <c r="J21" i="19"/>
  <c r="G21" i="19"/>
  <c r="I21" i="19" s="1"/>
  <c r="AJ20" i="19"/>
  <c r="AI20" i="19"/>
  <c r="AH20" i="19"/>
  <c r="AD20" i="19"/>
  <c r="AC20" i="19"/>
  <c r="AB20" i="19"/>
  <c r="X20" i="19"/>
  <c r="W20" i="19"/>
  <c r="V20" i="19"/>
  <c r="P20" i="19"/>
  <c r="Q20" i="19" s="1"/>
  <c r="R20" i="19" s="1"/>
  <c r="J20" i="19"/>
  <c r="K20" i="19" s="1"/>
  <c r="I20" i="19"/>
  <c r="G20" i="19"/>
  <c r="AH19" i="19"/>
  <c r="AI19" i="19" s="1"/>
  <c r="AJ19" i="19" s="1"/>
  <c r="AD19" i="19"/>
  <c r="AC19" i="19"/>
  <c r="AB19" i="19"/>
  <c r="V19" i="19"/>
  <c r="T19" i="19"/>
  <c r="P19" i="19"/>
  <c r="Q19" i="19" s="1"/>
  <c r="R19" i="19" s="1"/>
  <c r="AK19" i="19" s="1"/>
  <c r="G19" i="19"/>
  <c r="I19" i="19" s="1"/>
  <c r="J19" i="19" s="1"/>
  <c r="K19" i="19" s="1"/>
  <c r="AH18" i="19"/>
  <c r="AI18" i="19" s="1"/>
  <c r="AJ18" i="19" s="1"/>
  <c r="AD18" i="19"/>
  <c r="AC18" i="19"/>
  <c r="AB18" i="19"/>
  <c r="X18" i="19"/>
  <c r="AL18" i="19" s="1"/>
  <c r="AM18" i="19" s="1"/>
  <c r="V18" i="19"/>
  <c r="W18" i="19" s="1"/>
  <c r="Q18" i="19"/>
  <c r="R18" i="19" s="1"/>
  <c r="AK18" i="19" s="1"/>
  <c r="P18" i="19"/>
  <c r="K18" i="19"/>
  <c r="I18" i="19"/>
  <c r="J18" i="19" s="1"/>
  <c r="G18" i="19"/>
  <c r="AI17" i="19"/>
  <c r="AJ17" i="19" s="1"/>
  <c r="AH17" i="19"/>
  <c r="AD17" i="19"/>
  <c r="AC17" i="19"/>
  <c r="AB17" i="19"/>
  <c r="W17" i="19"/>
  <c r="X17" i="19" s="1"/>
  <c r="AL17" i="19" s="1"/>
  <c r="V17" i="19"/>
  <c r="R17" i="19"/>
  <c r="AK17" i="19" s="1"/>
  <c r="AN17" i="19" s="1"/>
  <c r="P17" i="19"/>
  <c r="Q17" i="19" s="1"/>
  <c r="I17" i="19"/>
  <c r="J17" i="19" s="1"/>
  <c r="K17" i="19" s="1"/>
  <c r="G17" i="19"/>
  <c r="AJ16" i="19"/>
  <c r="AI16" i="19"/>
  <c r="AC16" i="19"/>
  <c r="AD16" i="19" s="1"/>
  <c r="AB16" i="19"/>
  <c r="X16" i="19"/>
  <c r="W16" i="19"/>
  <c r="V16" i="19"/>
  <c r="R16" i="19"/>
  <c r="Q16" i="19"/>
  <c r="P16" i="19"/>
  <c r="I16" i="19"/>
  <c r="J16" i="19" s="1"/>
  <c r="K16" i="19" s="1"/>
  <c r="G16" i="19"/>
  <c r="AI15" i="19"/>
  <c r="AJ15" i="19" s="1"/>
  <c r="AH15" i="19"/>
  <c r="AD15" i="19"/>
  <c r="AC15" i="19"/>
  <c r="AB15" i="19"/>
  <c r="X15" i="19"/>
  <c r="AL15" i="19" s="1"/>
  <c r="W15" i="19"/>
  <c r="V15" i="19"/>
  <c r="R15" i="19"/>
  <c r="AK15" i="19" s="1"/>
  <c r="AN15" i="19" s="1"/>
  <c r="Q15" i="19"/>
  <c r="P15" i="19"/>
  <c r="I15" i="19"/>
  <c r="J15" i="19" s="1"/>
  <c r="K15" i="19" s="1"/>
  <c r="G15" i="19"/>
  <c r="AK14" i="19"/>
  <c r="AJ14" i="19"/>
  <c r="AI14" i="19"/>
  <c r="AH14" i="19"/>
  <c r="AC14" i="19"/>
  <c r="AD14" i="19" s="1"/>
  <c r="AB14" i="19"/>
  <c r="W14" i="19"/>
  <c r="X14" i="19" s="1"/>
  <c r="AL14" i="19" s="1"/>
  <c r="AM14" i="19" s="1"/>
  <c r="V14" i="19"/>
  <c r="R14" i="19"/>
  <c r="Q14" i="19"/>
  <c r="P14" i="19"/>
  <c r="G14" i="19"/>
  <c r="I14" i="19" s="1"/>
  <c r="J14" i="19" s="1"/>
  <c r="K14" i="19" s="1"/>
  <c r="AH13" i="19"/>
  <c r="AI13" i="19" s="1"/>
  <c r="AJ13" i="19" s="1"/>
  <c r="AO13" i="19" s="1"/>
  <c r="AB13" i="19"/>
  <c r="AC13" i="19" s="1"/>
  <c r="AD13" i="19" s="1"/>
  <c r="AK13" i="19" s="1"/>
  <c r="AN13" i="19" s="1"/>
  <c r="W13" i="19"/>
  <c r="X13" i="19" s="1"/>
  <c r="AL13" i="19" s="1"/>
  <c r="AM13" i="19" s="1"/>
  <c r="V13" i="19"/>
  <c r="S13" i="19"/>
  <c r="R13" i="19"/>
  <c r="Q13" i="19"/>
  <c r="P13" i="19"/>
  <c r="I13" i="19"/>
  <c r="J13" i="19" s="1"/>
  <c r="K13" i="19" s="1"/>
  <c r="G13" i="19"/>
  <c r="AH12" i="19"/>
  <c r="AI12" i="19" s="1"/>
  <c r="AJ12" i="19" s="1"/>
  <c r="AD12" i="19"/>
  <c r="AC12" i="19"/>
  <c r="AB12" i="19"/>
  <c r="V12" i="19"/>
  <c r="W12" i="19" s="1"/>
  <c r="X12" i="19" s="1"/>
  <c r="AL12" i="19" s="1"/>
  <c r="R12" i="19"/>
  <c r="Q12" i="19"/>
  <c r="P12" i="19"/>
  <c r="K12" i="19"/>
  <c r="J12" i="19"/>
  <c r="I12" i="19"/>
  <c r="G12" i="19"/>
  <c r="AJ47" i="18"/>
  <c r="AI47" i="18"/>
  <c r="AH47" i="18"/>
  <c r="AD47" i="18"/>
  <c r="AC47" i="18"/>
  <c r="AB47" i="18"/>
  <c r="X47" i="18"/>
  <c r="W47" i="18"/>
  <c r="V47" i="18"/>
  <c r="Q47" i="18"/>
  <c r="R47" i="18" s="1"/>
  <c r="AK47" i="18" s="1"/>
  <c r="P47" i="18"/>
  <c r="K47" i="18"/>
  <c r="I47" i="18"/>
  <c r="J47" i="18" s="1"/>
  <c r="G47" i="18"/>
  <c r="AJ46" i="18"/>
  <c r="AI46" i="18"/>
  <c r="AH46" i="18"/>
  <c r="AD46" i="18"/>
  <c r="AC46" i="18"/>
  <c r="AB46" i="18"/>
  <c r="X46" i="18"/>
  <c r="AL46" i="18" s="1"/>
  <c r="AM46" i="18" s="1"/>
  <c r="W46" i="18"/>
  <c r="T46" i="18"/>
  <c r="V46" i="18" s="1"/>
  <c r="P46" i="18"/>
  <c r="Q46" i="18" s="1"/>
  <c r="R46" i="18" s="1"/>
  <c r="AK46" i="18" s="1"/>
  <c r="I46" i="18"/>
  <c r="J46" i="18" s="1"/>
  <c r="K46" i="18" s="1"/>
  <c r="G46" i="18"/>
  <c r="AJ45" i="18"/>
  <c r="AI45" i="18"/>
  <c r="AH45" i="18"/>
  <c r="AD45" i="18"/>
  <c r="AC45" i="18"/>
  <c r="AB45" i="18"/>
  <c r="T45" i="18"/>
  <c r="V45" i="18" s="1"/>
  <c r="W45" i="18" s="1"/>
  <c r="X45" i="18" s="1"/>
  <c r="AL45" i="18" s="1"/>
  <c r="Q45" i="18"/>
  <c r="R45" i="18" s="1"/>
  <c r="AK45" i="18" s="1"/>
  <c r="P45" i="18"/>
  <c r="G45" i="18"/>
  <c r="I45" i="18" s="1"/>
  <c r="J45" i="18" s="1"/>
  <c r="K45" i="18" s="1"/>
  <c r="AK44" i="18"/>
  <c r="AJ44" i="18"/>
  <c r="AI44" i="18"/>
  <c r="AH44" i="18"/>
  <c r="AD44" i="18"/>
  <c r="AC44" i="18"/>
  <c r="AB44" i="18"/>
  <c r="V44" i="18"/>
  <c r="W44" i="18" s="1"/>
  <c r="T44" i="18"/>
  <c r="Q44" i="18"/>
  <c r="R44" i="18" s="1"/>
  <c r="P44" i="18"/>
  <c r="G44" i="18"/>
  <c r="I44" i="18" s="1"/>
  <c r="J44" i="18" s="1"/>
  <c r="K44" i="18" s="1"/>
  <c r="AI43" i="18"/>
  <c r="AH43" i="18"/>
  <c r="AB43" i="18"/>
  <c r="AC43" i="18" s="1"/>
  <c r="AD43" i="18" s="1"/>
  <c r="X43" i="18"/>
  <c r="W43" i="18"/>
  <c r="V43" i="18"/>
  <c r="R43" i="18"/>
  <c r="Q43" i="18"/>
  <c r="P43" i="18"/>
  <c r="G43" i="18"/>
  <c r="I43" i="18" s="1"/>
  <c r="J43" i="18" s="1"/>
  <c r="K43" i="18" s="1"/>
  <c r="AJ42" i="18"/>
  <c r="AI42" i="18"/>
  <c r="AH42" i="18"/>
  <c r="AB42" i="18"/>
  <c r="AC42" i="18" s="1"/>
  <c r="AD42" i="18" s="1"/>
  <c r="V42" i="18"/>
  <c r="W42" i="18" s="1"/>
  <c r="X42" i="18" s="1"/>
  <c r="AL42" i="18" s="1"/>
  <c r="T42" i="18"/>
  <c r="R42" i="18"/>
  <c r="AK42" i="18" s="1"/>
  <c r="AN42" i="18" s="1"/>
  <c r="Q42" i="18"/>
  <c r="P42" i="18"/>
  <c r="J42" i="18"/>
  <c r="K42" i="18" s="1"/>
  <c r="G42" i="18"/>
  <c r="I42" i="18" s="1"/>
  <c r="AJ41" i="18"/>
  <c r="AI41" i="18"/>
  <c r="AH41" i="18"/>
  <c r="AB41" i="18"/>
  <c r="AC41" i="18" s="1"/>
  <c r="AD41" i="18" s="1"/>
  <c r="AK41" i="18" s="1"/>
  <c r="X41" i="18"/>
  <c r="AL41" i="18" s="1"/>
  <c r="AM41" i="18" s="1"/>
  <c r="W41" i="18"/>
  <c r="V41" i="18"/>
  <c r="R41" i="18"/>
  <c r="Q41" i="18"/>
  <c r="P41" i="18"/>
  <c r="I41" i="18"/>
  <c r="J41" i="18" s="1"/>
  <c r="K41" i="18" s="1"/>
  <c r="G41" i="18"/>
  <c r="AJ40" i="18"/>
  <c r="AI40" i="18"/>
  <c r="AH40" i="18"/>
  <c r="AB40" i="18"/>
  <c r="AC40" i="18" s="1"/>
  <c r="AD40" i="18" s="1"/>
  <c r="V40" i="18"/>
  <c r="W40" i="18" s="1"/>
  <c r="T40" i="18"/>
  <c r="R40" i="18"/>
  <c r="Q40" i="18"/>
  <c r="P40" i="18"/>
  <c r="I40" i="18"/>
  <c r="J40" i="18" s="1"/>
  <c r="K40" i="18" s="1"/>
  <c r="G40" i="18"/>
  <c r="AJ39" i="18"/>
  <c r="AI39" i="18"/>
  <c r="AH39" i="18"/>
  <c r="AD39" i="18"/>
  <c r="AC39" i="18"/>
  <c r="AB39" i="18"/>
  <c r="V39" i="18"/>
  <c r="W39" i="18" s="1"/>
  <c r="X39" i="18" s="1"/>
  <c r="AL39" i="18" s="1"/>
  <c r="R39" i="18"/>
  <c r="Q39" i="18"/>
  <c r="P39" i="18"/>
  <c r="I39" i="18"/>
  <c r="J39" i="18" s="1"/>
  <c r="K39" i="18" s="1"/>
  <c r="G39" i="18"/>
  <c r="AJ38" i="18"/>
  <c r="AI38" i="18"/>
  <c r="AH38" i="18"/>
  <c r="AD38" i="18"/>
  <c r="AC38" i="18"/>
  <c r="AB38" i="18"/>
  <c r="X38" i="18"/>
  <c r="W38" i="18"/>
  <c r="V38" i="18"/>
  <c r="R38" i="18"/>
  <c r="AK38" i="18" s="1"/>
  <c r="AN38" i="18" s="1"/>
  <c r="Q38" i="18"/>
  <c r="P38" i="18"/>
  <c r="I38" i="18"/>
  <c r="J38" i="18" s="1"/>
  <c r="K38" i="18" s="1"/>
  <c r="G38" i="18"/>
  <c r="AJ37" i="18"/>
  <c r="AI37" i="18"/>
  <c r="AH37" i="18"/>
  <c r="AD37" i="18"/>
  <c r="AC37" i="18"/>
  <c r="AB37" i="18"/>
  <c r="T37" i="18"/>
  <c r="P37" i="18"/>
  <c r="Q37" i="18" s="1"/>
  <c r="R37" i="18" s="1"/>
  <c r="AK37" i="18" s="1"/>
  <c r="I37" i="18"/>
  <c r="J37" i="18" s="1"/>
  <c r="K37" i="18" s="1"/>
  <c r="G37" i="18"/>
  <c r="AJ36" i="18"/>
  <c r="AI36" i="18"/>
  <c r="AH36" i="18"/>
  <c r="AD36" i="18"/>
  <c r="AC36" i="18"/>
  <c r="AB36" i="18"/>
  <c r="W36" i="18"/>
  <c r="X36" i="18" s="1"/>
  <c r="AL36" i="18" s="1"/>
  <c r="T36" i="18"/>
  <c r="V36" i="18" s="1"/>
  <c r="P36" i="18"/>
  <c r="Q36" i="18" s="1"/>
  <c r="R36" i="18" s="1"/>
  <c r="K36" i="18"/>
  <c r="J36" i="18"/>
  <c r="I36" i="18"/>
  <c r="G36" i="18"/>
  <c r="AK35" i="18"/>
  <c r="AJ35" i="18"/>
  <c r="AI35" i="18"/>
  <c r="AH35" i="18"/>
  <c r="AD35" i="18"/>
  <c r="AC35" i="18"/>
  <c r="AB35" i="18"/>
  <c r="V35" i="18"/>
  <c r="W35" i="18" s="1"/>
  <c r="X35" i="18" s="1"/>
  <c r="AL35" i="18" s="1"/>
  <c r="AM35" i="18" s="1"/>
  <c r="R35" i="18"/>
  <c r="P35" i="18"/>
  <c r="Q35" i="18" s="1"/>
  <c r="I35" i="18"/>
  <c r="J35" i="18" s="1"/>
  <c r="K35" i="18" s="1"/>
  <c r="G35" i="18"/>
  <c r="AN34" i="18"/>
  <c r="AK34" i="18"/>
  <c r="AJ34" i="18"/>
  <c r="AI34" i="18"/>
  <c r="AH34" i="18"/>
  <c r="AB34" i="18"/>
  <c r="AC34" i="18" s="1"/>
  <c r="AD34" i="18" s="1"/>
  <c r="X34" i="18"/>
  <c r="W34" i="18"/>
  <c r="V34" i="18"/>
  <c r="R34" i="18"/>
  <c r="Q34" i="18"/>
  <c r="P34" i="18"/>
  <c r="G34" i="18"/>
  <c r="I34" i="18" s="1"/>
  <c r="J34" i="18" s="1"/>
  <c r="K34" i="18" s="1"/>
  <c r="AJ33" i="18"/>
  <c r="AI33" i="18"/>
  <c r="AH33" i="18"/>
  <c r="AC33" i="18"/>
  <c r="AD33" i="18" s="1"/>
  <c r="AK33" i="18" s="1"/>
  <c r="AN33" i="18" s="1"/>
  <c r="AB33" i="18"/>
  <c r="W33" i="18"/>
  <c r="X33" i="18" s="1"/>
  <c r="AL33" i="18" s="1"/>
  <c r="V33" i="18"/>
  <c r="T33" i="18"/>
  <c r="R33" i="18"/>
  <c r="Q33" i="18"/>
  <c r="P33" i="18"/>
  <c r="K33" i="18"/>
  <c r="I33" i="18"/>
  <c r="J33" i="18" s="1"/>
  <c r="G33" i="18"/>
  <c r="AJ32" i="18"/>
  <c r="AI32" i="18"/>
  <c r="AH32" i="18"/>
  <c r="AC32" i="18"/>
  <c r="AD32" i="18" s="1"/>
  <c r="AB32" i="18"/>
  <c r="T32" i="18"/>
  <c r="R32" i="18"/>
  <c r="AK32" i="18" s="1"/>
  <c r="Q32" i="18"/>
  <c r="P32" i="18"/>
  <c r="I32" i="18"/>
  <c r="J32" i="18" s="1"/>
  <c r="K32" i="18" s="1"/>
  <c r="G32" i="18"/>
  <c r="AJ31" i="18"/>
  <c r="AI31" i="18"/>
  <c r="AH31" i="18"/>
  <c r="AD31" i="18"/>
  <c r="AC31" i="18"/>
  <c r="AB31" i="18"/>
  <c r="V31" i="18"/>
  <c r="W31" i="18" s="1"/>
  <c r="X31" i="18" s="1"/>
  <c r="AL31" i="18" s="1"/>
  <c r="R31" i="18"/>
  <c r="AK31" i="18" s="1"/>
  <c r="Q31" i="18"/>
  <c r="P31" i="18"/>
  <c r="K31" i="18"/>
  <c r="I31" i="18"/>
  <c r="J31" i="18" s="1"/>
  <c r="G31" i="18"/>
  <c r="AI30" i="18"/>
  <c r="AH30" i="18"/>
  <c r="AD30" i="18"/>
  <c r="AC30" i="18"/>
  <c r="AB30" i="18"/>
  <c r="T30" i="18"/>
  <c r="V30" i="18" s="1"/>
  <c r="W30" i="18" s="1"/>
  <c r="X30" i="18" s="1"/>
  <c r="Q30" i="18"/>
  <c r="R30" i="18" s="1"/>
  <c r="P30" i="18"/>
  <c r="I30" i="18"/>
  <c r="J30" i="18" s="1"/>
  <c r="K30" i="18" s="1"/>
  <c r="G30" i="18"/>
  <c r="AI29" i="18"/>
  <c r="AH29" i="18"/>
  <c r="AD29" i="18"/>
  <c r="AC29" i="18"/>
  <c r="AB29" i="18"/>
  <c r="T29" i="18"/>
  <c r="V29" i="18" s="1"/>
  <c r="W29" i="18" s="1"/>
  <c r="R29" i="18"/>
  <c r="Q29" i="18"/>
  <c r="P29" i="18"/>
  <c r="I29" i="18"/>
  <c r="J29" i="18" s="1"/>
  <c r="K29" i="18" s="1"/>
  <c r="G29" i="18"/>
  <c r="AJ28" i="18"/>
  <c r="AI28" i="18"/>
  <c r="AH28" i="18"/>
  <c r="AD28" i="18"/>
  <c r="AC28" i="18"/>
  <c r="AB28" i="18"/>
  <c r="T28" i="18"/>
  <c r="V28" i="18" s="1"/>
  <c r="W28" i="18" s="1"/>
  <c r="X28" i="18" s="1"/>
  <c r="AL28" i="18" s="1"/>
  <c r="P28" i="18"/>
  <c r="Q28" i="18" s="1"/>
  <c r="R28" i="18" s="1"/>
  <c r="AK28" i="18" s="1"/>
  <c r="AO28" i="18" s="1"/>
  <c r="I28" i="18"/>
  <c r="J28" i="18" s="1"/>
  <c r="K28" i="18" s="1"/>
  <c r="G28" i="18"/>
  <c r="AJ27" i="18"/>
  <c r="AI27" i="18"/>
  <c r="AH27" i="18"/>
  <c r="AD27" i="18"/>
  <c r="AC27" i="18"/>
  <c r="AB27" i="18"/>
  <c r="W27" i="18"/>
  <c r="X27" i="18" s="1"/>
  <c r="AL27" i="18" s="1"/>
  <c r="AM27" i="18" s="1"/>
  <c r="V27" i="18"/>
  <c r="P27" i="18"/>
  <c r="Q27" i="18" s="1"/>
  <c r="R27" i="18" s="1"/>
  <c r="AK27" i="18" s="1"/>
  <c r="I27" i="18"/>
  <c r="J27" i="18" s="1"/>
  <c r="K27" i="18" s="1"/>
  <c r="G27" i="18"/>
  <c r="AJ26" i="18"/>
  <c r="AI26" i="18"/>
  <c r="AH26" i="18"/>
  <c r="AD26" i="18"/>
  <c r="AC26" i="18"/>
  <c r="AB26" i="18"/>
  <c r="V26" i="18"/>
  <c r="W26" i="18" s="1"/>
  <c r="X26" i="18" s="1"/>
  <c r="AL26" i="18" s="1"/>
  <c r="Q26" i="18"/>
  <c r="R26" i="18" s="1"/>
  <c r="AK26" i="18" s="1"/>
  <c r="P26" i="18"/>
  <c r="I26" i="18"/>
  <c r="J26" i="18" s="1"/>
  <c r="K26" i="18" s="1"/>
  <c r="G26" i="18"/>
  <c r="AJ25" i="18"/>
  <c r="AI25" i="18"/>
  <c r="AH25" i="18"/>
  <c r="AB25" i="18"/>
  <c r="AC25" i="18" s="1"/>
  <c r="AD25" i="18" s="1"/>
  <c r="AK25" i="18" s="1"/>
  <c r="AN25" i="18" s="1"/>
  <c r="X25" i="18"/>
  <c r="W25" i="18"/>
  <c r="V25" i="18"/>
  <c r="R25" i="18"/>
  <c r="Q25" i="18"/>
  <c r="P25" i="18"/>
  <c r="J25" i="18"/>
  <c r="K25" i="18" s="1"/>
  <c r="I25" i="18"/>
  <c r="G25" i="18"/>
  <c r="AJ24" i="18"/>
  <c r="AI24" i="18"/>
  <c r="AH24" i="18"/>
  <c r="AB24" i="18"/>
  <c r="AC24" i="18" s="1"/>
  <c r="AD24" i="18" s="1"/>
  <c r="V24" i="18"/>
  <c r="W24" i="18" s="1"/>
  <c r="X24" i="18" s="1"/>
  <c r="AL24" i="18" s="1"/>
  <c r="R24" i="18"/>
  <c r="AK24" i="18" s="1"/>
  <c r="AN24" i="18" s="1"/>
  <c r="Q24" i="18"/>
  <c r="P24" i="18"/>
  <c r="G24" i="18"/>
  <c r="I24" i="18" s="1"/>
  <c r="J24" i="18" s="1"/>
  <c r="K24" i="18" s="1"/>
  <c r="AJ23" i="18"/>
  <c r="AI23" i="18"/>
  <c r="AH23" i="18"/>
  <c r="AD23" i="18"/>
  <c r="AK23" i="18" s="1"/>
  <c r="AO23" i="18" s="1"/>
  <c r="AC23" i="18"/>
  <c r="AB23" i="18"/>
  <c r="V23" i="18"/>
  <c r="W23" i="18" s="1"/>
  <c r="X23" i="18" s="1"/>
  <c r="AL23" i="18" s="1"/>
  <c r="R23" i="18"/>
  <c r="Q23" i="18"/>
  <c r="P23" i="18"/>
  <c r="K23" i="18"/>
  <c r="J23" i="18"/>
  <c r="I23" i="18"/>
  <c r="G23" i="18"/>
  <c r="AJ22" i="18"/>
  <c r="AI22" i="18"/>
  <c r="AH22" i="18"/>
  <c r="AB22" i="18"/>
  <c r="AC22" i="18" s="1"/>
  <c r="AD22" i="18" s="1"/>
  <c r="AK22" i="18" s="1"/>
  <c r="W22" i="18"/>
  <c r="X22" i="18" s="1"/>
  <c r="AL22" i="18" s="1"/>
  <c r="AM22" i="18" s="1"/>
  <c r="V22" i="18"/>
  <c r="R22" i="18"/>
  <c r="Q22" i="18"/>
  <c r="P22" i="18"/>
  <c r="I22" i="18"/>
  <c r="J22" i="18" s="1"/>
  <c r="K22" i="18" s="1"/>
  <c r="G22" i="18"/>
  <c r="AJ21" i="18"/>
  <c r="AI21" i="18"/>
  <c r="AH21" i="18"/>
  <c r="AD21" i="18"/>
  <c r="AC21" i="18"/>
  <c r="AB21" i="18"/>
  <c r="W21" i="18"/>
  <c r="X21" i="18" s="1"/>
  <c r="AL21" i="18" s="1"/>
  <c r="V21" i="18"/>
  <c r="R21" i="18"/>
  <c r="Q21" i="18"/>
  <c r="P21" i="18"/>
  <c r="G21" i="18"/>
  <c r="I21" i="18" s="1"/>
  <c r="J21" i="18" s="1"/>
  <c r="K21" i="18" s="1"/>
  <c r="AJ20" i="18"/>
  <c r="AI20" i="18"/>
  <c r="AH20" i="18"/>
  <c r="AD20" i="18"/>
  <c r="AC20" i="18"/>
  <c r="AB20" i="18"/>
  <c r="X20" i="18"/>
  <c r="W20" i="18"/>
  <c r="V20" i="18"/>
  <c r="P20" i="18"/>
  <c r="Q20" i="18" s="1"/>
  <c r="R20" i="18" s="1"/>
  <c r="AK20" i="18" s="1"/>
  <c r="G20" i="18"/>
  <c r="I20" i="18" s="1"/>
  <c r="J20" i="18" s="1"/>
  <c r="K20" i="18" s="1"/>
  <c r="AJ19" i="18"/>
  <c r="AI19" i="18"/>
  <c r="AH19" i="18"/>
  <c r="AD19" i="18"/>
  <c r="AC19" i="18"/>
  <c r="AB19" i="18"/>
  <c r="V19" i="18"/>
  <c r="W19" i="18" s="1"/>
  <c r="X19" i="18" s="1"/>
  <c r="AL19" i="18" s="1"/>
  <c r="Q19" i="18"/>
  <c r="R19" i="18" s="1"/>
  <c r="AK19" i="18" s="1"/>
  <c r="P19" i="18"/>
  <c r="I19" i="18"/>
  <c r="J19" i="18" s="1"/>
  <c r="K19" i="18" s="1"/>
  <c r="G19" i="18"/>
  <c r="AJ18" i="18"/>
  <c r="AI18" i="18"/>
  <c r="AH18" i="18"/>
  <c r="AD18" i="18"/>
  <c r="AC18" i="18"/>
  <c r="AB18" i="18"/>
  <c r="X18" i="18"/>
  <c r="AL18" i="18" s="1"/>
  <c r="AN18" i="18" s="1"/>
  <c r="W18" i="18"/>
  <c r="V18" i="18"/>
  <c r="P18" i="18"/>
  <c r="Q18" i="18" s="1"/>
  <c r="R18" i="18" s="1"/>
  <c r="AK18" i="18" s="1"/>
  <c r="G18" i="18"/>
  <c r="I18" i="18" s="1"/>
  <c r="J18" i="18" s="1"/>
  <c r="K18" i="18" s="1"/>
  <c r="AJ17" i="18"/>
  <c r="AI17" i="18"/>
  <c r="AH17" i="18"/>
  <c r="AD17" i="18"/>
  <c r="AC17" i="18"/>
  <c r="AB17" i="18"/>
  <c r="W17" i="18"/>
  <c r="X17" i="18" s="1"/>
  <c r="AL17" i="18" s="1"/>
  <c r="V17" i="18"/>
  <c r="Q17" i="18"/>
  <c r="R17" i="18" s="1"/>
  <c r="AK17" i="18" s="1"/>
  <c r="AN17" i="18" s="1"/>
  <c r="P17" i="18"/>
  <c r="G17" i="18"/>
  <c r="I17" i="18" s="1"/>
  <c r="J17" i="18" s="1"/>
  <c r="K17" i="18" s="1"/>
  <c r="AJ16" i="18"/>
  <c r="AI16" i="18"/>
  <c r="AH16" i="18"/>
  <c r="AC16" i="18"/>
  <c r="AD16" i="18" s="1"/>
  <c r="AK16" i="18" s="1"/>
  <c r="AB16" i="18"/>
  <c r="X16" i="18"/>
  <c r="W16" i="18"/>
  <c r="V16" i="18"/>
  <c r="R16" i="18"/>
  <c r="Q16" i="18"/>
  <c r="P16" i="18"/>
  <c r="K16" i="18"/>
  <c r="I16" i="18"/>
  <c r="J16" i="18" s="1"/>
  <c r="G16" i="18"/>
  <c r="AJ15" i="18"/>
  <c r="AI15" i="18"/>
  <c r="AH15" i="18"/>
  <c r="AB15" i="18"/>
  <c r="AC15" i="18" s="1"/>
  <c r="AD15" i="18" s="1"/>
  <c r="AK15" i="18" s="1"/>
  <c r="X15" i="18"/>
  <c r="AL15" i="18" s="1"/>
  <c r="AM15" i="18" s="1"/>
  <c r="W15" i="18"/>
  <c r="V15" i="18"/>
  <c r="R15" i="18"/>
  <c r="Q15" i="18"/>
  <c r="P15" i="18"/>
  <c r="G15" i="18"/>
  <c r="I15" i="18" s="1"/>
  <c r="J15" i="18" s="1"/>
  <c r="K15" i="18" s="1"/>
  <c r="AJ14" i="18"/>
  <c r="AI14" i="18"/>
  <c r="AH14" i="18"/>
  <c r="AC14" i="18"/>
  <c r="AD14" i="18" s="1"/>
  <c r="AB14" i="18"/>
  <c r="V14" i="18"/>
  <c r="W14" i="18" s="1"/>
  <c r="X14" i="18" s="1"/>
  <c r="AL14" i="18" s="1"/>
  <c r="R14" i="18"/>
  <c r="Q14" i="18"/>
  <c r="P14" i="18"/>
  <c r="I14" i="18"/>
  <c r="J14" i="18" s="1"/>
  <c r="K14" i="18" s="1"/>
  <c r="G14" i="18"/>
  <c r="AJ13" i="18"/>
  <c r="AI13" i="18"/>
  <c r="AH13" i="18"/>
  <c r="AC13" i="18"/>
  <c r="AD13" i="18" s="1"/>
  <c r="AK13" i="18" s="1"/>
  <c r="AN13" i="18" s="1"/>
  <c r="AB13" i="18"/>
  <c r="W13" i="18"/>
  <c r="X13" i="18" s="1"/>
  <c r="AL13" i="18" s="1"/>
  <c r="V13" i="18"/>
  <c r="R13" i="18"/>
  <c r="Q13" i="18"/>
  <c r="P13" i="18"/>
  <c r="K13" i="18"/>
  <c r="J13" i="18"/>
  <c r="G13" i="18"/>
  <c r="I13" i="18" s="1"/>
  <c r="AJ12" i="18"/>
  <c r="AI12" i="18"/>
  <c r="AH12" i="18"/>
  <c r="AD12" i="18"/>
  <c r="AC12" i="18"/>
  <c r="AB12" i="18"/>
  <c r="V12" i="18"/>
  <c r="W12" i="18" s="1"/>
  <c r="X12" i="18" s="1"/>
  <c r="AL12" i="18" s="1"/>
  <c r="AM12" i="18" s="1"/>
  <c r="R12" i="18"/>
  <c r="Q12" i="18"/>
  <c r="P12" i="18"/>
  <c r="G12" i="18"/>
  <c r="I12" i="18" s="1"/>
  <c r="J12" i="18" s="1"/>
  <c r="K12" i="18" s="1"/>
  <c r="AJ47" i="17"/>
  <c r="AI47" i="17"/>
  <c r="AH47" i="17"/>
  <c r="AD47" i="17"/>
  <c r="AC47" i="17"/>
  <c r="AB47" i="17"/>
  <c r="X47" i="17"/>
  <c r="W47" i="17"/>
  <c r="V47" i="17"/>
  <c r="P47" i="17"/>
  <c r="Q47" i="17" s="1"/>
  <c r="R47" i="17" s="1"/>
  <c r="AK47" i="17" s="1"/>
  <c r="AM47" i="17" s="1"/>
  <c r="I47" i="17"/>
  <c r="J47" i="17" s="1"/>
  <c r="K47" i="17" s="1"/>
  <c r="G47" i="17"/>
  <c r="AJ46" i="17"/>
  <c r="AI46" i="17"/>
  <c r="AH46" i="17"/>
  <c r="AD46" i="17"/>
  <c r="AC46" i="17"/>
  <c r="AB46" i="17"/>
  <c r="V46" i="17"/>
  <c r="W46" i="17" s="1"/>
  <c r="X46" i="17" s="1"/>
  <c r="AL46" i="17" s="1"/>
  <c r="AM46" i="17" s="1"/>
  <c r="Q46" i="17"/>
  <c r="R46" i="17" s="1"/>
  <c r="AK46" i="17" s="1"/>
  <c r="P46" i="17"/>
  <c r="G46" i="17"/>
  <c r="I46" i="17" s="1"/>
  <c r="J46" i="17" s="1"/>
  <c r="K46" i="17" s="1"/>
  <c r="AJ45" i="17"/>
  <c r="AI45" i="17"/>
  <c r="AH45" i="17"/>
  <c r="AD45" i="17"/>
  <c r="AC45" i="17"/>
  <c r="AB45" i="17"/>
  <c r="W45" i="17"/>
  <c r="X45" i="17" s="1"/>
  <c r="AL45" i="17" s="1"/>
  <c r="V45" i="17"/>
  <c r="Q45" i="17"/>
  <c r="R45" i="17" s="1"/>
  <c r="P45" i="17"/>
  <c r="K45" i="17"/>
  <c r="J45" i="17"/>
  <c r="G45" i="17"/>
  <c r="I45" i="17" s="1"/>
  <c r="AK44" i="17"/>
  <c r="AJ44" i="17"/>
  <c r="AI44" i="17"/>
  <c r="AH44" i="17"/>
  <c r="AD44" i="17"/>
  <c r="AC44" i="17"/>
  <c r="AB44" i="17"/>
  <c r="V44" i="17"/>
  <c r="W44" i="17" s="1"/>
  <c r="X44" i="17" s="1"/>
  <c r="AL44" i="17" s="1"/>
  <c r="AM44" i="17" s="1"/>
  <c r="Q44" i="17"/>
  <c r="R44" i="17" s="1"/>
  <c r="P44" i="17"/>
  <c r="J44" i="17"/>
  <c r="K44" i="17" s="1"/>
  <c r="I44" i="17"/>
  <c r="G44" i="17"/>
  <c r="AI43" i="17"/>
  <c r="AH43" i="17"/>
  <c r="AB43" i="17"/>
  <c r="AC43" i="17" s="1"/>
  <c r="AD43" i="17" s="1"/>
  <c r="V43" i="17"/>
  <c r="W43" i="17" s="1"/>
  <c r="X43" i="17" s="1"/>
  <c r="R43" i="17"/>
  <c r="Q43" i="17"/>
  <c r="P43" i="17"/>
  <c r="G43" i="17"/>
  <c r="I43" i="17" s="1"/>
  <c r="J43" i="17" s="1"/>
  <c r="K43" i="17" s="1"/>
  <c r="AJ42" i="17"/>
  <c r="AI42" i="17"/>
  <c r="AH42" i="17"/>
  <c r="AD42" i="17"/>
  <c r="AC42" i="17"/>
  <c r="AB42" i="17"/>
  <c r="V42" i="17"/>
  <c r="W42" i="17" s="1"/>
  <c r="X42" i="17" s="1"/>
  <c r="AL42" i="17" s="1"/>
  <c r="R42" i="17"/>
  <c r="AK42" i="17" s="1"/>
  <c r="AO42" i="17" s="1"/>
  <c r="Q42" i="17"/>
  <c r="P42" i="17"/>
  <c r="I42" i="17"/>
  <c r="J42" i="17" s="1"/>
  <c r="K42" i="17" s="1"/>
  <c r="G42" i="17"/>
  <c r="AJ41" i="17"/>
  <c r="AI41" i="17"/>
  <c r="AH41" i="17"/>
  <c r="AB41" i="17"/>
  <c r="AC41" i="17" s="1"/>
  <c r="AD41" i="17" s="1"/>
  <c r="AK41" i="17" s="1"/>
  <c r="W41" i="17"/>
  <c r="X41" i="17" s="1"/>
  <c r="AL41" i="17" s="1"/>
  <c r="V41" i="17"/>
  <c r="R41" i="17"/>
  <c r="Q41" i="17"/>
  <c r="P41" i="17"/>
  <c r="G41" i="17"/>
  <c r="I41" i="17" s="1"/>
  <c r="J41" i="17" s="1"/>
  <c r="K41" i="17" s="1"/>
  <c r="AJ40" i="17"/>
  <c r="AI40" i="17"/>
  <c r="AH40" i="17"/>
  <c r="AC40" i="17"/>
  <c r="AD40" i="17" s="1"/>
  <c r="AB40" i="17"/>
  <c r="V40" i="17"/>
  <c r="W40" i="17" s="1"/>
  <c r="X40" i="17" s="1"/>
  <c r="AL40" i="17" s="1"/>
  <c r="R40" i="17"/>
  <c r="AK40" i="17" s="1"/>
  <c r="AN40" i="17" s="1"/>
  <c r="Q40" i="17"/>
  <c r="P40" i="17"/>
  <c r="G40" i="17"/>
  <c r="I40" i="17" s="1"/>
  <c r="J40" i="17" s="1"/>
  <c r="K40" i="17" s="1"/>
  <c r="AJ39" i="17"/>
  <c r="AI39" i="17"/>
  <c r="AH39" i="17"/>
  <c r="AD39" i="17"/>
  <c r="AC39" i="17"/>
  <c r="AB39" i="17"/>
  <c r="X39" i="17"/>
  <c r="AL39" i="17" s="1"/>
  <c r="AN39" i="17" s="1"/>
  <c r="V39" i="17"/>
  <c r="W39" i="17" s="1"/>
  <c r="R39" i="17"/>
  <c r="Q39" i="17"/>
  <c r="P39" i="17"/>
  <c r="J39" i="17"/>
  <c r="K39" i="17" s="1"/>
  <c r="I39" i="17"/>
  <c r="G39" i="17"/>
  <c r="AJ38" i="17"/>
  <c r="AI38" i="17"/>
  <c r="AH38" i="17"/>
  <c r="AD38" i="17"/>
  <c r="AC38" i="17"/>
  <c r="AB38" i="17"/>
  <c r="X38" i="17"/>
  <c r="W38" i="17"/>
  <c r="V38" i="17"/>
  <c r="R38" i="17"/>
  <c r="AK38" i="17" s="1"/>
  <c r="Q38" i="17"/>
  <c r="P38" i="17"/>
  <c r="G38" i="17"/>
  <c r="I38" i="17" s="1"/>
  <c r="J38" i="17" s="1"/>
  <c r="K38" i="17" s="1"/>
  <c r="AJ37" i="17"/>
  <c r="AI37" i="17"/>
  <c r="AH37" i="17"/>
  <c r="AD37" i="17"/>
  <c r="AC37" i="17"/>
  <c r="AB37" i="17"/>
  <c r="W37" i="17"/>
  <c r="X37" i="17" s="1"/>
  <c r="AL37" i="17" s="1"/>
  <c r="V37" i="17"/>
  <c r="Q37" i="17"/>
  <c r="R37" i="17" s="1"/>
  <c r="AK37" i="17" s="1"/>
  <c r="P37" i="17"/>
  <c r="G37" i="17"/>
  <c r="I37" i="17" s="1"/>
  <c r="J37" i="17" s="1"/>
  <c r="K37" i="17" s="1"/>
  <c r="AJ36" i="17"/>
  <c r="AO36" i="17" s="1"/>
  <c r="AI36" i="17"/>
  <c r="AH36" i="17"/>
  <c r="AD36" i="17"/>
  <c r="AC36" i="17"/>
  <c r="AB36" i="17"/>
  <c r="V36" i="17"/>
  <c r="W36" i="17" s="1"/>
  <c r="X36" i="17" s="1"/>
  <c r="AL36" i="17" s="1"/>
  <c r="Q36" i="17"/>
  <c r="R36" i="17" s="1"/>
  <c r="AK36" i="17" s="1"/>
  <c r="P36" i="17"/>
  <c r="I36" i="17"/>
  <c r="J36" i="17" s="1"/>
  <c r="K36" i="17" s="1"/>
  <c r="G36" i="17"/>
  <c r="AJ35" i="17"/>
  <c r="AI35" i="17"/>
  <c r="AH35" i="17"/>
  <c r="AD35" i="17"/>
  <c r="AC35" i="17"/>
  <c r="AB35" i="17"/>
  <c r="V35" i="17"/>
  <c r="W35" i="17" s="1"/>
  <c r="X35" i="17" s="1"/>
  <c r="AL35" i="17" s="1"/>
  <c r="AM35" i="17" s="1"/>
  <c r="Q35" i="17"/>
  <c r="R35" i="17" s="1"/>
  <c r="AK35" i="17" s="1"/>
  <c r="AN35" i="17" s="1"/>
  <c r="P35" i="17"/>
  <c r="J35" i="17"/>
  <c r="K35" i="17" s="1"/>
  <c r="G35" i="17"/>
  <c r="I35" i="17" s="1"/>
  <c r="AJ34" i="17"/>
  <c r="AI34" i="17"/>
  <c r="AH34" i="17"/>
  <c r="AB34" i="17"/>
  <c r="AC34" i="17" s="1"/>
  <c r="AD34" i="17" s="1"/>
  <c r="X34" i="17"/>
  <c r="W34" i="17"/>
  <c r="V34" i="17"/>
  <c r="R34" i="17"/>
  <c r="Q34" i="17"/>
  <c r="P34" i="17"/>
  <c r="G34" i="17"/>
  <c r="I34" i="17" s="1"/>
  <c r="J34" i="17" s="1"/>
  <c r="K34" i="17" s="1"/>
  <c r="AK33" i="17"/>
  <c r="AJ33" i="17"/>
  <c r="AI33" i="17"/>
  <c r="AH33" i="17"/>
  <c r="AC33" i="17"/>
  <c r="AD33" i="17" s="1"/>
  <c r="AB33" i="17"/>
  <c r="W33" i="17"/>
  <c r="X33" i="17" s="1"/>
  <c r="AL33" i="17" s="1"/>
  <c r="AM33" i="17" s="1"/>
  <c r="V33" i="17"/>
  <c r="R33" i="17"/>
  <c r="Q33" i="17"/>
  <c r="P33" i="17"/>
  <c r="I33" i="17"/>
  <c r="J33" i="17" s="1"/>
  <c r="K33" i="17" s="1"/>
  <c r="G33" i="17"/>
  <c r="AN32" i="17"/>
  <c r="AJ32" i="17"/>
  <c r="AI32" i="17"/>
  <c r="AH32" i="17"/>
  <c r="AD32" i="17"/>
  <c r="AC32" i="17"/>
  <c r="AB32" i="17"/>
  <c r="W32" i="17"/>
  <c r="X32" i="17" s="1"/>
  <c r="AL32" i="17" s="1"/>
  <c r="AM32" i="17" s="1"/>
  <c r="V32" i="17"/>
  <c r="R32" i="17"/>
  <c r="AK32" i="17" s="1"/>
  <c r="Q32" i="17"/>
  <c r="P32" i="17"/>
  <c r="K32" i="17"/>
  <c r="G32" i="17"/>
  <c r="I32" i="17" s="1"/>
  <c r="J32" i="17" s="1"/>
  <c r="AJ31" i="17"/>
  <c r="AI31" i="17"/>
  <c r="AH31" i="17"/>
  <c r="AC31" i="17"/>
  <c r="AD31" i="17" s="1"/>
  <c r="AB31" i="17"/>
  <c r="V31" i="17"/>
  <c r="W31" i="17" s="1"/>
  <c r="X31" i="17" s="1"/>
  <c r="AL31" i="17" s="1"/>
  <c r="R31" i="17"/>
  <c r="AK31" i="17" s="1"/>
  <c r="AN31" i="17" s="1"/>
  <c r="Q31" i="17"/>
  <c r="P31" i="17"/>
  <c r="I31" i="17"/>
  <c r="J31" i="17" s="1"/>
  <c r="K31" i="17" s="1"/>
  <c r="G31" i="17"/>
  <c r="AI30" i="17"/>
  <c r="AH30" i="17"/>
  <c r="AD30" i="17"/>
  <c r="AC30" i="17"/>
  <c r="AB30" i="17"/>
  <c r="W30" i="17"/>
  <c r="X30" i="17" s="1"/>
  <c r="V30" i="17"/>
  <c r="R30" i="17"/>
  <c r="Q30" i="17"/>
  <c r="P30" i="17"/>
  <c r="I30" i="17"/>
  <c r="J30" i="17" s="1"/>
  <c r="K30" i="17" s="1"/>
  <c r="G30" i="17"/>
  <c r="AI29" i="17"/>
  <c r="AH29" i="17"/>
  <c r="AD29" i="17"/>
  <c r="AC29" i="17"/>
  <c r="AB29" i="17"/>
  <c r="W29" i="17"/>
  <c r="X29" i="17" s="1"/>
  <c r="V29" i="17"/>
  <c r="P29" i="17"/>
  <c r="Q29" i="17" s="1"/>
  <c r="R29" i="17" s="1"/>
  <c r="K29" i="17"/>
  <c r="I29" i="17"/>
  <c r="J29" i="17" s="1"/>
  <c r="G29" i="17"/>
  <c r="AK28" i="17"/>
  <c r="AJ28" i="17"/>
  <c r="AI28" i="17"/>
  <c r="AH28" i="17"/>
  <c r="AD28" i="17"/>
  <c r="AC28" i="17"/>
  <c r="AB28" i="17"/>
  <c r="W28" i="17"/>
  <c r="X28" i="17" s="1"/>
  <c r="AL28" i="17" s="1"/>
  <c r="AM28" i="17" s="1"/>
  <c r="V28" i="17"/>
  <c r="P28" i="17"/>
  <c r="Q28" i="17" s="1"/>
  <c r="R28" i="17" s="1"/>
  <c r="G28" i="17"/>
  <c r="I28" i="17" s="1"/>
  <c r="J28" i="17" s="1"/>
  <c r="K28" i="17" s="1"/>
  <c r="AJ27" i="17"/>
  <c r="AI27" i="17"/>
  <c r="AH27" i="17"/>
  <c r="AD27" i="17"/>
  <c r="AC27" i="17"/>
  <c r="AB27" i="17"/>
  <c r="W27" i="17"/>
  <c r="X27" i="17" s="1"/>
  <c r="AL27" i="17" s="1"/>
  <c r="V27" i="17"/>
  <c r="P27" i="17"/>
  <c r="Q27" i="17" s="1"/>
  <c r="R27" i="17" s="1"/>
  <c r="G27" i="17"/>
  <c r="I27" i="17" s="1"/>
  <c r="J27" i="17" s="1"/>
  <c r="K27" i="17" s="1"/>
  <c r="AK26" i="17"/>
  <c r="AJ26" i="17"/>
  <c r="AI26" i="17"/>
  <c r="AH26" i="17"/>
  <c r="AD26" i="17"/>
  <c r="AC26" i="17"/>
  <c r="AB26" i="17"/>
  <c r="X26" i="17"/>
  <c r="AL26" i="17" s="1"/>
  <c r="AM26" i="17" s="1"/>
  <c r="W26" i="17"/>
  <c r="V26" i="17"/>
  <c r="Q26" i="17"/>
  <c r="R26" i="17" s="1"/>
  <c r="P26" i="17"/>
  <c r="I26" i="17"/>
  <c r="J26" i="17" s="1"/>
  <c r="K26" i="17" s="1"/>
  <c r="G26" i="17"/>
  <c r="AJ25" i="17"/>
  <c r="AO25" i="17" s="1"/>
  <c r="AI25" i="17"/>
  <c r="AH25" i="17"/>
  <c r="AD25" i="17"/>
  <c r="AK25" i="17" s="1"/>
  <c r="AN25" i="17" s="1"/>
  <c r="AC25" i="17"/>
  <c r="AB25" i="17"/>
  <c r="X25" i="17"/>
  <c r="W25" i="17"/>
  <c r="V25" i="17"/>
  <c r="R25" i="17"/>
  <c r="Q25" i="17"/>
  <c r="P25" i="17"/>
  <c r="I25" i="17"/>
  <c r="J25" i="17" s="1"/>
  <c r="K25" i="17" s="1"/>
  <c r="G25" i="17"/>
  <c r="AJ24" i="17"/>
  <c r="AI24" i="17"/>
  <c r="AH24" i="17"/>
  <c r="AB24" i="17"/>
  <c r="AC24" i="17" s="1"/>
  <c r="AD24" i="17" s="1"/>
  <c r="X24" i="17"/>
  <c r="AL24" i="17" s="1"/>
  <c r="W24" i="17"/>
  <c r="V24" i="17"/>
  <c r="R24" i="17"/>
  <c r="Q24" i="17"/>
  <c r="P24" i="17"/>
  <c r="J24" i="17"/>
  <c r="K24" i="17" s="1"/>
  <c r="I24" i="17"/>
  <c r="G24" i="17"/>
  <c r="AJ23" i="17"/>
  <c r="AI23" i="17"/>
  <c r="AH23" i="17"/>
  <c r="AC23" i="17"/>
  <c r="AD23" i="17" s="1"/>
  <c r="AB23" i="17"/>
  <c r="V23" i="17"/>
  <c r="W23" i="17" s="1"/>
  <c r="X23" i="17" s="1"/>
  <c r="AL23" i="17" s="1"/>
  <c r="R23" i="17"/>
  <c r="Q23" i="17"/>
  <c r="P23" i="17"/>
  <c r="I23" i="17"/>
  <c r="J23" i="17" s="1"/>
  <c r="K23" i="17" s="1"/>
  <c r="G23" i="17"/>
  <c r="AN22" i="17"/>
  <c r="AJ22" i="17"/>
  <c r="AI22" i="17"/>
  <c r="AH22" i="17"/>
  <c r="AD22" i="17"/>
  <c r="AC22" i="17"/>
  <c r="AB22" i="17"/>
  <c r="W22" i="17"/>
  <c r="X22" i="17" s="1"/>
  <c r="AL22" i="17" s="1"/>
  <c r="AM22" i="17" s="1"/>
  <c r="V22" i="17"/>
  <c r="R22" i="17"/>
  <c r="AK22" i="17" s="1"/>
  <c r="Q22" i="17"/>
  <c r="P22" i="17"/>
  <c r="K22" i="17"/>
  <c r="G22" i="17"/>
  <c r="I22" i="17" s="1"/>
  <c r="J22" i="17" s="1"/>
  <c r="AJ21" i="17"/>
  <c r="AI21" i="17"/>
  <c r="AH21" i="17"/>
  <c r="AD21" i="17"/>
  <c r="AC21" i="17"/>
  <c r="AB21" i="17"/>
  <c r="W21" i="17"/>
  <c r="X21" i="17" s="1"/>
  <c r="AL21" i="17" s="1"/>
  <c r="AM21" i="17" s="1"/>
  <c r="V21" i="17"/>
  <c r="R21" i="17"/>
  <c r="Q21" i="17"/>
  <c r="P21" i="17"/>
  <c r="G21" i="17"/>
  <c r="I21" i="17" s="1"/>
  <c r="J21" i="17" s="1"/>
  <c r="K21" i="17" s="1"/>
  <c r="AE20" i="17"/>
  <c r="AD20" i="17"/>
  <c r="AC20" i="17"/>
  <c r="AB20" i="17"/>
  <c r="X20" i="17"/>
  <c r="W20" i="17"/>
  <c r="V20" i="17"/>
  <c r="P20" i="17"/>
  <c r="Q20" i="17" s="1"/>
  <c r="R20" i="17" s="1"/>
  <c r="AK20" i="17" s="1"/>
  <c r="I20" i="17"/>
  <c r="J20" i="17" s="1"/>
  <c r="K20" i="17" s="1"/>
  <c r="G20" i="17"/>
  <c r="AL19" i="17"/>
  <c r="AM19" i="17" s="1"/>
  <c r="AJ19" i="17"/>
  <c r="AI19" i="17"/>
  <c r="AH19" i="17"/>
  <c r="AD19" i="17"/>
  <c r="AC19" i="17"/>
  <c r="AB19" i="17"/>
  <c r="X19" i="17"/>
  <c r="W19" i="17"/>
  <c r="V19" i="17"/>
  <c r="P19" i="17"/>
  <c r="Q19" i="17" s="1"/>
  <c r="R19" i="17" s="1"/>
  <c r="AK19" i="17" s="1"/>
  <c r="I19" i="17"/>
  <c r="J19" i="17" s="1"/>
  <c r="K19" i="17" s="1"/>
  <c r="G19" i="17"/>
  <c r="AJ18" i="17"/>
  <c r="AI18" i="17"/>
  <c r="AH18" i="17"/>
  <c r="AD18" i="17"/>
  <c r="AC18" i="17"/>
  <c r="AB18" i="17"/>
  <c r="V18" i="17"/>
  <c r="W18" i="17" s="1"/>
  <c r="X18" i="17" s="1"/>
  <c r="AL18" i="17" s="1"/>
  <c r="AM18" i="17" s="1"/>
  <c r="R18" i="17"/>
  <c r="AK18" i="17" s="1"/>
  <c r="Q18" i="17"/>
  <c r="P18" i="17"/>
  <c r="I18" i="17"/>
  <c r="J18" i="17" s="1"/>
  <c r="K18" i="17" s="1"/>
  <c r="G18" i="17"/>
  <c r="AJ17" i="17"/>
  <c r="AI17" i="17"/>
  <c r="AH17" i="17"/>
  <c r="AD17" i="17"/>
  <c r="AC17" i="17"/>
  <c r="AB17" i="17"/>
  <c r="W17" i="17"/>
  <c r="X17" i="17" s="1"/>
  <c r="AL17" i="17" s="1"/>
  <c r="V17" i="17"/>
  <c r="P17" i="17"/>
  <c r="Q17" i="17" s="1"/>
  <c r="R17" i="17" s="1"/>
  <c r="K17" i="17"/>
  <c r="G17" i="17"/>
  <c r="I17" i="17" s="1"/>
  <c r="J17" i="17" s="1"/>
  <c r="AK16" i="17"/>
  <c r="AJ16" i="17"/>
  <c r="AI16" i="17"/>
  <c r="AH16" i="17"/>
  <c r="AB16" i="17"/>
  <c r="AC16" i="17" s="1"/>
  <c r="AD16" i="17" s="1"/>
  <c r="X16" i="17"/>
  <c r="W16" i="17"/>
  <c r="V16" i="17"/>
  <c r="R16" i="17"/>
  <c r="Q16" i="17"/>
  <c r="P16" i="17"/>
  <c r="G16" i="17"/>
  <c r="I16" i="17" s="1"/>
  <c r="J16" i="17" s="1"/>
  <c r="K16" i="17" s="1"/>
  <c r="AJ15" i="17"/>
  <c r="AI15" i="17"/>
  <c r="AH15" i="17"/>
  <c r="AD15" i="17"/>
  <c r="AK15" i="17" s="1"/>
  <c r="AN15" i="17" s="1"/>
  <c r="AC15" i="17"/>
  <c r="AB15" i="17"/>
  <c r="V15" i="17"/>
  <c r="W15" i="17" s="1"/>
  <c r="X15" i="17" s="1"/>
  <c r="AL15" i="17" s="1"/>
  <c r="R15" i="17"/>
  <c r="Q15" i="17"/>
  <c r="P15" i="17"/>
  <c r="I15" i="17"/>
  <c r="J15" i="17" s="1"/>
  <c r="K15" i="17" s="1"/>
  <c r="G15" i="17"/>
  <c r="AM14" i="17"/>
  <c r="AL14" i="17"/>
  <c r="AJ14" i="17"/>
  <c r="AI14" i="17"/>
  <c r="AH14" i="17"/>
  <c r="AB14" i="17"/>
  <c r="AC14" i="17" s="1"/>
  <c r="AD14" i="17" s="1"/>
  <c r="X14" i="17"/>
  <c r="W14" i="17"/>
  <c r="V14" i="17"/>
  <c r="R14" i="17"/>
  <c r="AK14" i="17" s="1"/>
  <c r="Q14" i="17"/>
  <c r="P14" i="17"/>
  <c r="J14" i="17"/>
  <c r="K14" i="17" s="1"/>
  <c r="I14" i="17"/>
  <c r="G14" i="17"/>
  <c r="AJ13" i="17"/>
  <c r="AO13" i="17" s="1"/>
  <c r="AI13" i="17"/>
  <c r="AH13" i="17"/>
  <c r="AC13" i="17"/>
  <c r="AD13" i="17" s="1"/>
  <c r="AB13" i="17"/>
  <c r="V13" i="17"/>
  <c r="W13" i="17" s="1"/>
  <c r="X13" i="17" s="1"/>
  <c r="AL13" i="17" s="1"/>
  <c r="R13" i="17"/>
  <c r="AK13" i="17" s="1"/>
  <c r="Q13" i="17"/>
  <c r="P13" i="17"/>
  <c r="I13" i="17"/>
  <c r="J13" i="17" s="1"/>
  <c r="K13" i="17" s="1"/>
  <c r="G13" i="17"/>
  <c r="AJ12" i="17"/>
  <c r="AI12" i="17"/>
  <c r="AH12" i="17"/>
  <c r="AD12" i="17"/>
  <c r="AC12" i="17"/>
  <c r="AB12" i="17"/>
  <c r="V12" i="17"/>
  <c r="W12" i="17" s="1"/>
  <c r="X12" i="17" s="1"/>
  <c r="AL12" i="17" s="1"/>
  <c r="AM12" i="17" s="1"/>
  <c r="R12" i="17"/>
  <c r="Q12" i="17"/>
  <c r="P12" i="17"/>
  <c r="J12" i="17"/>
  <c r="K12" i="17" s="1"/>
  <c r="I12" i="17"/>
  <c r="G12" i="17"/>
  <c r="AK47" i="16"/>
  <c r="AJ47" i="16"/>
  <c r="AI47" i="16"/>
  <c r="AE47" i="16"/>
  <c r="AD47" i="16"/>
  <c r="AC47" i="16"/>
  <c r="Y47" i="16"/>
  <c r="X47" i="16"/>
  <c r="W47" i="16"/>
  <c r="S47" i="16"/>
  <c r="AL47" i="16" s="1"/>
  <c r="R47" i="16"/>
  <c r="Q47" i="16"/>
  <c r="J47" i="16"/>
  <c r="K47" i="16" s="1"/>
  <c r="L47" i="16" s="1"/>
  <c r="H47" i="16"/>
  <c r="AP46" i="16"/>
  <c r="AJ46" i="16"/>
  <c r="AK46" i="16" s="1"/>
  <c r="AI46" i="16"/>
  <c r="AE46" i="16"/>
  <c r="AD46" i="16"/>
  <c r="AC46" i="16"/>
  <c r="X46" i="16"/>
  <c r="Y46" i="16" s="1"/>
  <c r="AM46" i="16" s="1"/>
  <c r="AN46" i="16" s="1"/>
  <c r="W46" i="16"/>
  <c r="Q46" i="16"/>
  <c r="R46" i="16" s="1"/>
  <c r="S46" i="16" s="1"/>
  <c r="AL46" i="16" s="1"/>
  <c r="AO46" i="16" s="1"/>
  <c r="L46" i="16"/>
  <c r="H46" i="16"/>
  <c r="J46" i="16" s="1"/>
  <c r="K46" i="16" s="1"/>
  <c r="AM45" i="16"/>
  <c r="AI45" i="16"/>
  <c r="AJ45" i="16" s="1"/>
  <c r="AK45" i="16" s="1"/>
  <c r="AE45" i="16"/>
  <c r="AD45" i="16"/>
  <c r="AC45" i="16"/>
  <c r="Y45" i="16"/>
  <c r="X45" i="16"/>
  <c r="W45" i="16"/>
  <c r="R45" i="16"/>
  <c r="S45" i="16" s="1"/>
  <c r="AL45" i="16" s="1"/>
  <c r="AO45" i="16" s="1"/>
  <c r="Q45" i="16"/>
  <c r="H45" i="16"/>
  <c r="J45" i="16" s="1"/>
  <c r="K45" i="16" s="1"/>
  <c r="L45" i="16" s="1"/>
  <c r="AK44" i="16"/>
  <c r="AJ44" i="16"/>
  <c r="AI44" i="16"/>
  <c r="AE44" i="16"/>
  <c r="AD44" i="16"/>
  <c r="AC44" i="16"/>
  <c r="X44" i="16"/>
  <c r="Y44" i="16" s="1"/>
  <c r="AM44" i="16" s="1"/>
  <c r="AN44" i="16" s="1"/>
  <c r="W44" i="16"/>
  <c r="S44" i="16"/>
  <c r="AL44" i="16" s="1"/>
  <c r="R44" i="16"/>
  <c r="Q44" i="16"/>
  <c r="H44" i="16"/>
  <c r="J44" i="16" s="1"/>
  <c r="K44" i="16" s="1"/>
  <c r="L44" i="16" s="1"/>
  <c r="AJ43" i="16"/>
  <c r="AI43" i="16"/>
  <c r="AE43" i="16"/>
  <c r="AD43" i="16"/>
  <c r="AC43" i="16"/>
  <c r="W43" i="16"/>
  <c r="X43" i="16" s="1"/>
  <c r="Y43" i="16" s="1"/>
  <c r="S43" i="16"/>
  <c r="R43" i="16"/>
  <c r="Q43" i="16"/>
  <c r="J43" i="16"/>
  <c r="K43" i="16" s="1"/>
  <c r="L43" i="16" s="1"/>
  <c r="H43" i="16"/>
  <c r="AM42" i="16"/>
  <c r="AJ42" i="16"/>
  <c r="AK42" i="16" s="1"/>
  <c r="AI42" i="16"/>
  <c r="AC42" i="16"/>
  <c r="AD42" i="16" s="1"/>
  <c r="AE42" i="16" s="1"/>
  <c r="Y42" i="16"/>
  <c r="X42" i="16"/>
  <c r="W42" i="16"/>
  <c r="S42" i="16"/>
  <c r="AL42" i="16" s="1"/>
  <c r="AO42" i="16" s="1"/>
  <c r="R42" i="16"/>
  <c r="Q42" i="16"/>
  <c r="J42" i="16"/>
  <c r="K42" i="16" s="1"/>
  <c r="L42" i="16" s="1"/>
  <c r="H42" i="16"/>
  <c r="AK41" i="16"/>
  <c r="AJ41" i="16"/>
  <c r="AI41" i="16"/>
  <c r="AD41" i="16"/>
  <c r="AE41" i="16" s="1"/>
  <c r="AC41" i="16"/>
  <c r="W41" i="16"/>
  <c r="X41" i="16" s="1"/>
  <c r="Y41" i="16" s="1"/>
  <c r="AM41" i="16" s="1"/>
  <c r="S41" i="16"/>
  <c r="R41" i="16"/>
  <c r="Q41" i="16"/>
  <c r="J41" i="16"/>
  <c r="K41" i="16" s="1"/>
  <c r="L41" i="16" s="1"/>
  <c r="H41" i="16"/>
  <c r="AK40" i="16"/>
  <c r="AJ40" i="16"/>
  <c r="AI40" i="16"/>
  <c r="AD40" i="16"/>
  <c r="AE40" i="16" s="1"/>
  <c r="AC40" i="16"/>
  <c r="X40" i="16"/>
  <c r="Y40" i="16" s="1"/>
  <c r="AM40" i="16" s="1"/>
  <c r="W40" i="16"/>
  <c r="S40" i="16"/>
  <c r="R40" i="16"/>
  <c r="Q40" i="16"/>
  <c r="H40" i="16"/>
  <c r="J40" i="16" s="1"/>
  <c r="K40" i="16" s="1"/>
  <c r="L40" i="16" s="1"/>
  <c r="AK39" i="16"/>
  <c r="AJ39" i="16"/>
  <c r="AI39" i="16"/>
  <c r="AE39" i="16"/>
  <c r="AD39" i="16"/>
  <c r="AC39" i="16"/>
  <c r="W39" i="16"/>
  <c r="X39" i="16" s="1"/>
  <c r="Y39" i="16" s="1"/>
  <c r="AM39" i="16" s="1"/>
  <c r="AN39" i="16" s="1"/>
  <c r="S39" i="16"/>
  <c r="R39" i="16"/>
  <c r="Q39" i="16"/>
  <c r="H39" i="16"/>
  <c r="J39" i="16" s="1"/>
  <c r="K39" i="16" s="1"/>
  <c r="L39" i="16" s="1"/>
  <c r="AJ38" i="16"/>
  <c r="AK38" i="16" s="1"/>
  <c r="AI38" i="16"/>
  <c r="AE38" i="16"/>
  <c r="AD38" i="16"/>
  <c r="AC38" i="16"/>
  <c r="Y38" i="16"/>
  <c r="X38" i="16"/>
  <c r="W38" i="16"/>
  <c r="Q38" i="16"/>
  <c r="R38" i="16" s="1"/>
  <c r="S38" i="16" s="1"/>
  <c r="H38" i="16"/>
  <c r="J38" i="16" s="1"/>
  <c r="K38" i="16" s="1"/>
  <c r="L38" i="16" s="1"/>
  <c r="AI37" i="16"/>
  <c r="AJ37" i="16" s="1"/>
  <c r="AK37" i="16" s="1"/>
  <c r="AE37" i="16"/>
  <c r="AD37" i="16"/>
  <c r="AC37" i="16"/>
  <c r="X37" i="16"/>
  <c r="Y37" i="16" s="1"/>
  <c r="AM37" i="16" s="1"/>
  <c r="AN37" i="16" s="1"/>
  <c r="W37" i="16"/>
  <c r="R37" i="16"/>
  <c r="S37" i="16" s="1"/>
  <c r="AL37" i="16" s="1"/>
  <c r="Q37" i="16"/>
  <c r="J37" i="16"/>
  <c r="K37" i="16" s="1"/>
  <c r="L37" i="16" s="1"/>
  <c r="H37" i="16"/>
  <c r="AI36" i="16"/>
  <c r="AJ36" i="16" s="1"/>
  <c r="AK36" i="16" s="1"/>
  <c r="AP36" i="16" s="1"/>
  <c r="AE36" i="16"/>
  <c r="AD36" i="16"/>
  <c r="AC36" i="16"/>
  <c r="X36" i="16"/>
  <c r="Y36" i="16" s="1"/>
  <c r="AM36" i="16" s="1"/>
  <c r="W36" i="16"/>
  <c r="S36" i="16"/>
  <c r="AL36" i="16" s="1"/>
  <c r="R36" i="16"/>
  <c r="Q36" i="16"/>
  <c r="H36" i="16"/>
  <c r="J36" i="16" s="1"/>
  <c r="K36" i="16" s="1"/>
  <c r="L36" i="16" s="1"/>
  <c r="AI35" i="16"/>
  <c r="AJ35" i="16" s="1"/>
  <c r="AK35" i="16" s="1"/>
  <c r="AE35" i="16"/>
  <c r="AD35" i="16"/>
  <c r="AC35" i="16"/>
  <c r="W35" i="16"/>
  <c r="X35" i="16" s="1"/>
  <c r="Y35" i="16" s="1"/>
  <c r="AM35" i="16" s="1"/>
  <c r="AN35" i="16" s="1"/>
  <c r="R35" i="16"/>
  <c r="S35" i="16" s="1"/>
  <c r="AL35" i="16" s="1"/>
  <c r="AO35" i="16" s="1"/>
  <c r="Q35" i="16"/>
  <c r="L35" i="16"/>
  <c r="K35" i="16"/>
  <c r="J35" i="16"/>
  <c r="H35" i="16"/>
  <c r="AK34" i="16"/>
  <c r="AJ34" i="16"/>
  <c r="AI34" i="16"/>
  <c r="AD34" i="16"/>
  <c r="AE34" i="16" s="1"/>
  <c r="AC34" i="16"/>
  <c r="Y34" i="16"/>
  <c r="X34" i="16"/>
  <c r="W34" i="16"/>
  <c r="S34" i="16"/>
  <c r="R34" i="16"/>
  <c r="Q34" i="16"/>
  <c r="J34" i="16"/>
  <c r="K34" i="16" s="1"/>
  <c r="L34" i="16" s="1"/>
  <c r="H34" i="16"/>
  <c r="AK33" i="16"/>
  <c r="AJ33" i="16"/>
  <c r="AI33" i="16"/>
  <c r="AE33" i="16"/>
  <c r="AD33" i="16"/>
  <c r="AC33" i="16"/>
  <c r="X33" i="16"/>
  <c r="Y33" i="16" s="1"/>
  <c r="AM33" i="16" s="1"/>
  <c r="W33" i="16"/>
  <c r="S33" i="16"/>
  <c r="R33" i="16"/>
  <c r="Q33" i="16"/>
  <c r="L33" i="16"/>
  <c r="H33" i="16"/>
  <c r="J33" i="16" s="1"/>
  <c r="K33" i="16" s="1"/>
  <c r="AK32" i="16"/>
  <c r="AJ32" i="16"/>
  <c r="AI32" i="16"/>
  <c r="AD32" i="16"/>
  <c r="AE32" i="16" s="1"/>
  <c r="AL32" i="16" s="1"/>
  <c r="AC32" i="16"/>
  <c r="Y32" i="16"/>
  <c r="AM32" i="16" s="1"/>
  <c r="X32" i="16"/>
  <c r="W32" i="16"/>
  <c r="S32" i="16"/>
  <c r="R32" i="16"/>
  <c r="Q32" i="16"/>
  <c r="L32" i="16"/>
  <c r="J32" i="16"/>
  <c r="K32" i="16" s="1"/>
  <c r="H32" i="16"/>
  <c r="AK31" i="16"/>
  <c r="AJ31" i="16"/>
  <c r="AI31" i="16"/>
  <c r="AC31" i="16"/>
  <c r="AD31" i="16" s="1"/>
  <c r="AE31" i="16" s="1"/>
  <c r="X31" i="16"/>
  <c r="Y31" i="16" s="1"/>
  <c r="AM31" i="16" s="1"/>
  <c r="W31" i="16"/>
  <c r="S31" i="16"/>
  <c r="AL31" i="16" s="1"/>
  <c r="AO31" i="16" s="1"/>
  <c r="R31" i="16"/>
  <c r="Q31" i="16"/>
  <c r="H31" i="16"/>
  <c r="J31" i="16" s="1"/>
  <c r="K31" i="16" s="1"/>
  <c r="L31" i="16" s="1"/>
  <c r="AI30" i="16"/>
  <c r="AJ30" i="16" s="1"/>
  <c r="AE30" i="16"/>
  <c r="AD30" i="16"/>
  <c r="AC30" i="16"/>
  <c r="Y30" i="16"/>
  <c r="W30" i="16"/>
  <c r="X30" i="16" s="1"/>
  <c r="R30" i="16"/>
  <c r="S30" i="16" s="1"/>
  <c r="Q30" i="16"/>
  <c r="J30" i="16"/>
  <c r="K30" i="16" s="1"/>
  <c r="L30" i="16" s="1"/>
  <c r="H30" i="16"/>
  <c r="AJ29" i="16"/>
  <c r="AI29" i="16"/>
  <c r="AE29" i="16"/>
  <c r="AD29" i="16"/>
  <c r="AC29" i="16"/>
  <c r="Y29" i="16"/>
  <c r="X29" i="16"/>
  <c r="W29" i="16"/>
  <c r="S29" i="16"/>
  <c r="Q29" i="16"/>
  <c r="R29" i="16" s="1"/>
  <c r="L29" i="16"/>
  <c r="H29" i="16"/>
  <c r="J29" i="16" s="1"/>
  <c r="K29" i="16" s="1"/>
  <c r="AI28" i="16"/>
  <c r="AJ28" i="16" s="1"/>
  <c r="AK28" i="16" s="1"/>
  <c r="AE28" i="16"/>
  <c r="AD28" i="16"/>
  <c r="AC28" i="16"/>
  <c r="X28" i="16"/>
  <c r="Y28" i="16" s="1"/>
  <c r="AM28" i="16" s="1"/>
  <c r="AN28" i="16" s="1"/>
  <c r="W28" i="16"/>
  <c r="R28" i="16"/>
  <c r="S28" i="16" s="1"/>
  <c r="AL28" i="16" s="1"/>
  <c r="Q28" i="16"/>
  <c r="L28" i="16"/>
  <c r="J28" i="16"/>
  <c r="K28" i="16" s="1"/>
  <c r="H28" i="16"/>
  <c r="AJ27" i="16"/>
  <c r="AK27" i="16" s="1"/>
  <c r="AE27" i="16"/>
  <c r="AD27" i="16"/>
  <c r="AC27" i="16"/>
  <c r="Y27" i="16"/>
  <c r="AM27" i="16" s="1"/>
  <c r="W27" i="16"/>
  <c r="X27" i="16" s="1"/>
  <c r="Q27" i="16"/>
  <c r="R27" i="16" s="1"/>
  <c r="S27" i="16" s="1"/>
  <c r="AL27" i="16" s="1"/>
  <c r="AO27" i="16" s="1"/>
  <c r="J27" i="16"/>
  <c r="K27" i="16" s="1"/>
  <c r="L27" i="16" s="1"/>
  <c r="H27" i="16"/>
  <c r="AJ26" i="16"/>
  <c r="AK26" i="16" s="1"/>
  <c r="AI26" i="16"/>
  <c r="AE26" i="16"/>
  <c r="AD26" i="16"/>
  <c r="AC26" i="16"/>
  <c r="Y26" i="16"/>
  <c r="AM26" i="16" s="1"/>
  <c r="X26" i="16"/>
  <c r="W26" i="16"/>
  <c r="S26" i="16"/>
  <c r="Q26" i="16"/>
  <c r="R26" i="16" s="1"/>
  <c r="K26" i="16"/>
  <c r="L26" i="16" s="1"/>
  <c r="J26" i="16"/>
  <c r="H26" i="16"/>
  <c r="AK25" i="16"/>
  <c r="AJ25" i="16"/>
  <c r="AI25" i="16"/>
  <c r="AC25" i="16"/>
  <c r="AD25" i="16" s="1"/>
  <c r="AE25" i="16" s="1"/>
  <c r="Y25" i="16"/>
  <c r="X25" i="16"/>
  <c r="W25" i="16"/>
  <c r="S25" i="16"/>
  <c r="AL25" i="16" s="1"/>
  <c r="R25" i="16"/>
  <c r="Q25" i="16"/>
  <c r="H25" i="16"/>
  <c r="J25" i="16" s="1"/>
  <c r="K25" i="16" s="1"/>
  <c r="L25" i="16" s="1"/>
  <c r="AK24" i="16"/>
  <c r="AP24" i="16" s="1"/>
  <c r="AJ24" i="16"/>
  <c r="AI24" i="16"/>
  <c r="AD24" i="16"/>
  <c r="AE24" i="16" s="1"/>
  <c r="AC24" i="16"/>
  <c r="W24" i="16"/>
  <c r="X24" i="16" s="1"/>
  <c r="Y24" i="16" s="1"/>
  <c r="AM24" i="16" s="1"/>
  <c r="AN24" i="16" s="1"/>
  <c r="S24" i="16"/>
  <c r="AL24" i="16" s="1"/>
  <c r="AO24" i="16" s="1"/>
  <c r="R24" i="16"/>
  <c r="Q24" i="16"/>
  <c r="L24" i="16"/>
  <c r="K24" i="16"/>
  <c r="J24" i="16"/>
  <c r="H24" i="16"/>
  <c r="AK23" i="16"/>
  <c r="AP23" i="16" s="1"/>
  <c r="AJ23" i="16"/>
  <c r="AI23" i="16"/>
  <c r="AC23" i="16"/>
  <c r="AD23" i="16" s="1"/>
  <c r="AE23" i="16" s="1"/>
  <c r="AL23" i="16" s="1"/>
  <c r="AO23" i="16" s="1"/>
  <c r="X23" i="16"/>
  <c r="Y23" i="16" s="1"/>
  <c r="AM23" i="16" s="1"/>
  <c r="W23" i="16"/>
  <c r="S23" i="16"/>
  <c r="R23" i="16"/>
  <c r="Q23" i="16"/>
  <c r="J23" i="16"/>
  <c r="K23" i="16" s="1"/>
  <c r="L23" i="16" s="1"/>
  <c r="H23" i="16"/>
  <c r="AL22" i="16"/>
  <c r="AK22" i="16"/>
  <c r="AP22" i="16" s="1"/>
  <c r="AJ22" i="16"/>
  <c r="AI22" i="16"/>
  <c r="AE22" i="16"/>
  <c r="AD22" i="16"/>
  <c r="AC22" i="16"/>
  <c r="X22" i="16"/>
  <c r="Y22" i="16" s="1"/>
  <c r="AM22" i="16" s="1"/>
  <c r="AN22" i="16" s="1"/>
  <c r="W22" i="16"/>
  <c r="S22" i="16"/>
  <c r="R22" i="16"/>
  <c r="Q22" i="16"/>
  <c r="J22" i="16"/>
  <c r="K22" i="16" s="1"/>
  <c r="L22" i="16" s="1"/>
  <c r="H22" i="16"/>
  <c r="AI21" i="16"/>
  <c r="AJ21" i="16" s="1"/>
  <c r="AK21" i="16" s="1"/>
  <c r="AE21" i="16"/>
  <c r="AD21" i="16"/>
  <c r="AC21" i="16"/>
  <c r="X21" i="16"/>
  <c r="Y21" i="16" s="1"/>
  <c r="AM21" i="16" s="1"/>
  <c r="W21" i="16"/>
  <c r="S21" i="16"/>
  <c r="R21" i="16"/>
  <c r="Q21" i="16"/>
  <c r="H21" i="16"/>
  <c r="J21" i="16" s="1"/>
  <c r="K21" i="16" s="1"/>
  <c r="L21" i="16" s="1"/>
  <c r="AJ20" i="16"/>
  <c r="AK20" i="16" s="1"/>
  <c r="AI20" i="16"/>
  <c r="AE20" i="16"/>
  <c r="AD20" i="16"/>
  <c r="AC20" i="16"/>
  <c r="Y20" i="16"/>
  <c r="X20" i="16"/>
  <c r="W20" i="16"/>
  <c r="S20" i="16"/>
  <c r="AL20" i="16" s="1"/>
  <c r="AO20" i="16" s="1"/>
  <c r="R20" i="16"/>
  <c r="Q20" i="16"/>
  <c r="H20" i="16"/>
  <c r="J20" i="16" s="1"/>
  <c r="K20" i="16" s="1"/>
  <c r="L20" i="16" s="1"/>
  <c r="AM19" i="16"/>
  <c r="AJ19" i="16"/>
  <c r="AK19" i="16" s="1"/>
  <c r="AI19" i="16"/>
  <c r="AE19" i="16"/>
  <c r="AD19" i="16"/>
  <c r="AC19" i="16"/>
  <c r="Y19" i="16"/>
  <c r="X19" i="16"/>
  <c r="W19" i="16"/>
  <c r="Q19" i="16"/>
  <c r="R19" i="16" s="1"/>
  <c r="S19" i="16" s="1"/>
  <c r="AL19" i="16" s="1"/>
  <c r="L19" i="16"/>
  <c r="K19" i="16"/>
  <c r="J19" i="16"/>
  <c r="H19" i="16"/>
  <c r="AL18" i="16"/>
  <c r="AK18" i="16"/>
  <c r="AJ18" i="16"/>
  <c r="AI18" i="16"/>
  <c r="AE18" i="16"/>
  <c r="AD18" i="16"/>
  <c r="AC18" i="16"/>
  <c r="W18" i="16"/>
  <c r="X18" i="16" s="1"/>
  <c r="Y18" i="16" s="1"/>
  <c r="AM18" i="16" s="1"/>
  <c r="AN18" i="16" s="1"/>
  <c r="S18" i="16"/>
  <c r="R18" i="16"/>
  <c r="Q18" i="16"/>
  <c r="H18" i="16"/>
  <c r="J18" i="16" s="1"/>
  <c r="K18" i="16" s="1"/>
  <c r="L18" i="16" s="1"/>
  <c r="AK17" i="16"/>
  <c r="AJ17" i="16"/>
  <c r="AI17" i="16"/>
  <c r="AE17" i="16"/>
  <c r="AD17" i="16"/>
  <c r="AC17" i="16"/>
  <c r="X17" i="16"/>
  <c r="Y17" i="16" s="1"/>
  <c r="AM17" i="16" s="1"/>
  <c r="W17" i="16"/>
  <c r="R17" i="16"/>
  <c r="S17" i="16" s="1"/>
  <c r="AL17" i="16" s="1"/>
  <c r="Q17" i="16"/>
  <c r="H17" i="16"/>
  <c r="J17" i="16" s="1"/>
  <c r="K17" i="16" s="1"/>
  <c r="L17" i="16" s="1"/>
  <c r="AK16" i="16"/>
  <c r="AN16" i="16" s="1"/>
  <c r="AJ16" i="16"/>
  <c r="AI16" i="16"/>
  <c r="AD16" i="16"/>
  <c r="AE16" i="16" s="1"/>
  <c r="AL16" i="16" s="1"/>
  <c r="AC16" i="16"/>
  <c r="Y16" i="16"/>
  <c r="X16" i="16"/>
  <c r="W16" i="16"/>
  <c r="S16" i="16"/>
  <c r="R16" i="16"/>
  <c r="Q16" i="16"/>
  <c r="L16" i="16"/>
  <c r="K16" i="16"/>
  <c r="J16" i="16"/>
  <c r="H16" i="16"/>
  <c r="AK15" i="16"/>
  <c r="AJ15" i="16"/>
  <c r="AI15" i="16"/>
  <c r="AD15" i="16"/>
  <c r="AE15" i="16" s="1"/>
  <c r="AL15" i="16" s="1"/>
  <c r="AC15" i="16"/>
  <c r="W15" i="16"/>
  <c r="X15" i="16" s="1"/>
  <c r="Y15" i="16" s="1"/>
  <c r="AM15" i="16" s="1"/>
  <c r="AN15" i="16" s="1"/>
  <c r="S15" i="16"/>
  <c r="R15" i="16"/>
  <c r="Q15" i="16"/>
  <c r="L15" i="16"/>
  <c r="J15" i="16"/>
  <c r="K15" i="16" s="1"/>
  <c r="H15" i="16"/>
  <c r="AK14" i="16"/>
  <c r="AJ14" i="16"/>
  <c r="AI14" i="16"/>
  <c r="AD14" i="16"/>
  <c r="AE14" i="16" s="1"/>
  <c r="AC14" i="16"/>
  <c r="Y14" i="16"/>
  <c r="AM14" i="16" s="1"/>
  <c r="AN14" i="16" s="1"/>
  <c r="X14" i="16"/>
  <c r="W14" i="16"/>
  <c r="S14" i="16"/>
  <c r="AL14" i="16" s="1"/>
  <c r="R14" i="16"/>
  <c r="Q14" i="16"/>
  <c r="L14" i="16"/>
  <c r="K14" i="16"/>
  <c r="J14" i="16"/>
  <c r="H14" i="16"/>
  <c r="AK13" i="16"/>
  <c r="AJ13" i="16"/>
  <c r="AI13" i="16"/>
  <c r="AC13" i="16"/>
  <c r="AD13" i="16" s="1"/>
  <c r="AE13" i="16" s="1"/>
  <c r="W13" i="16"/>
  <c r="X13" i="16" s="1"/>
  <c r="Y13" i="16" s="1"/>
  <c r="AM13" i="16" s="1"/>
  <c r="S13" i="16"/>
  <c r="AL13" i="16" s="1"/>
  <c r="AO13" i="16" s="1"/>
  <c r="R13" i="16"/>
  <c r="Q13" i="16"/>
  <c r="K13" i="16"/>
  <c r="L13" i="16" s="1"/>
  <c r="J13" i="16"/>
  <c r="H13" i="16"/>
  <c r="AI12" i="16"/>
  <c r="AJ12" i="16" s="1"/>
  <c r="AK12" i="16" s="1"/>
  <c r="AE12" i="16"/>
  <c r="AD12" i="16"/>
  <c r="AC12" i="16"/>
  <c r="Y12" i="16"/>
  <c r="AM12" i="16" s="1"/>
  <c r="W12" i="16"/>
  <c r="X12" i="16" s="1"/>
  <c r="S12" i="16"/>
  <c r="R12" i="16"/>
  <c r="Q12" i="16"/>
  <c r="J12" i="16"/>
  <c r="K12" i="16" s="1"/>
  <c r="L12" i="16" s="1"/>
  <c r="H12" i="16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26" i="14"/>
  <c r="I339" i="14"/>
  <c r="J339" i="14"/>
  <c r="I340" i="14"/>
  <c r="J340" i="14"/>
  <c r="I341" i="14"/>
  <c r="J341" i="14"/>
  <c r="I342" i="14"/>
  <c r="J342" i="14"/>
  <c r="I343" i="14"/>
  <c r="J343" i="14"/>
  <c r="I344" i="14"/>
  <c r="J344" i="14"/>
  <c r="I345" i="14"/>
  <c r="J345" i="14"/>
  <c r="I346" i="14"/>
  <c r="J346" i="14"/>
  <c r="I347" i="14"/>
  <c r="J347" i="14"/>
  <c r="I348" i="14"/>
  <c r="J348" i="14"/>
  <c r="I349" i="14"/>
  <c r="J349" i="14"/>
  <c r="I350" i="14"/>
  <c r="J350" i="14"/>
  <c r="I351" i="14"/>
  <c r="J351" i="14"/>
  <c r="I352" i="14"/>
  <c r="J352" i="14"/>
  <c r="I353" i="14"/>
  <c r="J353" i="14"/>
  <c r="I354" i="14"/>
  <c r="J354" i="14"/>
  <c r="I355" i="14"/>
  <c r="J355" i="14"/>
  <c r="I356" i="14"/>
  <c r="J356" i="14"/>
  <c r="I357" i="14"/>
  <c r="J357" i="14"/>
  <c r="I358" i="14"/>
  <c r="J358" i="14"/>
  <c r="I359" i="14"/>
  <c r="J359" i="14"/>
  <c r="I360" i="14"/>
  <c r="J360" i="14"/>
  <c r="I361" i="14"/>
  <c r="J361" i="14"/>
  <c r="I327" i="14"/>
  <c r="J327" i="14"/>
  <c r="I328" i="14"/>
  <c r="J328" i="14"/>
  <c r="I329" i="14"/>
  <c r="J329" i="14"/>
  <c r="I330" i="14"/>
  <c r="J330" i="14"/>
  <c r="I331" i="14"/>
  <c r="J331" i="14"/>
  <c r="I332" i="14"/>
  <c r="J332" i="14"/>
  <c r="I333" i="14"/>
  <c r="J333" i="14"/>
  <c r="I334" i="14"/>
  <c r="J334" i="14"/>
  <c r="I335" i="14"/>
  <c r="J335" i="14"/>
  <c r="I336" i="14"/>
  <c r="J336" i="14"/>
  <c r="I337" i="14"/>
  <c r="J337" i="14"/>
  <c r="I338" i="14"/>
  <c r="J338" i="14"/>
  <c r="J326" i="14"/>
  <c r="I326" i="14"/>
  <c r="G327" i="14"/>
  <c r="H327" i="14"/>
  <c r="G328" i="14"/>
  <c r="H328" i="14"/>
  <c r="G329" i="14"/>
  <c r="H329" i="14"/>
  <c r="G330" i="14"/>
  <c r="H330" i="14"/>
  <c r="G331" i="14"/>
  <c r="H331" i="14"/>
  <c r="G332" i="14"/>
  <c r="H332" i="14"/>
  <c r="G333" i="14"/>
  <c r="H333" i="14"/>
  <c r="G334" i="14"/>
  <c r="H334" i="14"/>
  <c r="G335" i="14"/>
  <c r="H335" i="14"/>
  <c r="G336" i="14"/>
  <c r="H336" i="14"/>
  <c r="G337" i="14"/>
  <c r="H337" i="14"/>
  <c r="G338" i="14"/>
  <c r="H338" i="14"/>
  <c r="G339" i="14"/>
  <c r="H339" i="14"/>
  <c r="G340" i="14"/>
  <c r="H340" i="14"/>
  <c r="G341" i="14"/>
  <c r="H341" i="14"/>
  <c r="G342" i="14"/>
  <c r="H342" i="14"/>
  <c r="G343" i="14"/>
  <c r="H343" i="14"/>
  <c r="G344" i="14"/>
  <c r="H344" i="14"/>
  <c r="G345" i="14"/>
  <c r="H345" i="14"/>
  <c r="G346" i="14"/>
  <c r="H346" i="14"/>
  <c r="G347" i="14"/>
  <c r="H347" i="14"/>
  <c r="G348" i="14"/>
  <c r="H348" i="14"/>
  <c r="G349" i="14"/>
  <c r="H349" i="14"/>
  <c r="G350" i="14"/>
  <c r="H350" i="14"/>
  <c r="G351" i="14"/>
  <c r="H351" i="14"/>
  <c r="G352" i="14"/>
  <c r="H352" i="14"/>
  <c r="G353" i="14"/>
  <c r="H353" i="14"/>
  <c r="G354" i="14"/>
  <c r="H354" i="14"/>
  <c r="G355" i="14"/>
  <c r="H355" i="14"/>
  <c r="G356" i="14"/>
  <c r="H356" i="14"/>
  <c r="G357" i="14"/>
  <c r="H357" i="14"/>
  <c r="G358" i="14"/>
  <c r="H358" i="14"/>
  <c r="G359" i="14"/>
  <c r="H359" i="14"/>
  <c r="G360" i="14"/>
  <c r="H360" i="14"/>
  <c r="G361" i="14"/>
  <c r="H361" i="14"/>
  <c r="H326" i="14"/>
  <c r="G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26" i="14"/>
  <c r="I291" i="14"/>
  <c r="J291" i="14"/>
  <c r="I292" i="14"/>
  <c r="J292" i="14"/>
  <c r="I293" i="14"/>
  <c r="J293" i="14"/>
  <c r="I294" i="14"/>
  <c r="J294" i="14"/>
  <c r="I295" i="14"/>
  <c r="J295" i="14"/>
  <c r="I296" i="14"/>
  <c r="J296" i="14"/>
  <c r="I297" i="14"/>
  <c r="J297" i="14"/>
  <c r="I298" i="14"/>
  <c r="J298" i="14"/>
  <c r="I299" i="14"/>
  <c r="J299" i="14"/>
  <c r="I300" i="14"/>
  <c r="J300" i="14"/>
  <c r="I301" i="14"/>
  <c r="J301" i="14"/>
  <c r="I302" i="14"/>
  <c r="J302" i="14"/>
  <c r="I303" i="14"/>
  <c r="J303" i="14"/>
  <c r="I304" i="14"/>
  <c r="J304" i="14"/>
  <c r="I305" i="14"/>
  <c r="J305" i="14"/>
  <c r="I306" i="14"/>
  <c r="J306" i="14"/>
  <c r="I307" i="14"/>
  <c r="J307" i="14"/>
  <c r="I308" i="14"/>
  <c r="J308" i="14"/>
  <c r="I309" i="14"/>
  <c r="J309" i="14"/>
  <c r="I310" i="14"/>
  <c r="J310" i="14"/>
  <c r="I311" i="14"/>
  <c r="J311" i="14"/>
  <c r="I312" i="14"/>
  <c r="J312" i="14"/>
  <c r="I313" i="14"/>
  <c r="J313" i="14"/>
  <c r="I314" i="14"/>
  <c r="J314" i="14"/>
  <c r="I315" i="14"/>
  <c r="J315" i="14"/>
  <c r="I316" i="14"/>
  <c r="J316" i="14"/>
  <c r="I317" i="14"/>
  <c r="J317" i="14"/>
  <c r="I318" i="14"/>
  <c r="J318" i="14"/>
  <c r="I319" i="14"/>
  <c r="J319" i="14"/>
  <c r="I320" i="14"/>
  <c r="J320" i="14"/>
  <c r="I321" i="14"/>
  <c r="J321" i="14"/>
  <c r="I322" i="14"/>
  <c r="J322" i="14"/>
  <c r="I323" i="14"/>
  <c r="J323" i="14"/>
  <c r="I324" i="14"/>
  <c r="J324" i="14"/>
  <c r="I325" i="14"/>
  <c r="J325" i="14"/>
  <c r="J290" i="14"/>
  <c r="I290" i="14"/>
  <c r="I289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54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54" i="14"/>
  <c r="I255" i="14"/>
  <c r="I256" i="14"/>
  <c r="I257" i="14"/>
  <c r="I258" i="14"/>
  <c r="I259" i="14"/>
  <c r="I253" i="14"/>
  <c r="G291" i="14"/>
  <c r="H291" i="14"/>
  <c r="G292" i="14"/>
  <c r="H292" i="14"/>
  <c r="G293" i="14"/>
  <c r="H293" i="14"/>
  <c r="G294" i="14"/>
  <c r="H294" i="14"/>
  <c r="G295" i="14"/>
  <c r="H295" i="14"/>
  <c r="G296" i="14"/>
  <c r="H296" i="14"/>
  <c r="G297" i="14"/>
  <c r="H297" i="14"/>
  <c r="G298" i="14"/>
  <c r="H298" i="14"/>
  <c r="G299" i="14"/>
  <c r="H299" i="14"/>
  <c r="G300" i="14"/>
  <c r="H300" i="14"/>
  <c r="G301" i="14"/>
  <c r="H301" i="14"/>
  <c r="G302" i="14"/>
  <c r="H302" i="14"/>
  <c r="G303" i="14"/>
  <c r="H303" i="14"/>
  <c r="G304" i="14"/>
  <c r="H304" i="14"/>
  <c r="G305" i="14"/>
  <c r="H305" i="14"/>
  <c r="G306" i="14"/>
  <c r="H306" i="14"/>
  <c r="G307" i="14"/>
  <c r="H307" i="14"/>
  <c r="G308" i="14"/>
  <c r="H308" i="14"/>
  <c r="G310" i="14"/>
  <c r="H310" i="14"/>
  <c r="G311" i="14"/>
  <c r="H311" i="14"/>
  <c r="G312" i="14"/>
  <c r="H312" i="14"/>
  <c r="G313" i="14"/>
  <c r="H313" i="14"/>
  <c r="G314" i="14"/>
  <c r="H314" i="14"/>
  <c r="G315" i="14"/>
  <c r="H315" i="14"/>
  <c r="G316" i="14"/>
  <c r="H316" i="14"/>
  <c r="G317" i="14"/>
  <c r="H317" i="14"/>
  <c r="G318" i="14"/>
  <c r="H318" i="14"/>
  <c r="G319" i="14"/>
  <c r="H319" i="14"/>
  <c r="G320" i="14"/>
  <c r="H320" i="14"/>
  <c r="G321" i="14"/>
  <c r="H321" i="14"/>
  <c r="G322" i="14"/>
  <c r="H322" i="14"/>
  <c r="G323" i="14"/>
  <c r="H323" i="14"/>
  <c r="G324" i="14"/>
  <c r="H324" i="14"/>
  <c r="G325" i="14"/>
  <c r="H325" i="14"/>
  <c r="H290" i="14"/>
  <c r="G290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18" i="14"/>
  <c r="H218" i="14" a="1"/>
  <c r="H218" i="14" s="1"/>
  <c r="G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54" i="14"/>
  <c r="G255" i="14"/>
  <c r="H255" i="14"/>
  <c r="G256" i="14"/>
  <c r="H256" i="14"/>
  <c r="G257" i="14"/>
  <c r="H257" i="14"/>
  <c r="G258" i="14"/>
  <c r="H258" i="14"/>
  <c r="G259" i="14"/>
  <c r="H259" i="14"/>
  <c r="G260" i="14"/>
  <c r="H260" i="14"/>
  <c r="G261" i="14"/>
  <c r="H261" i="14"/>
  <c r="G262" i="14"/>
  <c r="H262" i="14"/>
  <c r="G263" i="14"/>
  <c r="H263" i="14"/>
  <c r="G264" i="14"/>
  <c r="H264" i="14"/>
  <c r="G265" i="14"/>
  <c r="H265" i="14"/>
  <c r="G266" i="14"/>
  <c r="H266" i="14"/>
  <c r="G267" i="14"/>
  <c r="H267" i="14"/>
  <c r="G268" i="14"/>
  <c r="H268" i="14"/>
  <c r="G269" i="14"/>
  <c r="H269" i="14"/>
  <c r="G270" i="14"/>
  <c r="H270" i="14"/>
  <c r="G271" i="14"/>
  <c r="H271" i="14"/>
  <c r="G272" i="14"/>
  <c r="H272" i="14"/>
  <c r="G273" i="14"/>
  <c r="H273" i="14"/>
  <c r="G274" i="14"/>
  <c r="H274" i="14"/>
  <c r="G275" i="14"/>
  <c r="H275" i="14"/>
  <c r="G276" i="14"/>
  <c r="H276" i="14"/>
  <c r="G277" i="14"/>
  <c r="H277" i="14"/>
  <c r="G278" i="14"/>
  <c r="H278" i="14"/>
  <c r="G279" i="14"/>
  <c r="H279" i="14"/>
  <c r="G280" i="14"/>
  <c r="H280" i="14"/>
  <c r="G281" i="14"/>
  <c r="H281" i="14"/>
  <c r="G282" i="14"/>
  <c r="H282" i="14"/>
  <c r="G283" i="14"/>
  <c r="H283" i="14"/>
  <c r="G284" i="14"/>
  <c r="H284" i="14"/>
  <c r="G285" i="14"/>
  <c r="H285" i="14"/>
  <c r="G286" i="14"/>
  <c r="H286" i="14"/>
  <c r="G287" i="14"/>
  <c r="H287" i="14"/>
  <c r="G288" i="14"/>
  <c r="H288" i="14"/>
  <c r="H289" i="14"/>
  <c r="H254" i="14"/>
  <c r="G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54" i="14"/>
  <c r="AP19" i="16" l="1"/>
  <c r="AO19" i="16"/>
  <c r="AN20" i="17"/>
  <c r="AO14" i="16"/>
  <c r="AP14" i="16"/>
  <c r="AO16" i="16"/>
  <c r="AP16" i="16"/>
  <c r="AN19" i="16"/>
  <c r="AN25" i="16"/>
  <c r="AO25" i="16"/>
  <c r="AO15" i="16"/>
  <c r="AN27" i="16"/>
  <c r="AN32" i="16"/>
  <c r="AO37" i="16"/>
  <c r="AN12" i="16"/>
  <c r="AO18" i="16"/>
  <c r="AN21" i="16"/>
  <c r="AP21" i="16"/>
  <c r="AO21" i="16"/>
  <c r="AO28" i="16"/>
  <c r="AN23" i="16"/>
  <c r="AP32" i="16"/>
  <c r="AO32" i="16"/>
  <c r="AP15" i="16"/>
  <c r="AM24" i="17"/>
  <c r="AP20" i="16"/>
  <c r="AN20" i="16"/>
  <c r="AN13" i="16"/>
  <c r="AP12" i="16"/>
  <c r="AO12" i="16"/>
  <c r="AO17" i="16"/>
  <c r="AP17" i="16"/>
  <c r="AN42" i="16"/>
  <c r="AM16" i="17"/>
  <c r="AO16" i="17"/>
  <c r="AM38" i="17"/>
  <c r="AO38" i="17"/>
  <c r="AL34" i="16"/>
  <c r="AO34" i="16" s="1"/>
  <c r="AN34" i="16"/>
  <c r="AL38" i="16"/>
  <c r="AN38" i="16"/>
  <c r="AP45" i="16"/>
  <c r="AO18" i="17"/>
  <c r="AK24" i="17"/>
  <c r="AM36" i="17"/>
  <c r="AN22" i="18"/>
  <c r="AO31" i="17"/>
  <c r="AO32" i="17"/>
  <c r="AP27" i="16"/>
  <c r="AL33" i="16"/>
  <c r="AO36" i="16"/>
  <c r="AN13" i="17"/>
  <c r="AN18" i="17"/>
  <c r="AK27" i="17"/>
  <c r="AN27" i="17" s="1"/>
  <c r="AK34" i="17"/>
  <c r="AN37" i="17"/>
  <c r="AO37" i="17"/>
  <c r="AM40" i="17"/>
  <c r="AN46" i="17"/>
  <c r="AP18" i="16"/>
  <c r="AP31" i="16"/>
  <c r="AL41" i="16"/>
  <c r="AO41" i="16" s="1"/>
  <c r="AN45" i="16"/>
  <c r="AM13" i="17"/>
  <c r="AK17" i="17"/>
  <c r="AI20" i="17"/>
  <c r="AJ20" i="17" s="1"/>
  <c r="AH20" i="17"/>
  <c r="AO23" i="17"/>
  <c r="AM31" i="17"/>
  <c r="AO19" i="18"/>
  <c r="AN19" i="18"/>
  <c r="AP13" i="16"/>
  <c r="AO22" i="16"/>
  <c r="AN31" i="16"/>
  <c r="AP28" i="16"/>
  <c r="AN36" i="17"/>
  <c r="AP35" i="16"/>
  <c r="AN36" i="16"/>
  <c r="AP37" i="16"/>
  <c r="AL40" i="16"/>
  <c r="AO47" i="16"/>
  <c r="AN12" i="17"/>
  <c r="AO15" i="17"/>
  <c r="AM27" i="17"/>
  <c r="AO35" i="17"/>
  <c r="AM37" i="17"/>
  <c r="AN20" i="18"/>
  <c r="AM20" i="18"/>
  <c r="AO26" i="18"/>
  <c r="AN26" i="18"/>
  <c r="AM31" i="18"/>
  <c r="AN31" i="18"/>
  <c r="AN16" i="17"/>
  <c r="AN21" i="17"/>
  <c r="AO21" i="17"/>
  <c r="AO22" i="17"/>
  <c r="AN15" i="18"/>
  <c r="AN47" i="18"/>
  <c r="AO47" i="18"/>
  <c r="AL26" i="16"/>
  <c r="AN26" i="16" s="1"/>
  <c r="AP42" i="16"/>
  <c r="AN47" i="16"/>
  <c r="AP47" i="16"/>
  <c r="AO12" i="17"/>
  <c r="AM15" i="17"/>
  <c r="AM17" i="17"/>
  <c r="AO19" i="17"/>
  <c r="AN19" i="17"/>
  <c r="AK23" i="17"/>
  <c r="AN23" i="17" s="1"/>
  <c r="AN33" i="17"/>
  <c r="AM41" i="17"/>
  <c r="AN17" i="16"/>
  <c r="AP25" i="16"/>
  <c r="AO39" i="16"/>
  <c r="AP39" i="16"/>
  <c r="AN40" i="16"/>
  <c r="AO44" i="16"/>
  <c r="AP44" i="16"/>
  <c r="AO14" i="17"/>
  <c r="AN14" i="17"/>
  <c r="AN26" i="17"/>
  <c r="AO26" i="17"/>
  <c r="AO28" i="17"/>
  <c r="AN28" i="17"/>
  <c r="AN38" i="17"/>
  <c r="AO41" i="17"/>
  <c r="AN41" i="17"/>
  <c r="AN16" i="18"/>
  <c r="AM16" i="18"/>
  <c r="AO16" i="18"/>
  <c r="AN27" i="18"/>
  <c r="AO27" i="17"/>
  <c r="AO39" i="17"/>
  <c r="AN44" i="17"/>
  <c r="AM13" i="18"/>
  <c r="AO15" i="18"/>
  <c r="AN23" i="18"/>
  <c r="AM25" i="18"/>
  <c r="AN28" i="18"/>
  <c r="AM45" i="18"/>
  <c r="AM15" i="19"/>
  <c r="AO17" i="19"/>
  <c r="AM25" i="17"/>
  <c r="AM23" i="18"/>
  <c r="AO27" i="18"/>
  <c r="AO35" i="18"/>
  <c r="AM36" i="18"/>
  <c r="AO46" i="18"/>
  <c r="AN46" i="18"/>
  <c r="AM17" i="19"/>
  <c r="AO34" i="19"/>
  <c r="AN39" i="19"/>
  <c r="AO39" i="19"/>
  <c r="AO12" i="18"/>
  <c r="AN12" i="18"/>
  <c r="AO24" i="18"/>
  <c r="AM33" i="18"/>
  <c r="AN35" i="18"/>
  <c r="AO39" i="18"/>
  <c r="AN39" i="18"/>
  <c r="AM39" i="18"/>
  <c r="AM42" i="18"/>
  <c r="AN22" i="19"/>
  <c r="AO33" i="17"/>
  <c r="AO40" i="17"/>
  <c r="AO18" i="18"/>
  <c r="AM19" i="18"/>
  <c r="AM38" i="18"/>
  <c r="AO38" i="18"/>
  <c r="AM47" i="18"/>
  <c r="AM12" i="19"/>
  <c r="AK16" i="19"/>
  <c r="AN16" i="19" s="1"/>
  <c r="AO18" i="19"/>
  <c r="AN18" i="19"/>
  <c r="AM18" i="18"/>
  <c r="AO31" i="18"/>
  <c r="V32" i="18"/>
  <c r="W32" i="18" s="1"/>
  <c r="X32" i="18"/>
  <c r="AL32" i="18" s="1"/>
  <c r="AM32" i="18" s="1"/>
  <c r="AM34" i="18"/>
  <c r="AO34" i="18"/>
  <c r="X44" i="18"/>
  <c r="AL44" i="18" s="1"/>
  <c r="AM44" i="18" s="1"/>
  <c r="AO21" i="19"/>
  <c r="AN21" i="19"/>
  <c r="AN42" i="17"/>
  <c r="AO17" i="18"/>
  <c r="AO20" i="18"/>
  <c r="AO21" i="18"/>
  <c r="AN21" i="18"/>
  <c r="AM21" i="18"/>
  <c r="AO15" i="19"/>
  <c r="AM39" i="17"/>
  <c r="AM42" i="17"/>
  <c r="AO46" i="17"/>
  <c r="AN47" i="17"/>
  <c r="AK14" i="18"/>
  <c r="AM24" i="18"/>
  <c r="AK40" i="18"/>
  <c r="AN41" i="18"/>
  <c r="AO42" i="18"/>
  <c r="AO44" i="17"/>
  <c r="AK45" i="17"/>
  <c r="AO47" i="17"/>
  <c r="AO13" i="18"/>
  <c r="AM14" i="18"/>
  <c r="AM17" i="18"/>
  <c r="AO22" i="18"/>
  <c r="AO25" i="18"/>
  <c r="AM26" i="18"/>
  <c r="AM28" i="18"/>
  <c r="AK36" i="18"/>
  <c r="AN45" i="18"/>
  <c r="AO45" i="18"/>
  <c r="AO12" i="19"/>
  <c r="AN12" i="19"/>
  <c r="AN14" i="19"/>
  <c r="AK20" i="19"/>
  <c r="AN20" i="19" s="1"/>
  <c r="AO33" i="18"/>
  <c r="AM16" i="19"/>
  <c r="AO16" i="19"/>
  <c r="AO38" i="19"/>
  <c r="AM38" i="19"/>
  <c r="AM39" i="19"/>
  <c r="AN42" i="19"/>
  <c r="AO42" i="19"/>
  <c r="AM13" i="20"/>
  <c r="X29" i="18"/>
  <c r="X40" i="18"/>
  <c r="AL40" i="18" s="1"/>
  <c r="AM40" i="18" s="1"/>
  <c r="W19" i="19"/>
  <c r="X19" i="19" s="1"/>
  <c r="AL19" i="19" s="1"/>
  <c r="AM21" i="19"/>
  <c r="AN33" i="19"/>
  <c r="AM42" i="19"/>
  <c r="AN47" i="19"/>
  <c r="AM47" i="19"/>
  <c r="AO41" i="18"/>
  <c r="AO31" i="19"/>
  <c r="AN31" i="19"/>
  <c r="AM35" i="19"/>
  <c r="AN28" i="20"/>
  <c r="V37" i="18"/>
  <c r="W37" i="18" s="1"/>
  <c r="X37" i="18" s="1"/>
  <c r="AL37" i="18" s="1"/>
  <c r="AO14" i="19"/>
  <c r="AN23" i="19"/>
  <c r="V27" i="19"/>
  <c r="W27" i="19" s="1"/>
  <c r="X27" i="19" s="1"/>
  <c r="AL27" i="19" s="1"/>
  <c r="V30" i="19"/>
  <c r="W30" i="19" s="1"/>
  <c r="X30" i="19" s="1"/>
  <c r="AL30" i="19" s="1"/>
  <c r="V37" i="19"/>
  <c r="W37" i="19" s="1"/>
  <c r="X37" i="19" s="1"/>
  <c r="AL37" i="19" s="1"/>
  <c r="AN45" i="19"/>
  <c r="AO14" i="20"/>
  <c r="AN33" i="20"/>
  <c r="AO33" i="20"/>
  <c r="AO25" i="19"/>
  <c r="X33" i="19"/>
  <c r="AL33" i="19" s="1"/>
  <c r="AM33" i="19" s="1"/>
  <c r="W33" i="19"/>
  <c r="AN36" i="19"/>
  <c r="AM26" i="19"/>
  <c r="AM29" i="19"/>
  <c r="AM25" i="19"/>
  <c r="AM31" i="19"/>
  <c r="AK34" i="19"/>
  <c r="AN34" i="19" s="1"/>
  <c r="AM36" i="19"/>
  <c r="AK46" i="19"/>
  <c r="AN32" i="20"/>
  <c r="AO28" i="19"/>
  <c r="AO35" i="19"/>
  <c r="AC15" i="20"/>
  <c r="AD15" i="20" s="1"/>
  <c r="AN37" i="20"/>
  <c r="AO37" i="20"/>
  <c r="AO45" i="19"/>
  <c r="AO20" i="20"/>
  <c r="AO22" i="20"/>
  <c r="AM31" i="20"/>
  <c r="AM33" i="20"/>
  <c r="AM42" i="20"/>
  <c r="AO43" i="20"/>
  <c r="AO47" i="20"/>
  <c r="Q28" i="21"/>
  <c r="R28" i="21" s="1"/>
  <c r="AK28" i="21" s="1"/>
  <c r="AN28" i="21" s="1"/>
  <c r="P28" i="21"/>
  <c r="AO28" i="21"/>
  <c r="AN39" i="21"/>
  <c r="AM39" i="21"/>
  <c r="AN21" i="20"/>
  <c r="AO21" i="20"/>
  <c r="AK25" i="20"/>
  <c r="AN25" i="20" s="1"/>
  <c r="AN27" i="20"/>
  <c r="AM36" i="20"/>
  <c r="AN38" i="20"/>
  <c r="AH39" i="20"/>
  <c r="AI39" i="20"/>
  <c r="AJ39" i="20" s="1"/>
  <c r="AO42" i="20"/>
  <c r="AO12" i="21"/>
  <c r="AN12" i="21"/>
  <c r="AM17" i="20"/>
  <c r="AM22" i="20"/>
  <c r="AN36" i="20"/>
  <c r="AM41" i="20"/>
  <c r="V23" i="21"/>
  <c r="W23" i="21" s="1"/>
  <c r="X23" i="21" s="1"/>
  <c r="AL23" i="21" s="1"/>
  <c r="W24" i="19"/>
  <c r="X24" i="19" s="1"/>
  <c r="AL24" i="19" s="1"/>
  <c r="AN24" i="19" s="1"/>
  <c r="V32" i="19"/>
  <c r="W32" i="19" s="1"/>
  <c r="X32" i="19" s="1"/>
  <c r="AL32" i="19" s="1"/>
  <c r="AO33" i="19"/>
  <c r="AM43" i="19"/>
  <c r="AO25" i="20"/>
  <c r="AK45" i="20"/>
  <c r="AN45" i="20" s="1"/>
  <c r="AN46" i="20"/>
  <c r="AC15" i="21"/>
  <c r="AD15" i="21" s="1"/>
  <c r="AK15" i="21" s="1"/>
  <c r="AN19" i="21"/>
  <c r="AO19" i="21"/>
  <c r="AO26" i="20"/>
  <c r="AN18" i="20"/>
  <c r="AN26" i="20"/>
  <c r="AO28" i="20"/>
  <c r="AO31" i="20"/>
  <c r="AM37" i="20"/>
  <c r="V41" i="19"/>
  <c r="W41" i="19" s="1"/>
  <c r="X41" i="19" s="1"/>
  <c r="AL41" i="19" s="1"/>
  <c r="AN12" i="20"/>
  <c r="AO12" i="20"/>
  <c r="AK13" i="20"/>
  <c r="AN14" i="20"/>
  <c r="AO18" i="20"/>
  <c r="AO19" i="20"/>
  <c r="AO23" i="20"/>
  <c r="AN23" i="20"/>
  <c r="AO29" i="20"/>
  <c r="AI30" i="20"/>
  <c r="AJ30" i="20" s="1"/>
  <c r="AO30" i="20" s="1"/>
  <c r="AH30" i="20"/>
  <c r="Q44" i="20"/>
  <c r="R44" i="20" s="1"/>
  <c r="AK44" i="20" s="1"/>
  <c r="AM45" i="20"/>
  <c r="AN17" i="21"/>
  <c r="W40" i="19"/>
  <c r="X40" i="19" s="1"/>
  <c r="AL40" i="19" s="1"/>
  <c r="AM40" i="19" s="1"/>
  <c r="AO16" i="20"/>
  <c r="AN19" i="20"/>
  <c r="AO32" i="20"/>
  <c r="AH35" i="20"/>
  <c r="AI35" i="20" s="1"/>
  <c r="AJ35" i="20" s="1"/>
  <c r="AO41" i="20"/>
  <c r="AN41" i="20"/>
  <c r="AK43" i="20"/>
  <c r="AN43" i="20" s="1"/>
  <c r="AM12" i="21"/>
  <c r="AK13" i="21"/>
  <c r="AN13" i="21" s="1"/>
  <c r="W18" i="21"/>
  <c r="X18" i="21" s="1"/>
  <c r="AL18" i="21" s="1"/>
  <c r="AO32" i="21"/>
  <c r="AN32" i="21"/>
  <c r="AC25" i="21"/>
  <c r="AD25" i="21" s="1"/>
  <c r="AK25" i="21" s="1"/>
  <c r="AB25" i="21"/>
  <c r="AK26" i="21"/>
  <c r="W46" i="19"/>
  <c r="X46" i="19" s="1"/>
  <c r="AL46" i="19" s="1"/>
  <c r="AM46" i="19" s="1"/>
  <c r="AK15" i="20"/>
  <c r="W18" i="20"/>
  <c r="X18" i="20" s="1"/>
  <c r="AL18" i="20" s="1"/>
  <c r="AM18" i="20" s="1"/>
  <c r="W23" i="20"/>
  <c r="X23" i="20" s="1"/>
  <c r="AL23" i="20" s="1"/>
  <c r="AM23" i="20" s="1"/>
  <c r="AC34" i="20"/>
  <c r="AD34" i="20" s="1"/>
  <c r="G23" i="21"/>
  <c r="I23" i="21" s="1"/>
  <c r="J23" i="21" s="1"/>
  <c r="K23" i="21" s="1"/>
  <c r="I14" i="21"/>
  <c r="J14" i="21" s="1"/>
  <c r="K14" i="21" s="1"/>
  <c r="W14" i="21"/>
  <c r="X14" i="21" s="1"/>
  <c r="AL14" i="21" s="1"/>
  <c r="AM14" i="21" s="1"/>
  <c r="AN22" i="21"/>
  <c r="AN35" i="21"/>
  <c r="AO35" i="21"/>
  <c r="AK24" i="20"/>
  <c r="AK34" i="20"/>
  <c r="AN34" i="20" s="1"/>
  <c r="W40" i="20"/>
  <c r="X40" i="20" s="1"/>
  <c r="AL40" i="20" s="1"/>
  <c r="AC43" i="20"/>
  <c r="AD43" i="20" s="1"/>
  <c r="AK16" i="21"/>
  <c r="AO21" i="21"/>
  <c r="AN21" i="21"/>
  <c r="AM22" i="21"/>
  <c r="X44" i="19"/>
  <c r="AL44" i="19" s="1"/>
  <c r="AM44" i="19" s="1"/>
  <c r="AB40" i="21"/>
  <c r="AC40" i="21" s="1"/>
  <c r="AD40" i="21" s="1"/>
  <c r="AK40" i="21" s="1"/>
  <c r="X42" i="21"/>
  <c r="AL42" i="21" s="1"/>
  <c r="AN42" i="21" s="1"/>
  <c r="AO27" i="20"/>
  <c r="AC14" i="21"/>
  <c r="AD14" i="21" s="1"/>
  <c r="AK14" i="21" s="1"/>
  <c r="AM28" i="21"/>
  <c r="AM32" i="21"/>
  <c r="V36" i="21"/>
  <c r="W36" i="21" s="1"/>
  <c r="X36" i="21" s="1"/>
  <c r="AL36" i="21" s="1"/>
  <c r="AM36" i="21" s="1"/>
  <c r="AO31" i="21"/>
  <c r="AN31" i="21"/>
  <c r="X17" i="21"/>
  <c r="AL17" i="21" s="1"/>
  <c r="AM17" i="21" s="1"/>
  <c r="X26" i="21"/>
  <c r="AL26" i="21" s="1"/>
  <c r="AM26" i="21" s="1"/>
  <c r="AK43" i="21"/>
  <c r="W27" i="21"/>
  <c r="X27" i="21" s="1"/>
  <c r="AL27" i="21" s="1"/>
  <c r="AM27" i="21" s="1"/>
  <c r="AO30" i="21"/>
  <c r="AO33" i="21"/>
  <c r="V37" i="21"/>
  <c r="W37" i="21" s="1"/>
  <c r="X37" i="21" s="1"/>
  <c r="AL37" i="21" s="1"/>
  <c r="AO39" i="21"/>
  <c r="AB41" i="21"/>
  <c r="AC41" i="21" s="1"/>
  <c r="AD41" i="21" s="1"/>
  <c r="AK41" i="21" s="1"/>
  <c r="P46" i="21"/>
  <c r="Q46" i="21" s="1"/>
  <c r="R46" i="21" s="1"/>
  <c r="AK46" i="21" s="1"/>
  <c r="AM30" i="21"/>
  <c r="AK33" i="21"/>
  <c r="AN33" i="21" s="1"/>
  <c r="AM35" i="21"/>
  <c r="AO45" i="21"/>
  <c r="AN45" i="21"/>
  <c r="AO47" i="21"/>
  <c r="V27" i="21"/>
  <c r="AB34" i="21"/>
  <c r="AC34" i="21" s="1"/>
  <c r="AD34" i="21" s="1"/>
  <c r="AK34" i="21" s="1"/>
  <c r="AB24" i="21"/>
  <c r="AC24" i="21" s="1"/>
  <c r="AD24" i="21" s="1"/>
  <c r="AK24" i="21" s="1"/>
  <c r="V26" i="21"/>
  <c r="W26" i="21" s="1"/>
  <c r="P38" i="21"/>
  <c r="Q38" i="21" s="1"/>
  <c r="R38" i="21" s="1"/>
  <c r="AK38" i="21" s="1"/>
  <c r="V42" i="21"/>
  <c r="W42" i="21" s="1"/>
  <c r="P36" i="21"/>
  <c r="Q36" i="21" s="1"/>
  <c r="R36" i="21" s="1"/>
  <c r="AK36" i="21" s="1"/>
  <c r="V44" i="21"/>
  <c r="W44" i="21" s="1"/>
  <c r="X44" i="21" s="1"/>
  <c r="AL44" i="21" s="1"/>
  <c r="AN37" i="18" l="1"/>
  <c r="AM37" i="18"/>
  <c r="AO37" i="18"/>
  <c r="AM18" i="21"/>
  <c r="AN18" i="21"/>
  <c r="AO18" i="21"/>
  <c r="AM32" i="19"/>
  <c r="AN32" i="19"/>
  <c r="AO32" i="19"/>
  <c r="AO38" i="21"/>
  <c r="AN38" i="21"/>
  <c r="AM41" i="19"/>
  <c r="AO41" i="19"/>
  <c r="AN41" i="19"/>
  <c r="AN15" i="21"/>
  <c r="AO15" i="21"/>
  <c r="AM15" i="21"/>
  <c r="AM23" i="21"/>
  <c r="AO23" i="21"/>
  <c r="AN23" i="21"/>
  <c r="AN24" i="21"/>
  <c r="AM24" i="21"/>
  <c r="AO24" i="21"/>
  <c r="AM37" i="19"/>
  <c r="AO37" i="19"/>
  <c r="AN37" i="19"/>
  <c r="AM19" i="19"/>
  <c r="AO19" i="19"/>
  <c r="AN19" i="19"/>
  <c r="AM30" i="19"/>
  <c r="AN30" i="19"/>
  <c r="AO30" i="19"/>
  <c r="AN34" i="21"/>
  <c r="AO34" i="21"/>
  <c r="AO46" i="21"/>
  <c r="AN46" i="21"/>
  <c r="AM46" i="21"/>
  <c r="AO41" i="21"/>
  <c r="AN41" i="21"/>
  <c r="AM41" i="21"/>
  <c r="AO25" i="21"/>
  <c r="AN25" i="21"/>
  <c r="AM44" i="21"/>
  <c r="AN44" i="21"/>
  <c r="AO44" i="21"/>
  <c r="AN40" i="21"/>
  <c r="AO40" i="21"/>
  <c r="AM40" i="21"/>
  <c r="AO35" i="20"/>
  <c r="AN35" i="20"/>
  <c r="AM35" i="20"/>
  <c r="AM27" i="19"/>
  <c r="AO27" i="19"/>
  <c r="AN27" i="19"/>
  <c r="AN36" i="21"/>
  <c r="AO36" i="21"/>
  <c r="AM37" i="21"/>
  <c r="AO37" i="21"/>
  <c r="AN37" i="21"/>
  <c r="AM13" i="21"/>
  <c r="AM30" i="20"/>
  <c r="AN40" i="18"/>
  <c r="AO40" i="18"/>
  <c r="AM34" i="19"/>
  <c r="AM23" i="17"/>
  <c r="AO24" i="17"/>
  <c r="AN24" i="17"/>
  <c r="AO13" i="20"/>
  <c r="AN13" i="20"/>
  <c r="AM20" i="19"/>
  <c r="AO20" i="19"/>
  <c r="AO44" i="18"/>
  <c r="AN41" i="16"/>
  <c r="AM20" i="17"/>
  <c r="AO20" i="17"/>
  <c r="AP33" i="16"/>
  <c r="AO33" i="16"/>
  <c r="AO43" i="21"/>
  <c r="AN43" i="21"/>
  <c r="AO27" i="21"/>
  <c r="AN16" i="21"/>
  <c r="AO16" i="21"/>
  <c r="AM33" i="21"/>
  <c r="AN30" i="20"/>
  <c r="AN44" i="19"/>
  <c r="AO40" i="19"/>
  <c r="AO14" i="18"/>
  <c r="AN14" i="18"/>
  <c r="AP40" i="16"/>
  <c r="AO40" i="16"/>
  <c r="AO17" i="17"/>
  <c r="AN17" i="17"/>
  <c r="AO45" i="20"/>
  <c r="AO34" i="20"/>
  <c r="AN14" i="21"/>
  <c r="AO14" i="21"/>
  <c r="AN27" i="21"/>
  <c r="AO15" i="20"/>
  <c r="AN15" i="20"/>
  <c r="AO17" i="21"/>
  <c r="AO24" i="19"/>
  <c r="AM24" i="19"/>
  <c r="AM15" i="20"/>
  <c r="AN36" i="18"/>
  <c r="AO36" i="18"/>
  <c r="AN44" i="18"/>
  <c r="AP41" i="16"/>
  <c r="AM40" i="20"/>
  <c r="AO40" i="20"/>
  <c r="AN40" i="20"/>
  <c r="AO39" i="20"/>
  <c r="AN39" i="20"/>
  <c r="AO45" i="17"/>
  <c r="AN45" i="17"/>
  <c r="AM34" i="17"/>
  <c r="AO34" i="17"/>
  <c r="AN34" i="17"/>
  <c r="AM42" i="21"/>
  <c r="AO42" i="21"/>
  <c r="AO26" i="21"/>
  <c r="AN26" i="21"/>
  <c r="AO44" i="19"/>
  <c r="AO26" i="16"/>
  <c r="AP26" i="16"/>
  <c r="AO38" i="16"/>
  <c r="AP38" i="16"/>
  <c r="AN32" i="18"/>
  <c r="AN24" i="20"/>
  <c r="AO24" i="20"/>
  <c r="AN44" i="20"/>
  <c r="AO44" i="20"/>
  <c r="AM44" i="20"/>
  <c r="AO13" i="21"/>
  <c r="AM39" i="20"/>
  <c r="AN46" i="19"/>
  <c r="AO46" i="19"/>
  <c r="AN40" i="19"/>
  <c r="AM24" i="20"/>
  <c r="AO32" i="18"/>
  <c r="AN33" i="16"/>
  <c r="AM45" i="17"/>
  <c r="AP34" i="16"/>
  <c r="F253" i="14" l="1"/>
  <c r="F222" i="14"/>
  <c r="F226" i="14"/>
  <c r="F231" i="14"/>
  <c r="F235" i="14"/>
  <c r="F236" i="14"/>
  <c r="F240" i="14"/>
  <c r="F244" i="14"/>
  <c r="F249" i="14"/>
  <c r="Z22" i="1"/>
  <c r="AB22" i="1" s="1"/>
  <c r="AC22" i="1" s="1"/>
  <c r="V22" i="1"/>
  <c r="W22" i="1" s="1"/>
  <c r="X22" i="1" s="1"/>
  <c r="S30" i="1"/>
  <c r="AC64" i="1"/>
  <c r="AD64" i="1" s="1"/>
  <c r="AA64" i="1"/>
  <c r="X64" i="1"/>
  <c r="Y64" i="1" s="1"/>
  <c r="W64" i="1"/>
  <c r="T19" i="2"/>
  <c r="N19" i="2"/>
  <c r="N26" i="2"/>
  <c r="Z41" i="2"/>
  <c r="G15" i="1"/>
  <c r="Z33" i="1"/>
  <c r="Z34" i="1"/>
  <c r="Z32" i="1"/>
  <c r="Z24" i="1"/>
  <c r="Z14" i="1"/>
  <c r="Z15" i="1"/>
  <c r="Z16" i="1"/>
  <c r="Z13" i="1"/>
  <c r="T33" i="1"/>
  <c r="T24" i="1"/>
  <c r="V24" i="1" s="1"/>
  <c r="T15" i="1"/>
  <c r="T14" i="1"/>
  <c r="T19" i="1"/>
  <c r="T28" i="1"/>
  <c r="T27" i="1"/>
  <c r="T42" i="1"/>
  <c r="T41" i="1"/>
  <c r="N44" i="1"/>
  <c r="AH26" i="2"/>
  <c r="AF39" i="2"/>
  <c r="P38" i="1"/>
  <c r="Q38" i="1" s="1"/>
  <c r="M19" i="1"/>
  <c r="Z41" i="1"/>
  <c r="Y42" i="1"/>
  <c r="Z43" i="1"/>
  <c r="S12" i="1"/>
  <c r="V30" i="1" l="1"/>
  <c r="W30" i="1" s="1"/>
  <c r="AB57" i="1"/>
  <c r="X57" i="1"/>
  <c r="W57" i="1"/>
  <c r="V57" i="1"/>
  <c r="R57" i="1"/>
  <c r="P57" i="1"/>
  <c r="Q57" i="1" s="1"/>
  <c r="M27" i="1"/>
  <c r="M29" i="1"/>
  <c r="S21" i="1"/>
  <c r="M18" i="2"/>
  <c r="S18" i="2"/>
  <c r="AE18" i="2"/>
  <c r="Y23" i="2"/>
  <c r="S23" i="2"/>
  <c r="AE17" i="2"/>
  <c r="M17" i="2"/>
  <c r="S17" i="2"/>
  <c r="M44" i="2"/>
  <c r="AE44" i="2"/>
  <c r="AF44" i="2"/>
  <c r="M36" i="2"/>
  <c r="N36" i="2"/>
  <c r="S36" i="2"/>
  <c r="T44" i="2"/>
  <c r="S44" i="2"/>
  <c r="Y25" i="2"/>
  <c r="AJ19" i="6" l="1"/>
  <c r="P20" i="2"/>
  <c r="Q20" i="2" s="1"/>
  <c r="Q17" i="6"/>
  <c r="AL34" i="6"/>
  <c r="AL23" i="6"/>
  <c r="AL25" i="6"/>
  <c r="AJ47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12" i="6"/>
  <c r="AJ13" i="6"/>
  <c r="AJ14" i="6"/>
  <c r="AJ15" i="6"/>
  <c r="AJ16" i="6"/>
  <c r="AJ17" i="6"/>
  <c r="AJ18" i="6"/>
  <c r="AJ20" i="6"/>
  <c r="AJ21" i="6"/>
  <c r="AJ22" i="6"/>
  <c r="AJ23" i="6"/>
  <c r="AJ24" i="6"/>
  <c r="AJ25" i="6"/>
  <c r="AJ26" i="6"/>
  <c r="AJ27" i="6"/>
  <c r="AJ28" i="6"/>
  <c r="AJ29" i="6"/>
  <c r="AI30" i="6"/>
  <c r="AH30" i="6"/>
  <c r="AG22" i="5"/>
  <c r="Y22" i="5"/>
  <c r="AA22" i="5"/>
  <c r="W30" i="5"/>
  <c r="Y30" i="5" s="1"/>
  <c r="AE42" i="6"/>
  <c r="AF42" i="6" s="1"/>
  <c r="AE40" i="6"/>
  <c r="AE41" i="6"/>
  <c r="AE43" i="6"/>
  <c r="AE31" i="6"/>
  <c r="AE32" i="6"/>
  <c r="AE33" i="6"/>
  <c r="AE34" i="6"/>
  <c r="AE22" i="6"/>
  <c r="AE23" i="6"/>
  <c r="AE24" i="6"/>
  <c r="AE25" i="6"/>
  <c r="AE13" i="6"/>
  <c r="AE14" i="6"/>
  <c r="AE15" i="6"/>
  <c r="AE16" i="6"/>
  <c r="X44" i="6"/>
  <c r="X45" i="6"/>
  <c r="X46" i="6"/>
  <c r="X39" i="6"/>
  <c r="X40" i="6"/>
  <c r="X41" i="6"/>
  <c r="X42" i="6"/>
  <c r="X35" i="6"/>
  <c r="X36" i="6"/>
  <c r="X37" i="6"/>
  <c r="X30" i="6"/>
  <c r="X31" i="6"/>
  <c r="X32" i="6"/>
  <c r="X33" i="6"/>
  <c r="X26" i="6"/>
  <c r="X27" i="6"/>
  <c r="X28" i="6"/>
  <c r="X21" i="6"/>
  <c r="X22" i="6"/>
  <c r="X23" i="6"/>
  <c r="X24" i="6"/>
  <c r="X17" i="6"/>
  <c r="X18" i="6"/>
  <c r="X19" i="6"/>
  <c r="X12" i="6"/>
  <c r="X13" i="6"/>
  <c r="X14" i="6"/>
  <c r="X15" i="6"/>
  <c r="Q44" i="6"/>
  <c r="Q45" i="6"/>
  <c r="Q46" i="6"/>
  <c r="Q47" i="6"/>
  <c r="Q35" i="6"/>
  <c r="Q36" i="6"/>
  <c r="Q37" i="6"/>
  <c r="Q38" i="6"/>
  <c r="Q26" i="6"/>
  <c r="Q27" i="6"/>
  <c r="Q28" i="6"/>
  <c r="Q29" i="6"/>
  <c r="Q18" i="6"/>
  <c r="Q20" i="6"/>
  <c r="Q19" i="6"/>
  <c r="AJ30" i="5"/>
  <c r="S17" i="5"/>
  <c r="AE3" i="5"/>
  <c r="AF3" i="5" s="1"/>
  <c r="AH3" i="5" s="1"/>
  <c r="AI3" i="5" s="1"/>
  <c r="AJ3" i="5" s="1"/>
  <c r="AC3" i="6"/>
  <c r="Q12" i="12"/>
  <c r="Y3" i="6"/>
  <c r="AB3" i="6"/>
  <c r="Y4" i="6"/>
  <c r="AB4" i="6"/>
  <c r="AC4" i="6"/>
  <c r="Q14" i="12"/>
  <c r="P14" i="12"/>
  <c r="AB22" i="5" l="1"/>
  <c r="AC22" i="5" s="1"/>
  <c r="R44" i="6"/>
  <c r="Y32" i="6"/>
  <c r="AF13" i="6"/>
  <c r="R17" i="6"/>
  <c r="R47" i="6"/>
  <c r="Y15" i="6"/>
  <c r="Y27" i="6"/>
  <c r="Y31" i="6"/>
  <c r="AF16" i="6"/>
  <c r="AF25" i="6"/>
  <c r="AB30" i="5"/>
  <c r="AJ30" i="6"/>
  <c r="AI24" i="5"/>
  <c r="AC14" i="6"/>
  <c r="AF14" i="6" s="1"/>
  <c r="AC15" i="6"/>
  <c r="AF15" i="6" s="1"/>
  <c r="AC16" i="6"/>
  <c r="AC22" i="6"/>
  <c r="AF22" i="6" s="1"/>
  <c r="AC24" i="6"/>
  <c r="AF24" i="6" s="1"/>
  <c r="AC25" i="6"/>
  <c r="AC31" i="6"/>
  <c r="AF31" i="6" s="1"/>
  <c r="AC32" i="6"/>
  <c r="AF32" i="6" s="1"/>
  <c r="AC33" i="6"/>
  <c r="AF33" i="6" s="1"/>
  <c r="AC40" i="6"/>
  <c r="AF40" i="6" s="1"/>
  <c r="AC41" i="6"/>
  <c r="AF41" i="6" s="1"/>
  <c r="AC42" i="6"/>
  <c r="AG42" i="6" s="1"/>
  <c r="AC43" i="6"/>
  <c r="AF43" i="6" s="1"/>
  <c r="AC13" i="6"/>
  <c r="AG13" i="6" s="1"/>
  <c r="V13" i="6"/>
  <c r="Y13" i="6" s="1"/>
  <c r="V14" i="6"/>
  <c r="Y14" i="6" s="1"/>
  <c r="V15" i="6"/>
  <c r="V17" i="6"/>
  <c r="Y17" i="6" s="1"/>
  <c r="V18" i="6"/>
  <c r="Y18" i="6" s="1"/>
  <c r="V19" i="6"/>
  <c r="Y19" i="6" s="1"/>
  <c r="V22" i="6"/>
  <c r="Y22" i="6" s="1"/>
  <c r="V23" i="6"/>
  <c r="Y23" i="6" s="1"/>
  <c r="V24" i="6"/>
  <c r="Y24" i="6" s="1"/>
  <c r="V26" i="6"/>
  <c r="Y26" i="6" s="1"/>
  <c r="V27" i="6"/>
  <c r="V28" i="6"/>
  <c r="Y28" i="6" s="1"/>
  <c r="V30" i="6"/>
  <c r="Y30" i="6" s="1"/>
  <c r="V31" i="6"/>
  <c r="V32" i="6"/>
  <c r="V33" i="6"/>
  <c r="Y33" i="6" s="1"/>
  <c r="V35" i="6"/>
  <c r="Y35" i="6" s="1"/>
  <c r="V36" i="6"/>
  <c r="Y36" i="6" s="1"/>
  <c r="V37" i="6"/>
  <c r="Y37" i="6" s="1"/>
  <c r="V40" i="6"/>
  <c r="Y40" i="6" s="1"/>
  <c r="V41" i="6"/>
  <c r="Y41" i="6" s="1"/>
  <c r="V42" i="6"/>
  <c r="Y42" i="6" s="1"/>
  <c r="V45" i="6"/>
  <c r="Y45" i="6" s="1"/>
  <c r="V46" i="6"/>
  <c r="Y46" i="6" s="1"/>
  <c r="O18" i="6"/>
  <c r="R18" i="6" s="1"/>
  <c r="O19" i="6"/>
  <c r="R19" i="6" s="1"/>
  <c r="O20" i="6"/>
  <c r="R20" i="6" s="1"/>
  <c r="O26" i="6"/>
  <c r="R26" i="6" s="1"/>
  <c r="O27" i="6"/>
  <c r="R27" i="6" s="1"/>
  <c r="O28" i="6"/>
  <c r="R28" i="6" s="1"/>
  <c r="O29" i="6"/>
  <c r="R29" i="6" s="1"/>
  <c r="O35" i="6"/>
  <c r="R35" i="6" s="1"/>
  <c r="O36" i="6"/>
  <c r="R36" i="6" s="1"/>
  <c r="O37" i="6"/>
  <c r="R37" i="6" s="1"/>
  <c r="O38" i="6"/>
  <c r="R38" i="6" s="1"/>
  <c r="O44" i="6"/>
  <c r="O45" i="6"/>
  <c r="R45" i="6" s="1"/>
  <c r="O46" i="6"/>
  <c r="R46" i="6" s="1"/>
  <c r="O47" i="6"/>
  <c r="O17" i="6"/>
  <c r="AI43" i="5"/>
  <c r="AI42" i="5"/>
  <c r="AI41" i="5"/>
  <c r="AI40" i="5"/>
  <c r="AI34" i="5"/>
  <c r="AI33" i="5"/>
  <c r="AI32" i="5"/>
  <c r="AI31" i="5"/>
  <c r="AI30" i="5"/>
  <c r="AI25" i="5"/>
  <c r="AI23" i="5"/>
  <c r="AI22" i="5"/>
  <c r="AJ22" i="5" s="1"/>
  <c r="AI16" i="5"/>
  <c r="AI15" i="5"/>
  <c r="AI14" i="5"/>
  <c r="AI13" i="5"/>
  <c r="AA46" i="5"/>
  <c r="AA45" i="5"/>
  <c r="AA44" i="5"/>
  <c r="AA41" i="5"/>
  <c r="AA37" i="5"/>
  <c r="AA42" i="5"/>
  <c r="AA40" i="5"/>
  <c r="AA39" i="5"/>
  <c r="AA36" i="5"/>
  <c r="AA35" i="5"/>
  <c r="AA33" i="5"/>
  <c r="AA32" i="5"/>
  <c r="AA31" i="5"/>
  <c r="AA30" i="5"/>
  <c r="AA28" i="5"/>
  <c r="AA27" i="5"/>
  <c r="AA26" i="5"/>
  <c r="AA24" i="5"/>
  <c r="AA23" i="5"/>
  <c r="AA21" i="5"/>
  <c r="AA19" i="5"/>
  <c r="AA18" i="5"/>
  <c r="AA17" i="5"/>
  <c r="AA15" i="5"/>
  <c r="AA14" i="5"/>
  <c r="AA13" i="5"/>
  <c r="AA12" i="5"/>
  <c r="Y13" i="5"/>
  <c r="Y14" i="5"/>
  <c r="AB14" i="5" s="1"/>
  <c r="Y15" i="5"/>
  <c r="S20" i="5"/>
  <c r="S19" i="5"/>
  <c r="S18" i="5"/>
  <c r="S29" i="5"/>
  <c r="S28" i="5"/>
  <c r="S27" i="5"/>
  <c r="S26" i="5"/>
  <c r="S38" i="5"/>
  <c r="S37" i="5"/>
  <c r="S36" i="5"/>
  <c r="S35" i="5"/>
  <c r="S46" i="5"/>
  <c r="S45" i="5"/>
  <c r="S44" i="5"/>
  <c r="S47" i="5"/>
  <c r="Q18" i="5"/>
  <c r="T18" i="5" l="1"/>
  <c r="AB15" i="5"/>
  <c r="S17" i="6"/>
  <c r="AB13" i="5"/>
  <c r="I12" i="5"/>
  <c r="G5" i="5" l="1"/>
  <c r="P27" i="5"/>
  <c r="W27" i="5"/>
  <c r="Y27" i="5" s="1"/>
  <c r="AB27" i="5" s="1"/>
  <c r="E45" i="5"/>
  <c r="P20" i="5"/>
  <c r="AE15" i="5"/>
  <c r="P29" i="5"/>
  <c r="Y19" i="5"/>
  <c r="AB19" i="5" s="1"/>
  <c r="Y18" i="5"/>
  <c r="AB18" i="5" s="1"/>
  <c r="Y17" i="5"/>
  <c r="AB17" i="5" s="1"/>
  <c r="Y28" i="5"/>
  <c r="AB28" i="5" s="1"/>
  <c r="Y24" i="5"/>
  <c r="AB24" i="5" s="1"/>
  <c r="Y23" i="5"/>
  <c r="AB23" i="5" s="1"/>
  <c r="Y37" i="5"/>
  <c r="AB37" i="5" s="1"/>
  <c r="Y35" i="5"/>
  <c r="AB35" i="5" s="1"/>
  <c r="Y33" i="5"/>
  <c r="AB33" i="5" s="1"/>
  <c r="Y32" i="5"/>
  <c r="AB32" i="5" s="1"/>
  <c r="Y31" i="5"/>
  <c r="AB31" i="5" s="1"/>
  <c r="Y40" i="5"/>
  <c r="AB40" i="5" s="1"/>
  <c r="Y41" i="5"/>
  <c r="AB41" i="5" s="1"/>
  <c r="Y42" i="5"/>
  <c r="AB42" i="5" s="1"/>
  <c r="Y44" i="5"/>
  <c r="AB44" i="5" s="1"/>
  <c r="Y45" i="5"/>
  <c r="AB45" i="5" s="1"/>
  <c r="Y46" i="5"/>
  <c r="AB46" i="5" s="1"/>
  <c r="R31" i="5"/>
  <c r="K12" i="5" l="1"/>
  <c r="L12" i="5" s="1"/>
  <c r="M12" i="5" s="1"/>
  <c r="L218" i="14" s="1"/>
  <c r="E35" i="5"/>
  <c r="E38" i="5"/>
  <c r="E13" i="5"/>
  <c r="E22" i="5"/>
  <c r="E30" i="5"/>
  <c r="E47" i="5"/>
  <c r="E34" i="5"/>
  <c r="E23" i="5"/>
  <c r="E16" i="5"/>
  <c r="E19" i="5"/>
  <c r="E27" i="5"/>
  <c r="E36" i="5"/>
  <c r="E40" i="5"/>
  <c r="E44" i="5"/>
  <c r="E15" i="5"/>
  <c r="E20" i="5"/>
  <c r="E24" i="5"/>
  <c r="E28" i="5"/>
  <c r="E31" i="5"/>
  <c r="E32" i="5"/>
  <c r="E37" i="5"/>
  <c r="E41" i="5"/>
  <c r="E17" i="5"/>
  <c r="E21" i="5"/>
  <c r="E25" i="5"/>
  <c r="E29" i="5"/>
  <c r="E33" i="5"/>
  <c r="E42" i="5"/>
  <c r="E46" i="5"/>
  <c r="E14" i="5"/>
  <c r="E18" i="5"/>
  <c r="E26" i="5"/>
  <c r="E39" i="5"/>
  <c r="E43" i="5"/>
  <c r="AG15" i="5" l="1"/>
  <c r="AJ15" i="5" s="1"/>
  <c r="AG14" i="5"/>
  <c r="AJ14" i="5" s="1"/>
  <c r="AG13" i="5"/>
  <c r="AJ13" i="5" s="1"/>
  <c r="AG25" i="5"/>
  <c r="AJ25" i="5" s="1"/>
  <c r="AG34" i="5"/>
  <c r="AJ34" i="5" s="1"/>
  <c r="AG31" i="5"/>
  <c r="AJ31" i="5" s="1"/>
  <c r="AG40" i="5"/>
  <c r="AJ40" i="5" s="1"/>
  <c r="AG42" i="5"/>
  <c r="AJ42" i="5" s="1"/>
  <c r="AG41" i="5"/>
  <c r="AJ41" i="5" s="1"/>
  <c r="AE16" i="5"/>
  <c r="AG16" i="5" s="1"/>
  <c r="AJ16" i="5" s="1"/>
  <c r="AE33" i="5"/>
  <c r="AG33" i="5" s="1"/>
  <c r="AJ33" i="5" s="1"/>
  <c r="AF42" i="5"/>
  <c r="AE32" i="5"/>
  <c r="AG32" i="5" s="1"/>
  <c r="AJ32" i="5" s="1"/>
  <c r="W12" i="5"/>
  <c r="Y12" i="5" s="1"/>
  <c r="AB12" i="5" s="1"/>
  <c r="AE24" i="5"/>
  <c r="AG24" i="5" s="1"/>
  <c r="AJ24" i="5" s="1"/>
  <c r="AE23" i="5"/>
  <c r="AG23" i="5" s="1"/>
  <c r="AJ23" i="5" s="1"/>
  <c r="W21" i="5"/>
  <c r="X21" i="5"/>
  <c r="W39" i="5"/>
  <c r="Y39" i="5" s="1"/>
  <c r="AB39" i="5" s="1"/>
  <c r="W26" i="5"/>
  <c r="Y26" i="5" s="1"/>
  <c r="W36" i="5"/>
  <c r="Y36" i="5" s="1"/>
  <c r="AB36" i="5" s="1"/>
  <c r="AE42" i="5"/>
  <c r="AE43" i="5"/>
  <c r="AG43" i="5" s="1"/>
  <c r="AJ43" i="5" s="1"/>
  <c r="Q47" i="5"/>
  <c r="T47" i="5" s="1"/>
  <c r="Q46" i="5"/>
  <c r="T46" i="5" s="1"/>
  <c r="Q45" i="5"/>
  <c r="T45" i="5" s="1"/>
  <c r="Q44" i="5"/>
  <c r="T44" i="5" s="1"/>
  <c r="Q38" i="5"/>
  <c r="T38" i="5" s="1"/>
  <c r="Q37" i="5"/>
  <c r="T37" i="5" s="1"/>
  <c r="Q36" i="5"/>
  <c r="T36" i="5" s="1"/>
  <c r="Q35" i="5"/>
  <c r="T35" i="5" s="1"/>
  <c r="Q29" i="5"/>
  <c r="T29" i="5" s="1"/>
  <c r="Q28" i="5"/>
  <c r="T28" i="5" s="1"/>
  <c r="Q27" i="5"/>
  <c r="T27" i="5" s="1"/>
  <c r="Q26" i="5"/>
  <c r="T26" i="5" s="1"/>
  <c r="Q19" i="5"/>
  <c r="T19" i="5" s="1"/>
  <c r="Q20" i="5"/>
  <c r="T20" i="5" s="1"/>
  <c r="Q17" i="5"/>
  <c r="T17" i="5" s="1"/>
  <c r="D43" i="6"/>
  <c r="D42" i="6"/>
  <c r="D16" i="6"/>
  <c r="D15" i="6"/>
  <c r="E5" i="6"/>
  <c r="D19" i="6" s="1"/>
  <c r="AB34" i="6"/>
  <c r="AC34" i="6" s="1"/>
  <c r="AF34" i="6" s="1"/>
  <c r="U44" i="6"/>
  <c r="V44" i="6" s="1"/>
  <c r="Y44" i="6" s="1"/>
  <c r="U39" i="6"/>
  <c r="V39" i="6" s="1"/>
  <c r="Y39" i="6" s="1"/>
  <c r="U21" i="6"/>
  <c r="V21" i="6" s="1"/>
  <c r="Y21" i="6" s="1"/>
  <c r="U12" i="6"/>
  <c r="V12" i="6" s="1"/>
  <c r="Y12" i="6" s="1"/>
  <c r="AK43" i="6"/>
  <c r="AL43" i="6" s="1"/>
  <c r="AB23" i="6"/>
  <c r="AC23" i="6" s="1"/>
  <c r="AF23" i="6" s="1"/>
  <c r="AK34" i="6"/>
  <c r="AK20" i="6"/>
  <c r="AL20" i="6" s="1"/>
  <c r="AK21" i="6"/>
  <c r="AL21" i="6" s="1"/>
  <c r="AK22" i="6"/>
  <c r="AL22" i="6" s="1"/>
  <c r="AK24" i="6"/>
  <c r="AL24" i="6" s="1"/>
  <c r="AK26" i="6"/>
  <c r="AL26" i="6" s="1"/>
  <c r="AK27" i="6"/>
  <c r="AL27" i="6" s="1"/>
  <c r="AK28" i="6"/>
  <c r="AL28" i="6" s="1"/>
  <c r="AK29" i="6"/>
  <c r="AL29" i="6" s="1"/>
  <c r="AK30" i="6"/>
  <c r="AL30" i="6" s="1"/>
  <c r="AK31" i="6"/>
  <c r="AL31" i="6" s="1"/>
  <c r="AK32" i="6"/>
  <c r="AL32" i="6" s="1"/>
  <c r="AK33" i="6"/>
  <c r="AL33" i="6" s="1"/>
  <c r="AK35" i="6"/>
  <c r="AL35" i="6" s="1"/>
  <c r="AK36" i="6"/>
  <c r="AL36" i="6" s="1"/>
  <c r="AK37" i="6"/>
  <c r="AL37" i="6" s="1"/>
  <c r="AK38" i="6"/>
  <c r="AL38" i="6" s="1"/>
  <c r="AK39" i="6"/>
  <c r="AL39" i="6" s="1"/>
  <c r="AK40" i="6"/>
  <c r="AL40" i="6" s="1"/>
  <c r="AK41" i="6"/>
  <c r="AL41" i="6" s="1"/>
  <c r="AK42" i="6"/>
  <c r="AL42" i="6" s="1"/>
  <c r="AK44" i="6"/>
  <c r="AL44" i="6" s="1"/>
  <c r="AK45" i="6"/>
  <c r="AL45" i="6" s="1"/>
  <c r="AK46" i="6"/>
  <c r="AL46" i="6" s="1"/>
  <c r="AK47" i="6"/>
  <c r="AL47" i="6" s="1"/>
  <c r="AJ48" i="6"/>
  <c r="AJ49" i="6"/>
  <c r="AJ50" i="6"/>
  <c r="AJ51" i="6"/>
  <c r="V45" i="2"/>
  <c r="W45" i="2" s="1"/>
  <c r="X45" i="2" s="1"/>
  <c r="AK23" i="6"/>
  <c r="AK25" i="6"/>
  <c r="AQ24" i="5"/>
  <c r="AQ16" i="5"/>
  <c r="AQ13" i="5"/>
  <c r="AJ47" i="1"/>
  <c r="AJ46" i="1"/>
  <c r="AJ45" i="1"/>
  <c r="AJ44" i="1"/>
  <c r="AJ42" i="1"/>
  <c r="AJ41" i="1"/>
  <c r="AJ40" i="1"/>
  <c r="AJ39" i="1"/>
  <c r="AJ38" i="1"/>
  <c r="AJ37" i="1"/>
  <c r="AJ36" i="1"/>
  <c r="AJ35" i="1"/>
  <c r="AJ34" i="1"/>
  <c r="AJ33" i="1"/>
  <c r="AJ32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47" i="12"/>
  <c r="AJ46" i="12"/>
  <c r="AJ45" i="12"/>
  <c r="AJ44" i="12"/>
  <c r="AJ43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45" i="2"/>
  <c r="AJ41" i="2"/>
  <c r="AJ37" i="2"/>
  <c r="AJ36" i="2"/>
  <c r="AJ34" i="2"/>
  <c r="AJ33" i="2"/>
  <c r="AJ32" i="2"/>
  <c r="AJ29" i="2"/>
  <c r="AJ27" i="2"/>
  <c r="AJ25" i="2"/>
  <c r="AJ24" i="2"/>
  <c r="AJ23" i="2"/>
  <c r="AJ19" i="2"/>
  <c r="AJ47" i="10"/>
  <c r="AJ46" i="10"/>
  <c r="AJ45" i="10"/>
  <c r="AJ44" i="10"/>
  <c r="AJ42" i="10"/>
  <c r="AJ41" i="10"/>
  <c r="AJ40" i="10"/>
  <c r="AJ39" i="10"/>
  <c r="AJ38" i="10"/>
  <c r="AJ37" i="10"/>
  <c r="AJ36" i="10"/>
  <c r="AJ35" i="10"/>
  <c r="AJ34" i="10"/>
  <c r="AJ33" i="10"/>
  <c r="AJ32" i="10"/>
  <c r="AJ31" i="10"/>
  <c r="AJ28" i="10"/>
  <c r="AJ27" i="10"/>
  <c r="AJ26" i="10"/>
  <c r="AJ25" i="10"/>
  <c r="AJ24" i="10"/>
  <c r="AJ23" i="10"/>
  <c r="AJ22" i="10"/>
  <c r="AJ21" i="10"/>
  <c r="AJ20" i="10"/>
  <c r="AJ19" i="10"/>
  <c r="AJ18" i="10"/>
  <c r="AJ17" i="10"/>
  <c r="AJ16" i="10"/>
  <c r="AJ15" i="10"/>
  <c r="AJ14" i="10"/>
  <c r="AJ13" i="10"/>
  <c r="AJ12" i="10"/>
  <c r="AO26" i="5"/>
  <c r="Y21" i="5" l="1"/>
  <c r="AB21" i="5" s="1"/>
  <c r="AB26" i="5"/>
  <c r="AC26" i="5" s="1"/>
  <c r="D29" i="6"/>
  <c r="D21" i="6"/>
  <c r="D37" i="6"/>
  <c r="D22" i="6"/>
  <c r="D30" i="6"/>
  <c r="D38" i="6"/>
  <c r="D45" i="6"/>
  <c r="D25" i="6"/>
  <c r="D33" i="6"/>
  <c r="D41" i="6"/>
  <c r="D46" i="6"/>
  <c r="D12" i="6"/>
  <c r="D26" i="6"/>
  <c r="D34" i="6"/>
  <c r="D27" i="6"/>
  <c r="D31" i="6"/>
  <c r="D39" i="6"/>
  <c r="D47" i="6"/>
  <c r="D13" i="6"/>
  <c r="D23" i="6"/>
  <c r="D35" i="6"/>
  <c r="D20" i="6"/>
  <c r="D24" i="6"/>
  <c r="D28" i="6"/>
  <c r="D32" i="6"/>
  <c r="D36" i="6"/>
  <c r="D40" i="6"/>
  <c r="D44" i="6"/>
  <c r="D14" i="6"/>
  <c r="D18" i="6"/>
  <c r="D17" i="6"/>
  <c r="AM21" i="12"/>
  <c r="AN39" i="12"/>
  <c r="AN21" i="12"/>
  <c r="AN36" i="12"/>
  <c r="AM25" i="10"/>
  <c r="AN21" i="10"/>
  <c r="AM47" i="10"/>
  <c r="E20" i="13"/>
  <c r="E17" i="13"/>
  <c r="P8" i="3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K13" i="12" s="1"/>
  <c r="AD12" i="12"/>
  <c r="X47" i="12"/>
  <c r="X46" i="12"/>
  <c r="AL46" i="12" s="1"/>
  <c r="X45" i="12"/>
  <c r="AL45" i="12" s="1"/>
  <c r="X44" i="12"/>
  <c r="AL44" i="12" s="1"/>
  <c r="X43" i="12"/>
  <c r="X42" i="12"/>
  <c r="AL42" i="12" s="1"/>
  <c r="X41" i="12"/>
  <c r="AL41" i="12" s="1"/>
  <c r="X40" i="12"/>
  <c r="AL40" i="12" s="1"/>
  <c r="X39" i="12"/>
  <c r="AL39" i="12" s="1"/>
  <c r="AM39" i="12" s="1"/>
  <c r="X38" i="12"/>
  <c r="X37" i="12"/>
  <c r="AL37" i="12" s="1"/>
  <c r="X36" i="12"/>
  <c r="AL36" i="12" s="1"/>
  <c r="X35" i="12"/>
  <c r="AL35" i="12" s="1"/>
  <c r="X34" i="12"/>
  <c r="X33" i="12"/>
  <c r="AL33" i="12" s="1"/>
  <c r="X32" i="12"/>
  <c r="AL32" i="12" s="1"/>
  <c r="X31" i="12"/>
  <c r="AL31" i="12" s="1"/>
  <c r="X30" i="12"/>
  <c r="AL30" i="12" s="1"/>
  <c r="X29" i="12"/>
  <c r="X28" i="12"/>
  <c r="AL28" i="12" s="1"/>
  <c r="X27" i="12"/>
  <c r="AL27" i="12" s="1"/>
  <c r="X26" i="12"/>
  <c r="AL26" i="12" s="1"/>
  <c r="X25" i="12"/>
  <c r="X24" i="12"/>
  <c r="AL24" i="12" s="1"/>
  <c r="X23" i="12"/>
  <c r="AL23" i="12" s="1"/>
  <c r="X22" i="12"/>
  <c r="AL22" i="12" s="1"/>
  <c r="X21" i="12"/>
  <c r="AL21" i="12" s="1"/>
  <c r="AO21" i="12" s="1"/>
  <c r="X20" i="12"/>
  <c r="X19" i="12"/>
  <c r="AL19" i="12" s="1"/>
  <c r="X18" i="12"/>
  <c r="AL18" i="12" s="1"/>
  <c r="X17" i="12"/>
  <c r="AL17" i="12" s="1"/>
  <c r="X16" i="12"/>
  <c r="X15" i="12"/>
  <c r="AL15" i="12" s="1"/>
  <c r="X14" i="12"/>
  <c r="AL14" i="12" s="1"/>
  <c r="X13" i="12"/>
  <c r="AL13" i="12" s="1"/>
  <c r="AM13" i="12" s="1"/>
  <c r="X12" i="12"/>
  <c r="AL12" i="12" s="1"/>
  <c r="R47" i="12"/>
  <c r="AK47" i="12" s="1"/>
  <c r="R46" i="12"/>
  <c r="AK46" i="12" s="1"/>
  <c r="AN46" i="12" s="1"/>
  <c r="R45" i="12"/>
  <c r="AK45" i="12" s="1"/>
  <c r="AM45" i="12" s="1"/>
  <c r="R44" i="12"/>
  <c r="AK44" i="12" s="1"/>
  <c r="AN44" i="12" s="1"/>
  <c r="R43" i="12"/>
  <c r="R42" i="12"/>
  <c r="AK42" i="12" s="1"/>
  <c r="AO42" i="12" s="1"/>
  <c r="R41" i="12"/>
  <c r="AK41" i="12" s="1"/>
  <c r="AN41" i="12" s="1"/>
  <c r="R40" i="12"/>
  <c r="AK40" i="12" s="1"/>
  <c r="AM40" i="12" s="1"/>
  <c r="R39" i="12"/>
  <c r="R38" i="12"/>
  <c r="AK38" i="12" s="1"/>
  <c r="R37" i="12"/>
  <c r="AK37" i="12" s="1"/>
  <c r="R36" i="12"/>
  <c r="AK36" i="12" s="1"/>
  <c r="AM36" i="12" s="1"/>
  <c r="R35" i="12"/>
  <c r="R34" i="12"/>
  <c r="AK34" i="12" s="1"/>
  <c r="AN34" i="12" s="1"/>
  <c r="R33" i="12"/>
  <c r="AK33" i="12" s="1"/>
  <c r="AN33" i="12" s="1"/>
  <c r="R32" i="12"/>
  <c r="AK32" i="12" s="1"/>
  <c r="AN32" i="12" s="1"/>
  <c r="R31" i="12"/>
  <c r="R30" i="12"/>
  <c r="AK30" i="12" s="1"/>
  <c r="AN30" i="12" s="1"/>
  <c r="R29" i="12"/>
  <c r="AK29" i="12" s="1"/>
  <c r="AN29" i="12" s="1"/>
  <c r="R28" i="12"/>
  <c r="AK28" i="12" s="1"/>
  <c r="AN28" i="12" s="1"/>
  <c r="R27" i="12"/>
  <c r="AK27" i="12" s="1"/>
  <c r="R26" i="12"/>
  <c r="AK26" i="12" s="1"/>
  <c r="AN26" i="12" s="1"/>
  <c r="R25" i="12"/>
  <c r="AK25" i="12" s="1"/>
  <c r="R24" i="12"/>
  <c r="AK24" i="12" s="1"/>
  <c r="AN24" i="12" s="1"/>
  <c r="R23" i="12"/>
  <c r="AK23" i="12" s="1"/>
  <c r="R22" i="12"/>
  <c r="R21" i="12"/>
  <c r="R20" i="12"/>
  <c r="R19" i="12"/>
  <c r="R18" i="12"/>
  <c r="R17" i="12"/>
  <c r="AK17" i="12" s="1"/>
  <c r="R16" i="12"/>
  <c r="AK16" i="12" s="1"/>
  <c r="R15" i="12"/>
  <c r="AK15" i="12" s="1"/>
  <c r="AN15" i="12" s="1"/>
  <c r="R14" i="12"/>
  <c r="AK14" i="12" s="1"/>
  <c r="R13" i="12"/>
  <c r="R12" i="12"/>
  <c r="AD47" i="2"/>
  <c r="AD46" i="2"/>
  <c r="AD45" i="2"/>
  <c r="AD44" i="2"/>
  <c r="AD39" i="2"/>
  <c r="AD38" i="2"/>
  <c r="AD37" i="2"/>
  <c r="AD36" i="2"/>
  <c r="AD35" i="2"/>
  <c r="AD30" i="2"/>
  <c r="AD29" i="2"/>
  <c r="AD28" i="2"/>
  <c r="AD27" i="2"/>
  <c r="AD26" i="2"/>
  <c r="AD21" i="2"/>
  <c r="AD20" i="2"/>
  <c r="AD19" i="2"/>
  <c r="AD18" i="2"/>
  <c r="AD17" i="2"/>
  <c r="AD12" i="2"/>
  <c r="X47" i="2"/>
  <c r="X43" i="2"/>
  <c r="X38" i="2"/>
  <c r="X34" i="2"/>
  <c r="X29" i="2"/>
  <c r="X25" i="2"/>
  <c r="X20" i="2"/>
  <c r="X16" i="2"/>
  <c r="R43" i="2"/>
  <c r="R42" i="2"/>
  <c r="R41" i="2"/>
  <c r="R40" i="2"/>
  <c r="R39" i="2"/>
  <c r="R34" i="2"/>
  <c r="R33" i="2"/>
  <c r="R32" i="2"/>
  <c r="R31" i="2"/>
  <c r="R30" i="2"/>
  <c r="R25" i="2"/>
  <c r="R24" i="2"/>
  <c r="R23" i="2"/>
  <c r="R22" i="2"/>
  <c r="R21" i="2"/>
  <c r="R16" i="2"/>
  <c r="R15" i="2"/>
  <c r="R14" i="2"/>
  <c r="R13" i="2"/>
  <c r="R12" i="2"/>
  <c r="AG47" i="6"/>
  <c r="AG46" i="6"/>
  <c r="AG45" i="6"/>
  <c r="AG44" i="6"/>
  <c r="AG39" i="6"/>
  <c r="AG38" i="6"/>
  <c r="AG37" i="6"/>
  <c r="AG36" i="6"/>
  <c r="AG35" i="6"/>
  <c r="AG29" i="6"/>
  <c r="AG28" i="6"/>
  <c r="AG27" i="6"/>
  <c r="AG26" i="6"/>
  <c r="AG21" i="6"/>
  <c r="AG20" i="6"/>
  <c r="AG19" i="6"/>
  <c r="AG18" i="6"/>
  <c r="AG17" i="6"/>
  <c r="AG12" i="6"/>
  <c r="Z47" i="6"/>
  <c r="Z43" i="6"/>
  <c r="Z38" i="6"/>
  <c r="Z34" i="6"/>
  <c r="Z29" i="6"/>
  <c r="Z25" i="6"/>
  <c r="Z20" i="6"/>
  <c r="Z16" i="6"/>
  <c r="S43" i="6"/>
  <c r="S42" i="6"/>
  <c r="S41" i="6"/>
  <c r="S40" i="6"/>
  <c r="S39" i="6"/>
  <c r="S34" i="6"/>
  <c r="S33" i="6"/>
  <c r="S32" i="6"/>
  <c r="S31" i="6"/>
  <c r="S30" i="6"/>
  <c r="S25" i="6"/>
  <c r="S24" i="6"/>
  <c r="S23" i="6"/>
  <c r="S22" i="6"/>
  <c r="S21" i="6"/>
  <c r="S16" i="6"/>
  <c r="S15" i="6"/>
  <c r="S14" i="6"/>
  <c r="S13" i="6"/>
  <c r="S12" i="6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K14" i="10" s="1"/>
  <c r="AD13" i="10"/>
  <c r="AK13" i="10" s="1"/>
  <c r="AD12" i="10"/>
  <c r="X47" i="10"/>
  <c r="X46" i="10"/>
  <c r="AL46" i="10" s="1"/>
  <c r="X45" i="10"/>
  <c r="AL45" i="10" s="1"/>
  <c r="X44" i="10"/>
  <c r="AL44" i="10" s="1"/>
  <c r="X43" i="10"/>
  <c r="X42" i="10"/>
  <c r="AL42" i="10" s="1"/>
  <c r="X41" i="10"/>
  <c r="AL41" i="10" s="1"/>
  <c r="X40" i="10"/>
  <c r="AL40" i="10" s="1"/>
  <c r="X39" i="10"/>
  <c r="AL39" i="10" s="1"/>
  <c r="X38" i="10"/>
  <c r="X37" i="10"/>
  <c r="AL37" i="10" s="1"/>
  <c r="X36" i="10"/>
  <c r="AL36" i="10" s="1"/>
  <c r="X35" i="10"/>
  <c r="AL35" i="10" s="1"/>
  <c r="X34" i="10"/>
  <c r="X33" i="10"/>
  <c r="AL33" i="10" s="1"/>
  <c r="X32" i="10"/>
  <c r="AL32" i="10" s="1"/>
  <c r="X31" i="10"/>
  <c r="AL31" i="10" s="1"/>
  <c r="X30" i="10"/>
  <c r="X29" i="10"/>
  <c r="X28" i="10"/>
  <c r="AL28" i="10" s="1"/>
  <c r="X27" i="10"/>
  <c r="AL27" i="10" s="1"/>
  <c r="X26" i="10"/>
  <c r="AL26" i="10" s="1"/>
  <c r="X25" i="10"/>
  <c r="X24" i="10"/>
  <c r="AL24" i="10" s="1"/>
  <c r="X23" i="10"/>
  <c r="AL23" i="10" s="1"/>
  <c r="AM23" i="10" s="1"/>
  <c r="X22" i="10"/>
  <c r="AL22" i="10" s="1"/>
  <c r="X21" i="10"/>
  <c r="AL21" i="10" s="1"/>
  <c r="X20" i="10"/>
  <c r="X19" i="10"/>
  <c r="AL19" i="10" s="1"/>
  <c r="X18" i="10"/>
  <c r="AL18" i="10" s="1"/>
  <c r="X17" i="10"/>
  <c r="AL17" i="10" s="1"/>
  <c r="X16" i="10"/>
  <c r="X15" i="10"/>
  <c r="AL15" i="10" s="1"/>
  <c r="X14" i="10"/>
  <c r="AL14" i="10" s="1"/>
  <c r="X13" i="10"/>
  <c r="AL13" i="10" s="1"/>
  <c r="X12" i="10"/>
  <c r="AL12" i="10" s="1"/>
  <c r="R47" i="10"/>
  <c r="AK47" i="10" s="1"/>
  <c r="R46" i="10"/>
  <c r="AK46" i="10" s="1"/>
  <c r="R45" i="10"/>
  <c r="AK45" i="10" s="1"/>
  <c r="R44" i="10"/>
  <c r="AK44" i="10" s="1"/>
  <c r="AM44" i="10" s="1"/>
  <c r="R43" i="10"/>
  <c r="R42" i="10"/>
  <c r="AK42" i="10" s="1"/>
  <c r="R41" i="10"/>
  <c r="AK41" i="10" s="1"/>
  <c r="R40" i="10"/>
  <c r="AK40" i="10" s="1"/>
  <c r="R39" i="10"/>
  <c r="R38" i="10"/>
  <c r="AK38" i="10" s="1"/>
  <c r="R37" i="10"/>
  <c r="AK37" i="10" s="1"/>
  <c r="R36" i="10"/>
  <c r="AK36" i="10" s="1"/>
  <c r="R35" i="10"/>
  <c r="R34" i="10"/>
  <c r="AK34" i="10" s="1"/>
  <c r="R33" i="10"/>
  <c r="AK33" i="10" s="1"/>
  <c r="AM33" i="10" s="1"/>
  <c r="R32" i="10"/>
  <c r="AK32" i="10" s="1"/>
  <c r="R31" i="10"/>
  <c r="AK31" i="10" s="1"/>
  <c r="AM31" i="10" s="1"/>
  <c r="R30" i="10"/>
  <c r="R29" i="10"/>
  <c r="R28" i="10"/>
  <c r="AK28" i="10" s="1"/>
  <c r="R27" i="10"/>
  <c r="AK27" i="10" s="1"/>
  <c r="AO27" i="10" s="1"/>
  <c r="R26" i="10"/>
  <c r="AK26" i="10" s="1"/>
  <c r="R25" i="10"/>
  <c r="AK25" i="10" s="1"/>
  <c r="R24" i="10"/>
  <c r="AK24" i="10" s="1"/>
  <c r="R23" i="10"/>
  <c r="AK23" i="10" s="1"/>
  <c r="R22" i="10"/>
  <c r="AK22" i="10" s="1"/>
  <c r="AM22" i="10" s="1"/>
  <c r="R21" i="10"/>
  <c r="O4" i="3" s="1"/>
  <c r="R20" i="10"/>
  <c r="AK20" i="10" s="1"/>
  <c r="AM20" i="10" s="1"/>
  <c r="R19" i="10"/>
  <c r="AK19" i="10" s="1"/>
  <c r="R18" i="10"/>
  <c r="AK18" i="10" s="1"/>
  <c r="R17" i="10"/>
  <c r="AK17" i="10" s="1"/>
  <c r="R16" i="10"/>
  <c r="AK16" i="10" s="1"/>
  <c r="R15" i="10"/>
  <c r="AK15" i="10" s="1"/>
  <c r="R14" i="10"/>
  <c r="R13" i="10"/>
  <c r="R12" i="10"/>
  <c r="L12" i="3"/>
  <c r="AD47" i="1"/>
  <c r="AD46" i="1"/>
  <c r="AD45" i="1"/>
  <c r="AD44" i="1"/>
  <c r="AD39" i="1"/>
  <c r="AD38" i="1"/>
  <c r="AD37" i="1"/>
  <c r="AD36" i="1"/>
  <c r="AD35" i="1"/>
  <c r="AD29" i="1"/>
  <c r="AD28" i="1"/>
  <c r="AD27" i="1"/>
  <c r="AD26" i="1"/>
  <c r="AD22" i="1"/>
  <c r="AD21" i="1"/>
  <c r="AD20" i="1"/>
  <c r="AD19" i="1"/>
  <c r="AD18" i="1"/>
  <c r="AD17" i="1"/>
  <c r="AD12" i="1"/>
  <c r="X47" i="1"/>
  <c r="X43" i="1"/>
  <c r="J8" i="3" s="1"/>
  <c r="X38" i="1"/>
  <c r="X34" i="1"/>
  <c r="X29" i="1"/>
  <c r="X25" i="1"/>
  <c r="X20" i="1"/>
  <c r="X16" i="1"/>
  <c r="R43" i="1"/>
  <c r="R42" i="1"/>
  <c r="R41" i="1"/>
  <c r="R40" i="1"/>
  <c r="R39" i="1"/>
  <c r="I4" i="3" s="1"/>
  <c r="R38" i="1"/>
  <c r="AK38" i="1" s="1"/>
  <c r="R34" i="1"/>
  <c r="R33" i="1"/>
  <c r="R32" i="1"/>
  <c r="R31" i="1"/>
  <c r="R30" i="1"/>
  <c r="R25" i="1"/>
  <c r="R23" i="1"/>
  <c r="R22" i="1"/>
  <c r="AK22" i="1" s="1"/>
  <c r="R21" i="1"/>
  <c r="R16" i="1"/>
  <c r="R15" i="1"/>
  <c r="R14" i="1"/>
  <c r="R13" i="1"/>
  <c r="R12" i="1"/>
  <c r="AK12" i="5"/>
  <c r="AK17" i="5"/>
  <c r="AK18" i="5"/>
  <c r="AK19" i="5"/>
  <c r="AK20" i="5"/>
  <c r="AK21" i="5"/>
  <c r="AK26" i="5"/>
  <c r="AK27" i="5"/>
  <c r="AK28" i="5"/>
  <c r="AK29" i="5"/>
  <c r="AK30" i="5"/>
  <c r="AK35" i="5"/>
  <c r="AK36" i="5"/>
  <c r="AK37" i="5"/>
  <c r="AK38" i="5"/>
  <c r="AK39" i="5"/>
  <c r="AK44" i="5"/>
  <c r="AK45" i="5"/>
  <c r="AK46" i="5"/>
  <c r="AK47" i="5"/>
  <c r="AC16" i="5"/>
  <c r="AC20" i="5"/>
  <c r="AC25" i="5"/>
  <c r="AC29" i="5"/>
  <c r="AC34" i="5"/>
  <c r="AC38" i="5"/>
  <c r="AC47" i="5"/>
  <c r="U21" i="5"/>
  <c r="U22" i="5"/>
  <c r="U23" i="5"/>
  <c r="U24" i="5"/>
  <c r="U25" i="5"/>
  <c r="U32" i="5"/>
  <c r="U33" i="5"/>
  <c r="U34" i="5"/>
  <c r="U39" i="5"/>
  <c r="U40" i="5"/>
  <c r="U41" i="5"/>
  <c r="U42" i="5"/>
  <c r="U43" i="5"/>
  <c r="U12" i="5"/>
  <c r="U13" i="5"/>
  <c r="U14" i="5"/>
  <c r="U15" i="5"/>
  <c r="U16" i="5"/>
  <c r="J12" i="3" l="1"/>
  <c r="AK35" i="12"/>
  <c r="AN35" i="12" s="1"/>
  <c r="AO24" i="12"/>
  <c r="AO37" i="12"/>
  <c r="AN45" i="12"/>
  <c r="AK18" i="12"/>
  <c r="AK19" i="12"/>
  <c r="AN19" i="12" s="1"/>
  <c r="AK31" i="12"/>
  <c r="AK20" i="12"/>
  <c r="AO20" i="12" s="1"/>
  <c r="AM22" i="12"/>
  <c r="AO36" i="12"/>
  <c r="AO45" i="12"/>
  <c r="AO33" i="12"/>
  <c r="AK22" i="12"/>
  <c r="AN22" i="12" s="1"/>
  <c r="AM35" i="12"/>
  <c r="AO34" i="12"/>
  <c r="AK43" i="12"/>
  <c r="AN43" i="12" s="1"/>
  <c r="AO23" i="12"/>
  <c r="AO17" i="12"/>
  <c r="AO29" i="12"/>
  <c r="AN12" i="12"/>
  <c r="AO12" i="12"/>
  <c r="AM12" i="12"/>
  <c r="AN37" i="12"/>
  <c r="AN23" i="12"/>
  <c r="AM37" i="12"/>
  <c r="AM23" i="12"/>
  <c r="AO22" i="12"/>
  <c r="AN13" i="12"/>
  <c r="AN17" i="12"/>
  <c r="AO13" i="12"/>
  <c r="AO35" i="12"/>
  <c r="AO39" i="12"/>
  <c r="AO14" i="12"/>
  <c r="AN14" i="12"/>
  <c r="AM14" i="12"/>
  <c r="AO38" i="12"/>
  <c r="AN38" i="12"/>
  <c r="AM15" i="12"/>
  <c r="AO15" i="12"/>
  <c r="AO28" i="12"/>
  <c r="AO30" i="12"/>
  <c r="AO41" i="12"/>
  <c r="AM41" i="12"/>
  <c r="AO19" i="12"/>
  <c r="AN42" i="12"/>
  <c r="AO26" i="12"/>
  <c r="AM42" i="12"/>
  <c r="AM19" i="12"/>
  <c r="AO46" i="12"/>
  <c r="AM44" i="12"/>
  <c r="AO47" i="12"/>
  <c r="AN47" i="12"/>
  <c r="AM33" i="12"/>
  <c r="AO44" i="12"/>
  <c r="AM17" i="12"/>
  <c r="AM30" i="12"/>
  <c r="AO32" i="12"/>
  <c r="AN27" i="12"/>
  <c r="AO27" i="12"/>
  <c r="AN16" i="12"/>
  <c r="AO16" i="12"/>
  <c r="AN40" i="12"/>
  <c r="AO40" i="12"/>
  <c r="AM26" i="12"/>
  <c r="AN18" i="12"/>
  <c r="AO18" i="12"/>
  <c r="AM32" i="12"/>
  <c r="AO43" i="12"/>
  <c r="AM31" i="12"/>
  <c r="AM18" i="12"/>
  <c r="AM24" i="12"/>
  <c r="AO25" i="12"/>
  <c r="AN25" i="12"/>
  <c r="AM27" i="12"/>
  <c r="AM28" i="12"/>
  <c r="AM46" i="12"/>
  <c r="AK30" i="2"/>
  <c r="AM17" i="10"/>
  <c r="AM41" i="10"/>
  <c r="AM42" i="10"/>
  <c r="AK35" i="10"/>
  <c r="AM35" i="10" s="1"/>
  <c r="AM40" i="10"/>
  <c r="AM21" i="10"/>
  <c r="AO21" i="10"/>
  <c r="AO32" i="10"/>
  <c r="AN12" i="10"/>
  <c r="AO12" i="10"/>
  <c r="AM12" i="10"/>
  <c r="AM13" i="10"/>
  <c r="AO13" i="10"/>
  <c r="AM14" i="10"/>
  <c r="AN14" i="10"/>
  <c r="AO14" i="10"/>
  <c r="AN13" i="10"/>
  <c r="AM19" i="10"/>
  <c r="AM39" i="10"/>
  <c r="AO39" i="10"/>
  <c r="AN39" i="10"/>
  <c r="AN32" i="10"/>
  <c r="AN23" i="10"/>
  <c r="AO23" i="10"/>
  <c r="AN24" i="10"/>
  <c r="AO24" i="10"/>
  <c r="AM36" i="10"/>
  <c r="AO36" i="10"/>
  <c r="AN36" i="10"/>
  <c r="AN27" i="10"/>
  <c r="AN25" i="10"/>
  <c r="AO25" i="10"/>
  <c r="AN37" i="10"/>
  <c r="AO37" i="10"/>
  <c r="AM27" i="10"/>
  <c r="AM32" i="10"/>
  <c r="AN31" i="10"/>
  <c r="AO31" i="10"/>
  <c r="AN45" i="10"/>
  <c r="AO45" i="10"/>
  <c r="AN46" i="10"/>
  <c r="AO46" i="10"/>
  <c r="AM46" i="10"/>
  <c r="AN16" i="10"/>
  <c r="AM16" i="10"/>
  <c r="AO16" i="10"/>
  <c r="AN28" i="10"/>
  <c r="AO28" i="10"/>
  <c r="AN40" i="10"/>
  <c r="AO40" i="10"/>
  <c r="AM24" i="10"/>
  <c r="AN19" i="10"/>
  <c r="AO19" i="10"/>
  <c r="AO20" i="10"/>
  <c r="AN20" i="10"/>
  <c r="AN33" i="10"/>
  <c r="AO33" i="10"/>
  <c r="AN22" i="10"/>
  <c r="AO22" i="10"/>
  <c r="AN35" i="10"/>
  <c r="AO35" i="10"/>
  <c r="AN26" i="10"/>
  <c r="AO26" i="10"/>
  <c r="AM26" i="10"/>
  <c r="AN15" i="10"/>
  <c r="AO15" i="10"/>
  <c r="AN17" i="10"/>
  <c r="AO17" i="10"/>
  <c r="AN41" i="10"/>
  <c r="AO41" i="10"/>
  <c r="AM37" i="10"/>
  <c r="AM45" i="10"/>
  <c r="AN44" i="10"/>
  <c r="AO44" i="10"/>
  <c r="AO34" i="10"/>
  <c r="AM34" i="10"/>
  <c r="AN34" i="10"/>
  <c r="AN47" i="10"/>
  <c r="AO47" i="10"/>
  <c r="AN38" i="10"/>
  <c r="AO38" i="10"/>
  <c r="AM38" i="10"/>
  <c r="AO18" i="10"/>
  <c r="AN18" i="10"/>
  <c r="AM18" i="10"/>
  <c r="AN42" i="10"/>
  <c r="AO42" i="10"/>
  <c r="AM28" i="10"/>
  <c r="AM15" i="10"/>
  <c r="AN38" i="1"/>
  <c r="AM38" i="1"/>
  <c r="AO38" i="1"/>
  <c r="AG5" i="3"/>
  <c r="AH5" i="3"/>
  <c r="AI5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I4" i="3"/>
  <c r="AH4" i="3"/>
  <c r="AG4" i="3"/>
  <c r="AN31" i="12" l="1"/>
  <c r="AO31" i="12"/>
  <c r="AN20" i="12"/>
  <c r="E13" i="13" l="1"/>
  <c r="E7" i="13"/>
  <c r="G13" i="13"/>
  <c r="H2" i="13"/>
  <c r="S47" i="13"/>
  <c r="Q47" i="13"/>
  <c r="S46" i="13"/>
  <c r="Q46" i="13"/>
  <c r="S45" i="13"/>
  <c r="Q45" i="13"/>
  <c r="S44" i="13"/>
  <c r="Q44" i="13"/>
  <c r="S43" i="13"/>
  <c r="Q43" i="13"/>
  <c r="S42" i="13"/>
  <c r="Q42" i="13"/>
  <c r="S41" i="13"/>
  <c r="Q41" i="13"/>
  <c r="S40" i="13"/>
  <c r="Q40" i="13"/>
  <c r="S39" i="13"/>
  <c r="Q39" i="13"/>
  <c r="S38" i="13"/>
  <c r="Q38" i="13"/>
  <c r="S37" i="13"/>
  <c r="Q37" i="13"/>
  <c r="S36" i="13"/>
  <c r="Q36" i="13"/>
  <c r="S35" i="13"/>
  <c r="Q35" i="13"/>
  <c r="S34" i="13"/>
  <c r="Q34" i="13"/>
  <c r="S33" i="13"/>
  <c r="Q33" i="13"/>
  <c r="S32" i="13"/>
  <c r="Q32" i="13"/>
  <c r="S31" i="13"/>
  <c r="Q31" i="13"/>
  <c r="S30" i="13"/>
  <c r="Q30" i="13"/>
  <c r="S29" i="13"/>
  <c r="Q29" i="13"/>
  <c r="S28" i="13"/>
  <c r="Q28" i="13"/>
  <c r="S27" i="13"/>
  <c r="Q27" i="13"/>
  <c r="S26" i="13"/>
  <c r="Q26" i="13"/>
  <c r="S25" i="13"/>
  <c r="Q25" i="13"/>
  <c r="S24" i="13"/>
  <c r="Q24" i="13"/>
  <c r="S23" i="13"/>
  <c r="Q23" i="13"/>
  <c r="S22" i="13"/>
  <c r="Q22" i="13"/>
  <c r="S21" i="13"/>
  <c r="Q21" i="13"/>
  <c r="S20" i="13"/>
  <c r="Q20" i="13"/>
  <c r="S19" i="13"/>
  <c r="Q19" i="13"/>
  <c r="S18" i="13"/>
  <c r="Q18" i="13"/>
  <c r="S17" i="13"/>
  <c r="Q17" i="13"/>
  <c r="S16" i="13"/>
  <c r="Q16" i="13"/>
  <c r="S15" i="13"/>
  <c r="Q15" i="13"/>
  <c r="S14" i="13"/>
  <c r="Q14" i="13"/>
  <c r="S13" i="13"/>
  <c r="Q13" i="13"/>
  <c r="S12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K47" i="13"/>
  <c r="I47" i="13"/>
  <c r="K46" i="13"/>
  <c r="I46" i="13"/>
  <c r="K45" i="13"/>
  <c r="I45" i="13"/>
  <c r="K44" i="13"/>
  <c r="I44" i="13"/>
  <c r="K43" i="13"/>
  <c r="I43" i="13"/>
  <c r="K42" i="13"/>
  <c r="I42" i="13"/>
  <c r="K41" i="13"/>
  <c r="I41" i="13"/>
  <c r="K40" i="13"/>
  <c r="I40" i="13"/>
  <c r="K39" i="13"/>
  <c r="I39" i="13"/>
  <c r="K38" i="13"/>
  <c r="I38" i="13"/>
  <c r="K37" i="13"/>
  <c r="I37" i="13"/>
  <c r="K36" i="13"/>
  <c r="I36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G12" i="13"/>
  <c r="E14" i="13"/>
  <c r="G14" i="13" s="1"/>
  <c r="E15" i="13"/>
  <c r="E16" i="13"/>
  <c r="G16" i="13" s="1"/>
  <c r="G17" i="13"/>
  <c r="E18" i="13"/>
  <c r="E19" i="13"/>
  <c r="G20" i="13"/>
  <c r="E21" i="13"/>
  <c r="G21" i="13" s="1"/>
  <c r="E22" i="13"/>
  <c r="G22" i="13" s="1"/>
  <c r="E23" i="13"/>
  <c r="G23" i="13" s="1"/>
  <c r="E24" i="13"/>
  <c r="E25" i="13"/>
  <c r="E26" i="13"/>
  <c r="G26" i="13" s="1"/>
  <c r="E27" i="13"/>
  <c r="E28" i="13"/>
  <c r="G28" i="13" s="1"/>
  <c r="E29" i="13"/>
  <c r="G29" i="13" s="1"/>
  <c r="E30" i="13"/>
  <c r="E31" i="13"/>
  <c r="E32" i="13"/>
  <c r="G32" i="13" s="1"/>
  <c r="E33" i="13"/>
  <c r="G33" i="13" s="1"/>
  <c r="E34" i="13"/>
  <c r="G34" i="13" s="1"/>
  <c r="E35" i="13"/>
  <c r="G35" i="13" s="1"/>
  <c r="E36" i="13"/>
  <c r="G36" i="13" s="1"/>
  <c r="E37" i="13"/>
  <c r="E38" i="13"/>
  <c r="G38" i="13" s="1"/>
  <c r="E39" i="13"/>
  <c r="E40" i="13"/>
  <c r="G40" i="13" s="1"/>
  <c r="E41" i="13"/>
  <c r="G41" i="13" s="1"/>
  <c r="E42" i="13"/>
  <c r="G42" i="13" s="1"/>
  <c r="E43" i="13"/>
  <c r="E44" i="13"/>
  <c r="G44" i="13" s="1"/>
  <c r="E45" i="13"/>
  <c r="G45" i="13" s="1"/>
  <c r="E46" i="13"/>
  <c r="G46" i="13" s="1"/>
  <c r="E47" i="13"/>
  <c r="G47" i="13" s="1"/>
  <c r="G43" i="13"/>
  <c r="G39" i="13"/>
  <c r="G37" i="13"/>
  <c r="G31" i="13"/>
  <c r="G30" i="13"/>
  <c r="G27" i="13"/>
  <c r="G25" i="13"/>
  <c r="G24" i="13"/>
  <c r="G19" i="13"/>
  <c r="G18" i="13"/>
  <c r="G15" i="13"/>
  <c r="AI47" i="12"/>
  <c r="AH47" i="12"/>
  <c r="AC47" i="12"/>
  <c r="AB47" i="12"/>
  <c r="Y47" i="12"/>
  <c r="W47" i="12"/>
  <c r="V47" i="12"/>
  <c r="P47" i="12"/>
  <c r="Q47" i="12" s="1"/>
  <c r="G47" i="12"/>
  <c r="I47" i="12" s="1"/>
  <c r="J47" i="12" s="1"/>
  <c r="K47" i="12" s="1"/>
  <c r="AI46" i="12"/>
  <c r="AH46" i="12"/>
  <c r="AC46" i="12"/>
  <c r="AB46" i="12"/>
  <c r="V46" i="12"/>
  <c r="W46" i="12" s="1"/>
  <c r="P46" i="12"/>
  <c r="Q46" i="12" s="1"/>
  <c r="G46" i="12"/>
  <c r="I46" i="12" s="1"/>
  <c r="J46" i="12" s="1"/>
  <c r="K46" i="12" s="1"/>
  <c r="AI45" i="12"/>
  <c r="AH45" i="12"/>
  <c r="AC45" i="12"/>
  <c r="AB45" i="12"/>
  <c r="V45" i="12"/>
  <c r="W45" i="12" s="1"/>
  <c r="P45" i="12"/>
  <c r="Q45" i="12" s="1"/>
  <c r="G45" i="12"/>
  <c r="I45" i="12" s="1"/>
  <c r="J45" i="12" s="1"/>
  <c r="K45" i="12" s="1"/>
  <c r="AI44" i="12"/>
  <c r="AH44" i="12"/>
  <c r="AC44" i="12"/>
  <c r="AB44" i="12"/>
  <c r="V44" i="12"/>
  <c r="W44" i="12" s="1"/>
  <c r="P44" i="12"/>
  <c r="Q44" i="12" s="1"/>
  <c r="G44" i="12"/>
  <c r="I44" i="12" s="1"/>
  <c r="J44" i="12" s="1"/>
  <c r="K44" i="12" s="1"/>
  <c r="AI43" i="12"/>
  <c r="AH43" i="12"/>
  <c r="AB43" i="12"/>
  <c r="AC43" i="12" s="1"/>
  <c r="W43" i="12"/>
  <c r="V43" i="12"/>
  <c r="Q43" i="12"/>
  <c r="P43" i="12"/>
  <c r="G43" i="12"/>
  <c r="I43" i="12" s="1"/>
  <c r="J43" i="12" s="1"/>
  <c r="K43" i="12" s="1"/>
  <c r="AI42" i="12"/>
  <c r="AH42" i="12"/>
  <c r="AB42" i="12"/>
  <c r="AC42" i="12" s="1"/>
  <c r="V42" i="12"/>
  <c r="W42" i="12" s="1"/>
  <c r="Q42" i="12"/>
  <c r="P42" i="12"/>
  <c r="G42" i="12"/>
  <c r="I42" i="12" s="1"/>
  <c r="J42" i="12" s="1"/>
  <c r="K42" i="12" s="1"/>
  <c r="AI41" i="12"/>
  <c r="AH41" i="12"/>
  <c r="AB41" i="12"/>
  <c r="AC41" i="12" s="1"/>
  <c r="V41" i="12"/>
  <c r="W41" i="12" s="1"/>
  <c r="Q41" i="12"/>
  <c r="P41" i="12"/>
  <c r="G41" i="12"/>
  <c r="I41" i="12" s="1"/>
  <c r="J41" i="12" s="1"/>
  <c r="K41" i="12" s="1"/>
  <c r="AI40" i="12"/>
  <c r="AH40" i="12"/>
  <c r="AB40" i="12"/>
  <c r="AC40" i="12" s="1"/>
  <c r="V40" i="12"/>
  <c r="W40" i="12" s="1"/>
  <c r="Q40" i="12"/>
  <c r="P40" i="12"/>
  <c r="G40" i="12"/>
  <c r="I40" i="12" s="1"/>
  <c r="J40" i="12" s="1"/>
  <c r="K40" i="12" s="1"/>
  <c r="AH39" i="12"/>
  <c r="AI39" i="12" s="1"/>
  <c r="AC39" i="12"/>
  <c r="AB39" i="12"/>
  <c r="V39" i="12"/>
  <c r="W39" i="12" s="1"/>
  <c r="Q39" i="12"/>
  <c r="P39" i="12"/>
  <c r="G39" i="12"/>
  <c r="I39" i="12" s="1"/>
  <c r="J39" i="12" s="1"/>
  <c r="K39" i="12" s="1"/>
  <c r="AI38" i="12"/>
  <c r="AH38" i="12"/>
  <c r="AC38" i="12"/>
  <c r="AB38" i="12"/>
  <c r="W38" i="12"/>
  <c r="V38" i="12"/>
  <c r="P38" i="12"/>
  <c r="Q38" i="12" s="1"/>
  <c r="G38" i="12"/>
  <c r="I38" i="12" s="1"/>
  <c r="J38" i="12" s="1"/>
  <c r="K38" i="12" s="1"/>
  <c r="AI37" i="12"/>
  <c r="AH37" i="12"/>
  <c r="AC37" i="12"/>
  <c r="AB37" i="12"/>
  <c r="V37" i="12"/>
  <c r="W37" i="12" s="1"/>
  <c r="P37" i="12"/>
  <c r="Q37" i="12" s="1"/>
  <c r="G37" i="12"/>
  <c r="I37" i="12" s="1"/>
  <c r="J37" i="12" s="1"/>
  <c r="K37" i="12" s="1"/>
  <c r="AI36" i="12"/>
  <c r="AH36" i="12"/>
  <c r="AC36" i="12"/>
  <c r="AB36" i="12"/>
  <c r="V36" i="12"/>
  <c r="W36" i="12" s="1"/>
  <c r="P36" i="12"/>
  <c r="Q36" i="12" s="1"/>
  <c r="G36" i="12"/>
  <c r="I36" i="12" s="1"/>
  <c r="J36" i="12" s="1"/>
  <c r="K36" i="12" s="1"/>
  <c r="AC35" i="12"/>
  <c r="AB35" i="12"/>
  <c r="V35" i="12"/>
  <c r="W35" i="12" s="1"/>
  <c r="P35" i="12"/>
  <c r="Q35" i="12"/>
  <c r="G35" i="12"/>
  <c r="I35" i="12" s="1"/>
  <c r="J35" i="12" s="1"/>
  <c r="K35" i="12" s="1"/>
  <c r="AI34" i="12"/>
  <c r="AH34" i="12"/>
  <c r="AB34" i="12"/>
  <c r="AC34" i="12" s="1"/>
  <c r="W34" i="12"/>
  <c r="V34" i="12"/>
  <c r="Q34" i="12"/>
  <c r="P34" i="12"/>
  <c r="G34" i="12"/>
  <c r="I34" i="12" s="1"/>
  <c r="J34" i="12" s="1"/>
  <c r="K34" i="12" s="1"/>
  <c r="AI33" i="12"/>
  <c r="AH33" i="12"/>
  <c r="AB33" i="12"/>
  <c r="AC33" i="12" s="1"/>
  <c r="V33" i="12"/>
  <c r="W33" i="12" s="1"/>
  <c r="Q33" i="12"/>
  <c r="P33" i="12"/>
  <c r="G33" i="12"/>
  <c r="I33" i="12" s="1"/>
  <c r="J33" i="12" s="1"/>
  <c r="K33" i="12" s="1"/>
  <c r="AI32" i="12"/>
  <c r="AH32" i="12"/>
  <c r="AB32" i="12"/>
  <c r="AC32" i="12" s="1"/>
  <c r="V32" i="12"/>
  <c r="W32" i="12" s="1"/>
  <c r="Q32" i="12"/>
  <c r="P32" i="12"/>
  <c r="G32" i="12"/>
  <c r="I32" i="12" s="1"/>
  <c r="J32" i="12" s="1"/>
  <c r="K32" i="12" s="1"/>
  <c r="AI31" i="12"/>
  <c r="AH31" i="12"/>
  <c r="AB31" i="12"/>
  <c r="AC31" i="12" s="1"/>
  <c r="V31" i="12"/>
  <c r="W31" i="12"/>
  <c r="Q31" i="12"/>
  <c r="P31" i="12"/>
  <c r="G31" i="12"/>
  <c r="I31" i="12" s="1"/>
  <c r="J31" i="12" s="1"/>
  <c r="K31" i="12" s="1"/>
  <c r="AC30" i="12"/>
  <c r="AB30" i="12"/>
  <c r="V30" i="12"/>
  <c r="W30" i="12" s="1"/>
  <c r="Q30" i="12"/>
  <c r="P30" i="12"/>
  <c r="G30" i="12"/>
  <c r="I30" i="12" s="1"/>
  <c r="J30" i="12" s="1"/>
  <c r="K30" i="12" s="1"/>
  <c r="AI29" i="12"/>
  <c r="AH29" i="12"/>
  <c r="AC29" i="12"/>
  <c r="AB29" i="12"/>
  <c r="W29" i="12"/>
  <c r="V29" i="12"/>
  <c r="P29" i="12"/>
  <c r="Q29" i="12" s="1"/>
  <c r="G29" i="12"/>
  <c r="I29" i="12" s="1"/>
  <c r="J29" i="12" s="1"/>
  <c r="K29" i="12" s="1"/>
  <c r="AI28" i="12"/>
  <c r="AH28" i="12"/>
  <c r="AC28" i="12"/>
  <c r="AB28" i="12"/>
  <c r="V28" i="12"/>
  <c r="W28" i="12" s="1"/>
  <c r="P28" i="12"/>
  <c r="Q28" i="12" s="1"/>
  <c r="G28" i="12"/>
  <c r="I28" i="12" s="1"/>
  <c r="J28" i="12" s="1"/>
  <c r="K28" i="12" s="1"/>
  <c r="AI27" i="12"/>
  <c r="AH27" i="12"/>
  <c r="AC27" i="12"/>
  <c r="AB27" i="12"/>
  <c r="V27" i="12"/>
  <c r="W27" i="12" s="1"/>
  <c r="P27" i="12"/>
  <c r="Q27" i="12" s="1"/>
  <c r="G27" i="12"/>
  <c r="I27" i="12" s="1"/>
  <c r="J27" i="12" s="1"/>
  <c r="K27" i="12" s="1"/>
  <c r="AI26" i="12"/>
  <c r="AH26" i="12"/>
  <c r="AC26" i="12"/>
  <c r="AB26" i="12"/>
  <c r="V26" i="12"/>
  <c r="W26" i="12" s="1"/>
  <c r="P26" i="12"/>
  <c r="Q26" i="12" s="1"/>
  <c r="G26" i="12"/>
  <c r="I26" i="12" s="1"/>
  <c r="J26" i="12" s="1"/>
  <c r="K26" i="12" s="1"/>
  <c r="AI25" i="12"/>
  <c r="AH25" i="12"/>
  <c r="AB25" i="12"/>
  <c r="AC25" i="12" s="1"/>
  <c r="W25" i="12"/>
  <c r="V25" i="12"/>
  <c r="Q25" i="12"/>
  <c r="P25" i="12"/>
  <c r="G25" i="12"/>
  <c r="I25" i="12" s="1"/>
  <c r="J25" i="12" s="1"/>
  <c r="K25" i="12" s="1"/>
  <c r="AI24" i="12"/>
  <c r="AH24" i="12"/>
  <c r="AB24" i="12"/>
  <c r="AC24" i="12" s="1"/>
  <c r="V24" i="12"/>
  <c r="W24" i="12" s="1"/>
  <c r="Q24" i="12"/>
  <c r="P24" i="12"/>
  <c r="G24" i="12"/>
  <c r="I24" i="12" s="1"/>
  <c r="J24" i="12" s="1"/>
  <c r="K24" i="12" s="1"/>
  <c r="AI23" i="12"/>
  <c r="AH23" i="12"/>
  <c r="AB23" i="12"/>
  <c r="AC23" i="12" s="1"/>
  <c r="V23" i="12"/>
  <c r="W23" i="12" s="1"/>
  <c r="Q23" i="12"/>
  <c r="P23" i="12"/>
  <c r="AI22" i="12"/>
  <c r="AH22" i="12"/>
  <c r="AB22" i="12"/>
  <c r="AC22" i="12" s="1"/>
  <c r="V22" i="12"/>
  <c r="W22" i="12" s="1"/>
  <c r="Q22" i="12"/>
  <c r="P22" i="12"/>
  <c r="G22" i="12"/>
  <c r="I22" i="12" s="1"/>
  <c r="J22" i="12" s="1"/>
  <c r="K22" i="12" s="1"/>
  <c r="AI21" i="12"/>
  <c r="AH21" i="12"/>
  <c r="AC21" i="12"/>
  <c r="AB21" i="12"/>
  <c r="V21" i="12"/>
  <c r="W21" i="12" s="1"/>
  <c r="Q21" i="12"/>
  <c r="P21" i="12"/>
  <c r="G21" i="12"/>
  <c r="I21" i="12" s="1"/>
  <c r="J21" i="12" s="1"/>
  <c r="K21" i="12" s="1"/>
  <c r="AI20" i="12"/>
  <c r="AH20" i="12"/>
  <c r="AC20" i="12"/>
  <c r="AB20" i="12"/>
  <c r="W20" i="12"/>
  <c r="V20" i="12"/>
  <c r="P20" i="12"/>
  <c r="Q20" i="12" s="1"/>
  <c r="G20" i="12"/>
  <c r="I20" i="12" s="1"/>
  <c r="J20" i="12" s="1"/>
  <c r="K20" i="12" s="1"/>
  <c r="AI19" i="12"/>
  <c r="AH19" i="12"/>
  <c r="AC19" i="12"/>
  <c r="AB19" i="12"/>
  <c r="W19" i="12"/>
  <c r="V19" i="12"/>
  <c r="P19" i="12"/>
  <c r="Q19" i="12" s="1"/>
  <c r="G19" i="12"/>
  <c r="I19" i="12" s="1"/>
  <c r="J19" i="12" s="1"/>
  <c r="K19" i="12" s="1"/>
  <c r="AI18" i="12"/>
  <c r="AH18" i="12"/>
  <c r="AC18" i="12"/>
  <c r="AB18" i="12"/>
  <c r="V18" i="12"/>
  <c r="W18" i="12" s="1"/>
  <c r="P18" i="12"/>
  <c r="Q18" i="12" s="1"/>
  <c r="G18" i="12"/>
  <c r="I18" i="12" s="1"/>
  <c r="J18" i="12" s="1"/>
  <c r="K18" i="12" s="1"/>
  <c r="AI17" i="12"/>
  <c r="AH17" i="12"/>
  <c r="AC17" i="12"/>
  <c r="AB17" i="12"/>
  <c r="V17" i="12"/>
  <c r="W17" i="12" s="1"/>
  <c r="P17" i="12"/>
  <c r="Q17" i="12" s="1"/>
  <c r="G17" i="12"/>
  <c r="I17" i="12" s="1"/>
  <c r="J17" i="12" s="1"/>
  <c r="K17" i="12" s="1"/>
  <c r="AI16" i="12"/>
  <c r="AH16" i="12"/>
  <c r="AB16" i="12"/>
  <c r="AC16" i="12" s="1"/>
  <c r="W16" i="12"/>
  <c r="V16" i="12"/>
  <c r="Q16" i="12"/>
  <c r="P16" i="12"/>
  <c r="G16" i="12"/>
  <c r="I16" i="12" s="1"/>
  <c r="J16" i="12" s="1"/>
  <c r="K16" i="12" s="1"/>
  <c r="AK8" i="3" s="1"/>
  <c r="AI15" i="12"/>
  <c r="AH15" i="12"/>
  <c r="AB15" i="12"/>
  <c r="AC15" i="12" s="1"/>
  <c r="V15" i="12"/>
  <c r="W15" i="12" s="1"/>
  <c r="Q15" i="12"/>
  <c r="P15" i="12"/>
  <c r="G15" i="12"/>
  <c r="I15" i="12" s="1"/>
  <c r="J15" i="12" s="1"/>
  <c r="K15" i="12" s="1"/>
  <c r="AI14" i="12"/>
  <c r="AH14" i="12"/>
  <c r="AB14" i="12"/>
  <c r="AC14" i="12" s="1"/>
  <c r="V14" i="12"/>
  <c r="W14" i="12" s="1"/>
  <c r="G14" i="12"/>
  <c r="AI13" i="12"/>
  <c r="AH13" i="12"/>
  <c r="AB13" i="12"/>
  <c r="AC13" i="12" s="1"/>
  <c r="V13" i="12"/>
  <c r="W13" i="12" s="1"/>
  <c r="Q13" i="12"/>
  <c r="P13" i="12"/>
  <c r="M13" i="12"/>
  <c r="G13" i="12"/>
  <c r="I13" i="12" s="1"/>
  <c r="J13" i="12" s="1"/>
  <c r="K13" i="12" s="1"/>
  <c r="AI12" i="12"/>
  <c r="AH12" i="12"/>
  <c r="AC12" i="12"/>
  <c r="AB12" i="12"/>
  <c r="V12" i="12"/>
  <c r="W12" i="12" s="1"/>
  <c r="P12" i="12"/>
  <c r="M12" i="12"/>
  <c r="G12" i="12"/>
  <c r="S8" i="3"/>
  <c r="S9" i="3"/>
  <c r="S10" i="3"/>
  <c r="O5" i="3"/>
  <c r="P5" i="3"/>
  <c r="Q5" i="3"/>
  <c r="R5" i="3"/>
  <c r="O6" i="3"/>
  <c r="P6" i="3"/>
  <c r="Q6" i="3"/>
  <c r="R6" i="3"/>
  <c r="O7" i="3"/>
  <c r="P7" i="3"/>
  <c r="Q7" i="3"/>
  <c r="R7" i="3"/>
  <c r="O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Q12" i="3"/>
  <c r="R12" i="3"/>
  <c r="R4" i="3"/>
  <c r="Q4" i="3"/>
  <c r="P4" i="3"/>
  <c r="L4" i="3"/>
  <c r="AI47" i="10"/>
  <c r="AH47" i="10"/>
  <c r="AC47" i="10"/>
  <c r="AB47" i="10"/>
  <c r="W47" i="10"/>
  <c r="V47" i="10"/>
  <c r="P47" i="10"/>
  <c r="Q47" i="10" s="1"/>
  <c r="G47" i="10"/>
  <c r="I47" i="10" s="1"/>
  <c r="J47" i="10" s="1"/>
  <c r="K47" i="10" s="1"/>
  <c r="AI46" i="10"/>
  <c r="AH46" i="10"/>
  <c r="AC46" i="10"/>
  <c r="AB46" i="10"/>
  <c r="V46" i="10"/>
  <c r="W46" i="10" s="1"/>
  <c r="P46" i="10"/>
  <c r="Q46" i="10" s="1"/>
  <c r="G46" i="10"/>
  <c r="I46" i="10" s="1"/>
  <c r="J46" i="10" s="1"/>
  <c r="K46" i="10" s="1"/>
  <c r="AI45" i="10"/>
  <c r="AH45" i="10"/>
  <c r="AC45" i="10"/>
  <c r="AB45" i="10"/>
  <c r="V45" i="10"/>
  <c r="W45" i="10" s="1"/>
  <c r="P45" i="10"/>
  <c r="Q45" i="10" s="1"/>
  <c r="G45" i="10"/>
  <c r="I45" i="10" s="1"/>
  <c r="J45" i="10" s="1"/>
  <c r="K45" i="10" s="1"/>
  <c r="AI44" i="10"/>
  <c r="AH44" i="10"/>
  <c r="AC44" i="10"/>
  <c r="AB44" i="10"/>
  <c r="V44" i="10"/>
  <c r="W44" i="10" s="1"/>
  <c r="P44" i="10"/>
  <c r="Q44" i="10" s="1"/>
  <c r="G44" i="10"/>
  <c r="I44" i="10" s="1"/>
  <c r="J44" i="10" s="1"/>
  <c r="K44" i="10" s="1"/>
  <c r="AI43" i="10"/>
  <c r="AH43" i="10"/>
  <c r="AB43" i="10"/>
  <c r="AC43" i="10" s="1"/>
  <c r="V43" i="10"/>
  <c r="W43" i="10" s="1"/>
  <c r="Q43" i="10"/>
  <c r="P43" i="10"/>
  <c r="G43" i="10"/>
  <c r="I43" i="10" s="1"/>
  <c r="J43" i="10" s="1"/>
  <c r="K43" i="10" s="1"/>
  <c r="AI42" i="10"/>
  <c r="AH42" i="10"/>
  <c r="AB42" i="10"/>
  <c r="AC42" i="10" s="1"/>
  <c r="V42" i="10"/>
  <c r="W42" i="10" s="1"/>
  <c r="Q42" i="10"/>
  <c r="P42" i="10"/>
  <c r="G42" i="10"/>
  <c r="I42" i="10" s="1"/>
  <c r="J42" i="10" s="1"/>
  <c r="K42" i="10" s="1"/>
  <c r="AI41" i="10"/>
  <c r="AH41" i="10"/>
  <c r="AB41" i="10"/>
  <c r="AC41" i="10" s="1"/>
  <c r="V41" i="10"/>
  <c r="W41" i="10" s="1"/>
  <c r="Q41" i="10"/>
  <c r="P41" i="10"/>
  <c r="G41" i="10"/>
  <c r="I41" i="10" s="1"/>
  <c r="J41" i="10" s="1"/>
  <c r="K41" i="10" s="1"/>
  <c r="AI40" i="10"/>
  <c r="AH40" i="10"/>
  <c r="AB40" i="10"/>
  <c r="AC40" i="10" s="1"/>
  <c r="V40" i="10"/>
  <c r="W40" i="10" s="1"/>
  <c r="Q40" i="10"/>
  <c r="P40" i="10"/>
  <c r="G40" i="10"/>
  <c r="I40" i="10" s="1"/>
  <c r="J40" i="10" s="1"/>
  <c r="K40" i="10" s="1"/>
  <c r="AI39" i="10"/>
  <c r="AH39" i="10"/>
  <c r="AC39" i="10"/>
  <c r="AB39" i="10"/>
  <c r="V39" i="10"/>
  <c r="W39" i="10" s="1"/>
  <c r="Q39" i="10"/>
  <c r="P39" i="10"/>
  <c r="G39" i="10"/>
  <c r="I39" i="10" s="1"/>
  <c r="J39" i="10" s="1"/>
  <c r="K39" i="10" s="1"/>
  <c r="AI38" i="10"/>
  <c r="AH38" i="10"/>
  <c r="AC38" i="10"/>
  <c r="AB38" i="10"/>
  <c r="W38" i="10"/>
  <c r="V38" i="10"/>
  <c r="P38" i="10"/>
  <c r="Q38" i="10" s="1"/>
  <c r="G38" i="10"/>
  <c r="I38" i="10" s="1"/>
  <c r="J38" i="10" s="1"/>
  <c r="K38" i="10" s="1"/>
  <c r="AI37" i="10"/>
  <c r="AH37" i="10"/>
  <c r="AC37" i="10"/>
  <c r="AB37" i="10"/>
  <c r="V37" i="10"/>
  <c r="W37" i="10" s="1"/>
  <c r="P37" i="10"/>
  <c r="Q37" i="10" s="1"/>
  <c r="G37" i="10"/>
  <c r="I37" i="10" s="1"/>
  <c r="J37" i="10" s="1"/>
  <c r="K37" i="10" s="1"/>
  <c r="AI36" i="10"/>
  <c r="AH36" i="10"/>
  <c r="AC36" i="10"/>
  <c r="AB36" i="10"/>
  <c r="V36" i="10"/>
  <c r="W36" i="10" s="1"/>
  <c r="P36" i="10"/>
  <c r="Q36" i="10" s="1"/>
  <c r="G36" i="10"/>
  <c r="I36" i="10" s="1"/>
  <c r="J36" i="10" s="1"/>
  <c r="K36" i="10" s="1"/>
  <c r="AI35" i="10"/>
  <c r="AH35" i="10"/>
  <c r="AC35" i="10"/>
  <c r="AB35" i="10"/>
  <c r="V35" i="10"/>
  <c r="W35" i="10" s="1"/>
  <c r="P35" i="10"/>
  <c r="Q35" i="10" s="1"/>
  <c r="G35" i="10"/>
  <c r="I35" i="10" s="1"/>
  <c r="J35" i="10" s="1"/>
  <c r="K35" i="10" s="1"/>
  <c r="AI34" i="10"/>
  <c r="AH34" i="10"/>
  <c r="AB34" i="10"/>
  <c r="AC34" i="10" s="1"/>
  <c r="W34" i="10"/>
  <c r="V34" i="10"/>
  <c r="Q34" i="10"/>
  <c r="P34" i="10"/>
  <c r="G34" i="10"/>
  <c r="I34" i="10" s="1"/>
  <c r="J34" i="10" s="1"/>
  <c r="K34" i="10" s="1"/>
  <c r="AI33" i="10"/>
  <c r="AH33" i="10"/>
  <c r="AB33" i="10"/>
  <c r="AC33" i="10" s="1"/>
  <c r="V33" i="10"/>
  <c r="W33" i="10" s="1"/>
  <c r="Q33" i="10"/>
  <c r="P33" i="10"/>
  <c r="G33" i="10"/>
  <c r="I33" i="10" s="1"/>
  <c r="J33" i="10" s="1"/>
  <c r="K33" i="10" s="1"/>
  <c r="AI32" i="10"/>
  <c r="AH32" i="10"/>
  <c r="AB32" i="10"/>
  <c r="AC32" i="10" s="1"/>
  <c r="V32" i="10"/>
  <c r="W32" i="10" s="1"/>
  <c r="Q32" i="10"/>
  <c r="P32" i="10"/>
  <c r="G32" i="10"/>
  <c r="I32" i="10" s="1"/>
  <c r="J32" i="10" s="1"/>
  <c r="K32" i="10" s="1"/>
  <c r="S6" i="3" s="1"/>
  <c r="AI31" i="10"/>
  <c r="AH31" i="10"/>
  <c r="AB31" i="10"/>
  <c r="AC31" i="10" s="1"/>
  <c r="V31" i="10"/>
  <c r="W31" i="10" s="1"/>
  <c r="Q31" i="10"/>
  <c r="P31" i="10"/>
  <c r="G31" i="10"/>
  <c r="I31" i="10" s="1"/>
  <c r="J31" i="10" s="1"/>
  <c r="K31" i="10" s="1"/>
  <c r="AI30" i="10"/>
  <c r="AH30" i="10"/>
  <c r="AC30" i="10"/>
  <c r="AB30" i="10"/>
  <c r="V30" i="10"/>
  <c r="W30" i="10" s="1"/>
  <c r="P30" i="10"/>
  <c r="Q30" i="10" s="1"/>
  <c r="G30" i="10"/>
  <c r="I30" i="10" s="1"/>
  <c r="J30" i="10" s="1"/>
  <c r="K30" i="10" s="1"/>
  <c r="AI29" i="10"/>
  <c r="AH29" i="10"/>
  <c r="AC29" i="10"/>
  <c r="AB29" i="10"/>
  <c r="V29" i="10"/>
  <c r="W29" i="10" s="1"/>
  <c r="P29" i="10"/>
  <c r="Q29" i="10" s="1"/>
  <c r="G29" i="10"/>
  <c r="I29" i="10" s="1"/>
  <c r="J29" i="10" s="1"/>
  <c r="K29" i="10" s="1"/>
  <c r="AI28" i="10"/>
  <c r="AH28" i="10"/>
  <c r="AC28" i="10"/>
  <c r="AB28" i="10"/>
  <c r="V28" i="10"/>
  <c r="W28" i="10" s="1"/>
  <c r="P28" i="10"/>
  <c r="Q28" i="10" s="1"/>
  <c r="G28" i="10"/>
  <c r="I28" i="10" s="1"/>
  <c r="J28" i="10" s="1"/>
  <c r="K28" i="10" s="1"/>
  <c r="AI27" i="10"/>
  <c r="AH27" i="10"/>
  <c r="AC27" i="10"/>
  <c r="AB27" i="10"/>
  <c r="V27" i="10"/>
  <c r="W27" i="10" s="1"/>
  <c r="P27" i="10"/>
  <c r="Q27" i="10" s="1"/>
  <c r="G27" i="10"/>
  <c r="I27" i="10" s="1"/>
  <c r="J27" i="10" s="1"/>
  <c r="K27" i="10" s="1"/>
  <c r="AI26" i="10"/>
  <c r="AH26" i="10"/>
  <c r="AC26" i="10"/>
  <c r="AB26" i="10"/>
  <c r="V26" i="10"/>
  <c r="W26" i="10" s="1"/>
  <c r="P26" i="10"/>
  <c r="Q26" i="10" s="1"/>
  <c r="G26" i="10"/>
  <c r="I26" i="10" s="1"/>
  <c r="J26" i="10" s="1"/>
  <c r="K26" i="10" s="1"/>
  <c r="AI25" i="10"/>
  <c r="AH25" i="10"/>
  <c r="AB25" i="10"/>
  <c r="AC25" i="10" s="1"/>
  <c r="W25" i="10"/>
  <c r="V25" i="10"/>
  <c r="Q25" i="10"/>
  <c r="P25" i="10"/>
  <c r="G25" i="10"/>
  <c r="I25" i="10" s="1"/>
  <c r="J25" i="10" s="1"/>
  <c r="K25" i="10" s="1"/>
  <c r="AI24" i="10"/>
  <c r="AH24" i="10"/>
  <c r="AB24" i="10"/>
  <c r="AC24" i="10" s="1"/>
  <c r="V24" i="10"/>
  <c r="W24" i="10" s="1"/>
  <c r="Q24" i="10"/>
  <c r="P24" i="10"/>
  <c r="G24" i="10"/>
  <c r="I24" i="10" s="1"/>
  <c r="J24" i="10" s="1"/>
  <c r="K24" i="10" s="1"/>
  <c r="AI23" i="10"/>
  <c r="AH23" i="10"/>
  <c r="AB23" i="10"/>
  <c r="AC23" i="10" s="1"/>
  <c r="V23" i="10"/>
  <c r="W23" i="10" s="1"/>
  <c r="Q23" i="10"/>
  <c r="P23" i="10"/>
  <c r="G23" i="10"/>
  <c r="I23" i="10" s="1"/>
  <c r="J23" i="10" s="1"/>
  <c r="K23" i="10" s="1"/>
  <c r="AI22" i="10"/>
  <c r="AH22" i="10"/>
  <c r="AB22" i="10"/>
  <c r="AC22" i="10" s="1"/>
  <c r="V22" i="10"/>
  <c r="W22" i="10" s="1"/>
  <c r="Q22" i="10"/>
  <c r="P22" i="10"/>
  <c r="G22" i="10"/>
  <c r="I22" i="10" s="1"/>
  <c r="J22" i="10" s="1"/>
  <c r="K22" i="10" s="1"/>
  <c r="S5" i="3" s="1"/>
  <c r="AI21" i="10"/>
  <c r="AH21" i="10"/>
  <c r="AC21" i="10"/>
  <c r="AB21" i="10"/>
  <c r="V21" i="10"/>
  <c r="W21" i="10" s="1"/>
  <c r="Q21" i="10"/>
  <c r="P21" i="10"/>
  <c r="G21" i="10"/>
  <c r="I21" i="10" s="1"/>
  <c r="J21" i="10" s="1"/>
  <c r="K21" i="10" s="1"/>
  <c r="AC20" i="10"/>
  <c r="AB20" i="10"/>
  <c r="W20" i="10"/>
  <c r="V20" i="10"/>
  <c r="P20" i="10"/>
  <c r="Q20" i="10" s="1"/>
  <c r="G20" i="10"/>
  <c r="I20" i="10" s="1"/>
  <c r="J20" i="10" s="1"/>
  <c r="K20" i="10" s="1"/>
  <c r="S12" i="3" s="1"/>
  <c r="AI19" i="10"/>
  <c r="AH19" i="10"/>
  <c r="AC19" i="10"/>
  <c r="AB19" i="10"/>
  <c r="V19" i="10"/>
  <c r="W19" i="10" s="1"/>
  <c r="P19" i="10"/>
  <c r="Q19" i="10" s="1"/>
  <c r="G19" i="10"/>
  <c r="I19" i="10" s="1"/>
  <c r="J19" i="10" s="1"/>
  <c r="K19" i="10" s="1"/>
  <c r="S11" i="3" s="1"/>
  <c r="AI18" i="10"/>
  <c r="AH18" i="10"/>
  <c r="AC18" i="10"/>
  <c r="AB18" i="10"/>
  <c r="V18" i="10"/>
  <c r="W18" i="10" s="1"/>
  <c r="P18" i="10"/>
  <c r="Q18" i="10" s="1"/>
  <c r="G18" i="10"/>
  <c r="I18" i="10" s="1"/>
  <c r="J18" i="10" s="1"/>
  <c r="K18" i="10" s="1"/>
  <c r="AI17" i="10"/>
  <c r="AH17" i="10"/>
  <c r="AC17" i="10"/>
  <c r="AB17" i="10"/>
  <c r="V17" i="10"/>
  <c r="W17" i="10" s="1"/>
  <c r="P17" i="10"/>
  <c r="Q17" i="10" s="1"/>
  <c r="G17" i="10"/>
  <c r="I17" i="10" s="1"/>
  <c r="J17" i="10" s="1"/>
  <c r="K17" i="10" s="1"/>
  <c r="AI16" i="10"/>
  <c r="AH16" i="10"/>
  <c r="AB16" i="10"/>
  <c r="AC16" i="10" s="1"/>
  <c r="W16" i="10"/>
  <c r="V16" i="10"/>
  <c r="Q16" i="10"/>
  <c r="P16" i="10"/>
  <c r="G16" i="10"/>
  <c r="I16" i="10" s="1"/>
  <c r="J16" i="10" s="1"/>
  <c r="K16" i="10" s="1"/>
  <c r="AI15" i="10"/>
  <c r="AH15" i="10"/>
  <c r="AB15" i="10"/>
  <c r="AC15" i="10" s="1"/>
  <c r="V15" i="10"/>
  <c r="W15" i="10" s="1"/>
  <c r="Q15" i="10"/>
  <c r="P15" i="10"/>
  <c r="G15" i="10"/>
  <c r="I15" i="10" s="1"/>
  <c r="J15" i="10" s="1"/>
  <c r="K15" i="10" s="1"/>
  <c r="S7" i="3" s="1"/>
  <c r="AI14" i="10"/>
  <c r="AH14" i="10"/>
  <c r="AB14" i="10"/>
  <c r="AC14" i="10" s="1"/>
  <c r="V14" i="10"/>
  <c r="W14" i="10" s="1"/>
  <c r="Q14" i="10"/>
  <c r="P14" i="10"/>
  <c r="G14" i="10"/>
  <c r="I14" i="10" s="1"/>
  <c r="J14" i="10" s="1"/>
  <c r="K14" i="10" s="1"/>
  <c r="AI13" i="10"/>
  <c r="AH13" i="10"/>
  <c r="AB13" i="10"/>
  <c r="AC13" i="10" s="1"/>
  <c r="V13" i="10"/>
  <c r="W13" i="10" s="1"/>
  <c r="Q13" i="10"/>
  <c r="P13" i="10"/>
  <c r="G13" i="10"/>
  <c r="I13" i="10" s="1"/>
  <c r="J13" i="10" s="1"/>
  <c r="K13" i="10" s="1"/>
  <c r="AI12" i="10"/>
  <c r="AH12" i="10"/>
  <c r="AC12" i="10"/>
  <c r="AB12" i="10"/>
  <c r="V12" i="10"/>
  <c r="W12" i="10" s="1"/>
  <c r="Q12" i="10"/>
  <c r="P12" i="10"/>
  <c r="G12" i="10"/>
  <c r="I12" i="10" s="1"/>
  <c r="J12" i="10" s="1"/>
  <c r="K12" i="10" s="1"/>
  <c r="S4" i="3" s="1"/>
  <c r="I14" i="12" l="1"/>
  <c r="J14" i="12" s="1"/>
  <c r="K14" i="12" s="1"/>
  <c r="G23" i="12"/>
  <c r="I23" i="12" s="1"/>
  <c r="J23" i="12" s="1"/>
  <c r="K23" i="12" s="1"/>
  <c r="I12" i="12"/>
  <c r="J12" i="12" s="1"/>
  <c r="K12" i="12" s="1"/>
  <c r="AK4" i="3" s="1"/>
  <c r="AK9" i="3"/>
  <c r="AK5" i="3"/>
  <c r="AK10" i="3"/>
  <c r="AK11" i="3"/>
  <c r="AK7" i="3"/>
  <c r="AK12" i="3"/>
  <c r="AH30" i="12"/>
  <c r="AI30" i="12" s="1"/>
  <c r="AH35" i="12"/>
  <c r="AI35" i="12" s="1"/>
  <c r="AH20" i="10"/>
  <c r="AI20" i="10" s="1"/>
  <c r="AK6" i="3" l="1"/>
  <c r="F22" i="7" l="1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E23" i="7"/>
  <c r="E24" i="7"/>
  <c r="E22" i="7"/>
  <c r="E18" i="8"/>
  <c r="F17" i="8" l="1"/>
  <c r="G17" i="8"/>
  <c r="H17" i="8"/>
  <c r="I17" i="8"/>
  <c r="J17" i="8"/>
  <c r="K17" i="8"/>
  <c r="L17" i="8"/>
  <c r="M17" i="8"/>
  <c r="N17" i="8"/>
  <c r="O17" i="8"/>
  <c r="P17" i="8"/>
  <c r="Q17" i="8"/>
  <c r="F18" i="8"/>
  <c r="G18" i="8"/>
  <c r="H18" i="8"/>
  <c r="I18" i="8"/>
  <c r="J18" i="8"/>
  <c r="K18" i="8"/>
  <c r="L18" i="8"/>
  <c r="M18" i="8"/>
  <c r="N18" i="8"/>
  <c r="O18" i="8"/>
  <c r="P18" i="8"/>
  <c r="Q18" i="8"/>
  <c r="F19" i="8"/>
  <c r="G19" i="8"/>
  <c r="H19" i="8"/>
  <c r="I19" i="8"/>
  <c r="J19" i="8"/>
  <c r="K19" i="8"/>
  <c r="L19" i="8"/>
  <c r="M19" i="8"/>
  <c r="N19" i="8"/>
  <c r="O19" i="8"/>
  <c r="P19" i="8"/>
  <c r="Q19" i="8"/>
  <c r="E19" i="8"/>
  <c r="E17" i="8"/>
  <c r="F19" i="7"/>
  <c r="G19" i="7"/>
  <c r="H19" i="7"/>
  <c r="I19" i="7"/>
  <c r="J19" i="7"/>
  <c r="K19" i="7"/>
  <c r="L19" i="7"/>
  <c r="M19" i="7"/>
  <c r="N19" i="7"/>
  <c r="O19" i="7"/>
  <c r="P19" i="7"/>
  <c r="Q19" i="7"/>
  <c r="F20" i="7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E19" i="7"/>
  <c r="AC9" i="3" l="1"/>
  <c r="AC10" i="3"/>
  <c r="AC11" i="3"/>
  <c r="AC12" i="3"/>
  <c r="AB8" i="3"/>
  <c r="AA5" i="3"/>
  <c r="AA6" i="3"/>
  <c r="AA7" i="3"/>
  <c r="AA8" i="3"/>
  <c r="AA4" i="3"/>
  <c r="X5" i="3"/>
  <c r="X10" i="3"/>
  <c r="W9" i="3"/>
  <c r="W10" i="3"/>
  <c r="W11" i="3"/>
  <c r="W12" i="3"/>
  <c r="V8" i="3"/>
  <c r="V12" i="3"/>
  <c r="U5" i="3"/>
  <c r="U6" i="3"/>
  <c r="U7" i="3"/>
  <c r="U8" i="3"/>
  <c r="U4" i="3"/>
  <c r="L5" i="3"/>
  <c r="L6" i="3"/>
  <c r="L7" i="3"/>
  <c r="L8" i="3"/>
  <c r="L9" i="3"/>
  <c r="L10" i="3"/>
  <c r="K9" i="3"/>
  <c r="K10" i="3"/>
  <c r="K11" i="3"/>
  <c r="K12" i="3"/>
  <c r="I6" i="3"/>
  <c r="I8" i="3"/>
  <c r="G14" i="6"/>
  <c r="I14" i="6" s="1"/>
  <c r="J14" i="6" s="1"/>
  <c r="K14" i="6" s="1"/>
  <c r="Z28" i="6"/>
  <c r="AN28" i="6" s="1"/>
  <c r="Q12" i="6"/>
  <c r="R12" i="6"/>
  <c r="Q13" i="6"/>
  <c r="R13" i="6"/>
  <c r="Q14" i="6"/>
  <c r="R14" i="6"/>
  <c r="Q15" i="6"/>
  <c r="R15" i="6"/>
  <c r="Q16" i="6"/>
  <c r="R16" i="6"/>
  <c r="AM17" i="6"/>
  <c r="S18" i="6"/>
  <c r="AM18" i="6" s="1"/>
  <c r="S19" i="6"/>
  <c r="AM19" i="6" s="1"/>
  <c r="S20" i="6"/>
  <c r="R22" i="6"/>
  <c r="R23" i="6"/>
  <c r="R24" i="6"/>
  <c r="R25" i="6"/>
  <c r="S26" i="6"/>
  <c r="AM26" i="6" s="1"/>
  <c r="S27" i="6"/>
  <c r="S28" i="6"/>
  <c r="AM28" i="6" s="1"/>
  <c r="S29" i="6"/>
  <c r="AM29" i="6" s="1"/>
  <c r="R31" i="6"/>
  <c r="R32" i="6"/>
  <c r="R33" i="6"/>
  <c r="R34" i="6"/>
  <c r="S35" i="6"/>
  <c r="AM35" i="6" s="1"/>
  <c r="S36" i="6"/>
  <c r="AM36" i="6" s="1"/>
  <c r="S37" i="6"/>
  <c r="AM37" i="6" s="1"/>
  <c r="S38" i="6"/>
  <c r="AM38" i="6" s="1"/>
  <c r="Q40" i="6"/>
  <c r="R40" i="6"/>
  <c r="Q41" i="6"/>
  <c r="R41" i="6"/>
  <c r="Q42" i="6"/>
  <c r="R42" i="6"/>
  <c r="Q43" i="6"/>
  <c r="R43" i="6"/>
  <c r="S44" i="6"/>
  <c r="AM44" i="6" s="1"/>
  <c r="S45" i="6"/>
  <c r="AM45" i="6" s="1"/>
  <c r="S46" i="6"/>
  <c r="S47" i="6"/>
  <c r="AM47" i="6" s="1"/>
  <c r="Z12" i="6"/>
  <c r="AE12" i="6"/>
  <c r="AF12" i="6"/>
  <c r="AK12" i="6"/>
  <c r="AL12" i="6" s="1"/>
  <c r="X4" i="3" s="1"/>
  <c r="Z13" i="6"/>
  <c r="AN13" i="6" s="1"/>
  <c r="AM13" i="6"/>
  <c r="AK13" i="6"/>
  <c r="AL13" i="6" s="1"/>
  <c r="Z14" i="6"/>
  <c r="AN14" i="6" s="1"/>
  <c r="AG14" i="6"/>
  <c r="AK14" i="6"/>
  <c r="AL14" i="6" s="1"/>
  <c r="X6" i="3" s="1"/>
  <c r="Z15" i="6"/>
  <c r="AN15" i="6" s="1"/>
  <c r="AG15" i="6"/>
  <c r="AM15" i="6" s="1"/>
  <c r="AK15" i="6"/>
  <c r="AL15" i="6" s="1"/>
  <c r="X7" i="3" s="1"/>
  <c r="X16" i="6"/>
  <c r="Y16" i="6"/>
  <c r="AG16" i="6"/>
  <c r="AM16" i="6" s="1"/>
  <c r="AK16" i="6"/>
  <c r="M12" i="2"/>
  <c r="M13" i="2"/>
  <c r="M14" i="2"/>
  <c r="M15" i="2"/>
  <c r="M16" i="2"/>
  <c r="S47" i="2"/>
  <c r="Y12" i="2"/>
  <c r="Y45" i="2"/>
  <c r="Y46" i="2"/>
  <c r="Y47" i="2"/>
  <c r="AH16" i="2"/>
  <c r="AF47" i="6"/>
  <c r="AE47" i="6"/>
  <c r="Y47" i="6"/>
  <c r="X47" i="6"/>
  <c r="G47" i="6"/>
  <c r="I47" i="6" s="1"/>
  <c r="AF46" i="6"/>
  <c r="AE46" i="6"/>
  <c r="G46" i="6"/>
  <c r="I46" i="6" s="1"/>
  <c r="AF45" i="6"/>
  <c r="AE45" i="6"/>
  <c r="Z45" i="6"/>
  <c r="AN45" i="6" s="1"/>
  <c r="G45" i="6"/>
  <c r="AF44" i="6"/>
  <c r="AE44" i="6"/>
  <c r="Z44" i="6"/>
  <c r="AN44" i="6" s="1"/>
  <c r="G44" i="6"/>
  <c r="I44" i="6" s="1"/>
  <c r="AG43" i="6"/>
  <c r="AM43" i="6" s="1"/>
  <c r="Y43" i="6"/>
  <c r="X43" i="6"/>
  <c r="G43" i="6"/>
  <c r="AM42" i="6"/>
  <c r="G42" i="6"/>
  <c r="I42" i="6" s="1"/>
  <c r="AG41" i="6"/>
  <c r="AM41" i="6" s="1"/>
  <c r="Z41" i="6"/>
  <c r="G41" i="6"/>
  <c r="I41" i="6" s="1"/>
  <c r="AG40" i="6"/>
  <c r="AM40" i="6" s="1"/>
  <c r="Z40" i="6"/>
  <c r="AN40" i="6" s="1"/>
  <c r="G40" i="6"/>
  <c r="AF39" i="6"/>
  <c r="AE39" i="6"/>
  <c r="Z39" i="6"/>
  <c r="AN39" i="6" s="1"/>
  <c r="G39" i="6"/>
  <c r="I39" i="6" s="1"/>
  <c r="AF38" i="6"/>
  <c r="AE38" i="6"/>
  <c r="X38" i="6"/>
  <c r="Y38" i="6" s="1"/>
  <c r="G38" i="6"/>
  <c r="I38" i="6" s="1"/>
  <c r="AF37" i="6"/>
  <c r="AE37" i="6"/>
  <c r="Z37" i="6"/>
  <c r="AN37" i="6" s="1"/>
  <c r="G37" i="6"/>
  <c r="I37" i="6" s="1"/>
  <c r="AF36" i="6"/>
  <c r="AE36" i="6"/>
  <c r="Z36" i="6"/>
  <c r="AN36" i="6" s="1"/>
  <c r="G36" i="6"/>
  <c r="I36" i="6" s="1"/>
  <c r="AF35" i="6"/>
  <c r="AE35" i="6"/>
  <c r="Z35" i="6"/>
  <c r="AN35" i="6" s="1"/>
  <c r="G35" i="6"/>
  <c r="I35" i="6" s="1"/>
  <c r="Y34" i="6"/>
  <c r="X34" i="6"/>
  <c r="G34" i="6"/>
  <c r="I34" i="6" s="1"/>
  <c r="AG33" i="6"/>
  <c r="AM33" i="6" s="1"/>
  <c r="Z33" i="6"/>
  <c r="AN33" i="6" s="1"/>
  <c r="G33" i="6"/>
  <c r="AG32" i="6"/>
  <c r="AM32" i="6" s="1"/>
  <c r="Z32" i="6"/>
  <c r="AN32" i="6" s="1"/>
  <c r="G32" i="6"/>
  <c r="AG31" i="6"/>
  <c r="AM31" i="6" s="1"/>
  <c r="Z31" i="6"/>
  <c r="AN31" i="6" s="1"/>
  <c r="G31" i="6"/>
  <c r="I31" i="6" s="1"/>
  <c r="AG30" i="6"/>
  <c r="W4" i="3" s="1"/>
  <c r="G30" i="6"/>
  <c r="I30" i="6" s="1"/>
  <c r="X12" i="3"/>
  <c r="AF29" i="6"/>
  <c r="AE29" i="6"/>
  <c r="Y29" i="6"/>
  <c r="X29" i="6"/>
  <c r="G29" i="6"/>
  <c r="I29" i="6" s="1"/>
  <c r="AF28" i="6"/>
  <c r="AE28" i="6"/>
  <c r="G28" i="6"/>
  <c r="I28" i="6" s="1"/>
  <c r="AF27" i="6"/>
  <c r="AE27" i="6"/>
  <c r="Z27" i="6"/>
  <c r="AN27" i="6" s="1"/>
  <c r="G27" i="6"/>
  <c r="AF26" i="6"/>
  <c r="AE26" i="6"/>
  <c r="Z26" i="6"/>
  <c r="AN26" i="6" s="1"/>
  <c r="G26" i="6"/>
  <c r="I26" i="6" s="1"/>
  <c r="AG25" i="6"/>
  <c r="AM25" i="6" s="1"/>
  <c r="Y25" i="6"/>
  <c r="X25" i="6"/>
  <c r="G25" i="6"/>
  <c r="I25" i="6" s="1"/>
  <c r="AG24" i="6"/>
  <c r="AM24" i="6" s="1"/>
  <c r="Z24" i="6"/>
  <c r="AN24" i="6" s="1"/>
  <c r="G24" i="6"/>
  <c r="I24" i="6" s="1"/>
  <c r="AG23" i="6"/>
  <c r="AM23" i="6" s="1"/>
  <c r="Z23" i="6"/>
  <c r="AN23" i="6" s="1"/>
  <c r="G23" i="6"/>
  <c r="I23" i="6" s="1"/>
  <c r="AG22" i="6"/>
  <c r="AM22" i="6" s="1"/>
  <c r="Z22" i="6"/>
  <c r="AN22" i="6" s="1"/>
  <c r="G22" i="6"/>
  <c r="I22" i="6" s="1"/>
  <c r="AF21" i="6"/>
  <c r="AE21" i="6"/>
  <c r="Z21" i="6"/>
  <c r="AN21" i="6" s="1"/>
  <c r="G21" i="6"/>
  <c r="I21" i="6" s="1"/>
  <c r="AF20" i="6"/>
  <c r="AE20" i="6"/>
  <c r="Y20" i="6"/>
  <c r="X20" i="6"/>
  <c r="G20" i="6"/>
  <c r="AK19" i="6"/>
  <c r="AL19" i="6" s="1"/>
  <c r="X11" i="3" s="1"/>
  <c r="AF19" i="6"/>
  <c r="AE19" i="6"/>
  <c r="Z19" i="6"/>
  <c r="AN19" i="6" s="1"/>
  <c r="G19" i="6"/>
  <c r="I19" i="6" s="1"/>
  <c r="AK18" i="6"/>
  <c r="AL18" i="6" s="1"/>
  <c r="AF18" i="6"/>
  <c r="AE18" i="6"/>
  <c r="Z18" i="6"/>
  <c r="AN18" i="6" s="1"/>
  <c r="G18" i="6"/>
  <c r="I18" i="6" s="1"/>
  <c r="AK17" i="6"/>
  <c r="AL17" i="6" s="1"/>
  <c r="X9" i="3" s="1"/>
  <c r="AF17" i="6"/>
  <c r="AE17" i="6"/>
  <c r="Z17" i="6"/>
  <c r="AN17" i="6" s="1"/>
  <c r="G17" i="6"/>
  <c r="G16" i="6"/>
  <c r="G15" i="6"/>
  <c r="G13" i="6"/>
  <c r="G12" i="6"/>
  <c r="I12" i="6" s="1"/>
  <c r="J12" i="6" s="1"/>
  <c r="AL16" i="6" l="1"/>
  <c r="X8" i="3" s="1"/>
  <c r="AP43" i="6"/>
  <c r="AO43" i="6"/>
  <c r="AQ43" i="6"/>
  <c r="W7" i="3"/>
  <c r="W5" i="3"/>
  <c r="AP25" i="6"/>
  <c r="AO25" i="6"/>
  <c r="AQ25" i="6"/>
  <c r="AQ39" i="6"/>
  <c r="AP39" i="6"/>
  <c r="AO39" i="6"/>
  <c r="AP24" i="6"/>
  <c r="AQ24" i="6"/>
  <c r="AO24" i="6"/>
  <c r="AP22" i="6"/>
  <c r="AO22" i="6"/>
  <c r="AQ22" i="6"/>
  <c r="AO32" i="6"/>
  <c r="AP32" i="6"/>
  <c r="AQ32" i="6"/>
  <c r="V10" i="3"/>
  <c r="AO23" i="6"/>
  <c r="AP23" i="6"/>
  <c r="AQ23" i="6"/>
  <c r="AQ31" i="6"/>
  <c r="AP31" i="6"/>
  <c r="AO31" i="6"/>
  <c r="AQ40" i="6"/>
  <c r="AP40" i="6"/>
  <c r="AO40" i="6"/>
  <c r="AO21" i="6"/>
  <c r="AQ21" i="6"/>
  <c r="AP21" i="6"/>
  <c r="AP13" i="6"/>
  <c r="AQ13" i="6"/>
  <c r="AO13" i="6"/>
  <c r="AN12" i="6"/>
  <c r="V5" i="3"/>
  <c r="AO15" i="6"/>
  <c r="AP15" i="6"/>
  <c r="AQ15" i="6"/>
  <c r="AP18" i="6"/>
  <c r="AQ18" i="6"/>
  <c r="AO18" i="6"/>
  <c r="AQ19" i="6"/>
  <c r="AO19" i="6"/>
  <c r="AP19" i="6"/>
  <c r="AP47" i="6"/>
  <c r="AQ47" i="6"/>
  <c r="AO47" i="6"/>
  <c r="AM27" i="6"/>
  <c r="U10" i="3"/>
  <c r="AM46" i="6"/>
  <c r="U11" i="3"/>
  <c r="AP45" i="6"/>
  <c r="AO45" i="6"/>
  <c r="AQ45" i="6"/>
  <c r="AQ38" i="6"/>
  <c r="AO38" i="6"/>
  <c r="AP38" i="6"/>
  <c r="AP29" i="6"/>
  <c r="AO29" i="6"/>
  <c r="AQ29" i="6"/>
  <c r="AP26" i="6"/>
  <c r="AO26" i="6"/>
  <c r="AQ26" i="6"/>
  <c r="AM20" i="6"/>
  <c r="U12" i="3"/>
  <c r="AP28" i="6"/>
  <c r="AQ28" i="6"/>
  <c r="AO28" i="6"/>
  <c r="AQ36" i="6"/>
  <c r="AO36" i="6"/>
  <c r="AP36" i="6"/>
  <c r="AQ37" i="6"/>
  <c r="AO37" i="6"/>
  <c r="AP37" i="6"/>
  <c r="AQ17" i="6"/>
  <c r="AO17" i="6"/>
  <c r="AP17" i="6"/>
  <c r="AM14" i="6"/>
  <c r="W6" i="3"/>
  <c r="I13" i="6"/>
  <c r="J13" i="6" s="1"/>
  <c r="K13" i="6" s="1"/>
  <c r="J39" i="6"/>
  <c r="K39" i="6" s="1"/>
  <c r="I45" i="6"/>
  <c r="J45" i="6" s="1"/>
  <c r="K45" i="6" s="1"/>
  <c r="J23" i="6"/>
  <c r="K23" i="6" s="1"/>
  <c r="J31" i="6"/>
  <c r="K31" i="6" s="1"/>
  <c r="I20" i="6"/>
  <c r="J20" i="6" s="1"/>
  <c r="K20" i="6" s="1"/>
  <c r="J21" i="6"/>
  <c r="K21" i="6" s="1"/>
  <c r="J37" i="6"/>
  <c r="K37" i="6" s="1"/>
  <c r="J44" i="6"/>
  <c r="K44" i="6" s="1"/>
  <c r="I43" i="6"/>
  <c r="J43" i="6" s="1"/>
  <c r="K43" i="6" s="1"/>
  <c r="I27" i="6"/>
  <c r="J27" i="6" s="1"/>
  <c r="K27" i="6" s="1"/>
  <c r="J36" i="6"/>
  <c r="K36" i="6" s="1"/>
  <c r="J19" i="6"/>
  <c r="K19" i="6" s="1"/>
  <c r="J22" i="6"/>
  <c r="K22" i="6" s="1"/>
  <c r="J26" i="6"/>
  <c r="K26" i="6" s="1"/>
  <c r="J38" i="6"/>
  <c r="K38" i="6" s="1"/>
  <c r="I15" i="6"/>
  <c r="J15" i="6" s="1"/>
  <c r="K15" i="6" s="1"/>
  <c r="I33" i="6"/>
  <c r="J33" i="6" s="1"/>
  <c r="K33" i="6" s="1"/>
  <c r="I17" i="6"/>
  <c r="J17" i="6" s="1"/>
  <c r="K17" i="6" s="1"/>
  <c r="J28" i="6"/>
  <c r="K28" i="6" s="1"/>
  <c r="I40" i="6"/>
  <c r="J40" i="6" s="1"/>
  <c r="K40" i="6" s="1"/>
  <c r="I32" i="6"/>
  <c r="J32" i="6" s="1"/>
  <c r="K32" i="6" s="1"/>
  <c r="I16" i="6"/>
  <c r="J16" i="6" s="1"/>
  <c r="K16" i="6" s="1"/>
  <c r="AO44" i="6"/>
  <c r="AQ44" i="6"/>
  <c r="AP44" i="6"/>
  <c r="U9" i="3"/>
  <c r="AN41" i="6"/>
  <c r="V6" i="3"/>
  <c r="AO16" i="6"/>
  <c r="AP16" i="6"/>
  <c r="AQ16" i="6"/>
  <c r="AO33" i="6"/>
  <c r="AQ33" i="6"/>
  <c r="AP33" i="6"/>
  <c r="V9" i="3"/>
  <c r="AO35" i="6"/>
  <c r="AP35" i="6"/>
  <c r="AQ35" i="6"/>
  <c r="J25" i="6"/>
  <c r="K25" i="6" s="1"/>
  <c r="J42" i="6"/>
  <c r="K42" i="6" s="1"/>
  <c r="J35" i="6"/>
  <c r="K35" i="6" s="1"/>
  <c r="J41" i="6"/>
  <c r="K41" i="6" s="1"/>
  <c r="J46" i="6"/>
  <c r="K46" i="6" s="1"/>
  <c r="J18" i="6"/>
  <c r="K18" i="6" s="1"/>
  <c r="J24" i="6"/>
  <c r="K24" i="6" s="1"/>
  <c r="J29" i="6"/>
  <c r="K29" i="6" s="1"/>
  <c r="J30" i="6"/>
  <c r="K30" i="6" s="1"/>
  <c r="J34" i="6"/>
  <c r="K34" i="6" s="1"/>
  <c r="J47" i="6"/>
  <c r="K47" i="6" s="1"/>
  <c r="K12" i="6"/>
  <c r="Z46" i="6"/>
  <c r="AN46" i="6" s="1"/>
  <c r="Z42" i="6"/>
  <c r="AG34" i="6"/>
  <c r="Z30" i="6"/>
  <c r="AN30" i="6" s="1"/>
  <c r="AN42" i="6" l="1"/>
  <c r="V7" i="3"/>
  <c r="V11" i="3"/>
  <c r="V4" i="3"/>
  <c r="AQ30" i="6"/>
  <c r="AO30" i="6"/>
  <c r="AP30" i="6"/>
  <c r="AO12" i="6"/>
  <c r="AQ12" i="6"/>
  <c r="AP12" i="6"/>
  <c r="AQ46" i="6"/>
  <c r="AO46" i="6"/>
  <c r="AP46" i="6"/>
  <c r="AO20" i="6"/>
  <c r="AP20" i="6"/>
  <c r="AQ20" i="6"/>
  <c r="AP27" i="6"/>
  <c r="AO27" i="6"/>
  <c r="AQ27" i="6"/>
  <c r="AM34" i="6"/>
  <c r="W8" i="3"/>
  <c r="Y12" i="3"/>
  <c r="Y4" i="3"/>
  <c r="AQ14" i="6"/>
  <c r="AO14" i="6"/>
  <c r="AP14" i="6"/>
  <c r="Y6" i="3"/>
  <c r="Y7" i="3"/>
  <c r="Y8" i="3"/>
  <c r="Y9" i="3"/>
  <c r="Y5" i="3"/>
  <c r="Y10" i="3"/>
  <c r="Y11" i="3"/>
  <c r="AQ41" i="6"/>
  <c r="AP41" i="6"/>
  <c r="AO41" i="6"/>
  <c r="AO47" i="5"/>
  <c r="AP47" i="5" s="1"/>
  <c r="AQ47" i="5" s="1"/>
  <c r="AJ47" i="5"/>
  <c r="AI47" i="5"/>
  <c r="U47" i="5"/>
  <c r="AR47" i="5" s="1"/>
  <c r="I47" i="5"/>
  <c r="AO38" i="5"/>
  <c r="AP38" i="5" s="1"/>
  <c r="AJ38" i="5"/>
  <c r="AI38" i="5"/>
  <c r="AB38" i="5"/>
  <c r="AA38" i="5"/>
  <c r="U38" i="5"/>
  <c r="I38" i="5"/>
  <c r="AO29" i="5"/>
  <c r="AP29" i="5" s="1"/>
  <c r="AJ29" i="5"/>
  <c r="AI29" i="5"/>
  <c r="AA29" i="5"/>
  <c r="AB29" i="5" s="1"/>
  <c r="U29" i="5"/>
  <c r="I29" i="5"/>
  <c r="AJ20" i="5"/>
  <c r="AI20" i="5"/>
  <c r="AB20" i="5"/>
  <c r="AA20" i="5"/>
  <c r="U20" i="5"/>
  <c r="AR20" i="5" s="1"/>
  <c r="I20" i="5"/>
  <c r="AO46" i="5"/>
  <c r="AP46" i="5" s="1"/>
  <c r="AJ46" i="5"/>
  <c r="AI46" i="5"/>
  <c r="AC46" i="5"/>
  <c r="F252" i="14" s="1"/>
  <c r="U46" i="5"/>
  <c r="I46" i="5"/>
  <c r="AO37" i="5"/>
  <c r="AP37" i="5" s="1"/>
  <c r="AJ37" i="5"/>
  <c r="AI37" i="5"/>
  <c r="AC37" i="5"/>
  <c r="F243" i="14" s="1"/>
  <c r="U37" i="5"/>
  <c r="I37" i="5"/>
  <c r="AO28" i="5"/>
  <c r="AP28" i="5" s="1"/>
  <c r="AQ28" i="5" s="1"/>
  <c r="AJ28" i="5"/>
  <c r="AI28" i="5"/>
  <c r="AC28" i="5"/>
  <c r="AS28" i="5" s="1"/>
  <c r="F234" i="14" s="1"/>
  <c r="U28" i="5"/>
  <c r="AR28" i="5" s="1"/>
  <c r="I28" i="5"/>
  <c r="AO19" i="5"/>
  <c r="AP19" i="5" s="1"/>
  <c r="AQ19" i="5" s="1"/>
  <c r="AJ19" i="5"/>
  <c r="AI19" i="5"/>
  <c r="AC19" i="5"/>
  <c r="AS19" i="5" s="1"/>
  <c r="F225" i="14" s="1"/>
  <c r="U19" i="5"/>
  <c r="AR19" i="5" s="1"/>
  <c r="I19" i="5"/>
  <c r="AO45" i="5"/>
  <c r="AP45" i="5" s="1"/>
  <c r="AJ45" i="5"/>
  <c r="AI45" i="5"/>
  <c r="AC45" i="5"/>
  <c r="F251" i="14" s="1"/>
  <c r="U45" i="5"/>
  <c r="I45" i="5"/>
  <c r="AO36" i="5"/>
  <c r="AP36" i="5" s="1"/>
  <c r="AJ36" i="5"/>
  <c r="AI36" i="5"/>
  <c r="AC36" i="5"/>
  <c r="F242" i="14" s="1"/>
  <c r="U36" i="5"/>
  <c r="I36" i="5"/>
  <c r="AP27" i="5"/>
  <c r="AQ27" i="5" s="1"/>
  <c r="AJ27" i="5"/>
  <c r="AI27" i="5"/>
  <c r="AC27" i="5"/>
  <c r="AS27" i="5" s="1"/>
  <c r="F233" i="14" s="1"/>
  <c r="U27" i="5"/>
  <c r="AR27" i="5" s="1"/>
  <c r="I27" i="5"/>
  <c r="AO18" i="5"/>
  <c r="AP18" i="5" s="1"/>
  <c r="AQ18" i="5" s="1"/>
  <c r="AJ18" i="5"/>
  <c r="AI18" i="5"/>
  <c r="AC18" i="5"/>
  <c r="AS18" i="5" s="1"/>
  <c r="F224" i="14" s="1"/>
  <c r="U18" i="5"/>
  <c r="AR18" i="5" s="1"/>
  <c r="I18" i="5"/>
  <c r="AP44" i="5"/>
  <c r="AO44" i="5"/>
  <c r="AJ44" i="5"/>
  <c r="AI44" i="5"/>
  <c r="AC44" i="5"/>
  <c r="F250" i="14" s="1"/>
  <c r="U44" i="5"/>
  <c r="I44" i="5"/>
  <c r="AO35" i="5"/>
  <c r="AP35" i="5" s="1"/>
  <c r="AJ35" i="5"/>
  <c r="AI35" i="5"/>
  <c r="AC35" i="5"/>
  <c r="F241" i="14" s="1"/>
  <c r="U35" i="5"/>
  <c r="I35" i="5"/>
  <c r="AP26" i="5"/>
  <c r="AQ26" i="5" s="1"/>
  <c r="AJ26" i="5"/>
  <c r="AI26" i="5"/>
  <c r="AS26" i="5"/>
  <c r="F232" i="14" s="1"/>
  <c r="U26" i="5"/>
  <c r="AR26" i="5" s="1"/>
  <c r="I26" i="5"/>
  <c r="AO17" i="5"/>
  <c r="AP17" i="5" s="1"/>
  <c r="AQ17" i="5" s="1"/>
  <c r="AJ17" i="5"/>
  <c r="AI17" i="5"/>
  <c r="AC17" i="5"/>
  <c r="AS17" i="5" s="1"/>
  <c r="F223" i="14" s="1"/>
  <c r="U17" i="5"/>
  <c r="AR17" i="5" s="1"/>
  <c r="I17" i="5"/>
  <c r="AO43" i="5"/>
  <c r="AP43" i="5" s="1"/>
  <c r="AK43" i="5"/>
  <c r="AA43" i="5"/>
  <c r="AB43" i="5" s="1"/>
  <c r="AC43" i="5" s="1"/>
  <c r="D8" i="3" s="1"/>
  <c r="T43" i="5"/>
  <c r="S43" i="5"/>
  <c r="I43" i="5"/>
  <c r="AP34" i="5"/>
  <c r="AO34" i="5"/>
  <c r="AK34" i="5"/>
  <c r="AB34" i="5"/>
  <c r="AA34" i="5"/>
  <c r="T34" i="5"/>
  <c r="S34" i="5"/>
  <c r="I34" i="5"/>
  <c r="AO25" i="5"/>
  <c r="AP25" i="5" s="1"/>
  <c r="AQ25" i="5" s="1"/>
  <c r="AK25" i="5"/>
  <c r="AR25" i="5" s="1"/>
  <c r="AB25" i="5"/>
  <c r="AA25" i="5"/>
  <c r="S25" i="5"/>
  <c r="T25" i="5" s="1"/>
  <c r="I25" i="5"/>
  <c r="AP16" i="5"/>
  <c r="AO16" i="5"/>
  <c r="AK16" i="5"/>
  <c r="AR16" i="5" s="1"/>
  <c r="AB16" i="5"/>
  <c r="AA16" i="5"/>
  <c r="T16" i="5"/>
  <c r="S16" i="5"/>
  <c r="I16" i="5"/>
  <c r="AO42" i="5"/>
  <c r="AP42" i="5" s="1"/>
  <c r="AK42" i="5"/>
  <c r="AC42" i="5"/>
  <c r="F248" i="14" s="1"/>
  <c r="S42" i="5"/>
  <c r="T42" i="5" s="1"/>
  <c r="I42" i="5"/>
  <c r="AO33" i="5"/>
  <c r="AP33" i="5" s="1"/>
  <c r="AK33" i="5"/>
  <c r="AC33" i="5"/>
  <c r="F239" i="14" s="1"/>
  <c r="T33" i="5"/>
  <c r="S33" i="5"/>
  <c r="I33" i="5"/>
  <c r="AP24" i="5"/>
  <c r="AO24" i="5"/>
  <c r="AK24" i="5"/>
  <c r="AR24" i="5" s="1"/>
  <c r="AC24" i="5"/>
  <c r="AS24" i="5" s="1"/>
  <c r="F230" i="14" s="1"/>
  <c r="T24" i="5"/>
  <c r="S24" i="5"/>
  <c r="I24" i="5"/>
  <c r="AO15" i="5"/>
  <c r="AP15" i="5" s="1"/>
  <c r="AQ15" i="5" s="1"/>
  <c r="AK15" i="5"/>
  <c r="AR15" i="5" s="1"/>
  <c r="AC15" i="5"/>
  <c r="AS15" i="5" s="1"/>
  <c r="F221" i="14" s="1"/>
  <c r="S15" i="5"/>
  <c r="T15" i="5" s="1"/>
  <c r="I15" i="5"/>
  <c r="AP41" i="5"/>
  <c r="AO41" i="5"/>
  <c r="AK41" i="5"/>
  <c r="AC41" i="5"/>
  <c r="F247" i="14" s="1"/>
  <c r="S41" i="5"/>
  <c r="T41" i="5" s="1"/>
  <c r="I41" i="5"/>
  <c r="AO32" i="5"/>
  <c r="AP32" i="5" s="1"/>
  <c r="AK32" i="5"/>
  <c r="AC32" i="5"/>
  <c r="F238" i="14" s="1"/>
  <c r="T32" i="5"/>
  <c r="S32" i="5"/>
  <c r="I32" i="5"/>
  <c r="AO23" i="5"/>
  <c r="AP23" i="5" s="1"/>
  <c r="AQ23" i="5" s="1"/>
  <c r="AK23" i="5"/>
  <c r="AR23" i="5" s="1"/>
  <c r="AC23" i="5"/>
  <c r="AS23" i="5" s="1"/>
  <c r="F229" i="14" s="1"/>
  <c r="T23" i="5"/>
  <c r="S23" i="5"/>
  <c r="I23" i="5"/>
  <c r="AO14" i="5"/>
  <c r="AP14" i="5" s="1"/>
  <c r="AQ14" i="5" s="1"/>
  <c r="AK14" i="5"/>
  <c r="AR14" i="5" s="1"/>
  <c r="AC14" i="5"/>
  <c r="AS14" i="5" s="1"/>
  <c r="F220" i="14" s="1"/>
  <c r="S14" i="5"/>
  <c r="T14" i="5" s="1"/>
  <c r="I14" i="5"/>
  <c r="AP40" i="5"/>
  <c r="AO40" i="5"/>
  <c r="AK40" i="5"/>
  <c r="AC40" i="5"/>
  <c r="F246" i="14" s="1"/>
  <c r="S40" i="5"/>
  <c r="T40" i="5" s="1"/>
  <c r="I40" i="5"/>
  <c r="AO31" i="5"/>
  <c r="AP31" i="5" s="1"/>
  <c r="AK31" i="5"/>
  <c r="AC31" i="5"/>
  <c r="F237" i="14" s="1"/>
  <c r="T31" i="5"/>
  <c r="S31" i="5"/>
  <c r="I31" i="5"/>
  <c r="AO22" i="5"/>
  <c r="AP22" i="5" s="1"/>
  <c r="AQ22" i="5" s="1"/>
  <c r="AK22" i="5"/>
  <c r="AR22" i="5" s="1"/>
  <c r="AS22" i="5"/>
  <c r="F228" i="14" s="1"/>
  <c r="T22" i="5"/>
  <c r="S22" i="5"/>
  <c r="I22" i="5"/>
  <c r="AP13" i="5"/>
  <c r="AO13" i="5"/>
  <c r="AK13" i="5"/>
  <c r="AR13" i="5" s="1"/>
  <c r="AC13" i="5"/>
  <c r="AS13" i="5" s="1"/>
  <c r="F219" i="14" s="1"/>
  <c r="S13" i="5"/>
  <c r="T13" i="5" s="1"/>
  <c r="I13" i="5"/>
  <c r="AO39" i="5"/>
  <c r="AP39" i="5" s="1"/>
  <c r="AJ39" i="5"/>
  <c r="AI39" i="5"/>
  <c r="AC39" i="5"/>
  <c r="F245" i="14" s="1"/>
  <c r="T39" i="5"/>
  <c r="S39" i="5"/>
  <c r="I39" i="5"/>
  <c r="AO30" i="5"/>
  <c r="AP30" i="5" s="1"/>
  <c r="AC30" i="5"/>
  <c r="S30" i="5"/>
  <c r="T30" i="5" s="1"/>
  <c r="U30" i="5" s="1"/>
  <c r="C4" i="3" s="1"/>
  <c r="I30" i="5"/>
  <c r="AO21" i="5"/>
  <c r="AP21" i="5" s="1"/>
  <c r="AQ21" i="5" s="1"/>
  <c r="AJ21" i="5"/>
  <c r="AI21" i="5"/>
  <c r="T21" i="5"/>
  <c r="S21" i="5"/>
  <c r="I21" i="5"/>
  <c r="AO12" i="5"/>
  <c r="AP12" i="5" s="1"/>
  <c r="AQ12" i="5" s="1"/>
  <c r="AJ12" i="5"/>
  <c r="AI12" i="5"/>
  <c r="AC12" i="5"/>
  <c r="AS12" i="5" s="1"/>
  <c r="S12" i="5"/>
  <c r="T12" i="5" s="1"/>
  <c r="F218" i="14" l="1"/>
  <c r="AQ42" i="6"/>
  <c r="AO42" i="6"/>
  <c r="AP42" i="6"/>
  <c r="AO34" i="6"/>
  <c r="AQ34" i="6"/>
  <c r="AP34" i="6"/>
  <c r="AV16" i="5"/>
  <c r="AW16" i="5"/>
  <c r="AU16" i="5"/>
  <c r="AW24" i="5"/>
  <c r="AU24" i="5"/>
  <c r="AV24" i="5"/>
  <c r="AV25" i="5"/>
  <c r="AU25" i="5"/>
  <c r="AW25" i="5"/>
  <c r="AV34" i="5"/>
  <c r="AU34" i="5"/>
  <c r="AW34" i="5"/>
  <c r="AU12" i="5"/>
  <c r="AW12" i="5"/>
  <c r="AV12" i="5"/>
  <c r="AU42" i="5"/>
  <c r="AV42" i="5"/>
  <c r="AW42" i="5"/>
  <c r="AU13" i="5"/>
  <c r="AV13" i="5"/>
  <c r="AW13" i="5"/>
  <c r="AU14" i="5"/>
  <c r="AV14" i="5"/>
  <c r="AW14" i="5"/>
  <c r="AW23" i="5"/>
  <c r="AV23" i="5"/>
  <c r="AU23" i="5"/>
  <c r="AU15" i="5"/>
  <c r="AV15" i="5"/>
  <c r="AW15" i="5"/>
  <c r="AW32" i="5"/>
  <c r="AV32" i="5"/>
  <c r="AU32" i="5"/>
  <c r="AW33" i="5"/>
  <c r="AV33" i="5"/>
  <c r="AU33" i="5"/>
  <c r="AV22" i="5"/>
  <c r="AU22" i="5"/>
  <c r="AW22" i="5"/>
  <c r="AU39" i="5"/>
  <c r="AW39" i="5"/>
  <c r="AV39" i="5"/>
  <c r="AV40" i="5"/>
  <c r="AW40" i="5"/>
  <c r="AU40" i="5"/>
  <c r="AW41" i="5"/>
  <c r="AU41" i="5"/>
  <c r="AV41" i="5"/>
  <c r="AV35" i="5"/>
  <c r="AW35" i="5"/>
  <c r="AU35" i="5"/>
  <c r="AW38" i="5"/>
  <c r="AV38" i="5"/>
  <c r="AU38" i="5"/>
  <c r="AV27" i="5"/>
  <c r="AU27" i="5"/>
  <c r="AW27" i="5"/>
  <c r="AW28" i="5"/>
  <c r="AU28" i="5"/>
  <c r="AV28" i="5"/>
  <c r="AV37" i="5"/>
  <c r="AW37" i="5"/>
  <c r="AU37" i="5"/>
  <c r="AV17" i="5"/>
  <c r="AW17" i="5"/>
  <c r="AU17" i="5"/>
  <c r="AV18" i="5"/>
  <c r="AW18" i="5"/>
  <c r="AU18" i="5"/>
  <c r="AV19" i="5"/>
  <c r="AW19" i="5"/>
  <c r="AU19" i="5"/>
  <c r="AV44" i="5"/>
  <c r="AW44" i="5"/>
  <c r="AU44" i="5"/>
  <c r="AV45" i="5"/>
  <c r="AW45" i="5"/>
  <c r="AU45" i="5"/>
  <c r="AV46" i="5"/>
  <c r="AU46" i="5"/>
  <c r="AW46" i="5"/>
  <c r="AV47" i="5"/>
  <c r="AW47" i="5"/>
  <c r="AU47" i="5"/>
  <c r="AU36" i="5"/>
  <c r="AV36" i="5"/>
  <c r="AW36" i="5"/>
  <c r="AW26" i="5"/>
  <c r="AU26" i="5"/>
  <c r="AV26" i="5"/>
  <c r="D5" i="3"/>
  <c r="AC21" i="5"/>
  <c r="AS21" i="5" s="1"/>
  <c r="F227" i="14" s="1"/>
  <c r="E5" i="3"/>
  <c r="C12" i="3"/>
  <c r="F5" i="3"/>
  <c r="C10" i="3"/>
  <c r="D10" i="3"/>
  <c r="C11" i="3"/>
  <c r="E9" i="3"/>
  <c r="E11" i="3"/>
  <c r="E12" i="3"/>
  <c r="D11" i="3"/>
  <c r="C9" i="3"/>
  <c r="F4" i="3"/>
  <c r="C8" i="3"/>
  <c r="F11" i="3"/>
  <c r="E6" i="3"/>
  <c r="E7" i="3"/>
  <c r="F8" i="3"/>
  <c r="E4" i="3"/>
  <c r="F6" i="3"/>
  <c r="F7" i="3"/>
  <c r="D12" i="3"/>
  <c r="C6" i="3"/>
  <c r="C7" i="3"/>
  <c r="E10" i="3"/>
  <c r="D6" i="3"/>
  <c r="D7" i="3"/>
  <c r="D9" i="3"/>
  <c r="E8" i="3"/>
  <c r="F10" i="3"/>
  <c r="AO20" i="5"/>
  <c r="AP20" i="5" s="1"/>
  <c r="AQ20" i="5" s="1"/>
  <c r="AW20" i="5" s="1"/>
  <c r="AC17" i="2"/>
  <c r="AC18" i="2"/>
  <c r="AC19" i="2"/>
  <c r="AC20" i="2"/>
  <c r="AC21" i="2"/>
  <c r="AC26" i="2"/>
  <c r="AC27" i="2"/>
  <c r="AC28" i="2"/>
  <c r="AC29" i="2"/>
  <c r="AC35" i="2"/>
  <c r="AC36" i="2"/>
  <c r="AC37" i="2"/>
  <c r="AC38" i="2"/>
  <c r="AC39" i="2"/>
  <c r="AC44" i="2"/>
  <c r="AC45" i="2"/>
  <c r="AC46" i="2"/>
  <c r="AC47" i="2"/>
  <c r="AC12" i="2"/>
  <c r="AB13" i="2"/>
  <c r="AC13" i="2" s="1"/>
  <c r="AB14" i="2"/>
  <c r="AC14" i="2" s="1"/>
  <c r="AD14" i="2" s="1"/>
  <c r="AB15" i="2"/>
  <c r="AB16" i="2"/>
  <c r="AB17" i="2"/>
  <c r="AB18" i="2"/>
  <c r="AB19" i="2"/>
  <c r="AB20" i="2"/>
  <c r="AB21" i="2"/>
  <c r="AB22" i="2"/>
  <c r="AB23" i="2"/>
  <c r="AB24" i="2"/>
  <c r="AC24" i="2" s="1"/>
  <c r="AD24" i="2" s="1"/>
  <c r="AK24" i="2" s="1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C40" i="2" s="1"/>
  <c r="AD40" i="2" s="1"/>
  <c r="AK40" i="2" s="1"/>
  <c r="AB41" i="2"/>
  <c r="AB42" i="2"/>
  <c r="AB43" i="2"/>
  <c r="AB44" i="2"/>
  <c r="AB45" i="2"/>
  <c r="AB46" i="2"/>
  <c r="AB47" i="2"/>
  <c r="AB12" i="2"/>
  <c r="V13" i="2"/>
  <c r="W13" i="2" s="1"/>
  <c r="X13" i="2" s="1"/>
  <c r="V14" i="2"/>
  <c r="W14" i="2" s="1"/>
  <c r="X14" i="2" s="1"/>
  <c r="AL14" i="2" s="1"/>
  <c r="V15" i="2"/>
  <c r="W15" i="2" s="1"/>
  <c r="V16" i="2"/>
  <c r="W16" i="2"/>
  <c r="V17" i="2"/>
  <c r="W17" i="2" s="1"/>
  <c r="X17" i="2" s="1"/>
  <c r="AL17" i="2" s="1"/>
  <c r="V18" i="2"/>
  <c r="V19" i="2"/>
  <c r="W19" i="2" s="1"/>
  <c r="X19" i="2" s="1"/>
  <c r="AL19" i="2" s="1"/>
  <c r="V20" i="2"/>
  <c r="W20" i="2"/>
  <c r="V21" i="2"/>
  <c r="W21" i="2" s="1"/>
  <c r="X21" i="2" s="1"/>
  <c r="AL21" i="2" s="1"/>
  <c r="V22" i="2"/>
  <c r="W22" i="2" s="1"/>
  <c r="X22" i="2" s="1"/>
  <c r="AL22" i="2" s="1"/>
  <c r="V23" i="2"/>
  <c r="W23" i="2" s="1"/>
  <c r="X23" i="2" s="1"/>
  <c r="AL23" i="2" s="1"/>
  <c r="V24" i="2"/>
  <c r="W24" i="2" s="1"/>
  <c r="X24" i="2" s="1"/>
  <c r="AL24" i="2" s="1"/>
  <c r="V25" i="2"/>
  <c r="W25" i="2"/>
  <c r="V26" i="2"/>
  <c r="W26" i="2" s="1"/>
  <c r="X26" i="2" s="1"/>
  <c r="AL26" i="2" s="1"/>
  <c r="V27" i="2"/>
  <c r="W27" i="2" s="1"/>
  <c r="X27" i="2" s="1"/>
  <c r="AL27" i="2" s="1"/>
  <c r="V28" i="2"/>
  <c r="V29" i="2"/>
  <c r="W29" i="2"/>
  <c r="V30" i="2"/>
  <c r="W30" i="2" s="1"/>
  <c r="X30" i="2" s="1"/>
  <c r="AL30" i="2" s="1"/>
  <c r="V31" i="2"/>
  <c r="W31" i="2" s="1"/>
  <c r="X31" i="2" s="1"/>
  <c r="AL31" i="2" s="1"/>
  <c r="V32" i="2"/>
  <c r="W32" i="2" s="1"/>
  <c r="X32" i="2" s="1"/>
  <c r="AL32" i="2" s="1"/>
  <c r="V33" i="2"/>
  <c r="V34" i="2"/>
  <c r="W34" i="2"/>
  <c r="V35" i="2"/>
  <c r="V36" i="2"/>
  <c r="W36" i="2" s="1"/>
  <c r="X36" i="2" s="1"/>
  <c r="AL36" i="2" s="1"/>
  <c r="V37" i="2"/>
  <c r="W37" i="2" s="1"/>
  <c r="X37" i="2" s="1"/>
  <c r="AL37" i="2" s="1"/>
  <c r="V38" i="2"/>
  <c r="V39" i="2"/>
  <c r="W39" i="2" s="1"/>
  <c r="X39" i="2" s="1"/>
  <c r="AL39" i="2" s="1"/>
  <c r="V40" i="2"/>
  <c r="W40" i="2" s="1"/>
  <c r="X40" i="2" s="1"/>
  <c r="AL40" i="2" s="1"/>
  <c r="V41" i="2"/>
  <c r="W41" i="2" s="1"/>
  <c r="V42" i="2"/>
  <c r="W42" i="2" s="1"/>
  <c r="X42" i="2" s="1"/>
  <c r="AL42" i="2" s="1"/>
  <c r="V43" i="2"/>
  <c r="W43" i="2"/>
  <c r="V44" i="2"/>
  <c r="W44" i="2" s="1"/>
  <c r="X44" i="2" s="1"/>
  <c r="AL44" i="2" s="1"/>
  <c r="V46" i="2"/>
  <c r="W46" i="2"/>
  <c r="X46" i="2" s="1"/>
  <c r="AL46" i="2" s="1"/>
  <c r="V47" i="2"/>
  <c r="W47" i="2"/>
  <c r="V12" i="2"/>
  <c r="W12" i="2" s="1"/>
  <c r="X12" i="2" s="1"/>
  <c r="Q13" i="2"/>
  <c r="Q14" i="2"/>
  <c r="Q15" i="2"/>
  <c r="Q16" i="2"/>
  <c r="Q21" i="2"/>
  <c r="Q22" i="2"/>
  <c r="Q23" i="2"/>
  <c r="Q24" i="2"/>
  <c r="Q25" i="2"/>
  <c r="Q30" i="2"/>
  <c r="Q31" i="2"/>
  <c r="Q32" i="2"/>
  <c r="Q33" i="2"/>
  <c r="Q34" i="2"/>
  <c r="Q39" i="2"/>
  <c r="Q40" i="2"/>
  <c r="Q41" i="2"/>
  <c r="Q42" i="2"/>
  <c r="Q43" i="2"/>
  <c r="Q12" i="2"/>
  <c r="P13" i="2"/>
  <c r="P14" i="2"/>
  <c r="P15" i="2"/>
  <c r="P16" i="2"/>
  <c r="P17" i="2"/>
  <c r="Q17" i="2" s="1"/>
  <c r="R17" i="2" s="1"/>
  <c r="AK17" i="2" s="1"/>
  <c r="P18" i="2"/>
  <c r="Q18" i="2" s="1"/>
  <c r="R18" i="2" s="1"/>
  <c r="AK18" i="2" s="1"/>
  <c r="P19" i="2"/>
  <c r="Q19" i="2" s="1"/>
  <c r="R19" i="2" s="1"/>
  <c r="AK19" i="2" s="1"/>
  <c r="P21" i="2"/>
  <c r="P22" i="2"/>
  <c r="P23" i="2"/>
  <c r="P24" i="2"/>
  <c r="P25" i="2"/>
  <c r="P26" i="2"/>
  <c r="Q26" i="2" s="1"/>
  <c r="R26" i="2" s="1"/>
  <c r="AK26" i="2" s="1"/>
  <c r="P27" i="2"/>
  <c r="P28" i="2"/>
  <c r="P29" i="2"/>
  <c r="P30" i="2"/>
  <c r="P31" i="2"/>
  <c r="P32" i="2"/>
  <c r="P33" i="2"/>
  <c r="P34" i="2"/>
  <c r="P35" i="2"/>
  <c r="Q35" i="2" s="1"/>
  <c r="R35" i="2" s="1"/>
  <c r="P36" i="2"/>
  <c r="P37" i="2"/>
  <c r="P38" i="2"/>
  <c r="P39" i="2"/>
  <c r="P40" i="2"/>
  <c r="P41" i="2"/>
  <c r="P42" i="2"/>
  <c r="P43" i="2"/>
  <c r="P44" i="2"/>
  <c r="P45" i="2"/>
  <c r="P46" i="2"/>
  <c r="P47" i="2"/>
  <c r="P12" i="2"/>
  <c r="AH47" i="2"/>
  <c r="AI47" i="2" s="1"/>
  <c r="AJ47" i="2" s="1"/>
  <c r="G47" i="2"/>
  <c r="I47" i="2" s="1"/>
  <c r="J47" i="2" s="1"/>
  <c r="K47" i="2" s="1"/>
  <c r="AH46" i="2"/>
  <c r="AI46" i="2" s="1"/>
  <c r="AJ46" i="2" s="1"/>
  <c r="G46" i="2"/>
  <c r="I46" i="2" s="1"/>
  <c r="J46" i="2" s="1"/>
  <c r="K46" i="2" s="1"/>
  <c r="AH45" i="2"/>
  <c r="AI45" i="2" s="1"/>
  <c r="G45" i="2"/>
  <c r="I45" i="2" s="1"/>
  <c r="J45" i="2" s="1"/>
  <c r="K45" i="2" s="1"/>
  <c r="AH44" i="2"/>
  <c r="AI44" i="2" s="1"/>
  <c r="AJ44" i="2" s="1"/>
  <c r="G44" i="2"/>
  <c r="I44" i="2" s="1"/>
  <c r="J44" i="2" s="1"/>
  <c r="K44" i="2" s="1"/>
  <c r="AH43" i="2"/>
  <c r="AI43" i="2" s="1"/>
  <c r="AJ43" i="2" s="1"/>
  <c r="G43" i="2"/>
  <c r="I43" i="2" s="1"/>
  <c r="J43" i="2" s="1"/>
  <c r="K43" i="2" s="1"/>
  <c r="AH42" i="2"/>
  <c r="AI42" i="2" s="1"/>
  <c r="G42" i="2"/>
  <c r="I42" i="2" s="1"/>
  <c r="J42" i="2" s="1"/>
  <c r="K42" i="2" s="1"/>
  <c r="AI41" i="2"/>
  <c r="AH41" i="2"/>
  <c r="G41" i="2"/>
  <c r="I41" i="2" s="1"/>
  <c r="J41" i="2" s="1"/>
  <c r="K41" i="2" s="1"/>
  <c r="AH40" i="2"/>
  <c r="AI40" i="2" s="1"/>
  <c r="AJ40" i="2" s="1"/>
  <c r="G40" i="2"/>
  <c r="I40" i="2" s="1"/>
  <c r="J40" i="2" s="1"/>
  <c r="K40" i="2" s="1"/>
  <c r="AH39" i="2"/>
  <c r="AI39" i="2" s="1"/>
  <c r="AJ39" i="2" s="1"/>
  <c r="G39" i="2"/>
  <c r="I39" i="2" s="1"/>
  <c r="J39" i="2" s="1"/>
  <c r="K39" i="2" s="1"/>
  <c r="AH38" i="2"/>
  <c r="AI38" i="2" s="1"/>
  <c r="AJ38" i="2" s="1"/>
  <c r="G38" i="2"/>
  <c r="I38" i="2" s="1"/>
  <c r="J38" i="2" s="1"/>
  <c r="K38" i="2" s="1"/>
  <c r="AH37" i="2"/>
  <c r="AI37" i="2" s="1"/>
  <c r="G37" i="2"/>
  <c r="I37" i="2" s="1"/>
  <c r="J37" i="2" s="1"/>
  <c r="K37" i="2" s="1"/>
  <c r="AI36" i="2"/>
  <c r="AH36" i="2"/>
  <c r="G36" i="2"/>
  <c r="I36" i="2" s="1"/>
  <c r="J36" i="2" s="1"/>
  <c r="K36" i="2" s="1"/>
  <c r="AH35" i="2"/>
  <c r="AI35" i="2" s="1"/>
  <c r="AJ35" i="2" s="1"/>
  <c r="G35" i="2"/>
  <c r="I35" i="2" s="1"/>
  <c r="J35" i="2" s="1"/>
  <c r="K35" i="2" s="1"/>
  <c r="AI34" i="2"/>
  <c r="AH34" i="2"/>
  <c r="G34" i="2"/>
  <c r="I34" i="2" s="1"/>
  <c r="J34" i="2" s="1"/>
  <c r="K34" i="2" s="1"/>
  <c r="AH33" i="2"/>
  <c r="AI33" i="2" s="1"/>
  <c r="G33" i="2"/>
  <c r="I33" i="2" s="1"/>
  <c r="J33" i="2" s="1"/>
  <c r="K33" i="2" s="1"/>
  <c r="AH32" i="2"/>
  <c r="AI32" i="2" s="1"/>
  <c r="G32" i="2"/>
  <c r="I32" i="2" s="1"/>
  <c r="J32" i="2" s="1"/>
  <c r="K32" i="2" s="1"/>
  <c r="AH31" i="2"/>
  <c r="AI31" i="2" s="1"/>
  <c r="AJ31" i="2" s="1"/>
  <c r="G31" i="2"/>
  <c r="I31" i="2" s="1"/>
  <c r="J31" i="2" s="1"/>
  <c r="K31" i="2" s="1"/>
  <c r="AH30" i="2"/>
  <c r="AI30" i="2" s="1"/>
  <c r="AJ30" i="2" s="1"/>
  <c r="G30" i="2"/>
  <c r="I30" i="2" s="1"/>
  <c r="J30" i="2" s="1"/>
  <c r="K30" i="2" s="1"/>
  <c r="AI29" i="2"/>
  <c r="AH29" i="2"/>
  <c r="G29" i="2"/>
  <c r="I29" i="2" s="1"/>
  <c r="J29" i="2" s="1"/>
  <c r="K29" i="2" s="1"/>
  <c r="AH28" i="2"/>
  <c r="AI28" i="2" s="1"/>
  <c r="AJ28" i="2" s="1"/>
  <c r="G28" i="2"/>
  <c r="I28" i="2" s="1"/>
  <c r="J28" i="2" s="1"/>
  <c r="K28" i="2" s="1"/>
  <c r="AH27" i="2"/>
  <c r="AI27" i="2" s="1"/>
  <c r="G27" i="2"/>
  <c r="I27" i="2" s="1"/>
  <c r="J27" i="2" s="1"/>
  <c r="K27" i="2" s="1"/>
  <c r="AI26" i="2"/>
  <c r="AJ26" i="2" s="1"/>
  <c r="G26" i="2"/>
  <c r="I26" i="2" s="1"/>
  <c r="J26" i="2" s="1"/>
  <c r="K26" i="2" s="1"/>
  <c r="AH25" i="2"/>
  <c r="AI25" i="2" s="1"/>
  <c r="G25" i="2"/>
  <c r="I25" i="2" s="1"/>
  <c r="J25" i="2" s="1"/>
  <c r="K25" i="2" s="1"/>
  <c r="AI24" i="2"/>
  <c r="AH24" i="2"/>
  <c r="G24" i="2"/>
  <c r="I24" i="2" s="1"/>
  <c r="J24" i="2" s="1"/>
  <c r="K24" i="2" s="1"/>
  <c r="AH23" i="2"/>
  <c r="AI23" i="2" s="1"/>
  <c r="G23" i="2"/>
  <c r="I23" i="2" s="1"/>
  <c r="J23" i="2" s="1"/>
  <c r="K23" i="2" s="1"/>
  <c r="AH22" i="2"/>
  <c r="AI22" i="2" s="1"/>
  <c r="AJ22" i="2" s="1"/>
  <c r="G22" i="2"/>
  <c r="I22" i="2" s="1"/>
  <c r="J22" i="2" s="1"/>
  <c r="K22" i="2" s="1"/>
  <c r="AH21" i="2"/>
  <c r="AI21" i="2" s="1"/>
  <c r="AJ21" i="2" s="1"/>
  <c r="G21" i="2"/>
  <c r="I21" i="2" s="1"/>
  <c r="J21" i="2" s="1"/>
  <c r="K21" i="2" s="1"/>
  <c r="G20" i="2"/>
  <c r="I20" i="2" s="1"/>
  <c r="J20" i="2" s="1"/>
  <c r="K20" i="2" s="1"/>
  <c r="AH19" i="2"/>
  <c r="AI19" i="2" s="1"/>
  <c r="G19" i="2"/>
  <c r="I19" i="2" s="1"/>
  <c r="J19" i="2" s="1"/>
  <c r="K19" i="2" s="1"/>
  <c r="AH18" i="2"/>
  <c r="AI18" i="2" s="1"/>
  <c r="AJ18" i="2" s="1"/>
  <c r="G18" i="2"/>
  <c r="I18" i="2" s="1"/>
  <c r="J18" i="2" s="1"/>
  <c r="K18" i="2" s="1"/>
  <c r="AH17" i="2"/>
  <c r="AI17" i="2" s="1"/>
  <c r="AJ17" i="2" s="1"/>
  <c r="G17" i="2"/>
  <c r="I17" i="2" s="1"/>
  <c r="J17" i="2" s="1"/>
  <c r="K17" i="2" s="1"/>
  <c r="AI16" i="2"/>
  <c r="AJ16" i="2" s="1"/>
  <c r="G16" i="2"/>
  <c r="I16" i="2" s="1"/>
  <c r="J16" i="2" s="1"/>
  <c r="K16" i="2" s="1"/>
  <c r="AH15" i="2"/>
  <c r="AI15" i="2" s="1"/>
  <c r="AJ15" i="2" s="1"/>
  <c r="G15" i="2"/>
  <c r="I15" i="2" s="1"/>
  <c r="J15" i="2" s="1"/>
  <c r="K15" i="2" s="1"/>
  <c r="AH14" i="2"/>
  <c r="AI14" i="2" s="1"/>
  <c r="AJ14" i="2" s="1"/>
  <c r="G14" i="2"/>
  <c r="I14" i="2" s="1"/>
  <c r="J14" i="2" s="1"/>
  <c r="K14" i="2" s="1"/>
  <c r="AH13" i="2"/>
  <c r="AI13" i="2" s="1"/>
  <c r="AJ13" i="2" s="1"/>
  <c r="G13" i="2"/>
  <c r="AH12" i="2"/>
  <c r="AI12" i="2" s="1"/>
  <c r="AJ12" i="2" s="1"/>
  <c r="G12" i="2"/>
  <c r="I12" i="2" s="1"/>
  <c r="J12" i="2" s="1"/>
  <c r="K12" i="2" s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4" i="1"/>
  <c r="AI33" i="1"/>
  <c r="AI32" i="1"/>
  <c r="AI31" i="1"/>
  <c r="AI30" i="1"/>
  <c r="AI29" i="1"/>
  <c r="L11" i="3"/>
  <c r="AI28" i="1"/>
  <c r="AI26" i="1"/>
  <c r="AI25" i="1"/>
  <c r="AI24" i="1"/>
  <c r="AI21" i="1"/>
  <c r="AI19" i="1"/>
  <c r="AI18" i="1"/>
  <c r="AI17" i="1"/>
  <c r="AI15" i="1"/>
  <c r="AI14" i="1"/>
  <c r="AI13" i="1"/>
  <c r="AI12" i="1"/>
  <c r="AC47" i="1"/>
  <c r="AC46" i="1"/>
  <c r="AC45" i="1"/>
  <c r="AC44" i="1"/>
  <c r="AC39" i="1"/>
  <c r="AC38" i="1"/>
  <c r="AC37" i="1"/>
  <c r="AC36" i="1"/>
  <c r="AC35" i="1"/>
  <c r="AC29" i="1"/>
  <c r="AC28" i="1"/>
  <c r="AC27" i="1"/>
  <c r="AC26" i="1"/>
  <c r="AC21" i="1"/>
  <c r="AC20" i="1"/>
  <c r="AC19" i="1"/>
  <c r="AC18" i="1"/>
  <c r="AC17" i="1"/>
  <c r="AC12" i="1"/>
  <c r="W47" i="1"/>
  <c r="W38" i="1"/>
  <c r="W34" i="1"/>
  <c r="W25" i="1"/>
  <c r="W20" i="1"/>
  <c r="W16" i="1"/>
  <c r="Q14" i="1"/>
  <c r="Q15" i="1"/>
  <c r="Q16" i="1"/>
  <c r="Q21" i="1"/>
  <c r="Q22" i="1"/>
  <c r="Q25" i="1"/>
  <c r="Q31" i="1"/>
  <c r="Q32" i="1"/>
  <c r="Q33" i="1"/>
  <c r="Q34" i="1"/>
  <c r="Q39" i="1"/>
  <c r="Q40" i="1"/>
  <c r="Q41" i="1"/>
  <c r="Q42" i="1"/>
  <c r="Q43" i="1"/>
  <c r="Q12" i="1"/>
  <c r="AH13" i="1"/>
  <c r="AH14" i="1"/>
  <c r="AH15" i="1"/>
  <c r="AH16" i="1"/>
  <c r="AI16" i="1" s="1"/>
  <c r="AH17" i="1"/>
  <c r="AH18" i="1"/>
  <c r="AH19" i="1"/>
  <c r="AH21" i="1"/>
  <c r="AH22" i="1"/>
  <c r="AI22" i="1" s="1"/>
  <c r="AH23" i="1"/>
  <c r="AI23" i="1" s="1"/>
  <c r="AH24" i="1"/>
  <c r="AH25" i="1"/>
  <c r="AH26" i="1"/>
  <c r="AH27" i="1"/>
  <c r="AI27" i="1" s="1"/>
  <c r="AH28" i="1"/>
  <c r="AH29" i="1"/>
  <c r="AH30" i="1"/>
  <c r="AH31" i="1"/>
  <c r="AH32" i="1"/>
  <c r="AH33" i="1"/>
  <c r="AH34" i="1"/>
  <c r="AH35" i="1"/>
  <c r="AI35" i="1" s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12" i="1"/>
  <c r="AH20" i="1"/>
  <c r="AB13" i="1"/>
  <c r="AC13" i="1" s="1"/>
  <c r="AD13" i="1" s="1"/>
  <c r="AK13" i="1" s="1"/>
  <c r="AB14" i="1"/>
  <c r="AC14" i="1" s="1"/>
  <c r="AD14" i="1" s="1"/>
  <c r="AK14" i="1" s="1"/>
  <c r="AB15" i="1"/>
  <c r="AC15" i="1" s="1"/>
  <c r="AD15" i="1" s="1"/>
  <c r="AK15" i="1" s="1"/>
  <c r="AB16" i="1"/>
  <c r="AC16" i="1" s="1"/>
  <c r="AD16" i="1" s="1"/>
  <c r="AK16" i="1" s="1"/>
  <c r="AB17" i="1"/>
  <c r="AB18" i="1"/>
  <c r="AB19" i="1"/>
  <c r="AB20" i="1"/>
  <c r="AB21" i="1"/>
  <c r="AB23" i="1"/>
  <c r="AC23" i="1" s="1"/>
  <c r="AD23" i="1" s="1"/>
  <c r="AK23" i="1" s="1"/>
  <c r="AB24" i="1"/>
  <c r="AC24" i="1" s="1"/>
  <c r="AD24" i="1" s="1"/>
  <c r="AB25" i="1"/>
  <c r="AC25" i="1" s="1"/>
  <c r="AD25" i="1" s="1"/>
  <c r="AB26" i="1"/>
  <c r="AB27" i="1"/>
  <c r="AB28" i="1"/>
  <c r="AB29" i="1"/>
  <c r="AD30" i="1"/>
  <c r="K4" i="3" s="1"/>
  <c r="AB31" i="1"/>
  <c r="AC31" i="1" s="1"/>
  <c r="AD31" i="1" s="1"/>
  <c r="AB32" i="1"/>
  <c r="AC32" i="1" s="1"/>
  <c r="AD32" i="1" s="1"/>
  <c r="AB33" i="1"/>
  <c r="AC33" i="1" s="1"/>
  <c r="AD33" i="1" s="1"/>
  <c r="AK33" i="1" s="1"/>
  <c r="AB34" i="1"/>
  <c r="AC34" i="1" s="1"/>
  <c r="AD34" i="1" s="1"/>
  <c r="AK34" i="1" s="1"/>
  <c r="AB35" i="1"/>
  <c r="AB36" i="1"/>
  <c r="AB37" i="1"/>
  <c r="AB38" i="1"/>
  <c r="AB39" i="1"/>
  <c r="AB40" i="1"/>
  <c r="AC40" i="1" s="1"/>
  <c r="AD40" i="1" s="1"/>
  <c r="AB41" i="1"/>
  <c r="AC41" i="1" s="1"/>
  <c r="AD41" i="1" s="1"/>
  <c r="AK41" i="1" s="1"/>
  <c r="AB42" i="1"/>
  <c r="AC42" i="1" s="1"/>
  <c r="AD42" i="1" s="1"/>
  <c r="AB43" i="1"/>
  <c r="AC43" i="1" s="1"/>
  <c r="AD43" i="1" s="1"/>
  <c r="AB44" i="1"/>
  <c r="AB45" i="1"/>
  <c r="AB46" i="1"/>
  <c r="AB47" i="1"/>
  <c r="AB12" i="1"/>
  <c r="V13" i="1"/>
  <c r="W13" i="1" s="1"/>
  <c r="X13" i="1" s="1"/>
  <c r="AL13" i="1" s="1"/>
  <c r="V14" i="1"/>
  <c r="W14" i="1" s="1"/>
  <c r="X14" i="1" s="1"/>
  <c r="AL14" i="1" s="1"/>
  <c r="V15" i="1"/>
  <c r="W15" i="1" s="1"/>
  <c r="X15" i="1" s="1"/>
  <c r="AL15" i="1" s="1"/>
  <c r="V16" i="1"/>
  <c r="V17" i="1"/>
  <c r="W17" i="1" s="1"/>
  <c r="X17" i="1" s="1"/>
  <c r="AL17" i="1" s="1"/>
  <c r="V18" i="1"/>
  <c r="W18" i="1" s="1"/>
  <c r="X18" i="1" s="1"/>
  <c r="AL18" i="1" s="1"/>
  <c r="V19" i="1"/>
  <c r="W19" i="1" s="1"/>
  <c r="X19" i="1" s="1"/>
  <c r="AL19" i="1" s="1"/>
  <c r="V20" i="1"/>
  <c r="V21" i="1"/>
  <c r="W21" i="1" s="1"/>
  <c r="X21" i="1" s="1"/>
  <c r="AL21" i="1" s="1"/>
  <c r="AL22" i="1"/>
  <c r="V23" i="1"/>
  <c r="W23" i="1" s="1"/>
  <c r="X23" i="1" s="1"/>
  <c r="AL23" i="1" s="1"/>
  <c r="W24" i="1"/>
  <c r="X24" i="1" s="1"/>
  <c r="AL24" i="1" s="1"/>
  <c r="V25" i="1"/>
  <c r="V26" i="1"/>
  <c r="W26" i="1" s="1"/>
  <c r="X26" i="1" s="1"/>
  <c r="V27" i="1"/>
  <c r="W27" i="1" s="1"/>
  <c r="X27" i="1" s="1"/>
  <c r="AL27" i="1" s="1"/>
  <c r="V28" i="1"/>
  <c r="W28" i="1" s="1"/>
  <c r="X28" i="1" s="1"/>
  <c r="AL28" i="1" s="1"/>
  <c r="V29" i="1"/>
  <c r="W29" i="1" s="1"/>
  <c r="X30" i="1"/>
  <c r="V31" i="1"/>
  <c r="W31" i="1" s="1"/>
  <c r="X31" i="1" s="1"/>
  <c r="V32" i="1"/>
  <c r="W32" i="1" s="1"/>
  <c r="X32" i="1" s="1"/>
  <c r="V33" i="1"/>
  <c r="W33" i="1" s="1"/>
  <c r="X33" i="1" s="1"/>
  <c r="AL33" i="1" s="1"/>
  <c r="V34" i="1"/>
  <c r="V35" i="1"/>
  <c r="W35" i="1" s="1"/>
  <c r="X35" i="1" s="1"/>
  <c r="AL35" i="1" s="1"/>
  <c r="V36" i="1"/>
  <c r="W36" i="1" s="1"/>
  <c r="X36" i="1" s="1"/>
  <c r="V37" i="1"/>
  <c r="W37" i="1" s="1"/>
  <c r="X37" i="1" s="1"/>
  <c r="V38" i="1"/>
  <c r="V39" i="1"/>
  <c r="W39" i="1" s="1"/>
  <c r="X39" i="1" s="1"/>
  <c r="V40" i="1"/>
  <c r="W40" i="1" s="1"/>
  <c r="X40" i="1" s="1"/>
  <c r="AL40" i="1" s="1"/>
  <c r="V41" i="1"/>
  <c r="W41" i="1" s="1"/>
  <c r="X41" i="1" s="1"/>
  <c r="AL41" i="1" s="1"/>
  <c r="V42" i="1"/>
  <c r="W42" i="1" s="1"/>
  <c r="X42" i="1" s="1"/>
  <c r="V43" i="1"/>
  <c r="W43" i="1" s="1"/>
  <c r="V44" i="1"/>
  <c r="W44" i="1" s="1"/>
  <c r="X44" i="1" s="1"/>
  <c r="AL44" i="1" s="1"/>
  <c r="V45" i="1"/>
  <c r="W45" i="1" s="1"/>
  <c r="X45" i="1" s="1"/>
  <c r="AL45" i="1" s="1"/>
  <c r="V46" i="1"/>
  <c r="W46" i="1" s="1"/>
  <c r="X46" i="1" s="1"/>
  <c r="AL46" i="1" s="1"/>
  <c r="V47" i="1"/>
  <c r="V12" i="1"/>
  <c r="W12" i="1" s="1"/>
  <c r="X12" i="1" s="1"/>
  <c r="AL12" i="1" s="1"/>
  <c r="P13" i="1"/>
  <c r="Q13" i="1" s="1"/>
  <c r="I5" i="3" s="1"/>
  <c r="P14" i="1"/>
  <c r="P15" i="1"/>
  <c r="P16" i="1"/>
  <c r="P17" i="1"/>
  <c r="Q17" i="1" s="1"/>
  <c r="R17" i="1" s="1"/>
  <c r="AK17" i="1" s="1"/>
  <c r="P18" i="1"/>
  <c r="Q18" i="1" s="1"/>
  <c r="R18" i="1" s="1"/>
  <c r="AK18" i="1" s="1"/>
  <c r="P19" i="1"/>
  <c r="Q19" i="1" s="1"/>
  <c r="R19" i="1" s="1"/>
  <c r="AK19" i="1" s="1"/>
  <c r="P20" i="1"/>
  <c r="Q20" i="1" s="1"/>
  <c r="R20" i="1" s="1"/>
  <c r="AK20" i="1" s="1"/>
  <c r="P21" i="1"/>
  <c r="P22" i="1"/>
  <c r="R24" i="1"/>
  <c r="P25" i="1"/>
  <c r="P26" i="1"/>
  <c r="Q26" i="1" s="1"/>
  <c r="R26" i="1" s="1"/>
  <c r="P27" i="1"/>
  <c r="Q27" i="1" s="1"/>
  <c r="R27" i="1" s="1"/>
  <c r="P28" i="1"/>
  <c r="Q28" i="1" s="1"/>
  <c r="R28" i="1" s="1"/>
  <c r="AK28" i="1" s="1"/>
  <c r="P29" i="1"/>
  <c r="Q29" i="1" s="1"/>
  <c r="R29" i="1" s="1"/>
  <c r="P30" i="1"/>
  <c r="Q30" i="1" s="1"/>
  <c r="P31" i="1"/>
  <c r="P32" i="1"/>
  <c r="P33" i="1"/>
  <c r="P34" i="1"/>
  <c r="P35" i="1"/>
  <c r="Q35" i="1" s="1"/>
  <c r="R35" i="1" s="1"/>
  <c r="AK35" i="1" s="1"/>
  <c r="P36" i="1"/>
  <c r="Q36" i="1" s="1"/>
  <c r="R36" i="1" s="1"/>
  <c r="AK36" i="1" s="1"/>
  <c r="P37" i="1"/>
  <c r="Q37" i="1" s="1"/>
  <c r="R37" i="1" s="1"/>
  <c r="P39" i="1"/>
  <c r="P40" i="1"/>
  <c r="P41" i="1"/>
  <c r="P42" i="1"/>
  <c r="P43" i="1"/>
  <c r="P44" i="1"/>
  <c r="Q44" i="1" s="1"/>
  <c r="R44" i="1" s="1"/>
  <c r="AK44" i="1" s="1"/>
  <c r="P45" i="1"/>
  <c r="Q45" i="1" s="1"/>
  <c r="R45" i="1" s="1"/>
  <c r="AK45" i="1" s="1"/>
  <c r="P46" i="1"/>
  <c r="Q46" i="1" s="1"/>
  <c r="R46" i="1" s="1"/>
  <c r="AK46" i="1" s="1"/>
  <c r="P47" i="1"/>
  <c r="Q47" i="1" s="1"/>
  <c r="R47" i="1" s="1"/>
  <c r="P12" i="1"/>
  <c r="AN19" i="2" l="1"/>
  <c r="AO19" i="2"/>
  <c r="AM19" i="2"/>
  <c r="AO34" i="1"/>
  <c r="AN34" i="1"/>
  <c r="AM34" i="1"/>
  <c r="AN16" i="1"/>
  <c r="AO16" i="1"/>
  <c r="AM16" i="1"/>
  <c r="AN33" i="1"/>
  <c r="AM33" i="1"/>
  <c r="AO33" i="1"/>
  <c r="AO15" i="1"/>
  <c r="AM15" i="1"/>
  <c r="AN15" i="1"/>
  <c r="AM14" i="1"/>
  <c r="AN14" i="1"/>
  <c r="AO14" i="1"/>
  <c r="AL42" i="1"/>
  <c r="J7" i="3"/>
  <c r="AD11" i="3"/>
  <c r="AM13" i="1"/>
  <c r="AO13" i="1"/>
  <c r="AN13" i="1"/>
  <c r="AO19" i="1"/>
  <c r="AM19" i="1"/>
  <c r="AN19" i="1"/>
  <c r="AN41" i="1"/>
  <c r="AO41" i="1"/>
  <c r="AM41" i="1"/>
  <c r="AK42" i="1"/>
  <c r="K7" i="3"/>
  <c r="AN46" i="1"/>
  <c r="AO46" i="1"/>
  <c r="AM46" i="1"/>
  <c r="AN18" i="1"/>
  <c r="AO18" i="1"/>
  <c r="AM18" i="1"/>
  <c r="AM12" i="1"/>
  <c r="AN12" i="1"/>
  <c r="AO12" i="1"/>
  <c r="AL37" i="1"/>
  <c r="J11" i="3"/>
  <c r="AO17" i="1"/>
  <c r="AN17" i="1"/>
  <c r="AM17" i="1"/>
  <c r="AN35" i="1"/>
  <c r="AO35" i="1"/>
  <c r="AM35" i="1"/>
  <c r="AM44" i="1"/>
  <c r="AO44" i="1"/>
  <c r="AN44" i="1"/>
  <c r="AO45" i="1"/>
  <c r="AM45" i="1"/>
  <c r="AN45" i="1"/>
  <c r="AM28" i="1"/>
  <c r="AN28" i="1"/>
  <c r="AO28" i="1"/>
  <c r="AN23" i="1"/>
  <c r="AO23" i="1"/>
  <c r="AM23" i="1"/>
  <c r="AK27" i="1"/>
  <c r="I10" i="3"/>
  <c r="AL32" i="1"/>
  <c r="J6" i="3"/>
  <c r="AN22" i="1"/>
  <c r="AM22" i="1"/>
  <c r="AO22" i="1"/>
  <c r="AM21" i="1"/>
  <c r="AO21" i="1"/>
  <c r="AN21" i="1"/>
  <c r="AN20" i="1"/>
  <c r="AO20" i="1"/>
  <c r="AM20" i="1"/>
  <c r="AK40" i="1"/>
  <c r="AO40" i="1" s="1"/>
  <c r="K5" i="3"/>
  <c r="AK37" i="1"/>
  <c r="I11" i="3"/>
  <c r="J5" i="3"/>
  <c r="AL36" i="1"/>
  <c r="J10" i="3"/>
  <c r="AK32" i="1"/>
  <c r="K6" i="3"/>
  <c r="AK47" i="1"/>
  <c r="I12" i="3"/>
  <c r="AK24" i="1"/>
  <c r="I7" i="3"/>
  <c r="AL39" i="1"/>
  <c r="J4" i="3"/>
  <c r="AK25" i="1"/>
  <c r="K8" i="3"/>
  <c r="AK26" i="1"/>
  <c r="I9" i="3"/>
  <c r="AL26" i="1"/>
  <c r="J9" i="3"/>
  <c r="AM39" i="2"/>
  <c r="AO39" i="2"/>
  <c r="AN39" i="2"/>
  <c r="AN26" i="2"/>
  <c r="AO26" i="2"/>
  <c r="AM26" i="2"/>
  <c r="AM18" i="2"/>
  <c r="AD10" i="3"/>
  <c r="AO17" i="2"/>
  <c r="AN17" i="2"/>
  <c r="AM17" i="2"/>
  <c r="AM22" i="2"/>
  <c r="AO24" i="2"/>
  <c r="AN24" i="2"/>
  <c r="AM24" i="2"/>
  <c r="AK35" i="2"/>
  <c r="AD9" i="3"/>
  <c r="AD8" i="3"/>
  <c r="AO21" i="2"/>
  <c r="AN21" i="2"/>
  <c r="AM21" i="2"/>
  <c r="AK14" i="2"/>
  <c r="AO14" i="2" s="1"/>
  <c r="AN14" i="2"/>
  <c r="AM14" i="2"/>
  <c r="AD6" i="3"/>
  <c r="AN40" i="2"/>
  <c r="AM40" i="2"/>
  <c r="AO40" i="2"/>
  <c r="AD5" i="3"/>
  <c r="AD13" i="2"/>
  <c r="AK13" i="2" s="1"/>
  <c r="AL13" i="2"/>
  <c r="AB5" i="3"/>
  <c r="AN30" i="2"/>
  <c r="AO30" i="2"/>
  <c r="AM30" i="2"/>
  <c r="AL12" i="2"/>
  <c r="AN12" i="2" s="1"/>
  <c r="AB4" i="3"/>
  <c r="AD4" i="3"/>
  <c r="AM12" i="2"/>
  <c r="AO12" i="2"/>
  <c r="X15" i="2"/>
  <c r="AL15" i="2" s="1"/>
  <c r="AD7" i="3"/>
  <c r="AV20" i="5"/>
  <c r="AU20" i="5"/>
  <c r="D4" i="3"/>
  <c r="I13" i="2"/>
  <c r="J13" i="2" s="1"/>
  <c r="K13" i="2" s="1"/>
  <c r="AE5" i="3" s="1"/>
  <c r="AU21" i="5"/>
  <c r="AW21" i="5"/>
  <c r="AV21" i="5"/>
  <c r="AE6" i="3"/>
  <c r="AE8" i="3"/>
  <c r="AE10" i="3"/>
  <c r="AE11" i="3"/>
  <c r="AE7" i="3"/>
  <c r="AE12" i="3"/>
  <c r="AE9" i="3"/>
  <c r="AE4" i="3"/>
  <c r="X41" i="2"/>
  <c r="AL41" i="2" s="1"/>
  <c r="F9" i="3"/>
  <c r="F12" i="3"/>
  <c r="Q27" i="2"/>
  <c r="R27" i="2" s="1"/>
  <c r="Q37" i="2"/>
  <c r="R37" i="2" s="1"/>
  <c r="AK37" i="2" s="1"/>
  <c r="AN37" i="2" s="1"/>
  <c r="Q45" i="2"/>
  <c r="R45" i="2" s="1"/>
  <c r="AK45" i="2" s="1"/>
  <c r="W28" i="2"/>
  <c r="X28" i="2" s="1"/>
  <c r="AC23" i="2"/>
  <c r="AD23" i="2" s="1"/>
  <c r="AK23" i="2" s="1"/>
  <c r="AN23" i="2" s="1"/>
  <c r="W38" i="2"/>
  <c r="AB12" i="3" s="1"/>
  <c r="Q44" i="2"/>
  <c r="R44" i="2" s="1"/>
  <c r="AK44" i="2" s="1"/>
  <c r="AM44" i="2" s="1"/>
  <c r="R20" i="2"/>
  <c r="AK20" i="2" s="1"/>
  <c r="AC34" i="2"/>
  <c r="AD34" i="2" s="1"/>
  <c r="AC22" i="2"/>
  <c r="AD22" i="2" s="1"/>
  <c r="AK22" i="2" s="1"/>
  <c r="AN22" i="2" s="1"/>
  <c r="Q47" i="2"/>
  <c r="R47" i="2" s="1"/>
  <c r="AK47" i="2" s="1"/>
  <c r="AN47" i="2" s="1"/>
  <c r="AC33" i="2"/>
  <c r="AD33" i="2" s="1"/>
  <c r="AK33" i="2" s="1"/>
  <c r="Q46" i="2"/>
  <c r="R46" i="2" s="1"/>
  <c r="AK46" i="2" s="1"/>
  <c r="AO46" i="2" s="1"/>
  <c r="W35" i="2"/>
  <c r="X35" i="2" s="1"/>
  <c r="W18" i="2"/>
  <c r="X18" i="2" s="1"/>
  <c r="AL18" i="2" s="1"/>
  <c r="AN18" i="2" s="1"/>
  <c r="AC32" i="2"/>
  <c r="AD32" i="2" s="1"/>
  <c r="AK32" i="2" s="1"/>
  <c r="Q29" i="2"/>
  <c r="R29" i="2" s="1"/>
  <c r="AK29" i="2" s="1"/>
  <c r="AC43" i="2"/>
  <c r="AD43" i="2" s="1"/>
  <c r="AK43" i="2" s="1"/>
  <c r="AO43" i="2" s="1"/>
  <c r="AC31" i="2"/>
  <c r="AD31" i="2" s="1"/>
  <c r="AK31" i="2" s="1"/>
  <c r="AN31" i="2" s="1"/>
  <c r="AI20" i="1"/>
  <c r="Q28" i="2"/>
  <c r="R28" i="2" s="1"/>
  <c r="AC42" i="2"/>
  <c r="AD42" i="2" s="1"/>
  <c r="AK42" i="2" s="1"/>
  <c r="AM42" i="2" s="1"/>
  <c r="AC30" i="2"/>
  <c r="AC4" i="3" s="1"/>
  <c r="W33" i="2"/>
  <c r="X33" i="2" s="1"/>
  <c r="AL33" i="2" s="1"/>
  <c r="AC16" i="2"/>
  <c r="AD16" i="2" s="1"/>
  <c r="AK16" i="2" s="1"/>
  <c r="AO16" i="2" s="1"/>
  <c r="AC15" i="2"/>
  <c r="AD15" i="2" s="1"/>
  <c r="AC41" i="2"/>
  <c r="AD41" i="2" s="1"/>
  <c r="AK41" i="2" s="1"/>
  <c r="Q38" i="2"/>
  <c r="R38" i="2" s="1"/>
  <c r="AK38" i="2" s="1"/>
  <c r="AO38" i="2" s="1"/>
  <c r="Q36" i="2"/>
  <c r="R36" i="2" s="1"/>
  <c r="AK36" i="2" s="1"/>
  <c r="AM36" i="2" s="1"/>
  <c r="AC25" i="2"/>
  <c r="AD25" i="2" s="1"/>
  <c r="AK25" i="2" s="1"/>
  <c r="AH20" i="2"/>
  <c r="AI20" i="2" s="1"/>
  <c r="AJ20" i="2" s="1"/>
  <c r="AD12" i="3" s="1"/>
  <c r="G13" i="1"/>
  <c r="G14" i="1"/>
  <c r="I14" i="1" s="1"/>
  <c r="J14" i="1" s="1"/>
  <c r="K14" i="1" s="1"/>
  <c r="L292" i="14" s="1"/>
  <c r="I15" i="1"/>
  <c r="J15" i="1" s="1"/>
  <c r="K15" i="1" s="1"/>
  <c r="L293" i="14" s="1"/>
  <c r="G16" i="1"/>
  <c r="I16" i="1" s="1"/>
  <c r="J16" i="1" s="1"/>
  <c r="K16" i="1" s="1"/>
  <c r="L294" i="14" s="1"/>
  <c r="G17" i="1"/>
  <c r="I17" i="1" s="1"/>
  <c r="J17" i="1" s="1"/>
  <c r="K17" i="1" s="1"/>
  <c r="L295" i="14" s="1"/>
  <c r="G18" i="1"/>
  <c r="I18" i="1" s="1"/>
  <c r="J18" i="1" s="1"/>
  <c r="K18" i="1" s="1"/>
  <c r="L296" i="14" s="1"/>
  <c r="G19" i="1"/>
  <c r="I19" i="1" s="1"/>
  <c r="J19" i="1" s="1"/>
  <c r="K19" i="1" s="1"/>
  <c r="L297" i="14" s="1"/>
  <c r="G20" i="1"/>
  <c r="I20" i="1" s="1"/>
  <c r="J20" i="1" s="1"/>
  <c r="K20" i="1" s="1"/>
  <c r="L298" i="14" s="1"/>
  <c r="G21" i="1"/>
  <c r="I21" i="1" s="1"/>
  <c r="J21" i="1" s="1"/>
  <c r="K21" i="1" s="1"/>
  <c r="L299" i="14" s="1"/>
  <c r="G22" i="1"/>
  <c r="I22" i="1" s="1"/>
  <c r="J22" i="1" s="1"/>
  <c r="K22" i="1" s="1"/>
  <c r="L300" i="14" s="1"/>
  <c r="G23" i="1"/>
  <c r="I23" i="1" s="1"/>
  <c r="J23" i="1" s="1"/>
  <c r="K23" i="1" s="1"/>
  <c r="L301" i="14" s="1"/>
  <c r="G24" i="1"/>
  <c r="I24" i="1" s="1"/>
  <c r="J24" i="1" s="1"/>
  <c r="K24" i="1" s="1"/>
  <c r="L302" i="14" s="1"/>
  <c r="G25" i="1"/>
  <c r="I25" i="1" s="1"/>
  <c r="J25" i="1" s="1"/>
  <c r="K25" i="1" s="1"/>
  <c r="L303" i="14" s="1"/>
  <c r="G26" i="1"/>
  <c r="I26" i="1" s="1"/>
  <c r="J26" i="1" s="1"/>
  <c r="K26" i="1" s="1"/>
  <c r="L304" i="14" s="1"/>
  <c r="G27" i="1"/>
  <c r="I27" i="1" s="1"/>
  <c r="J27" i="1" s="1"/>
  <c r="K27" i="1" s="1"/>
  <c r="L305" i="14" s="1"/>
  <c r="G28" i="1"/>
  <c r="I28" i="1" s="1"/>
  <c r="J28" i="1" s="1"/>
  <c r="K28" i="1" s="1"/>
  <c r="L306" i="14" s="1"/>
  <c r="G29" i="1"/>
  <c r="G30" i="1"/>
  <c r="I30" i="1" s="1"/>
  <c r="J30" i="1" s="1"/>
  <c r="K30" i="1" s="1"/>
  <c r="L308" i="14" s="1"/>
  <c r="G31" i="1"/>
  <c r="I31" i="1" s="1"/>
  <c r="J31" i="1" s="1"/>
  <c r="K31" i="1" s="1"/>
  <c r="L309" i="14" s="1"/>
  <c r="G32" i="1"/>
  <c r="I32" i="1" s="1"/>
  <c r="J32" i="1" s="1"/>
  <c r="K32" i="1" s="1"/>
  <c r="L310" i="14" s="1"/>
  <c r="G33" i="1"/>
  <c r="I33" i="1" s="1"/>
  <c r="J33" i="1" s="1"/>
  <c r="K33" i="1" s="1"/>
  <c r="L311" i="14" s="1"/>
  <c r="G34" i="1"/>
  <c r="I34" i="1" s="1"/>
  <c r="J34" i="1" s="1"/>
  <c r="K34" i="1" s="1"/>
  <c r="L312" i="14" s="1"/>
  <c r="G35" i="1"/>
  <c r="I35" i="1" s="1"/>
  <c r="J35" i="1" s="1"/>
  <c r="K35" i="1" s="1"/>
  <c r="L313" i="14" s="1"/>
  <c r="G36" i="1"/>
  <c r="I36" i="1" s="1"/>
  <c r="J36" i="1" s="1"/>
  <c r="K36" i="1" s="1"/>
  <c r="L314" i="14" s="1"/>
  <c r="G37" i="1"/>
  <c r="I37" i="1" s="1"/>
  <c r="J37" i="1" s="1"/>
  <c r="K37" i="1" s="1"/>
  <c r="L315" i="14" s="1"/>
  <c r="G38" i="1"/>
  <c r="I38" i="1" s="1"/>
  <c r="J38" i="1" s="1"/>
  <c r="K38" i="1" s="1"/>
  <c r="L316" i="14" s="1"/>
  <c r="G39" i="1"/>
  <c r="I39" i="1" s="1"/>
  <c r="J39" i="1" s="1"/>
  <c r="K39" i="1" s="1"/>
  <c r="L317" i="14" s="1"/>
  <c r="G40" i="1"/>
  <c r="I40" i="1" s="1"/>
  <c r="J40" i="1" s="1"/>
  <c r="K40" i="1" s="1"/>
  <c r="L318" i="14" s="1"/>
  <c r="G41" i="1"/>
  <c r="I41" i="1" s="1"/>
  <c r="J41" i="1" s="1"/>
  <c r="K41" i="1" s="1"/>
  <c r="L319" i="14" s="1"/>
  <c r="G42" i="1"/>
  <c r="I42" i="1" s="1"/>
  <c r="J42" i="1" s="1"/>
  <c r="K42" i="1" s="1"/>
  <c r="L320" i="14" s="1"/>
  <c r="G43" i="1"/>
  <c r="I43" i="1" s="1"/>
  <c r="J43" i="1" s="1"/>
  <c r="K43" i="1" s="1"/>
  <c r="L321" i="14" s="1"/>
  <c r="G44" i="1"/>
  <c r="I44" i="1" s="1"/>
  <c r="J44" i="1" s="1"/>
  <c r="K44" i="1" s="1"/>
  <c r="L322" i="14" s="1"/>
  <c r="G45" i="1"/>
  <c r="I45" i="1" s="1"/>
  <c r="J45" i="1" s="1"/>
  <c r="K45" i="1" s="1"/>
  <c r="L323" i="14" s="1"/>
  <c r="G46" i="1"/>
  <c r="I46" i="1" s="1"/>
  <c r="J46" i="1" s="1"/>
  <c r="K46" i="1" s="1"/>
  <c r="L324" i="14" s="1"/>
  <c r="G47" i="1"/>
  <c r="I47" i="1" s="1"/>
  <c r="J47" i="1" s="1"/>
  <c r="K47" i="1" s="1"/>
  <c r="L325" i="14" s="1"/>
  <c r="G12" i="1"/>
  <c r="I12" i="1" s="1"/>
  <c r="J12" i="1" s="1"/>
  <c r="K12" i="1" s="1"/>
  <c r="L290" i="14" s="1"/>
  <c r="I13" i="1"/>
  <c r="J13" i="1" s="1"/>
  <c r="K13" i="1" s="1"/>
  <c r="L291" i="14" s="1"/>
  <c r="AN40" i="1" l="1"/>
  <c r="AM40" i="1"/>
  <c r="AO22" i="2"/>
  <c r="AN42" i="1"/>
  <c r="AO42" i="1"/>
  <c r="AM42" i="1"/>
  <c r="AN27" i="1"/>
  <c r="AO27" i="1"/>
  <c r="AM27" i="1"/>
  <c r="AM37" i="1"/>
  <c r="AN37" i="1"/>
  <c r="AO37" i="1"/>
  <c r="AN31" i="1"/>
  <c r="AO31" i="1"/>
  <c r="AM31" i="1"/>
  <c r="AM36" i="1"/>
  <c r="AN36" i="1"/>
  <c r="AO36" i="1"/>
  <c r="AM32" i="1"/>
  <c r="AN32" i="1"/>
  <c r="AO32" i="1"/>
  <c r="AN47" i="1"/>
  <c r="AM47" i="1"/>
  <c r="AO47" i="1"/>
  <c r="AN24" i="1"/>
  <c r="AO24" i="1"/>
  <c r="AM24" i="1"/>
  <c r="AM39" i="1"/>
  <c r="AO39" i="1"/>
  <c r="AN39" i="1"/>
  <c r="AN25" i="1"/>
  <c r="AO25" i="1"/>
  <c r="AM25" i="1"/>
  <c r="AM26" i="1"/>
  <c r="AO26" i="1"/>
  <c r="AN26" i="1"/>
  <c r="AO18" i="2"/>
  <c r="AM23" i="2"/>
  <c r="AO23" i="2"/>
  <c r="AA9" i="3"/>
  <c r="AN44" i="2"/>
  <c r="AO44" i="2"/>
  <c r="AN36" i="2"/>
  <c r="AO36" i="2"/>
  <c r="AN25" i="2"/>
  <c r="AO25" i="2"/>
  <c r="AN38" i="2"/>
  <c r="AO31" i="2"/>
  <c r="AM31" i="2"/>
  <c r="AO42" i="2"/>
  <c r="AN42" i="2"/>
  <c r="AN46" i="2"/>
  <c r="AM46" i="2"/>
  <c r="AM37" i="2"/>
  <c r="AO37" i="2"/>
  <c r="AN16" i="2"/>
  <c r="AL35" i="2"/>
  <c r="AB9" i="3"/>
  <c r="AC6" i="3"/>
  <c r="AN43" i="2"/>
  <c r="AO29" i="2"/>
  <c r="AN29" i="2"/>
  <c r="AK34" i="2"/>
  <c r="AC8" i="3"/>
  <c r="AO20" i="2"/>
  <c r="AN20" i="2"/>
  <c r="AO32" i="2"/>
  <c r="AN32" i="2"/>
  <c r="AM32" i="2"/>
  <c r="AK27" i="2"/>
  <c r="AA10" i="3"/>
  <c r="AL28" i="2"/>
  <c r="AB11" i="3"/>
  <c r="AK28" i="2"/>
  <c r="AA11" i="3"/>
  <c r="AN33" i="2"/>
  <c r="AM33" i="2"/>
  <c r="AO33" i="2"/>
  <c r="AC5" i="3"/>
  <c r="AM13" i="2"/>
  <c r="AN13" i="2"/>
  <c r="AO13" i="2"/>
  <c r="AO47" i="2"/>
  <c r="AA12" i="3"/>
  <c r="AB7" i="3"/>
  <c r="AK15" i="2"/>
  <c r="AC7" i="3"/>
  <c r="M10" i="3"/>
  <c r="M9" i="3"/>
  <c r="M8" i="3"/>
  <c r="M7" i="3"/>
  <c r="M4" i="3"/>
  <c r="M12" i="3"/>
  <c r="M5" i="3"/>
  <c r="M6" i="3"/>
  <c r="M11" i="3"/>
  <c r="AL45" i="2"/>
  <c r="AB10" i="3"/>
  <c r="AM41" i="2"/>
  <c r="AN41" i="2"/>
  <c r="AO41" i="2"/>
  <c r="AB6" i="3"/>
  <c r="K40" i="5"/>
  <c r="L40" i="5" s="1"/>
  <c r="M40" i="5" s="1"/>
  <c r="L246" i="14" s="1"/>
  <c r="K17" i="5"/>
  <c r="L17" i="5" s="1"/>
  <c r="M17" i="5" s="1"/>
  <c r="L223" i="14" s="1"/>
  <c r="K26" i="5"/>
  <c r="L26" i="5" s="1"/>
  <c r="M26" i="5" s="1"/>
  <c r="L232" i="14" s="1"/>
  <c r="K19" i="5"/>
  <c r="L19" i="5" s="1"/>
  <c r="M19" i="5" s="1"/>
  <c r="L225" i="14" s="1"/>
  <c r="K43" i="5"/>
  <c r="L43" i="5" s="1"/>
  <c r="M43" i="5" s="1"/>
  <c r="L249" i="14" s="1"/>
  <c r="K20" i="5"/>
  <c r="L20" i="5" s="1"/>
  <c r="M20" i="5" s="1"/>
  <c r="L226" i="14" s="1"/>
  <c r="K28" i="5"/>
  <c r="L28" i="5" s="1"/>
  <c r="M28" i="5" s="1"/>
  <c r="L234" i="14" s="1"/>
  <c r="K36" i="5"/>
  <c r="L36" i="5" s="1"/>
  <c r="M36" i="5" s="1"/>
  <c r="L242" i="14" s="1"/>
  <c r="K44" i="5"/>
  <c r="L44" i="5" s="1"/>
  <c r="M44" i="5" s="1"/>
  <c r="L250" i="14" s="1"/>
  <c r="K32" i="5"/>
  <c r="L32" i="5" s="1"/>
  <c r="M32" i="5" s="1"/>
  <c r="L238" i="14" s="1"/>
  <c r="K33" i="5"/>
  <c r="L33" i="5" s="1"/>
  <c r="M33" i="5" s="1"/>
  <c r="L239" i="14" s="1"/>
  <c r="K42" i="5"/>
  <c r="L42" i="5" s="1"/>
  <c r="M42" i="5" s="1"/>
  <c r="L248" i="14" s="1"/>
  <c r="K27" i="5"/>
  <c r="L27" i="5" s="1"/>
  <c r="M27" i="5" s="1"/>
  <c r="L233" i="14" s="1"/>
  <c r="K35" i="5"/>
  <c r="L35" i="5" s="1"/>
  <c r="M35" i="5" s="1"/>
  <c r="L241" i="14" s="1"/>
  <c r="K13" i="5"/>
  <c r="L13" i="5" s="1"/>
  <c r="M13" i="5" s="1"/>
  <c r="L219" i="14" s="1"/>
  <c r="K21" i="5"/>
  <c r="L21" i="5" s="1"/>
  <c r="M21" i="5" s="1"/>
  <c r="L227" i="14" s="1"/>
  <c r="K29" i="5"/>
  <c r="L29" i="5" s="1"/>
  <c r="M29" i="5" s="1"/>
  <c r="L235" i="14" s="1"/>
  <c r="K37" i="5"/>
  <c r="L37" i="5" s="1"/>
  <c r="M37" i="5" s="1"/>
  <c r="L243" i="14" s="1"/>
  <c r="K45" i="5"/>
  <c r="L45" i="5" s="1"/>
  <c r="M45" i="5" s="1"/>
  <c r="L251" i="14" s="1"/>
  <c r="K16" i="5"/>
  <c r="L16" i="5" s="1"/>
  <c r="M16" i="5" s="1"/>
  <c r="L222" i="14" s="1"/>
  <c r="K25" i="5"/>
  <c r="L25" i="5" s="1"/>
  <c r="M25" i="5" s="1"/>
  <c r="L231" i="14" s="1"/>
  <c r="K14" i="5"/>
  <c r="L14" i="5" s="1"/>
  <c r="M14" i="5" s="1"/>
  <c r="L220" i="14" s="1"/>
  <c r="K22" i="5"/>
  <c r="L22" i="5" s="1"/>
  <c r="M22" i="5" s="1"/>
  <c r="L228" i="14" s="1"/>
  <c r="K30" i="5"/>
  <c r="L30" i="5" s="1"/>
  <c r="M30" i="5" s="1"/>
  <c r="L236" i="14" s="1"/>
  <c r="K46" i="5"/>
  <c r="L46" i="5" s="1"/>
  <c r="M46" i="5" s="1"/>
  <c r="L252" i="14" s="1"/>
  <c r="K24" i="5"/>
  <c r="L24" i="5" s="1"/>
  <c r="M24" i="5" s="1"/>
  <c r="L230" i="14" s="1"/>
  <c r="K41" i="5"/>
  <c r="L41" i="5" s="1"/>
  <c r="M41" i="5" s="1"/>
  <c r="L247" i="14" s="1"/>
  <c r="K18" i="5"/>
  <c r="L18" i="5" s="1"/>
  <c r="M18" i="5" s="1"/>
  <c r="L224" i="14" s="1"/>
  <c r="K34" i="5"/>
  <c r="L34" i="5" s="1"/>
  <c r="M34" i="5" s="1"/>
  <c r="L240" i="14" s="1"/>
  <c r="K15" i="5"/>
  <c r="L15" i="5" s="1"/>
  <c r="M15" i="5" s="1"/>
  <c r="L221" i="14" s="1"/>
  <c r="K23" i="5"/>
  <c r="L23" i="5" s="1"/>
  <c r="M23" i="5" s="1"/>
  <c r="L229" i="14" s="1"/>
  <c r="K31" i="5"/>
  <c r="L31" i="5" s="1"/>
  <c r="K39" i="5"/>
  <c r="L39" i="5" s="1"/>
  <c r="M39" i="5" s="1"/>
  <c r="L245" i="14" s="1"/>
  <c r="K47" i="5"/>
  <c r="L47" i="5" s="1"/>
  <c r="M47" i="5" s="1"/>
  <c r="L253" i="14" s="1"/>
  <c r="AM35" i="2" l="1"/>
  <c r="AO35" i="2"/>
  <c r="AN35" i="2"/>
  <c r="AO34" i="2"/>
  <c r="AN34" i="2"/>
  <c r="AO27" i="2"/>
  <c r="AM27" i="2"/>
  <c r="AN27" i="2"/>
  <c r="AN28" i="2"/>
  <c r="AO28" i="2"/>
  <c r="AM28" i="2"/>
  <c r="AO15" i="2"/>
  <c r="AN15" i="2"/>
  <c r="AM15" i="2"/>
  <c r="M31" i="5"/>
  <c r="L237" i="14" s="1"/>
  <c r="AM45" i="2"/>
  <c r="AO45" i="2"/>
  <c r="AN45" i="2"/>
  <c r="G6" i="3"/>
  <c r="G4" i="3"/>
  <c r="G8" i="3"/>
  <c r="G7" i="3"/>
  <c r="G5" i="3"/>
  <c r="G10" i="3"/>
  <c r="G9" i="3"/>
  <c r="U31" i="5" l="1"/>
  <c r="K38" i="5"/>
  <c r="L38" i="5" s="1"/>
  <c r="M38" i="5" s="1"/>
  <c r="L244" i="14" s="1"/>
  <c r="G218" i="14" l="1" a="1"/>
  <c r="G218" i="14" s="1"/>
  <c r="C5" i="3"/>
  <c r="G11" i="3"/>
  <c r="G12" i="3"/>
  <c r="AW31" i="5" l="1"/>
  <c r="AU31" i="5"/>
  <c r="AV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tc={A2081A6F-7468-437D-884A-89D5B06349A3}</author>
  </authors>
  <commentList>
    <comment ref="S41" authorId="0" shapeId="0" xr:uid="{A2081A6F-7468-437D-884A-89D5B06349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Geschätzt aufgrund von TM und trockengewicht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tc={4F8C6D3B-CD6A-44FD-8F33-DB69E12816F1}</author>
  </authors>
  <commentList>
    <comment ref="U14" authorId="0" shapeId="0" xr:uid="{4F8C6D3B-CD6A-44FD-8F33-DB69E12816F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Hatte Bezeichnung "S_A_SW_3"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tc={00279007-6DC8-4430-94FF-55CB43413B98}</author>
  </authors>
  <commentList>
    <comment ref="U14" authorId="0" shapeId="0" xr:uid="{00279007-6DC8-4430-94FF-55CB43413B9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Hatte Bezeichnung "S_A_SW_3"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tc={94E7FA04-254E-44F1-BE60-A96A54A38C7D}</author>
    <author>tc={CB0222F0-FE30-4659-A881-1B97D551CFCA}</author>
    <author>tc={08749E92-48F0-4336-885D-561722EBB3A1}</author>
  </authors>
  <commentList>
    <comment ref="Y3" authorId="0" shapeId="0" xr:uid="{94E7FA04-254E-44F1-BE60-A96A54A38C7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gibts nicht</t>
      </text>
    </comment>
    <comment ref="V33" authorId="1" shapeId="0" xr:uid="{CB0222F0-FE30-4659-A881-1B97D551CF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gibts nicht</t>
      </text>
    </comment>
    <comment ref="R36" authorId="2" shapeId="0" xr:uid="{08749E92-48F0-4336-885D-561722EBB3A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von klee kopiert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tc={E4DED78D-CBA2-4DD0-AF82-393074CF3AB1}</author>
  </authors>
  <commentList>
    <comment ref="AA30" authorId="0" shapeId="0" xr:uid="{E4DED78D-CBA2-4DD0-AF82-393074CF3AB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Zählt zu Unkraut ist weizen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tc={2197F2AC-C4B4-4528-9A11-8A305A5A7E88}</author>
    <author>tc={3A6B65B1-3AF4-4576-8D11-C16C878B6ED6}</author>
    <author>tc={91D9210B-AFB7-4285-A827-578C8EFE0DB6}</author>
  </authors>
  <commentList>
    <comment ref="Y24" authorId="0" shapeId="0" xr:uid="{2197F2AC-C4B4-4528-9A11-8A305A5A7E8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namenlose tüte hinzugefügt</t>
      </text>
    </comment>
    <comment ref="D29" authorId="1" shapeId="0" xr:uid="{3A6B65B1-3AF4-4576-8D11-C16C878B6ED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zu 17 von 27 geändert wegen handschrift</t>
      </text>
    </comment>
    <comment ref="M38" authorId="2" shapeId="0" xr:uid="{91D9210B-AFB7-4285-A827-578C8EFE0D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von b4 kopiert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<sst xmlns="http://schemas.openxmlformats.org/spreadsheetml/2006/main" count="2612" uniqueCount="122">
  <si>
    <t>Erntedaten 2020</t>
  </si>
  <si>
    <t>Block</t>
  </si>
  <si>
    <t>A</t>
  </si>
  <si>
    <t>Variante</t>
  </si>
  <si>
    <t>Struppen</t>
  </si>
  <si>
    <t>Großparzelle</t>
  </si>
  <si>
    <t>Teil-Ertrag 
TM 
[g]</t>
  </si>
  <si>
    <t>Teil-Ertrag 
FM
[g]</t>
  </si>
  <si>
    <t>TS-Gehalt
[%]</t>
  </si>
  <si>
    <t>B</t>
  </si>
  <si>
    <t>C</t>
  </si>
  <si>
    <t>D</t>
  </si>
  <si>
    <t>Doppelte 
Länge
?</t>
  </si>
  <si>
    <t>Spitzwegerich</t>
  </si>
  <si>
    <t>FM
Gesamt
[g]</t>
  </si>
  <si>
    <t>FM
Teil
[g]</t>
  </si>
  <si>
    <t>TM
Teil
[g]</t>
  </si>
  <si>
    <t>Klee</t>
  </si>
  <si>
    <t>Weidelgras</t>
  </si>
  <si>
    <t>Bitte kontrollieren</t>
  </si>
  <si>
    <t>kg</t>
  </si>
  <si>
    <t>Tüte+Zettel</t>
  </si>
  <si>
    <t>g</t>
  </si>
  <si>
    <r>
      <t>m</t>
    </r>
    <r>
      <rPr>
        <vertAlign val="superscript"/>
        <sz val="11"/>
        <color theme="1"/>
        <rFont val="Arial"/>
        <family val="2"/>
      </rPr>
      <t>2</t>
    </r>
  </si>
  <si>
    <t>Parzellen
-fläche</t>
  </si>
  <si>
    <t>Gesamt-Ertrag
FM
[kg]</t>
  </si>
  <si>
    <t>Gesamt-Ertrag
TM -Kiste
[kg]</t>
  </si>
  <si>
    <r>
      <t>Ertrag
TM
[kg/m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</si>
  <si>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Ertrag
TM
[dt/ha]</t>
  </si>
  <si>
    <t>Berechnungen</t>
  </si>
  <si>
    <t>Daten</t>
  </si>
  <si>
    <t>Kiste (Gesamt)</t>
  </si>
  <si>
    <t>Tüte (Teil)</t>
  </si>
  <si>
    <t>theoretisch nicht gesät</t>
  </si>
  <si>
    <t>Unkraut</t>
  </si>
  <si>
    <t>FM
[g]</t>
  </si>
  <si>
    <t>TM
[g]</t>
  </si>
  <si>
    <t>Bautzen</t>
  </si>
  <si>
    <t>SW</t>
  </si>
  <si>
    <t xml:space="preserve">Gras </t>
  </si>
  <si>
    <t>UK</t>
  </si>
  <si>
    <t>R 100</t>
  </si>
  <si>
    <r>
      <t>R 75</t>
    </r>
    <r>
      <rPr>
        <b/>
        <sz val="11"/>
        <color theme="1"/>
        <rFont val="Arial"/>
        <family val="2"/>
      </rPr>
      <t>/</t>
    </r>
    <r>
      <rPr>
        <b/>
        <sz val="11"/>
        <color rgb="FF538135"/>
        <rFont val="Arial"/>
        <family val="2"/>
      </rPr>
      <t>W 25</t>
    </r>
  </si>
  <si>
    <r>
      <t>R 50</t>
    </r>
    <r>
      <rPr>
        <b/>
        <sz val="11"/>
        <color theme="1"/>
        <rFont val="Arial"/>
        <family val="2"/>
      </rPr>
      <t>/</t>
    </r>
    <r>
      <rPr>
        <b/>
        <sz val="11"/>
        <color rgb="FF538135"/>
        <rFont val="Arial"/>
        <family val="2"/>
      </rPr>
      <t>W 50</t>
    </r>
  </si>
  <si>
    <r>
      <t>R 25</t>
    </r>
    <r>
      <rPr>
        <b/>
        <sz val="11"/>
        <color theme="1"/>
        <rFont val="Arial"/>
        <family val="2"/>
      </rPr>
      <t>/</t>
    </r>
    <r>
      <rPr>
        <b/>
        <sz val="11"/>
        <color rgb="FF538135"/>
        <rFont val="Arial"/>
        <family val="2"/>
      </rPr>
      <t>W 75</t>
    </r>
  </si>
  <si>
    <t>W 100</t>
  </si>
  <si>
    <r>
      <t>R 75</t>
    </r>
    <r>
      <rPr>
        <b/>
        <sz val="11"/>
        <color theme="1"/>
        <rFont val="Arial"/>
        <family val="2"/>
      </rPr>
      <t>/</t>
    </r>
    <r>
      <rPr>
        <b/>
        <sz val="11"/>
        <color rgb="FF0033CC"/>
        <rFont val="Arial"/>
        <family val="2"/>
      </rPr>
      <t>S 25</t>
    </r>
  </si>
  <si>
    <r>
      <t>R 50</t>
    </r>
    <r>
      <rPr>
        <b/>
        <sz val="11"/>
        <color theme="1"/>
        <rFont val="Arial"/>
        <family val="2"/>
      </rPr>
      <t xml:space="preserve">/ </t>
    </r>
    <r>
      <rPr>
        <b/>
        <sz val="11"/>
        <color rgb="FF0033CC"/>
        <rFont val="Arial"/>
        <family val="2"/>
      </rPr>
      <t>S 50</t>
    </r>
  </si>
  <si>
    <r>
      <t>R 25</t>
    </r>
    <r>
      <rPr>
        <b/>
        <sz val="11"/>
        <color theme="1"/>
        <rFont val="Arial"/>
        <family val="2"/>
      </rPr>
      <t xml:space="preserve">/ </t>
    </r>
    <r>
      <rPr>
        <b/>
        <sz val="11"/>
        <color rgb="FF0033CC"/>
        <rFont val="Arial"/>
        <family val="2"/>
      </rPr>
      <t>S 75</t>
    </r>
  </si>
  <si>
    <t>S 100</t>
  </si>
  <si>
    <t>Struppen 1. Schnitt</t>
  </si>
  <si>
    <t>Struppen 2. Schnitt</t>
  </si>
  <si>
    <t>Falsche Kulturen in Parzelle</t>
  </si>
  <si>
    <t>Caßlau 2. Schnitt</t>
  </si>
  <si>
    <t>Caßlau 1. Schnitt</t>
  </si>
  <si>
    <t>Struppen 1.Schnitt</t>
  </si>
  <si>
    <t>Lfd-Nr.</t>
  </si>
  <si>
    <t>Proben-Nr.</t>
  </si>
  <si>
    <t>Futtermittel</t>
  </si>
  <si>
    <t>Journal-Nr.</t>
  </si>
  <si>
    <t>Trocken-substanz [g/kg]</t>
  </si>
  <si>
    <t>Rohasche [g/kg TS]</t>
  </si>
  <si>
    <t>Rohprotein [g/kg TS]</t>
  </si>
  <si>
    <t>Rohfaser [g/kg TS]</t>
  </si>
  <si>
    <t>Rohfett [g/kg TS]</t>
  </si>
  <si>
    <t>Zucker [g/kg TS]</t>
  </si>
  <si>
    <t>ADFom [g/kg TS]</t>
  </si>
  <si>
    <t>HFT (TS) [ml/200mg]</t>
  </si>
  <si>
    <t>Protein-löslichkeit     [% des Rohproteins]</t>
  </si>
  <si>
    <t>ME [MJ/kg TS]</t>
  </si>
  <si>
    <t>NEL [MJ/kg TS]</t>
  </si>
  <si>
    <t>nRP [g/kg TS]</t>
  </si>
  <si>
    <t>rNB [g/kg TS]</t>
  </si>
  <si>
    <t>Kleegras 1. Schnitt</t>
  </si>
  <si>
    <t>falsche Parzellen entfernen</t>
  </si>
  <si>
    <t>Wiesengras 1. Schnitt</t>
  </si>
  <si>
    <t>Rotklee 50% Spitzwegerich 50 %</t>
  </si>
  <si>
    <t>Rotklee 50% Weidelgras 50 %</t>
  </si>
  <si>
    <t>Spitzwegerich 100 %</t>
  </si>
  <si>
    <t>RK 50% SW 50 %</t>
  </si>
  <si>
    <t>RK 50% W 50%</t>
  </si>
  <si>
    <t>SW 100 %</t>
  </si>
  <si>
    <t>Struppen 3. Schnitt</t>
  </si>
  <si>
    <t>Ertrag 40cm
[kg]</t>
  </si>
  <si>
    <t>Ertrag 40 cm
TM 
[g]</t>
  </si>
  <si>
    <t>Spross</t>
  </si>
  <si>
    <t xml:space="preserve">Wurzel </t>
  </si>
  <si>
    <t>Reihenabstand</t>
  </si>
  <si>
    <t>cm</t>
  </si>
  <si>
    <t xml:space="preserve">Reihen </t>
  </si>
  <si>
    <t>Caßlau 3. Schnitt</t>
  </si>
  <si>
    <t>Ertrag
TM Nichtleguminose
[dt/ha]</t>
  </si>
  <si>
    <t>Ertrag
TM Leguminose
[dt/ha]</t>
  </si>
  <si>
    <t>Leguminosenanteil</t>
  </si>
  <si>
    <t>Legumiosenanteil am Gemenge in [%]</t>
  </si>
  <si>
    <t>Nicht-Legumiosenanteil am Gemenge in [%]</t>
  </si>
  <si>
    <t>Unkraut am Gemenge in [%]</t>
  </si>
  <si>
    <t>Standort</t>
  </si>
  <si>
    <t>Ertrag_TM_Leguminose</t>
  </si>
  <si>
    <t xml:space="preserve">Datum </t>
  </si>
  <si>
    <t>Variante_Nr</t>
  </si>
  <si>
    <t xml:space="preserve">Gesamtertrag </t>
  </si>
  <si>
    <t>Ertrag_TM_Nichtleguminose</t>
  </si>
  <si>
    <t>Teil -FM
[g]</t>
  </si>
  <si>
    <t>b8 klee</t>
  </si>
  <si>
    <t>c7 klee</t>
  </si>
  <si>
    <t>d3/klee</t>
  </si>
  <si>
    <t>Frischmasse Gesamt ohne Beutel gewogen</t>
  </si>
  <si>
    <t>c3 wg</t>
  </si>
  <si>
    <t>B3</t>
  </si>
  <si>
    <t>c8</t>
  </si>
  <si>
    <t>S</t>
  </si>
  <si>
    <t>R100</t>
  </si>
  <si>
    <t>R75/W25</t>
  </si>
  <si>
    <t>R50/W50</t>
  </si>
  <si>
    <t>R25/W75</t>
  </si>
  <si>
    <t>W100</t>
  </si>
  <si>
    <t>R75/S25</t>
  </si>
  <si>
    <t>R50/S50</t>
  </si>
  <si>
    <t>R25/S75</t>
  </si>
  <si>
    <t>S100</t>
  </si>
  <si>
    <t>Ertrag_TM_Unkraut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</si>
</sst>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#0"/>
    <numFmt numFmtId="166" formatCode="##0.0"/>
  </numFmts>
  <fonts count="18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538135"/>
      <name val="Arial"/>
      <family val="2"/>
    </font>
    <font>
      <b/>
      <sz val="11"/>
      <color rgb="FF0033CC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1"/>
      <color rgb="FF00B05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6" xfId="0" applyNumberFormat="1" applyFill="1" applyBorder="1" applyAlignment="1">
      <alignment horizontal="center" vertical="center"/>
    </xf>
    <xf numFmtId="2" fontId="0" fillId="0" borderId="6" xfId="0" applyNumberFormat="1" applyBorder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/>
    <xf numFmtId="0" fontId="4" fillId="0" borderId="0" xfId="0" applyFont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4" borderId="12" xfId="0" applyNumberFormat="1" applyFill="1" applyBorder="1"/>
    <xf numFmtId="2" fontId="0" fillId="0" borderId="12" xfId="0" applyNumberFormat="1" applyBorder="1"/>
    <xf numFmtId="2" fontId="0" fillId="3" borderId="12" xfId="0" applyNumberFormat="1" applyFill="1" applyBorder="1"/>
    <xf numFmtId="2" fontId="0" fillId="4" borderId="0" xfId="0" applyNumberFormat="1" applyFill="1"/>
    <xf numFmtId="2" fontId="0" fillId="4" borderId="6" xfId="0" applyNumberFormat="1" applyFill="1" applyBorder="1"/>
    <xf numFmtId="2" fontId="0" fillId="5" borderId="0" xfId="0" applyNumberFormat="1" applyFill="1"/>
    <xf numFmtId="0" fontId="0" fillId="0" borderId="2" xfId="0" applyBorder="1"/>
    <xf numFmtId="0" fontId="0" fillId="0" borderId="7" xfId="0" applyBorder="1"/>
    <xf numFmtId="0" fontId="0" fillId="0" borderId="3" xfId="0" applyBorder="1"/>
    <xf numFmtId="2" fontId="0" fillId="0" borderId="2" xfId="0" applyNumberFormat="1" applyBorder="1"/>
    <xf numFmtId="2" fontId="0" fillId="0" borderId="7" xfId="0" applyNumberFormat="1" applyBorder="1"/>
    <xf numFmtId="2" fontId="7" fillId="4" borderId="0" xfId="0" applyNumberFormat="1" applyFont="1" applyFill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2" xfId="0" applyBorder="1"/>
    <xf numFmtId="0" fontId="0" fillId="0" borderId="0" xfId="0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3" borderId="0" xfId="0" applyNumberFormat="1" applyFill="1" applyBorder="1"/>
    <xf numFmtId="0" fontId="0" fillId="3" borderId="0" xfId="0" applyFill="1"/>
    <xf numFmtId="2" fontId="0" fillId="0" borderId="12" xfId="0" applyNumberForma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2" fontId="1" fillId="4" borderId="0" xfId="0" applyNumberFormat="1" applyFon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1" fillId="0" borderId="14" xfId="1" applyFont="1" applyBorder="1" applyAlignment="1">
      <alignment horizontal="center" wrapText="1"/>
    </xf>
    <xf numFmtId="0" fontId="11" fillId="0" borderId="15" xfId="1" applyFont="1" applyBorder="1" applyAlignment="1">
      <alignment horizontal="center" wrapText="1"/>
    </xf>
    <xf numFmtId="0" fontId="12" fillId="0" borderId="15" xfId="1" applyFont="1" applyBorder="1" applyAlignment="1">
      <alignment horizontal="center" wrapText="1"/>
    </xf>
    <xf numFmtId="164" fontId="11" fillId="0" borderId="15" xfId="1" applyNumberFormat="1" applyFont="1" applyBorder="1" applyAlignment="1">
      <alignment horizontal="center" wrapText="1"/>
    </xf>
    <xf numFmtId="1" fontId="11" fillId="0" borderId="15" xfId="1" applyNumberFormat="1" applyFont="1" applyBorder="1" applyAlignment="1">
      <alignment horizontal="center" wrapText="1"/>
    </xf>
    <xf numFmtId="0" fontId="13" fillId="0" borderId="16" xfId="1" applyFont="1" applyBorder="1" applyAlignment="1">
      <alignment horizontal="center"/>
    </xf>
    <xf numFmtId="0" fontId="11" fillId="0" borderId="17" xfId="1" applyNumberFormat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17" xfId="1" applyFont="1" applyBorder="1" applyAlignment="1">
      <alignment horizontal="center"/>
    </xf>
    <xf numFmtId="165" fontId="15" fillId="0" borderId="17" xfId="1" applyNumberFormat="1" applyFont="1" applyBorder="1" applyAlignment="1">
      <alignment horizontal="center"/>
    </xf>
    <xf numFmtId="1" fontId="15" fillId="0" borderId="17" xfId="1" applyNumberFormat="1" applyFont="1" applyBorder="1" applyAlignment="1">
      <alignment horizontal="center"/>
    </xf>
    <xf numFmtId="164" fontId="15" fillId="0" borderId="17" xfId="1" applyNumberFormat="1" applyFont="1" applyBorder="1" applyAlignment="1">
      <alignment horizontal="center"/>
    </xf>
    <xf numFmtId="0" fontId="13" fillId="0" borderId="18" xfId="1" applyFont="1" applyBorder="1" applyAlignment="1">
      <alignment horizontal="center"/>
    </xf>
    <xf numFmtId="165" fontId="15" fillId="0" borderId="19" xfId="1" applyNumberFormat="1" applyFont="1" applyBorder="1" applyAlignment="1">
      <alignment horizontal="center"/>
    </xf>
    <xf numFmtId="1" fontId="15" fillId="0" borderId="19" xfId="1" applyNumberFormat="1" applyFont="1" applyBorder="1" applyAlignment="1">
      <alignment horizontal="center"/>
    </xf>
    <xf numFmtId="164" fontId="15" fillId="0" borderId="19" xfId="1" applyNumberFormat="1" applyFont="1" applyBorder="1" applyAlignment="1">
      <alignment horizontal="center"/>
    </xf>
    <xf numFmtId="164" fontId="11" fillId="0" borderId="20" xfId="1" applyNumberFormat="1" applyFont="1" applyBorder="1" applyAlignment="1">
      <alignment horizontal="center" wrapText="1"/>
    </xf>
    <xf numFmtId="164" fontId="11" fillId="0" borderId="21" xfId="1" applyNumberFormat="1" applyFont="1" applyBorder="1" applyAlignment="1">
      <alignment horizontal="center" wrapText="1"/>
    </xf>
    <xf numFmtId="2" fontId="0" fillId="4" borderId="0" xfId="0" applyNumberFormat="1" applyFill="1" applyBorder="1"/>
    <xf numFmtId="1" fontId="11" fillId="3" borderId="15" xfId="1" applyNumberFormat="1" applyFont="1" applyFill="1" applyBorder="1" applyAlignment="1">
      <alignment horizontal="center" wrapText="1"/>
    </xf>
    <xf numFmtId="164" fontId="15" fillId="3" borderId="17" xfId="1" applyNumberFormat="1" applyFont="1" applyFill="1" applyBorder="1" applyAlignment="1">
      <alignment horizontal="center"/>
    </xf>
    <xf numFmtId="164" fontId="15" fillId="3" borderId="19" xfId="1" applyNumberFormat="1" applyFont="1" applyFill="1" applyBorder="1" applyAlignment="1">
      <alignment horizontal="center"/>
    </xf>
    <xf numFmtId="164" fontId="11" fillId="3" borderId="15" xfId="1" applyNumberFormat="1" applyFont="1" applyFill="1" applyBorder="1" applyAlignment="1">
      <alignment horizontal="center" wrapText="1"/>
    </xf>
    <xf numFmtId="1" fontId="15" fillId="3" borderId="17" xfId="1" applyNumberFormat="1" applyFont="1" applyFill="1" applyBorder="1" applyAlignment="1">
      <alignment horizontal="center"/>
    </xf>
    <xf numFmtId="1" fontId="15" fillId="3" borderId="19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/>
    <xf numFmtId="0" fontId="14" fillId="0" borderId="0" xfId="1" applyFont="1" applyFill="1" applyBorder="1" applyAlignment="1">
      <alignment horizontal="center"/>
    </xf>
    <xf numFmtId="166" fontId="0" fillId="0" borderId="0" xfId="0" applyNumberFormat="1"/>
    <xf numFmtId="165" fontId="0" fillId="7" borderId="0" xfId="0" applyNumberFormat="1" applyFill="1"/>
    <xf numFmtId="166" fontId="0" fillId="7" borderId="0" xfId="0" applyNumberFormat="1" applyFill="1"/>
    <xf numFmtId="165" fontId="0" fillId="8" borderId="0" xfId="0" applyNumberFormat="1" applyFill="1"/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2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 applyFill="1"/>
    <xf numFmtId="2" fontId="1" fillId="0" borderId="12" xfId="0" applyNumberFormat="1" applyFont="1" applyBorder="1"/>
    <xf numFmtId="2" fontId="1" fillId="0" borderId="12" xfId="0" applyNumberFormat="1" applyFont="1" applyFill="1" applyBorder="1"/>
    <xf numFmtId="2" fontId="1" fillId="0" borderId="13" xfId="0" applyNumberFormat="1" applyFont="1" applyBorder="1"/>
    <xf numFmtId="2" fontId="14" fillId="0" borderId="13" xfId="0" applyNumberFormat="1" applyFont="1" applyBorder="1"/>
    <xf numFmtId="2" fontId="14" fillId="0" borderId="13" xfId="0" applyNumberFormat="1" applyFont="1" applyFill="1" applyBorder="1"/>
    <xf numFmtId="2" fontId="16" fillId="0" borderId="12" xfId="0" applyNumberFormat="1" applyFont="1" applyBorder="1"/>
    <xf numFmtId="2" fontId="16" fillId="0" borderId="0" xfId="0" applyNumberFormat="1" applyFont="1" applyBorder="1"/>
    <xf numFmtId="2" fontId="16" fillId="0" borderId="13" xfId="0" applyNumberFormat="1" applyFont="1" applyBorder="1"/>
    <xf numFmtId="2" fontId="16" fillId="0" borderId="6" xfId="0" applyNumberFormat="1" applyFont="1" applyBorder="1"/>
    <xf numFmtId="2" fontId="16" fillId="4" borderId="12" xfId="0" applyNumberFormat="1" applyFont="1" applyFill="1" applyBorder="1"/>
    <xf numFmtId="2" fontId="16" fillId="4" borderId="0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/>
    <xf numFmtId="2" fontId="16" fillId="4" borderId="0" xfId="0" applyNumberFormat="1" applyFont="1" applyFill="1"/>
    <xf numFmtId="2" fontId="16" fillId="4" borderId="6" xfId="0" applyNumberFormat="1" applyFont="1" applyFill="1" applyBorder="1"/>
    <xf numFmtId="2" fontId="16" fillId="0" borderId="0" xfId="0" applyNumberFormat="1" applyFont="1" applyFill="1"/>
    <xf numFmtId="0" fontId="16" fillId="0" borderId="0" xfId="0" applyFont="1" applyAlignment="1">
      <alignment horizontal="center" vertical="center"/>
    </xf>
    <xf numFmtId="2" fontId="16" fillId="5" borderId="0" xfId="0" applyNumberFormat="1" applyFont="1" applyFill="1"/>
    <xf numFmtId="0" fontId="16" fillId="0" borderId="0" xfId="0" applyFont="1"/>
    <xf numFmtId="0" fontId="16" fillId="0" borderId="6" xfId="0" applyFont="1" applyBorder="1"/>
    <xf numFmtId="2" fontId="14" fillId="4" borderId="6" xfId="0" applyNumberFormat="1" applyFont="1" applyFill="1" applyBorder="1"/>
    <xf numFmtId="2" fontId="14" fillId="0" borderId="0" xfId="0" applyNumberFormat="1" applyFont="1"/>
    <xf numFmtId="0" fontId="14" fillId="0" borderId="0" xfId="0" applyFont="1"/>
    <xf numFmtId="2" fontId="1" fillId="0" borderId="0" xfId="0" applyNumberFormat="1" applyFont="1"/>
    <xf numFmtId="2" fontId="1" fillId="0" borderId="0" xfId="0" applyNumberFormat="1" applyFont="1" applyFill="1" applyBorder="1"/>
    <xf numFmtId="2" fontId="1" fillId="0" borderId="0" xfId="0" applyNumberFormat="1" applyFont="1" applyBorder="1"/>
    <xf numFmtId="0" fontId="0" fillId="0" borderId="0" xfId="0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3" xfId="0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2" fontId="0" fillId="0" borderId="6" xfId="0" applyNumberFormat="1" applyFill="1" applyBorder="1"/>
    <xf numFmtId="2" fontId="0" fillId="0" borderId="13" xfId="0" applyNumberFormat="1" applyFill="1" applyBorder="1"/>
    <xf numFmtId="2" fontId="7" fillId="0" borderId="12" xfId="0" applyNumberFormat="1" applyFont="1" applyFill="1" applyBorder="1"/>
    <xf numFmtId="2" fontId="7" fillId="0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2" fontId="17" fillId="4" borderId="0" xfId="0" applyNumberFormat="1" applyFont="1" applyFill="1"/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0" fillId="3" borderId="2" xfId="0" applyNumberFormat="1" applyFill="1" applyBorder="1"/>
    <xf numFmtId="2" fontId="1" fillId="3" borderId="0" xfId="0" applyNumberFormat="1" applyFont="1" applyFill="1"/>
    <xf numFmtId="2" fontId="0" fillId="0" borderId="8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9" borderId="0" xfId="0" applyNumberFormat="1" applyFill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8" borderId="23" xfId="0" applyFill="1" applyBorder="1" applyAlignment="1">
      <alignment horizontal="center" wrapText="1"/>
    </xf>
    <xf numFmtId="0" fontId="0" fillId="8" borderId="2" xfId="0" applyFill="1" applyBorder="1" applyAlignment="1">
      <alignment horizontal="center" vertical="center"/>
    </xf>
    <xf numFmtId="14" fontId="0" fillId="8" borderId="0" xfId="0" applyNumberFormat="1" applyFill="1"/>
    <xf numFmtId="1" fontId="0" fillId="8" borderId="0" xfId="0" applyNumberFormat="1" applyFill="1" applyAlignment="1">
      <alignment horizontal="center" wrapText="1"/>
    </xf>
    <xf numFmtId="2" fontId="0" fillId="8" borderId="0" xfId="0" applyNumberFormat="1" applyFill="1"/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wrapText="1"/>
    </xf>
    <xf numFmtId="0" fontId="0" fillId="7" borderId="2" xfId="0" applyFill="1" applyBorder="1" applyAlignment="1">
      <alignment horizontal="center" vertical="center"/>
    </xf>
    <xf numFmtId="14" fontId="0" fillId="7" borderId="0" xfId="0" applyNumberFormat="1" applyFill="1"/>
    <xf numFmtId="1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 wrapText="1"/>
    </xf>
    <xf numFmtId="2" fontId="0" fillId="7" borderId="0" xfId="0" applyNumberFormat="1" applyFill="1"/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23" xfId="0" applyFill="1" applyBorder="1" applyAlignment="1">
      <alignment horizontal="center" wrapText="1"/>
    </xf>
    <xf numFmtId="0" fontId="0" fillId="11" borderId="2" xfId="0" applyFill="1" applyBorder="1" applyAlignment="1">
      <alignment horizontal="center" vertical="center"/>
    </xf>
    <xf numFmtId="14" fontId="0" fillId="11" borderId="0" xfId="0" applyNumberFormat="1" applyFill="1"/>
    <xf numFmtId="1" fontId="0" fillId="11" borderId="0" xfId="0" applyNumberFormat="1" applyFill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2" fontId="0" fillId="11" borderId="0" xfId="0" applyNumberFormat="1" applyFill="1"/>
    <xf numFmtId="2" fontId="0" fillId="12" borderId="6" xfId="0" applyNumberFormat="1" applyFill="1" applyBorder="1" applyAlignment="1">
      <alignment horizontal="center" vertical="center"/>
    </xf>
    <xf numFmtId="164" fontId="0" fillId="12" borderId="6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13" xfId="0" applyNumberFormat="1" applyBorder="1"/>
    <xf numFmtId="2" fontId="7" fillId="4" borderId="12" xfId="0" applyNumberFormat="1" applyFont="1" applyFill="1" applyBorder="1"/>
    <xf numFmtId="2" fontId="0" fillId="3" borderId="6" xfId="0" applyNumberForma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0" borderId="6" xfId="0" applyBorder="1"/>
    <xf numFmtId="2" fontId="0" fillId="3" borderId="13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23" xfId="0" applyFill="1" applyBorder="1" applyAlignment="1">
      <alignment horizontal="center" wrapText="1"/>
    </xf>
    <xf numFmtId="0" fontId="0" fillId="13" borderId="2" xfId="0" applyFill="1" applyBorder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1" fontId="0" fillId="13" borderId="0" xfId="0" applyNumberFormat="1" applyFill="1" applyAlignment="1">
      <alignment horizontal="center" wrapText="1"/>
    </xf>
    <xf numFmtId="2" fontId="0" fillId="13" borderId="0" xfId="0" applyNumberFormat="1" applyFill="1"/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14" borderId="23" xfId="0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14" fontId="0" fillId="14" borderId="0" xfId="0" applyNumberFormat="1" applyFill="1"/>
    <xf numFmtId="1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 wrapText="1"/>
    </xf>
    <xf numFmtId="2" fontId="0" fillId="14" borderId="0" xfId="0" applyNumberFormat="1" applyFill="1"/>
    <xf numFmtId="0" fontId="0" fillId="14" borderId="0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164" fontId="0" fillId="14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 wrapText="1"/>
    </xf>
    <xf numFmtId="164" fontId="0" fillId="14" borderId="0" xfId="0" applyNumberFormat="1" applyFill="1"/>
    <xf numFmtId="164" fontId="0" fillId="3" borderId="0" xfId="0" applyNumberFormat="1" applyFill="1" applyAlignment="1">
      <alignment horizontal="center" wrapText="1"/>
    </xf>
    <xf numFmtId="164" fontId="1" fillId="14" borderId="0" xfId="0" applyNumberFormat="1" applyFont="1" applyFill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Standard" xfId="0" builtinId="0"/>
    <cellStyle name="Standard_Tabelle1" xfId="1" xr:uid="{FEAE0042-EAF3-4E58-9880-489A2DF67C31}"/>
  </cellStyles>
  <dxfs count="0"/>
  <tableStyles count="1" defaultTableStyle="TableStyleMedium2" defaultPivotStyle="PivotStyleLight16">
    <tableStyle name="Invisible" pivot="0" table="0" count="0" xr9:uid="{EB506912-128B-444C-8B5F-A2018D816A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Zusammensetzung Struppen 1. Schnitt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Mittelwerte!$F$3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Mittelwerte!$F$4:$F$12</c:f>
              <c:numCache>
                <c:formatCode>0.00</c:formatCode>
                <c:ptCount val="9"/>
                <c:pt idx="0">
                  <c:v>0.64023809694208533</c:v>
                </c:pt>
                <c:pt idx="1">
                  <c:v>0.48845540559201772</c:v>
                </c:pt>
                <c:pt idx="2">
                  <c:v>0.16421934615779196</c:v>
                </c:pt>
                <c:pt idx="3">
                  <c:v>0.2801576487289954</c:v>
                </c:pt>
                <c:pt idx="4">
                  <c:v>0.24084915546083849</c:v>
                </c:pt>
                <c:pt idx="5">
                  <c:v>0.57445288096340708</c:v>
                </c:pt>
                <c:pt idx="6">
                  <c:v>0.37816001084593553</c:v>
                </c:pt>
                <c:pt idx="7">
                  <c:v>0.49321822753541944</c:v>
                </c:pt>
                <c:pt idx="8">
                  <c:v>0.44937256209861481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5-49D0-9F13-F2D87BA2276F}"/>
            </c:ext>
          </c:extLst>
        </c:ser>
        <c:ser>
          <c:idx val="1"/>
          <c:order val="1"/>
          <c:tx>
            <c:strRef>
              <c:f>Mittelwerte!$D$3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Mittelwerte!$D$4:$D$12</c:f>
              <c:numCache>
                <c:formatCode>0.00</c:formatCode>
                <c:ptCount val="9"/>
                <c:pt idx="0">
                  <c:v>51.002737545445918</c:v>
                </c:pt>
                <c:pt idx="1">
                  <c:v>23.496233907451916</c:v>
                </c:pt>
                <c:pt idx="2">
                  <c:v>7.7221478410561915</c:v>
                </c:pt>
                <c:pt idx="3">
                  <c:v>0.64291265614289284</c:v>
                </c:pt>
                <c:pt idx="4">
                  <c:v>0</c:v>
                </c:pt>
                <c:pt idx="5">
                  <c:v>38.845783508656723</c:v>
                </c:pt>
                <c:pt idx="6">
                  <c:v>26.41948323681909</c:v>
                </c:pt>
                <c:pt idx="7">
                  <c:v>11.958397029250717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5-49D0-9F13-F2D87BA2276F}"/>
            </c:ext>
          </c:extLst>
        </c:ser>
        <c:ser>
          <c:idx val="0"/>
          <c:order val="2"/>
          <c:tx>
            <c:strRef>
              <c:f>Mittelwerte!$C$3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Mittelwerte!$C$4:$C$12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9.5490298145646051</c:v>
                </c:pt>
                <c:pt idx="6">
                  <c:v>20.417685002075686</c:v>
                </c:pt>
                <c:pt idx="7">
                  <c:v>25.662788657016776</c:v>
                </c:pt>
                <c:pt idx="8">
                  <c:v>27.092638956864405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5-49D0-9F13-F2D87BA2276F}"/>
            </c:ext>
          </c:extLst>
        </c:ser>
        <c:ser>
          <c:idx val="2"/>
          <c:order val="3"/>
          <c:tx>
            <c:strRef>
              <c:f>Mittelwerte!$E$3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Mittelwerte!$E$4:$E$12</c:f>
              <c:numCache>
                <c:formatCode>0.00</c:formatCode>
                <c:ptCount val="9"/>
                <c:pt idx="0">
                  <c:v>0</c:v>
                </c:pt>
                <c:pt idx="1">
                  <c:v>51.636719541914609</c:v>
                </c:pt>
                <c:pt idx="2">
                  <c:v>56.184841140271352</c:v>
                </c:pt>
                <c:pt idx="3">
                  <c:v>77.722394910785823</c:v>
                </c:pt>
                <c:pt idx="4">
                  <c:v>55.799283190090435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5-49D0-9F13-F2D87BA2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640576"/>
        <c:axId val="292293264"/>
      </c:barChart>
      <c:catAx>
        <c:axId val="2896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293264"/>
        <c:crosses val="autoZero"/>
        <c:auto val="1"/>
        <c:lblAlgn val="ctr"/>
        <c:lblOffset val="100"/>
        <c:noMultiLvlLbl val="0"/>
      </c:catAx>
      <c:valAx>
        <c:axId val="292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dt/ha</a:t>
                </a:r>
                <a:r>
                  <a:rPr lang="de-DE" baseline="0"/>
                  <a:t> TM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6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Rohprotein [g/kg TS]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438648293963257"/>
          <c:y val="0.16245370370370371"/>
          <c:w val="0.82450240594925639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'FM S 1. Schnitt'!$B$19</c:f>
              <c:strCache>
                <c:ptCount val="1"/>
                <c:pt idx="0">
                  <c:v>Struppen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E34D84-DAD3-4FAB-A9D7-91ABB36E45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091-4B2A-A833-916EBBB513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65821C-3791-474D-A2EE-66B5B9D59C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091-4B2A-A833-916EBBB513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FE874E-1A30-41BA-B6A6-29A52BBEEB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091-4B2A-A833-916EBBB51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'FM S 1. Schnitt'!$D$19:$D$21</c:f>
              <c:strCache>
                <c:ptCount val="3"/>
                <c:pt idx="0">
                  <c:v>RK 50% W 50%</c:v>
                </c:pt>
                <c:pt idx="1">
                  <c:v>RK 50% SW 50 %</c:v>
                </c:pt>
                <c:pt idx="2">
                  <c:v>SW 100 %</c:v>
                </c:pt>
              </c:strCache>
            </c:strRef>
          </c:cat>
          <c:val>
            <c:numRef>
              <c:f>'FM S 1. Schnitt'!$G$19:$G$21</c:f>
              <c:numCache>
                <c:formatCode>##0</c:formatCode>
                <c:ptCount val="3"/>
                <c:pt idx="0">
                  <c:v>111.66430489668684</c:v>
                </c:pt>
                <c:pt idx="1">
                  <c:v>187.62603920263808</c:v>
                </c:pt>
                <c:pt idx="2">
                  <c:v>132.02258631276339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'FM S 1. Schnitt'!$G$25:$G$27</c15:f>
                <c15:dlblRangeCache>
                  <c:ptCount val="3"/>
                  <c:pt idx="0">
                    <c:v>B</c:v>
                  </c:pt>
                  <c:pt idx="1">
                    <c:v>A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091-4B2A-A833-916EBBB51374}"/>
            </c:ext>
          </c:extLst>
        </c:ser>
        <c:ser>
          <c:idx val="1"/>
          <c:order val="1"/>
          <c:tx>
            <c:strRef>
              <c:f>'FM S 1. Schnitt'!$B$22</c:f>
              <c:strCache>
                <c:ptCount val="1"/>
                <c:pt idx="0">
                  <c:v>Bautzen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70C0B12-CDDE-481F-92DD-3EF1C50C64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091-4B2A-A833-916EBBB513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34F62E-B522-46FA-885B-C3A4A42E24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091-4B2A-A833-916EBBB513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E3DB22-75E0-4754-94E0-309C49D849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091-4B2A-A833-916EBBB51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'FM S 1. Schnitt'!$G$22:$G$24</c:f>
              <c:numCache>
                <c:formatCode>##0</c:formatCode>
                <c:ptCount val="3"/>
                <c:pt idx="0">
                  <c:v>63.290275864496273</c:v>
                </c:pt>
                <c:pt idx="1">
                  <c:v>121.52687088836142</c:v>
                </c:pt>
                <c:pt idx="2">
                  <c:v>78.322284616883238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'FM S 1. Schnitt'!$G$28:$G$30</c15:f>
                <c15:dlblRangeCache>
                  <c:ptCount val="3"/>
                  <c:pt idx="0">
                    <c:v>B</c:v>
                  </c:pt>
                  <c:pt idx="1">
                    <c:v>A</c:v>
                  </c:pt>
                  <c:pt idx="2">
                    <c:v>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091-4B2A-A833-916EBBB5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25408"/>
        <c:axId val="584978672"/>
      </c:barChart>
      <c:catAx>
        <c:axId val="80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978672"/>
        <c:crosses val="autoZero"/>
        <c:auto val="1"/>
        <c:lblAlgn val="ctr"/>
        <c:lblOffset val="100"/>
        <c:noMultiLvlLbl val="0"/>
      </c:catAx>
      <c:valAx>
        <c:axId val="584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baseline="0">
                    <a:effectLst/>
                  </a:rPr>
                  <a:t>Rohprotein [g/kg TS]</a:t>
                </a:r>
                <a:endParaRPr lang="de-DE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7515419947506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NEL 1. Schnitt </a:t>
            </a:r>
          </a:p>
        </c:rich>
      </c:tx>
      <c:layout>
        <c:manualLayout>
          <c:xMode val="edge"/>
          <c:yMode val="edge"/>
          <c:x val="0.337388888888888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'FM S 1. Schnitt'!$B$19</c:f>
              <c:strCache>
                <c:ptCount val="1"/>
                <c:pt idx="0">
                  <c:v>Struppen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B00D47-603F-4ECD-8EAB-4A06C054CD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20-4D1B-96DC-7C1E83FEDF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43F79E-E6B5-4AF7-82B1-6368CCE09E9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20-4D1B-96DC-7C1E83FEDF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FC2A57-CF2D-474F-BA5F-DF10BFDA2D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20-4D1B-96DC-7C1E83FED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'FM S 1. Schnitt'!$D$19:$D$21</c:f>
              <c:strCache>
                <c:ptCount val="3"/>
                <c:pt idx="0">
                  <c:v>RK 50% W 50%</c:v>
                </c:pt>
                <c:pt idx="1">
                  <c:v>RK 50% SW 50 %</c:v>
                </c:pt>
                <c:pt idx="2">
                  <c:v>SW 100 %</c:v>
                </c:pt>
              </c:strCache>
            </c:strRef>
          </c:cat>
          <c:val>
            <c:numRef>
              <c:f>'FM S 1. Schnitt'!$O$19:$O$21</c:f>
              <c:numCache>
                <c:formatCode>##0.0</c:formatCode>
                <c:ptCount val="3"/>
                <c:pt idx="0">
                  <c:v>6.2732414218334505</c:v>
                </c:pt>
                <c:pt idx="1">
                  <c:v>7.0872004670485236</c:v>
                </c:pt>
                <c:pt idx="2">
                  <c:v>7.0445383554425458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'FM S 1. Schnitt'!$O$25:$O$27</c15:f>
                <c15:dlblRangeCache>
                  <c:ptCount val="3"/>
                  <c:pt idx="0">
                    <c:v>B</c:v>
                  </c:pt>
                  <c:pt idx="1">
                    <c:v>A</c:v>
                  </c:pt>
                  <c:pt idx="2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20-4D1B-96DC-7C1E83FEDFB8}"/>
            </c:ext>
          </c:extLst>
        </c:ser>
        <c:ser>
          <c:idx val="1"/>
          <c:order val="1"/>
          <c:tx>
            <c:strRef>
              <c:f>'FM S 1. Schnitt'!$B$22</c:f>
              <c:strCache>
                <c:ptCount val="1"/>
                <c:pt idx="0">
                  <c:v>Bautzen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B17360-4CAC-4390-BDFF-B4273D243A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320-4D1B-96DC-7C1E83FEDF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773DAA-E653-4EFE-A16A-930913B5F4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20-4D1B-96DC-7C1E83FEDF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ED3616-1C04-4975-BCD8-78055F59F88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20-4D1B-96DC-7C1E83FEDF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'FM S 1. Schnitt'!$O$22:$O$24</c:f>
              <c:numCache>
                <c:formatCode>##0</c:formatCode>
                <c:ptCount val="3"/>
                <c:pt idx="0">
                  <c:v>5.5820170372353646</c:v>
                </c:pt>
                <c:pt idx="1">
                  <c:v>7.0477888981329508</c:v>
                </c:pt>
                <c:pt idx="2">
                  <c:v>7.6029124036814908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'FM S 1. Schnitt'!$O$28:$O$30</c15:f>
                <c15:dlblRangeCache>
                  <c:ptCount val="3"/>
                  <c:pt idx="0">
                    <c:v>C</c:v>
                  </c:pt>
                  <c:pt idx="1">
                    <c:v>B</c:v>
                  </c:pt>
                  <c:pt idx="2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320-4D1B-96DC-7C1E83FE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25408"/>
        <c:axId val="584978672"/>
      </c:barChart>
      <c:catAx>
        <c:axId val="80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978672"/>
        <c:crosses val="autoZero"/>
        <c:auto val="1"/>
        <c:lblAlgn val="ctr"/>
        <c:lblOffset val="100"/>
        <c:noMultiLvlLbl val="0"/>
      </c:catAx>
      <c:valAx>
        <c:axId val="584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effectLst/>
                  </a:rPr>
                  <a:t>NEL [MJ/kg 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Zusammensetzung Struppen 2. Schnitt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Mittelwerte!$L$3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Mittelwerte!$L$4:$L$12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5-4AD4-99F2-051EDEF82702}"/>
            </c:ext>
          </c:extLst>
        </c:ser>
        <c:ser>
          <c:idx val="1"/>
          <c:order val="1"/>
          <c:tx>
            <c:strRef>
              <c:f>Mittelwerte!$J$3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Mittelwerte!$J$4:$J$12</c:f>
              <c:numCache>
                <c:formatCode>0.00</c:formatCode>
                <c:ptCount val="9"/>
                <c:pt idx="0">
                  <c:v>34.608202867529194</c:v>
                </c:pt>
                <c:pt idx="1">
                  <c:v>16.929165221403668</c:v>
                </c:pt>
                <c:pt idx="2">
                  <c:v>8.2387385957728405</c:v>
                </c:pt>
                <c:pt idx="3">
                  <c:v>2.3627773865233399</c:v>
                </c:pt>
                <c:pt idx="4">
                  <c:v>0</c:v>
                </c:pt>
                <c:pt idx="5">
                  <c:v>26.322281294443446</c:v>
                </c:pt>
                <c:pt idx="6">
                  <c:v>15.180368743483481</c:v>
                </c:pt>
                <c:pt idx="7">
                  <c:v>11.149305716794748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5-4AD4-99F2-051EDEF82702}"/>
            </c:ext>
          </c:extLst>
        </c:ser>
        <c:ser>
          <c:idx val="0"/>
          <c:order val="2"/>
          <c:tx>
            <c:strRef>
              <c:f>Mittelwerte!$I$3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Mittelwerte!$I$4:$I$12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10.816684511156696</c:v>
                </c:pt>
                <c:pt idx="6">
                  <c:v>19.874814146100206</c:v>
                </c:pt>
                <c:pt idx="7">
                  <c:v>22.946215884903047</c:v>
                </c:pt>
                <c:pt idx="8">
                  <c:v>22.823898213210665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5-4AD4-99F2-051EDEF82702}"/>
            </c:ext>
          </c:extLst>
        </c:ser>
        <c:ser>
          <c:idx val="2"/>
          <c:order val="3"/>
          <c:tx>
            <c:strRef>
              <c:f>Mittelwerte!$K$3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Mittelwerte!$K$4:$K$12</c:f>
              <c:numCache>
                <c:formatCode>0.00</c:formatCode>
                <c:ptCount val="9"/>
                <c:pt idx="0">
                  <c:v>0</c:v>
                </c:pt>
                <c:pt idx="1">
                  <c:v>15.31168294569764</c:v>
                </c:pt>
                <c:pt idx="2">
                  <c:v>18.744756324767678</c:v>
                </c:pt>
                <c:pt idx="3">
                  <c:v>17.982696604476999</c:v>
                </c:pt>
                <c:pt idx="4">
                  <c:v>18.622019989569409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5-4AD4-99F2-051EDEF8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413632"/>
        <c:axId val="82059968"/>
      </c:barChart>
      <c:catAx>
        <c:axId val="3924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59968"/>
        <c:crosses val="autoZero"/>
        <c:auto val="1"/>
        <c:lblAlgn val="ctr"/>
        <c:lblOffset val="100"/>
        <c:noMultiLvlLbl val="0"/>
      </c:catAx>
      <c:valAx>
        <c:axId val="820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0" i="0" baseline="0">
                    <a:effectLst/>
                  </a:rPr>
                  <a:t>dt/ha TM</a:t>
                </a:r>
                <a:endParaRPr lang="de-D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4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Zusammensetzung Caßlau 1. Schnitt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Mittelwerte!$X$3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Mittelwerte!$X$4:$X$12</c:f>
              <c:numCache>
                <c:formatCode>0.00</c:formatCode>
                <c:ptCount val="9"/>
                <c:pt idx="0">
                  <c:v>3.9557111208722713</c:v>
                </c:pt>
                <c:pt idx="1">
                  <c:v>1.2866287687931455</c:v>
                </c:pt>
                <c:pt idx="2">
                  <c:v>0.94626369204969785</c:v>
                </c:pt>
                <c:pt idx="3">
                  <c:v>0.73516063991889924</c:v>
                </c:pt>
                <c:pt idx="4">
                  <c:v>0.42181139394862177</c:v>
                </c:pt>
                <c:pt idx="5">
                  <c:v>2.761549613890681</c:v>
                </c:pt>
                <c:pt idx="6">
                  <c:v>1.383347311691699</c:v>
                </c:pt>
                <c:pt idx="7">
                  <c:v>1.1154238476721521</c:v>
                </c:pt>
                <c:pt idx="8">
                  <c:v>1.292222409376323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3-466F-A766-6141D71C4C85}"/>
            </c:ext>
          </c:extLst>
        </c:ser>
        <c:ser>
          <c:idx val="1"/>
          <c:order val="1"/>
          <c:tx>
            <c:strRef>
              <c:f>Mittelwerte!$V$3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Mittelwerte!$V$4:$V$12</c:f>
              <c:numCache>
                <c:formatCode>0.00</c:formatCode>
                <c:ptCount val="9"/>
                <c:pt idx="0">
                  <c:v>26.704648090118624</c:v>
                </c:pt>
                <c:pt idx="1">
                  <c:v>19.861453596417917</c:v>
                </c:pt>
                <c:pt idx="2">
                  <c:v>14.390009250226312</c:v>
                </c:pt>
                <c:pt idx="3">
                  <c:v>5.3060738493924937</c:v>
                </c:pt>
                <c:pt idx="4">
                  <c:v>0</c:v>
                </c:pt>
                <c:pt idx="5">
                  <c:v>28.483880926242833</c:v>
                </c:pt>
                <c:pt idx="6">
                  <c:v>23.173853684058408</c:v>
                </c:pt>
                <c:pt idx="7">
                  <c:v>10.181054290422063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466F-A766-6141D71C4C85}"/>
            </c:ext>
          </c:extLst>
        </c:ser>
        <c:ser>
          <c:idx val="0"/>
          <c:order val="2"/>
          <c:tx>
            <c:strRef>
              <c:f>Mittelwerte!$U$3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Mittelwerte!$U$4:$U$12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10.097196821317072</c:v>
                </c:pt>
                <c:pt idx="6">
                  <c:v>11.130444862589078</c:v>
                </c:pt>
                <c:pt idx="7">
                  <c:v>13.670756262639289</c:v>
                </c:pt>
                <c:pt idx="8">
                  <c:v>14.872173562854107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66F-A766-6141D71C4C85}"/>
            </c:ext>
          </c:extLst>
        </c:ser>
        <c:ser>
          <c:idx val="2"/>
          <c:order val="3"/>
          <c:tx>
            <c:strRef>
              <c:f>Mittelwerte!$W$3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Mittelwerte!$W$4:$W$12</c:f>
              <c:numCache>
                <c:formatCode>0.00</c:formatCode>
                <c:ptCount val="9"/>
                <c:pt idx="0">
                  <c:v>0</c:v>
                </c:pt>
                <c:pt idx="1">
                  <c:v>16.673787136693296</c:v>
                </c:pt>
                <c:pt idx="2">
                  <c:v>32.630072865073103</c:v>
                </c:pt>
                <c:pt idx="3">
                  <c:v>24.943008134874461</c:v>
                </c:pt>
                <c:pt idx="4">
                  <c:v>29.407920437376905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466F-A766-6141D71C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713888"/>
        <c:axId val="394619488"/>
      </c:barChart>
      <c:catAx>
        <c:axId val="1741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619488"/>
        <c:crosses val="autoZero"/>
        <c:auto val="1"/>
        <c:lblAlgn val="ctr"/>
        <c:lblOffset val="100"/>
        <c:noMultiLvlLbl val="0"/>
      </c:catAx>
      <c:valAx>
        <c:axId val="394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baseline="0">
                    <a:effectLst/>
                  </a:rPr>
                  <a:t>dt/ha TM</a:t>
                </a:r>
                <a:endParaRPr lang="de-D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Zusammensetzung Caßlau 2. Schnitt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Mittelwerte!$AD$3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Mittelwerte!$AD$4:$AD$12</c:f>
              <c:numCache>
                <c:formatCode>0.00</c:formatCode>
                <c:ptCount val="9"/>
                <c:pt idx="0">
                  <c:v>0.5520746461532744</c:v>
                </c:pt>
                <c:pt idx="1">
                  <c:v>-6.5575523987808443E-2</c:v>
                </c:pt>
                <c:pt idx="2">
                  <c:v>7.4558823529411846E-3</c:v>
                </c:pt>
                <c:pt idx="3">
                  <c:v>5.3827586206896538E-2</c:v>
                </c:pt>
                <c:pt idx="4">
                  <c:v>0.28632166083041521</c:v>
                </c:pt>
                <c:pt idx="5">
                  <c:v>0.35060149632975723</c:v>
                </c:pt>
                <c:pt idx="6">
                  <c:v>0.31574999999999998</c:v>
                </c:pt>
                <c:pt idx="7">
                  <c:v>0.17444844150256764</c:v>
                </c:pt>
                <c:pt idx="8">
                  <c:v>0.18791129787773372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5-43CB-B37C-D447FC0C4F62}"/>
            </c:ext>
          </c:extLst>
        </c:ser>
        <c:ser>
          <c:idx val="1"/>
          <c:order val="1"/>
          <c:tx>
            <c:strRef>
              <c:f>Mittelwerte!$AB$3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Mittelwerte!$AB$4:$AB$12</c:f>
              <c:numCache>
                <c:formatCode>0.00</c:formatCode>
                <c:ptCount val="9"/>
                <c:pt idx="0">
                  <c:v>18.439540980257853</c:v>
                </c:pt>
                <c:pt idx="1">
                  <c:v>15.810690296234291</c:v>
                </c:pt>
                <c:pt idx="2">
                  <c:v>9.1185429169014593</c:v>
                </c:pt>
                <c:pt idx="3">
                  <c:v>6.2049973117679986</c:v>
                </c:pt>
                <c:pt idx="4">
                  <c:v>0</c:v>
                </c:pt>
                <c:pt idx="5">
                  <c:v>11.735733680617301</c:v>
                </c:pt>
                <c:pt idx="6">
                  <c:v>8.6180053688997447</c:v>
                </c:pt>
                <c:pt idx="7">
                  <c:v>4.0783273508584603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5-43CB-B37C-D447FC0C4F62}"/>
            </c:ext>
          </c:extLst>
        </c:ser>
        <c:ser>
          <c:idx val="0"/>
          <c:order val="2"/>
          <c:tx>
            <c:strRef>
              <c:f>Mittelwerte!$AA$3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Mittelwerte!$AA$4:$AA$12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4.1440620987645564</c:v>
                </c:pt>
                <c:pt idx="6">
                  <c:v>7.1224186703905339</c:v>
                </c:pt>
                <c:pt idx="7">
                  <c:v>10.585679960476796</c:v>
                </c:pt>
                <c:pt idx="8">
                  <c:v>14.088065912915276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43CB-B37C-D447FC0C4F62}"/>
            </c:ext>
          </c:extLst>
        </c:ser>
        <c:ser>
          <c:idx val="2"/>
          <c:order val="3"/>
          <c:tx>
            <c:strRef>
              <c:f>Mittelwerte!$AC$3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Mittelwerte!$AC$4:$AC$12</c:f>
              <c:numCache>
                <c:formatCode>0.00</c:formatCode>
                <c:ptCount val="9"/>
                <c:pt idx="0">
                  <c:v>0</c:v>
                </c:pt>
                <c:pt idx="1">
                  <c:v>5.2999702297627387</c:v>
                </c:pt>
                <c:pt idx="2">
                  <c:v>6.9214773935479208</c:v>
                </c:pt>
                <c:pt idx="3">
                  <c:v>8.6323628958895053</c:v>
                </c:pt>
                <c:pt idx="4">
                  <c:v>12.392084824502499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5-43CB-B37C-D447FC0C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939008"/>
        <c:axId val="292292848"/>
      </c:barChart>
      <c:catAx>
        <c:axId val="2909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292848"/>
        <c:crosses val="autoZero"/>
        <c:auto val="1"/>
        <c:lblAlgn val="ctr"/>
        <c:lblOffset val="100"/>
        <c:noMultiLvlLbl val="0"/>
      </c:catAx>
      <c:valAx>
        <c:axId val="292292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baseline="0">
                    <a:effectLst/>
                  </a:rPr>
                  <a:t>dt/ha TM</a:t>
                </a:r>
                <a:endParaRPr lang="de-D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9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Schnitt TM Erträge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117049330365577E-2"/>
          <c:y val="0.12928789731470772"/>
          <c:w val="0.95397696063705395"/>
          <c:h val="0.71011002191655237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Mittelwerte!$G$3</c:f>
              <c:strCache>
                <c:ptCount val="1"/>
                <c:pt idx="0">
                  <c:v>Struppen 1.Schnitt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6613CA4-5657-4E7E-BFB6-808D7C76D1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7A-4EFC-BE2A-C28CDEFE82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FF78E3-B005-4635-98FC-BA18541FFB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57A-4EFC-BE2A-C28CDEFE82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115064-3038-49B9-8D46-21E38380E4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7A-4EFC-BE2A-C28CDEFE82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A17E70-89C5-4FF6-A06E-3960E5DA68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7A-4EFC-BE2A-C28CDEFE82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6BEB70-6EA8-4208-B785-DCE547A05C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7A-4EFC-BE2A-C28CDEFE82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1BAC3F-A9DA-433C-9E90-A78616D6CA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7A-4EFC-BE2A-C28CDEFE82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FA412E-3462-4F40-BE0D-3009901E88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7A-4EFC-BE2A-C28CDEFE82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A7605B-0B49-4096-A99A-A74EE8BB4D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7A-4EFC-BE2A-C28CDEFE82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8A205A-5E3E-4512-831F-431121C952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7A-4EFC-BE2A-C28CDEFE8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Mittelwerte!$G$4:$G$12</c:f>
              <c:numCache>
                <c:formatCode>0.00</c:formatCode>
                <c:ptCount val="9"/>
                <c:pt idx="0">
                  <c:v>57.661963371445289</c:v>
                </c:pt>
                <c:pt idx="1">
                  <c:v>77.978000358183891</c:v>
                </c:pt>
                <c:pt idx="2">
                  <c:v>76.566845680178616</c:v>
                </c:pt>
                <c:pt idx="3">
                  <c:v>77.816075206362555</c:v>
                </c:pt>
                <c:pt idx="4">
                  <c:v>79.32083234288848</c:v>
                </c:pt>
                <c:pt idx="5">
                  <c:v>83.425781535213588</c:v>
                </c:pt>
                <c:pt idx="6">
                  <c:v>53.22714348193503</c:v>
                </c:pt>
                <c:pt idx="7">
                  <c:v>50.954296567432188</c:v>
                </c:pt>
                <c:pt idx="8">
                  <c:v>33.549452804845593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Mittelwerte!$H$4:$H$12</c15:f>
                <c15:dlblRangeCache>
                  <c:ptCount val="9"/>
                </c15:dlblRangeCache>
              </c15:datalabelsRange>
            </c:ext>
            <c:ext xmlns:c16="http://schemas.microsoft.com/office/drawing/2014/chart" uri="{C3380CC4-5D6E-409C-BE32-E72D297353CC}">
              <c16:uniqueId val="{00000004-91AA-420F-980F-960B06C18C15}"/>
            </c:ext>
          </c:extLst>
        </c:ser>
        <c:ser>
          <c:idx val="14"/>
          <c:order val="14"/>
          <c:tx>
            <c:strRef>
              <c:f>Mittelwerte!$Y$3</c:f>
              <c:strCache>
                <c:ptCount val="1"/>
                <c:pt idx="0">
                  <c:v>Caßlau 1. Schnitt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9179E04-C9B1-4A50-A735-8533BB0688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57A-4EFC-BE2A-C28CDEFE82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EE7C69-4727-4A71-AC61-742A8C71F6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57A-4EFC-BE2A-C28CDEFE82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483D3A-E619-4112-B905-371A6B8F67C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7A-4EFC-BE2A-C28CDEFE825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A85363-2582-4311-9B18-27D60D953C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7A-4EFC-BE2A-C28CDEFE825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D182F2-B039-4CBE-94C7-9DB0FB3B96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57A-4EFC-BE2A-C28CDEFE825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7C362B-AEE4-4A86-852E-84F47D9465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57A-4EFC-BE2A-C28CDEFE825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EAC010-66B1-4484-AC4B-D1ABDC1AAC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57A-4EFC-BE2A-C28CDEFE825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8121B7-EF35-4339-96B6-97F2D3A566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57A-4EFC-BE2A-C28CDEFE825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71916B-6800-47C2-A654-B68E51C84A6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57A-4EFC-BE2A-C28CDEFE8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Mittelwerte!$Y$4:$Y$12</c:f>
              <c:numCache>
                <c:formatCode>0.00</c:formatCode>
                <c:ptCount val="9"/>
                <c:pt idx="0">
                  <c:v>50.752083644555498</c:v>
                </c:pt>
                <c:pt idx="1">
                  <c:v>54.761368783801231</c:v>
                </c:pt>
                <c:pt idx="2">
                  <c:v>59.108633857323383</c:v>
                </c:pt>
                <c:pt idx="3">
                  <c:v>47.662047456210395</c:v>
                </c:pt>
                <c:pt idx="4">
                  <c:v>41.083066417534695</c:v>
                </c:pt>
                <c:pt idx="5">
                  <c:v>49.958544648946976</c:v>
                </c:pt>
                <c:pt idx="6">
                  <c:v>52.040053715141191</c:v>
                </c:pt>
                <c:pt idx="7">
                  <c:v>31.092829175563473</c:v>
                </c:pt>
                <c:pt idx="8">
                  <c:v>21.073454509805376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Mittelwerte!$N$4:$N$14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F-91AA-420F-980F-960B06C1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80336"/>
        <c:axId val="84975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Mittelwerte!$C$3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Mittelwerte!$C$4:$C$12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9.5490298145646051</c:v>
                      </c:pt>
                      <c:pt idx="6">
                        <c:v>20.417685002075686</c:v>
                      </c:pt>
                      <c:pt idx="7">
                        <c:v>25.662788657016776</c:v>
                      </c:pt>
                      <c:pt idx="8">
                        <c:v>27.092638956864405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AA-420F-980F-960B06C18C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Mittelwerte!$D$3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Mittelwerte!$D$4:$D$12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51.002737545445918</c:v>
                      </c:pt>
                      <c:pt idx="1">
                        <c:v>23.496233907451916</c:v>
                      </c:pt>
                      <c:pt idx="2">
                        <c:v>7.7221478410561915</c:v>
                      </c:pt>
                      <c:pt idx="3">
                        <c:v>0.64291265614289284</c:v>
                      </c:pt>
                      <c:pt idx="4">
                        <c:v>0</c:v>
                      </c:pt>
                      <c:pt idx="5">
                        <c:v>38.845783508656723</c:v>
                      </c:pt>
                      <c:pt idx="6">
                        <c:v>26.41948323681909</c:v>
                      </c:pt>
                      <c:pt idx="7">
                        <c:v>11.958397029250717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AA-420F-980F-960B06C18C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Mittelwerte!$E$3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Mittelwerte!$E$4:$E$12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51.636719541914609</c:v>
                      </c:pt>
                      <c:pt idx="2">
                        <c:v>56.184841140271352</c:v>
                      </c:pt>
                      <c:pt idx="3">
                        <c:v>77.722394910785823</c:v>
                      </c:pt>
                      <c:pt idx="4">
                        <c:v>55.799283190090435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AA-420F-980F-960B06C18C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Mittelwerte!$F$3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Mittelwerte!$F$4:$F$12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0.64023809694208533</c:v>
                      </c:pt>
                      <c:pt idx="1">
                        <c:v>0.48845540559201772</c:v>
                      </c:pt>
                      <c:pt idx="2">
                        <c:v>0.16421934615779196</c:v>
                      </c:pt>
                      <c:pt idx="3">
                        <c:v>0.2801576487289954</c:v>
                      </c:pt>
                      <c:pt idx="4">
                        <c:v>0.24084915546083849</c:v>
                      </c:pt>
                      <c:pt idx="5">
                        <c:v>0.57445288096340708</c:v>
                      </c:pt>
                      <c:pt idx="6">
                        <c:v>0.37816001084593553</c:v>
                      </c:pt>
                      <c:pt idx="7">
                        <c:v>0.49321822753541944</c:v>
                      </c:pt>
                      <c:pt idx="8">
                        <c:v>0.44937256209861481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AA-420F-980F-960B06C18C1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Mittelwerte!$I$3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Mittelwerte!$I$4:$I$12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10.816684511156696</c:v>
                      </c:pt>
                      <c:pt idx="6">
                        <c:v>19.874814146100206</c:v>
                      </c:pt>
                      <c:pt idx="7">
                        <c:v>22.946215884903047</c:v>
                      </c:pt>
                      <c:pt idx="8">
                        <c:v>22.823898213210665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AA-420F-980F-960B06C18C1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Mittelwerte!$J$3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Mittelwerte!$J$4:$J$12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34.608202867529194</c:v>
                      </c:pt>
                      <c:pt idx="1">
                        <c:v>16.929165221403668</c:v>
                      </c:pt>
                      <c:pt idx="2">
                        <c:v>8.2387385957728405</c:v>
                      </c:pt>
                      <c:pt idx="3">
                        <c:v>2.3627773865233399</c:v>
                      </c:pt>
                      <c:pt idx="4">
                        <c:v>0</c:v>
                      </c:pt>
                      <c:pt idx="5">
                        <c:v>26.322281294443446</c:v>
                      </c:pt>
                      <c:pt idx="6">
                        <c:v>15.180368743483481</c:v>
                      </c:pt>
                      <c:pt idx="7">
                        <c:v>11.149305716794748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AA-420F-980F-960B06C18C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Mittelwerte!$K$3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Mittelwerte!$K$4:$K$12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15.31168294569764</c:v>
                      </c:pt>
                      <c:pt idx="2">
                        <c:v>18.744756324767678</c:v>
                      </c:pt>
                      <c:pt idx="3">
                        <c:v>17.982696604476999</c:v>
                      </c:pt>
                      <c:pt idx="4">
                        <c:v>18.622019989569409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AA-420F-980F-960B06C18C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Mittelwerte!$L$3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Mittelwerte!$L$4:$L$12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AA-420F-980F-960B06C18C1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Mittelwerte!$M$3</c15:sqref>
                        </c15:formulaRef>
                      </c:ext>
                    </c:extLst>
                    <c:strCache>
                      <c:ptCount val="1"/>
                      <c:pt idx="0">
                        <c:v>Struppen 2. Schnitt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Mittelwerte!$M$4:$M$12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60.716790441076434</c:v>
                      </c:pt>
                      <c:pt idx="1">
                        <c:v>57.48414031830071</c:v>
                      </c:pt>
                      <c:pt idx="2">
                        <c:v>47.593097582057666</c:v>
                      </c:pt>
                      <c:pt idx="3">
                        <c:v>38.801484096262215</c:v>
                      </c:pt>
                      <c:pt idx="4">
                        <c:v>33.69958003563179</c:v>
                      </c:pt>
                      <c:pt idx="5">
                        <c:v>73.662875815517225</c:v>
                      </c:pt>
                      <c:pt idx="6">
                        <c:v>72.415523264854983</c:v>
                      </c:pt>
                      <c:pt idx="7">
                        <c:v>61.372510514248717</c:v>
                      </c:pt>
                      <c:pt idx="8">
                        <c:v>45.523765087940504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AA-420F-980F-960B06C18C1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Mittelwerte!$U$3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Mittelwerte!$U$4:$U$12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10.097196821317072</c:v>
                      </c:pt>
                      <c:pt idx="6">
                        <c:v>11.130444862589078</c:v>
                      </c:pt>
                      <c:pt idx="7">
                        <c:v>13.670756262639289</c:v>
                      </c:pt>
                      <c:pt idx="8">
                        <c:v>14.872173562854107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AA-420F-980F-960B06C18C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Mittelwerte!$V$3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Mittelwerte!$V$4:$V$12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26.704648090118624</c:v>
                      </c:pt>
                      <c:pt idx="1">
                        <c:v>19.861453596417917</c:v>
                      </c:pt>
                      <c:pt idx="2">
                        <c:v>14.390009250226312</c:v>
                      </c:pt>
                      <c:pt idx="3">
                        <c:v>5.3060738493924937</c:v>
                      </c:pt>
                      <c:pt idx="4">
                        <c:v>0</c:v>
                      </c:pt>
                      <c:pt idx="5">
                        <c:v>28.483880926242833</c:v>
                      </c:pt>
                      <c:pt idx="6">
                        <c:v>23.173853684058408</c:v>
                      </c:pt>
                      <c:pt idx="7">
                        <c:v>10.181054290422063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AA-420F-980F-960B06C18C1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Mittelwerte!$W$3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Mittelwerte!$W$4:$W$12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16.673787136693296</c:v>
                      </c:pt>
                      <c:pt idx="2">
                        <c:v>32.630072865073103</c:v>
                      </c:pt>
                      <c:pt idx="3">
                        <c:v>24.943008134874461</c:v>
                      </c:pt>
                      <c:pt idx="4">
                        <c:v>29.407920437376905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AA-420F-980F-960B06C18C1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Mittelwerte!$X$3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Mittelwerte!$X$4:$X$12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3.9557111208722713</c:v>
                      </c:pt>
                      <c:pt idx="1">
                        <c:v>1.2866287687931455</c:v>
                      </c:pt>
                      <c:pt idx="2">
                        <c:v>0.94626369204969785</c:v>
                      </c:pt>
                      <c:pt idx="3">
                        <c:v>0.73516063991889924</c:v>
                      </c:pt>
                      <c:pt idx="4">
                        <c:v>0.42181139394862177</c:v>
                      </c:pt>
                      <c:pt idx="5">
                        <c:v>2.761549613890681</c:v>
                      </c:pt>
                      <c:pt idx="6">
                        <c:v>1.383347311691699</c:v>
                      </c:pt>
                      <c:pt idx="7">
                        <c:v>1.1154238476721521</c:v>
                      </c:pt>
                      <c:pt idx="8">
                        <c:v>1.292222409376323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AA-420F-980F-960B06C18C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Mittelwerte!$AA$3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Mittelwerte!$AA$4:$AA$12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4.1440620987645564</c:v>
                      </c:pt>
                      <c:pt idx="6">
                        <c:v>7.1224186703905339</c:v>
                      </c:pt>
                      <c:pt idx="7">
                        <c:v>10.585679960476796</c:v>
                      </c:pt>
                      <c:pt idx="8">
                        <c:v>14.088065912915276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1AA-420F-980F-960B06C18C1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Mittelwerte!$AB$3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Mittelwerte!$AB$4:$AB$12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18.439540980257853</c:v>
                      </c:pt>
                      <c:pt idx="1">
                        <c:v>15.810690296234291</c:v>
                      </c:pt>
                      <c:pt idx="2">
                        <c:v>9.1185429169014593</c:v>
                      </c:pt>
                      <c:pt idx="3">
                        <c:v>6.2049973117679986</c:v>
                      </c:pt>
                      <c:pt idx="4">
                        <c:v>0</c:v>
                      </c:pt>
                      <c:pt idx="5">
                        <c:v>11.735733680617301</c:v>
                      </c:pt>
                      <c:pt idx="6">
                        <c:v>8.6180053688997447</c:v>
                      </c:pt>
                      <c:pt idx="7">
                        <c:v>4.0783273508584603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AA-420F-980F-960B06C18C1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Mittelwerte!$AC$3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Mittelwerte!$AC$4:$AC$12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5.2999702297627387</c:v>
                      </c:pt>
                      <c:pt idx="2">
                        <c:v>6.9214773935479208</c:v>
                      </c:pt>
                      <c:pt idx="3">
                        <c:v>8.6323628958895053</c:v>
                      </c:pt>
                      <c:pt idx="4">
                        <c:v>12.392084824502499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1AA-420F-980F-960B06C18C1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Mittelwerte!$AD$3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Mittelwerte!$AD$4:$AD$12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0.5520746461532744</c:v>
                      </c:pt>
                      <c:pt idx="1">
                        <c:v>-6.5575523987808443E-2</c:v>
                      </c:pt>
                      <c:pt idx="2">
                        <c:v>7.4558823529411846E-3</c:v>
                      </c:pt>
                      <c:pt idx="3">
                        <c:v>5.3827586206896538E-2</c:v>
                      </c:pt>
                      <c:pt idx="4">
                        <c:v>0.28632166083041521</c:v>
                      </c:pt>
                      <c:pt idx="5">
                        <c:v>0.35060149632975723</c:v>
                      </c:pt>
                      <c:pt idx="6">
                        <c:v>0.31574999999999998</c:v>
                      </c:pt>
                      <c:pt idx="7">
                        <c:v>0.17444844150256764</c:v>
                      </c:pt>
                      <c:pt idx="8">
                        <c:v>0.18791129787773372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1AA-420F-980F-960B06C18C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Mittelwerte!$AE$3</c15:sqref>
                        </c15:formulaRef>
                      </c:ext>
                    </c:extLst>
                    <c:strCache>
                      <c:ptCount val="1"/>
                      <c:pt idx="0">
                        <c:v>Caßlau 2. Schnitt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Mittelwerte!$AE$4:$AE$12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23.080021119617712</c:v>
                      </c:pt>
                      <c:pt idx="1">
                        <c:v>45.501254735806008</c:v>
                      </c:pt>
                      <c:pt idx="2">
                        <c:v>50.717224310146129</c:v>
                      </c:pt>
                      <c:pt idx="3">
                        <c:v>48.431720498793872</c:v>
                      </c:pt>
                      <c:pt idx="4">
                        <c:v>45.730222377465537</c:v>
                      </c:pt>
                      <c:pt idx="5">
                        <c:v>28.502278728768712</c:v>
                      </c:pt>
                      <c:pt idx="6">
                        <c:v>24.974365825729901</c:v>
                      </c:pt>
                      <c:pt idx="7">
                        <c:v>30.537245723620615</c:v>
                      </c:pt>
                      <c:pt idx="8">
                        <c:v>26.507732554269275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1AA-420F-980F-960B06C18C15}"/>
                  </c:ext>
                </c:extLst>
              </c15:ser>
            </c15:filteredBarSeries>
          </c:ext>
        </c:extLst>
      </c:barChart>
      <c:catAx>
        <c:axId val="465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75392"/>
        <c:crosses val="autoZero"/>
        <c:auto val="1"/>
        <c:lblAlgn val="ctr"/>
        <c:lblOffset val="100"/>
        <c:noMultiLvlLbl val="0"/>
      </c:catAx>
      <c:valAx>
        <c:axId val="8497539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2. Schnitt TM in dt/ha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Mittelwerte!$M$3</c:f>
              <c:strCache>
                <c:ptCount val="1"/>
                <c:pt idx="0">
                  <c:v>Struppen 2. Schnitt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FF7193F-F15E-44D4-B05F-850A3482ED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485-4762-A498-FCCB7FBE6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0278FC-973C-4BDD-B874-B606CF7A3B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485-4762-A498-FCCB7FBE66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83B8C3-E3B3-4A89-A586-4275FDD3ED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85-4762-A498-FCCB7FBE66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D1C4E7-495A-4948-B61F-6F3196AF6C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85-4762-A498-FCCB7FBE66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50FD65-3598-4ED4-B25E-23335D9712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85-4762-A498-FCCB7FBE66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6F8315-9461-466D-8AD8-6ED0B939079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85-4762-A498-FCCB7FBE6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B9A947-3EEB-4E20-A8D6-A7BF17B91F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85-4762-A498-FCCB7FBE6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369133-5034-4574-A4F9-C657CD37A5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85-4762-A498-FCCB7FBE6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FB4354-83CB-47C3-A70D-2DAC382F1B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85-4762-A498-FCCB7FBE6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Mittelwerte!$M$4:$M$12</c:f>
              <c:numCache>
                <c:formatCode>0.00</c:formatCode>
                <c:ptCount val="9"/>
                <c:pt idx="0">
                  <c:v>60.716790441076434</c:v>
                </c:pt>
                <c:pt idx="1">
                  <c:v>57.48414031830071</c:v>
                </c:pt>
                <c:pt idx="2">
                  <c:v>47.593097582057666</c:v>
                </c:pt>
                <c:pt idx="3">
                  <c:v>38.801484096262215</c:v>
                </c:pt>
                <c:pt idx="4">
                  <c:v>33.69958003563179</c:v>
                </c:pt>
                <c:pt idx="5">
                  <c:v>73.662875815517225</c:v>
                </c:pt>
                <c:pt idx="6">
                  <c:v>72.415523264854983</c:v>
                </c:pt>
                <c:pt idx="7">
                  <c:v>61.372510514248717</c:v>
                </c:pt>
                <c:pt idx="8">
                  <c:v>45.523765087940504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Mittelwerte!$Z$4:$Z$12</c15:f>
                <c15:dlblRangeCache>
                  <c:ptCount val="9"/>
                </c15:dlblRangeCache>
              </c15:datalabelsRange>
            </c:ext>
            <c:ext xmlns:c16="http://schemas.microsoft.com/office/drawing/2014/chart" uri="{C3380CC4-5D6E-409C-BE32-E72D297353CC}">
              <c16:uniqueId val="{00000001-BF49-4B45-855C-BEEFF5B993D1}"/>
            </c:ext>
          </c:extLst>
        </c:ser>
        <c:ser>
          <c:idx val="19"/>
          <c:order val="19"/>
          <c:tx>
            <c:strRef>
              <c:f>Mittelwerte!$AE$3</c:f>
              <c:strCache>
                <c:ptCount val="1"/>
                <c:pt idx="0">
                  <c:v>Caßlau 2. Schnitt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B02726-2EBE-46C7-9EEC-EE056E3781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85-4762-A498-FCCB7FBE6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10F651-EB50-4D18-81DD-1D38A0DD12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85-4762-A498-FCCB7FBE66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205467-8C55-40C8-BE0B-E2548FBCF29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85-4762-A498-FCCB7FBE66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4DF64D-DF76-4749-9AA0-F50DCC118D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85-4762-A498-FCCB7FBE66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596F38-C4A6-4F28-AD18-F7B17CDBAD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85-4762-A498-FCCB7FBE668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B50F24-918F-496D-A216-EBD9EE815A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85-4762-A498-FCCB7FBE6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B31F3B-74A8-4A92-9BA4-26B4B7FED0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85-4762-A498-FCCB7FBE6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4BE434-24A0-4757-9AB5-3DF0F75F55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85-4762-A498-FCCB7FBE6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AF1294-8477-4941-A34D-BB19663C39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85-4762-A498-FCCB7FBE6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Mittelwerte!$AE$4:$AE$12</c:f>
              <c:numCache>
                <c:formatCode>0.00</c:formatCode>
                <c:ptCount val="9"/>
                <c:pt idx="0">
                  <c:v>23.080021119617712</c:v>
                </c:pt>
                <c:pt idx="1">
                  <c:v>45.501254735806008</c:v>
                </c:pt>
                <c:pt idx="2">
                  <c:v>50.717224310146129</c:v>
                </c:pt>
                <c:pt idx="3">
                  <c:v>48.431720498793872</c:v>
                </c:pt>
                <c:pt idx="4">
                  <c:v>45.730222377465537</c:v>
                </c:pt>
                <c:pt idx="5">
                  <c:v>28.502278728768712</c:v>
                </c:pt>
                <c:pt idx="6">
                  <c:v>24.974365825729901</c:v>
                </c:pt>
                <c:pt idx="7">
                  <c:v>30.537245723620615</c:v>
                </c:pt>
                <c:pt idx="8">
                  <c:v>26.507732554269275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Mittelwerte!$AF$4:$AF$12</c15:f>
                <c15:dlblRangeCache>
                  <c:ptCount val="9"/>
                </c15:dlblRangeCache>
              </c15:datalabelsRange>
            </c:ext>
            <c:ext xmlns:c16="http://schemas.microsoft.com/office/drawing/2014/chart" uri="{C3380CC4-5D6E-409C-BE32-E72D297353CC}">
              <c16:uniqueId val="{00000003-BF49-4B45-855C-BEEFF5B9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80336"/>
        <c:axId val="84975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Mittelwerte!$C$3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Mittelwerte!$C$4:$C$12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9.5490298145646051</c:v>
                      </c:pt>
                      <c:pt idx="6">
                        <c:v>20.417685002075686</c:v>
                      </c:pt>
                      <c:pt idx="7">
                        <c:v>25.662788657016776</c:v>
                      </c:pt>
                      <c:pt idx="8">
                        <c:v>27.092638956864405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49-4B45-855C-BEEFF5B993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Mittelwerte!$D$3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Mittelwerte!$D$4:$D$12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51.002737545445918</c:v>
                      </c:pt>
                      <c:pt idx="1">
                        <c:v>23.496233907451916</c:v>
                      </c:pt>
                      <c:pt idx="2">
                        <c:v>7.7221478410561915</c:v>
                      </c:pt>
                      <c:pt idx="3">
                        <c:v>0.64291265614289284</c:v>
                      </c:pt>
                      <c:pt idx="4">
                        <c:v>0</c:v>
                      </c:pt>
                      <c:pt idx="5">
                        <c:v>38.845783508656723</c:v>
                      </c:pt>
                      <c:pt idx="6">
                        <c:v>26.41948323681909</c:v>
                      </c:pt>
                      <c:pt idx="7">
                        <c:v>11.958397029250717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49-4B45-855C-BEEFF5B993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Mittelwerte!$E$3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Mittelwerte!$E$4:$E$12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51.636719541914609</c:v>
                      </c:pt>
                      <c:pt idx="2">
                        <c:v>56.184841140271352</c:v>
                      </c:pt>
                      <c:pt idx="3">
                        <c:v>77.722394910785823</c:v>
                      </c:pt>
                      <c:pt idx="4">
                        <c:v>55.799283190090435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9-4B45-855C-BEEFF5B993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Mittelwerte!$F$3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Mittelwerte!$F$4:$F$12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0.64023809694208533</c:v>
                      </c:pt>
                      <c:pt idx="1">
                        <c:v>0.48845540559201772</c:v>
                      </c:pt>
                      <c:pt idx="2">
                        <c:v>0.16421934615779196</c:v>
                      </c:pt>
                      <c:pt idx="3">
                        <c:v>0.2801576487289954</c:v>
                      </c:pt>
                      <c:pt idx="4">
                        <c:v>0.24084915546083849</c:v>
                      </c:pt>
                      <c:pt idx="5">
                        <c:v>0.57445288096340708</c:v>
                      </c:pt>
                      <c:pt idx="6">
                        <c:v>0.37816001084593553</c:v>
                      </c:pt>
                      <c:pt idx="7">
                        <c:v>0.49321822753541944</c:v>
                      </c:pt>
                      <c:pt idx="8">
                        <c:v>0.44937256209861481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9-4B45-855C-BEEFF5B993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Mittelwerte!$G$3</c15:sqref>
                        </c15:formulaRef>
                      </c:ext>
                    </c:extLst>
                    <c:strCache>
                      <c:ptCount val="1"/>
                      <c:pt idx="0">
                        <c:v>Struppen 1.Schnitt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Mittelwerte!$G$4:$G$12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57.661963371445289</c:v>
                      </c:pt>
                      <c:pt idx="1">
                        <c:v>77.978000358183891</c:v>
                      </c:pt>
                      <c:pt idx="2">
                        <c:v>76.566845680178616</c:v>
                      </c:pt>
                      <c:pt idx="3">
                        <c:v>77.816075206362555</c:v>
                      </c:pt>
                      <c:pt idx="4">
                        <c:v>79.32083234288848</c:v>
                      </c:pt>
                      <c:pt idx="5">
                        <c:v>83.425781535213588</c:v>
                      </c:pt>
                      <c:pt idx="6">
                        <c:v>53.22714348193503</c:v>
                      </c:pt>
                      <c:pt idx="7">
                        <c:v>50.954296567432188</c:v>
                      </c:pt>
                      <c:pt idx="8">
                        <c:v>33.549452804845593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F49-4B45-855C-BEEFF5B993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Mittelwerte!$I$3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Mittelwerte!$I$4:$I$12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10.816684511156696</c:v>
                      </c:pt>
                      <c:pt idx="6">
                        <c:v>19.874814146100206</c:v>
                      </c:pt>
                      <c:pt idx="7">
                        <c:v>22.946215884903047</c:v>
                      </c:pt>
                      <c:pt idx="8">
                        <c:v>22.823898213210665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9-4B45-855C-BEEFF5B993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Mittelwerte!$J$3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Mittelwerte!$J$4:$J$12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34.608202867529194</c:v>
                      </c:pt>
                      <c:pt idx="1">
                        <c:v>16.929165221403668</c:v>
                      </c:pt>
                      <c:pt idx="2">
                        <c:v>8.2387385957728405</c:v>
                      </c:pt>
                      <c:pt idx="3">
                        <c:v>2.3627773865233399</c:v>
                      </c:pt>
                      <c:pt idx="4">
                        <c:v>0</c:v>
                      </c:pt>
                      <c:pt idx="5">
                        <c:v>26.322281294443446</c:v>
                      </c:pt>
                      <c:pt idx="6">
                        <c:v>15.180368743483481</c:v>
                      </c:pt>
                      <c:pt idx="7">
                        <c:v>11.149305716794748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9-4B45-855C-BEEFF5B993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Mittelwerte!$K$3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Mittelwerte!$K$4:$K$12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15.31168294569764</c:v>
                      </c:pt>
                      <c:pt idx="2">
                        <c:v>18.744756324767678</c:v>
                      </c:pt>
                      <c:pt idx="3">
                        <c:v>17.982696604476999</c:v>
                      </c:pt>
                      <c:pt idx="4">
                        <c:v>18.622019989569409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F49-4B45-855C-BEEFF5B993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Mittelwerte!$L$3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Mittelwerte!$L$4:$L$12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49-4B45-855C-BEEFF5B993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Mittelwerte!$U$3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Mittelwerte!$U$4:$U$12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10.097196821317072</c:v>
                      </c:pt>
                      <c:pt idx="6">
                        <c:v>11.130444862589078</c:v>
                      </c:pt>
                      <c:pt idx="7">
                        <c:v>13.670756262639289</c:v>
                      </c:pt>
                      <c:pt idx="8">
                        <c:v>14.872173562854107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F49-4B45-855C-BEEFF5B993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Mittelwerte!$V$3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Mittelwerte!$V$4:$V$12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26.704648090118624</c:v>
                      </c:pt>
                      <c:pt idx="1">
                        <c:v>19.861453596417917</c:v>
                      </c:pt>
                      <c:pt idx="2">
                        <c:v>14.390009250226312</c:v>
                      </c:pt>
                      <c:pt idx="3">
                        <c:v>5.3060738493924937</c:v>
                      </c:pt>
                      <c:pt idx="4">
                        <c:v>0</c:v>
                      </c:pt>
                      <c:pt idx="5">
                        <c:v>28.483880926242833</c:v>
                      </c:pt>
                      <c:pt idx="6">
                        <c:v>23.173853684058408</c:v>
                      </c:pt>
                      <c:pt idx="7">
                        <c:v>10.181054290422063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F49-4B45-855C-BEEFF5B993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Mittelwerte!$W$3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Mittelwerte!$W$4:$W$12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16.673787136693296</c:v>
                      </c:pt>
                      <c:pt idx="2">
                        <c:v>32.630072865073103</c:v>
                      </c:pt>
                      <c:pt idx="3">
                        <c:v>24.943008134874461</c:v>
                      </c:pt>
                      <c:pt idx="4">
                        <c:v>29.407920437376905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F49-4B45-855C-BEEFF5B993D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Mittelwerte!$X$3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Mittelwerte!$X$4:$X$12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3.9557111208722713</c:v>
                      </c:pt>
                      <c:pt idx="1">
                        <c:v>1.2866287687931455</c:v>
                      </c:pt>
                      <c:pt idx="2">
                        <c:v>0.94626369204969785</c:v>
                      </c:pt>
                      <c:pt idx="3">
                        <c:v>0.73516063991889924</c:v>
                      </c:pt>
                      <c:pt idx="4">
                        <c:v>0.42181139394862177</c:v>
                      </c:pt>
                      <c:pt idx="5">
                        <c:v>2.761549613890681</c:v>
                      </c:pt>
                      <c:pt idx="6">
                        <c:v>1.383347311691699</c:v>
                      </c:pt>
                      <c:pt idx="7">
                        <c:v>1.1154238476721521</c:v>
                      </c:pt>
                      <c:pt idx="8">
                        <c:v>1.292222409376323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F49-4B45-855C-BEEFF5B993D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Mittelwerte!$Y$3</c15:sqref>
                        </c15:formulaRef>
                      </c:ext>
                    </c:extLst>
                    <c:strCache>
                      <c:ptCount val="1"/>
                      <c:pt idx="0">
                        <c:v>Caßlau 1. Schnitt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Mittelwerte!$Y$4:$Y$12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50.752083644555498</c:v>
                      </c:pt>
                      <c:pt idx="1">
                        <c:v>54.761368783801231</c:v>
                      </c:pt>
                      <c:pt idx="2">
                        <c:v>59.108633857323383</c:v>
                      </c:pt>
                      <c:pt idx="3">
                        <c:v>47.662047456210395</c:v>
                      </c:pt>
                      <c:pt idx="4">
                        <c:v>41.083066417534695</c:v>
                      </c:pt>
                      <c:pt idx="5">
                        <c:v>49.958544648946976</c:v>
                      </c:pt>
                      <c:pt idx="6">
                        <c:v>52.040053715141191</c:v>
                      </c:pt>
                      <c:pt idx="7">
                        <c:v>31.092829175563473</c:v>
                      </c:pt>
                      <c:pt idx="8">
                        <c:v>21.073454509805376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9-4B45-855C-BEEFF5B993D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Mittelwerte!$AA$3</c15:sqref>
                        </c15:formulaRef>
                      </c:ext>
                    </c:extLst>
                    <c:strCache>
                      <c:ptCount val="1"/>
                      <c:pt idx="0">
                        <c:v>SW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Mittelwerte!$AA$4:$AA$12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4.1440620987645564</c:v>
                      </c:pt>
                      <c:pt idx="6">
                        <c:v>7.1224186703905339</c:v>
                      </c:pt>
                      <c:pt idx="7">
                        <c:v>10.585679960476796</c:v>
                      </c:pt>
                      <c:pt idx="8">
                        <c:v>14.088065912915276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F49-4B45-855C-BEEFF5B993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Mittelwerte!$AB$3</c15:sqref>
                        </c15:formulaRef>
                      </c:ext>
                    </c:extLst>
                    <c:strCache>
                      <c:ptCount val="1"/>
                      <c:pt idx="0">
                        <c:v>Klee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Mittelwerte!$AB$4:$AB$12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18.439540980257853</c:v>
                      </c:pt>
                      <c:pt idx="1">
                        <c:v>15.810690296234291</c:v>
                      </c:pt>
                      <c:pt idx="2">
                        <c:v>9.1185429169014593</c:v>
                      </c:pt>
                      <c:pt idx="3">
                        <c:v>6.2049973117679986</c:v>
                      </c:pt>
                      <c:pt idx="4">
                        <c:v>0</c:v>
                      </c:pt>
                      <c:pt idx="5">
                        <c:v>11.735733680617301</c:v>
                      </c:pt>
                      <c:pt idx="6">
                        <c:v>8.6180053688997447</c:v>
                      </c:pt>
                      <c:pt idx="7">
                        <c:v>4.0783273508584603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F49-4B45-855C-BEEFF5B993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Mittelwerte!$AC$3</c15:sqref>
                        </c15:formulaRef>
                      </c:ext>
                    </c:extLst>
                    <c:strCache>
                      <c:ptCount val="1"/>
                      <c:pt idx="0">
                        <c:v>Gras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Mittelwerte!$AC$4:$AC$12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5.2999702297627387</c:v>
                      </c:pt>
                      <c:pt idx="2">
                        <c:v>6.9214773935479208</c:v>
                      </c:pt>
                      <c:pt idx="3">
                        <c:v>8.6323628958895053</c:v>
                      </c:pt>
                      <c:pt idx="4">
                        <c:v>12.392084824502499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F49-4B45-855C-BEEFF5B993D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Mittelwerte!$AD$3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Mittelwerte!$B$4:$B$12</c15:sqref>
                        </c15:formulaRef>
                      </c:ext>
                    </c:extLst>
                    <c:strCache>
                      <c:ptCount val="9"/>
                      <c:pt idx="0">
                        <c:v>R 100</c:v>
                      </c:pt>
                      <c:pt idx="1">
                        <c:v>R 75/W 25</c:v>
                      </c:pt>
                      <c:pt idx="2">
                        <c:v>R 50/W 50</c:v>
                      </c:pt>
                      <c:pt idx="3">
                        <c:v>R 25/W 75</c:v>
                      </c:pt>
                      <c:pt idx="4">
                        <c:v>W 100</c:v>
                      </c:pt>
                      <c:pt idx="5">
                        <c:v>R 75/S 25</c:v>
                      </c:pt>
                      <c:pt idx="6">
                        <c:v>R 50/ S 50</c:v>
                      </c:pt>
                      <c:pt idx="7">
                        <c:v>R 25/ S 75</c:v>
                      </c:pt>
                      <c:pt idx="8">
                        <c:v>S 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Mittelwerte!$AD$4:$AD$12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0.5520746461532744</c:v>
                      </c:pt>
                      <c:pt idx="1">
                        <c:v>-6.5575523987808443E-2</c:v>
                      </c:pt>
                      <c:pt idx="2">
                        <c:v>7.4558823529411846E-3</c:v>
                      </c:pt>
                      <c:pt idx="3">
                        <c:v>5.3827586206896538E-2</c:v>
                      </c:pt>
                      <c:pt idx="4">
                        <c:v>0.28632166083041521</c:v>
                      </c:pt>
                      <c:pt idx="5">
                        <c:v>0.35060149632975723</c:v>
                      </c:pt>
                      <c:pt idx="6">
                        <c:v>0.31574999999999998</c:v>
                      </c:pt>
                      <c:pt idx="7">
                        <c:v>0.17444844150256764</c:v>
                      </c:pt>
                      <c:pt idx="8">
                        <c:v>0.18791129787773372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F49-4B45-855C-BEEFF5B993D1}"/>
                  </c:ext>
                </c:extLst>
              </c15:ser>
            </c15:filteredBarSeries>
          </c:ext>
        </c:extLst>
      </c:barChart>
      <c:catAx>
        <c:axId val="465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75392"/>
        <c:crosses val="autoZero"/>
        <c:auto val="1"/>
        <c:lblAlgn val="ctr"/>
        <c:lblOffset val="100"/>
        <c:noMultiLvlLbl val="0"/>
      </c:catAx>
      <c:valAx>
        <c:axId val="8497539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Zusammensetzung Struppen 3. Schnitt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Mittelwerte!$L$3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Mittelwerte!$R$4:$R$13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1-461E-AEFF-C12CAD50AE5D}"/>
            </c:ext>
          </c:extLst>
        </c:ser>
        <c:ser>
          <c:idx val="1"/>
          <c:order val="1"/>
          <c:tx>
            <c:strRef>
              <c:f>Mittelwerte!$J$3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Mittelwerte!$P$4:$P$13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1-461E-AEFF-C12CAD50AE5D}"/>
            </c:ext>
          </c:extLst>
        </c:ser>
        <c:ser>
          <c:idx val="0"/>
          <c:order val="2"/>
          <c:tx>
            <c:strRef>
              <c:f>Mittelwerte!$I$3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Mittelwerte!$O$4:$O$12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1-461E-AEFF-C12CAD50AE5D}"/>
            </c:ext>
          </c:extLst>
        </c:ser>
        <c:ser>
          <c:idx val="2"/>
          <c:order val="3"/>
          <c:tx>
            <c:strRef>
              <c:f>Mittelwerte!$K$3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Mittelwerte!$Q$4:$Q$13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1-461E-AEFF-C12CAD50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413632"/>
        <c:axId val="82059968"/>
      </c:barChart>
      <c:catAx>
        <c:axId val="3924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59968"/>
        <c:crosses val="autoZero"/>
        <c:auto val="1"/>
        <c:lblAlgn val="ctr"/>
        <c:lblOffset val="100"/>
        <c:noMultiLvlLbl val="0"/>
      </c:catAx>
      <c:valAx>
        <c:axId val="820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0" i="0" baseline="0">
                    <a:effectLst/>
                  </a:rPr>
                  <a:t>dt/ha TM</a:t>
                </a:r>
                <a:endParaRPr lang="de-DE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4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3. Schnitt TM in dt/ha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Mittelwerte!$S$3</c:f>
              <c:strCache>
                <c:ptCount val="1"/>
                <c:pt idx="0">
                  <c:v>Struppen 3. Schnitt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Mittelwerte!$S$4:$S$12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257-454D-AEC8-57C2B82A7F51}"/>
            </c:ext>
          </c:extLst>
        </c:ser>
        <c:ser>
          <c:idx val="1"/>
          <c:order val="1"/>
          <c:tx>
            <c:strRef>
              <c:f>Mittelwerte!$AK$3</c:f>
              <c:strCache>
                <c:ptCount val="1"/>
                <c:pt idx="0">
                  <c:v>Caßlau 3. Schnitt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Mittelwerte!$AK$4:$AK$12</c:f>
              <c:numCache>
                <c:formatCode>0.00</c:formatCode>
                <c:ptCount val="9"/>
                <c:pt idx="0">
                  <c:v>-45.185185185185183</c:v>
                </c:pt>
                <c:pt idx="1">
                  <c:v>-45.185185185185183</c:v>
                </c:pt>
                <c:pt idx="2">
                  <c:v>-45.185185185185183</c:v>
                </c:pt>
                <c:pt idx="3">
                  <c:v>-45.185185185185183</c:v>
                </c:pt>
                <c:pt idx="4">
                  <c:v>-45.185185185185183</c:v>
                </c:pt>
                <c:pt idx="5">
                  <c:v>-45.185185185185183</c:v>
                </c:pt>
                <c:pt idx="6">
                  <c:v>-45.185185185185183</c:v>
                </c:pt>
                <c:pt idx="7">
                  <c:v>-45.185185185185183</c:v>
                </c:pt>
                <c:pt idx="8">
                  <c:v>-45.185185185185183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9-4E93-B810-963E14F5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80336"/>
        <c:axId val="84975392"/>
        <c:extLst/>
      </c:barChart>
      <c:catAx>
        <c:axId val="465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75392"/>
        <c:crosses val="autoZero"/>
        <c:auto val="1"/>
        <c:lblAlgn val="ctr"/>
        <c:lblOffset val="100"/>
        <c:noMultiLvlLbl val="0"/>
      </c:catAx>
      <c:valAx>
        <c:axId val="849753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Zusammensetzung Caßlau 2. Schnitt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Mittelwerte!$AJ$4:$AJ$12</c:f>
              <c:strCache>
                <c:ptCount val="9"/>
                <c:pt idx="0">
                  <c:v>0,00</c:v>
                </c:pt>
                <c:pt idx="1">
                  <c:v>0,00</c:v>
                </c:pt>
                <c:pt idx="2">
                  <c:v>0,00</c:v>
                </c:pt>
                <c:pt idx="3">
                  <c:v>0,00</c:v>
                </c:pt>
                <c:pt idx="4">
                  <c:v>0,00</c:v>
                </c:pt>
                <c:pt idx="5">
                  <c:v>0,00</c:v>
                </c:pt>
                <c:pt idx="6">
                  <c:v>0,00</c:v>
                </c:pt>
                <c:pt idx="7">
                  <c:v>0,00</c:v>
                </c:pt>
                <c:pt idx="8">
                  <c:v>0,00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Mittelwerte!$AJ$4:$AJ$12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75F-4266-BA39-199928CB61C5}"/>
            </c:ext>
          </c:extLst>
        </c:ser>
        <c:ser>
          <c:idx val="1"/>
          <c:order val="1"/>
          <c:tx>
            <c:strRef>
              <c:f>Mittelwerte!$AB$3</c:f>
              <c:strCache>
                <c:ptCount val="1"/>
                <c:pt idx="0">
                  <c:v>Klee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Mittelwerte!$AH$4:$AH$12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F-4266-BA39-199928CB61C5}"/>
            </c:ext>
          </c:extLst>
        </c:ser>
        <c:ser>
          <c:idx val="0"/>
          <c:order val="2"/>
          <c:tx>
            <c:strRef>
              <c:f>Mittelwerte!$AA$3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Mittelwerte!$AG$4:$AG$12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F-4266-BA39-199928CB61C5}"/>
            </c:ext>
          </c:extLst>
        </c:ser>
        <c:ser>
          <c:idx val="2"/>
          <c:order val="3"/>
          <c:tx>
            <c:strRef>
              <c:f>Mittelwerte!$AC$3</c:f>
              <c:strCache>
                <c:ptCount val="1"/>
                <c:pt idx="0">
                  <c:v>Gras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Mittelwerte!$B$4:$B$12</c:f>
              <c:strCache>
                <c:ptCount val="9"/>
                <c:pt idx="0">
                  <c:v>R 100</c:v>
                </c:pt>
                <c:pt idx="1">
                  <c:v>R 75/W 25</c:v>
                </c:pt>
                <c:pt idx="2">
                  <c:v>R 50/W 50</c:v>
                </c:pt>
                <c:pt idx="3">
                  <c:v>R 25/W 75</c:v>
                </c:pt>
                <c:pt idx="4">
                  <c:v>W 100</c:v>
                </c:pt>
                <c:pt idx="5">
                  <c:v>R 75/S 25</c:v>
                </c:pt>
                <c:pt idx="6">
                  <c:v>R 50/ S 50</c:v>
                </c:pt>
                <c:pt idx="7">
                  <c:v>R 25/ S 75</c:v>
                </c:pt>
                <c:pt idx="8">
                  <c:v>S 100</c:v>
                </c:pt>
              </c:strCache>
            </c:strRef>
          </c:cat>
          <c:val>
            <c:numRef>
              <c:f>Mittelwerte!$AI$4:$AI$12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5F-4266-BA39-199928CB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939008"/>
        <c:axId val="292292848"/>
      </c:barChart>
      <c:catAx>
        <c:axId val="2909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292848"/>
        <c:crosses val="autoZero"/>
        <c:auto val="1"/>
        <c:lblAlgn val="ctr"/>
        <c:lblOffset val="100"/>
        <c:noMultiLvlLbl val="0"/>
      </c:catAx>
      <c:valAx>
        <c:axId val="2922928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0" i="0" baseline="0">
                    <a:effectLst/>
                  </a:rPr>
                  <a:t>dt/ha TM</a:t>
                </a:r>
                <a:endParaRPr lang="de-DE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9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76200</xdr:rowOff>
    </xdr:from>
    <xdr:to>
      <xdr:col>5</xdr:col>
      <xdr:colOff>679450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A64984-B32C-49A4-BC2F-267DB4081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16</xdr:row>
      <xdr:rowOff>107950</xdr:rowOff>
    </xdr:from>
    <xdr:to>
      <xdr:col>12</xdr:col>
      <xdr:colOff>584548</xdr:colOff>
      <xdr:row>32</xdr:row>
      <xdr:rowOff>6350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714BDE-963D-4003-84A7-09CD089E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57727</xdr:colOff>
      <xdr:row>16</xdr:row>
      <xdr:rowOff>114300</xdr:rowOff>
    </xdr:from>
    <xdr:to>
      <xdr:col>26</xdr:col>
      <xdr:colOff>785091</xdr:colOff>
      <xdr:row>32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49ACF1-0FF9-437A-83EF-363A85A2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191655</xdr:colOff>
      <xdr:row>16</xdr:row>
      <xdr:rowOff>138545</xdr:rowOff>
    </xdr:from>
    <xdr:to>
      <xdr:col>32</xdr:col>
      <xdr:colOff>669635</xdr:colOff>
      <xdr:row>32</xdr:row>
      <xdr:rowOff>36945</xdr:rowOff>
    </xdr:to>
    <xdr:graphicFrame macro="">
      <xdr:nvGraphicFramePr>
        <xdr:cNvPr id="9" name="Diagramm 4">
          <a:extLst>
            <a:ext uri="{FF2B5EF4-FFF2-40B4-BE49-F238E27FC236}">
              <a16:creationId xmlns:a16="http://schemas.microsoft.com/office/drawing/2014/main" id="{40746034-623D-49F7-8A98-9AADA253A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846974</xdr:colOff>
      <xdr:row>33</xdr:row>
      <xdr:rowOff>150787</xdr:rowOff>
    </xdr:from>
    <xdr:to>
      <xdr:col>8</xdr:col>
      <xdr:colOff>594986</xdr:colOff>
      <xdr:row>54</xdr:row>
      <xdr:rowOff>67659</xdr:rowOff>
    </xdr:to>
    <xdr:graphicFrame macro="">
      <xdr:nvGraphicFramePr>
        <xdr:cNvPr id="11" name="Diagramm 6">
          <a:extLst>
            <a:ext uri="{FF2B5EF4-FFF2-40B4-BE49-F238E27FC236}">
              <a16:creationId xmlns:a16="http://schemas.microsoft.com/office/drawing/2014/main" id="{A27C9D6C-23EF-4F38-8A98-CDE139C4A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15657</xdr:colOff>
      <xdr:row>33</xdr:row>
      <xdr:rowOff>153096</xdr:rowOff>
    </xdr:from>
    <xdr:to>
      <xdr:col>16</xdr:col>
      <xdr:colOff>626302</xdr:colOff>
      <xdr:row>54</xdr:row>
      <xdr:rowOff>66489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E10C7A-8B58-4EBA-B0BF-184708937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542794</xdr:colOff>
      <xdr:row>15</xdr:row>
      <xdr:rowOff>125260</xdr:rowOff>
    </xdr:from>
    <xdr:to>
      <xdr:col>20</xdr:col>
      <xdr:colOff>397092</xdr:colOff>
      <xdr:row>31</xdr:row>
      <xdr:rowOff>23660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96E1024-41DD-4322-8776-BC8438BB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304800</xdr:colOff>
      <xdr:row>38</xdr:row>
      <xdr:rowOff>129540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12E800DE-A3CE-4317-B388-7EC505C268FE}"/>
            </a:ext>
          </a:extLst>
        </xdr:cNvPr>
        <xdr:cNvSpPr>
          <a:spLocks noChangeAspect="1" noChangeArrowheads="1"/>
        </xdr:cNvSpPr>
      </xdr:nvSpPr>
      <xdr:spPr bwMode="auto">
        <a:xfrm>
          <a:off x="9387840" y="649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304800</xdr:colOff>
      <xdr:row>36</xdr:row>
      <xdr:rowOff>129540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94AECC37-43D3-4D8E-B075-3EE11D91E254}"/>
            </a:ext>
          </a:extLst>
        </xdr:cNvPr>
        <xdr:cNvSpPr>
          <a:spLocks noChangeAspect="1" noChangeArrowheads="1"/>
        </xdr:cNvSpPr>
      </xdr:nvSpPr>
      <xdr:spPr bwMode="auto">
        <a:xfrm>
          <a:off x="11094720" y="614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396659</xdr:colOff>
      <xdr:row>33</xdr:row>
      <xdr:rowOff>73068</xdr:rowOff>
    </xdr:from>
    <xdr:to>
      <xdr:col>25</xdr:col>
      <xdr:colOff>151358</xdr:colOff>
      <xdr:row>53</xdr:row>
      <xdr:rowOff>163913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404148C-7B1B-4488-9286-EB7F57B7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38</xdr:col>
      <xdr:colOff>477980</xdr:colOff>
      <xdr:row>32</xdr:row>
      <xdr:rowOff>74246</xdr:rowOff>
    </xdr:to>
    <xdr:graphicFrame macro="">
      <xdr:nvGraphicFramePr>
        <xdr:cNvPr id="13" name="Diagramm 4">
          <a:extLst>
            <a:ext uri="{FF2B5EF4-FFF2-40B4-BE49-F238E27FC236}">
              <a16:creationId xmlns:a16="http://schemas.microsoft.com/office/drawing/2014/main" id="{0115C687-42FD-4633-BF03-BF95C9EC2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315828</xdr:colOff>
      <xdr:row>33</xdr:row>
      <xdr:rowOff>87229</xdr:rowOff>
    </xdr:from>
    <xdr:to>
      <xdr:col>8</xdr:col>
      <xdr:colOff>626644</xdr:colOff>
      <xdr:row>49</xdr:row>
      <xdr:rowOff>103271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4A4C1D-2414-4075-809E-94C8B143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501317</xdr:colOff>
      <xdr:row>33</xdr:row>
      <xdr:rowOff>120316</xdr:rowOff>
    </xdr:from>
    <xdr:to>
      <xdr:col>15</xdr:col>
      <xdr:colOff>812132</xdr:colOff>
      <xdr:row>49</xdr:row>
      <xdr:rowOff>136358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281E1E-785C-4291-955F-7472FE47F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0.28743</cdr:x>
      <cdr:y>0.4498</cdr:y>
    </cdr:from>
    <cdr:to>
      <cdr:x>0.39211</cdr:x>
      <cdr:y>0.6116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31E06C75-E42E-4472-8E20-EBC516A7D508}"/>
            </a:ext>
          </a:extLst>
        </cdr:cNvPr>
        <cdr:cNvSpPr txBox="1"/>
      </cdr:nvSpPr>
      <cdr:spPr>
        <a:xfrm xmlns:a="http://schemas.openxmlformats.org/drawingml/2006/main">
          <a:off x="1314115" y="1233905"/>
          <a:ext cx="478628" cy="443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Florian Hantsche" id="{43ECE064-A7AC-4122-A975-320BA9049386}" userId="33ba86d2178c2ede" providerId="Windows Live"/>
  <person displayName="Martin S." id="{5C0D953D-9D7F-4E09-9320-CC4A91695EBE}" userId="b6f34dd82d656790" providerId="Windows Live"/>
  <person displayName="Florian Tröber" id="{50FBE7F2-8208-41EF-BDBE-CF1E41306234}" userId="ebc382136b131bf1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1" dT="2021-04-11T16:08:16.73" personId="{50FBE7F2-8208-41EF-BDBE-CF1E41306234}" id="{A2081A6F-7468-437D-884A-89D5B06349A3}">
    <text>Geschätzt aufgrund von TM und trockengewicht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4" dT="2020-08-11T17:05:29.48" personId="{5C0D953D-9D7F-4E09-9320-CC4A91695EBE}" id="{4F8C6D3B-CD6A-44FD-8F33-DB69E12816F1}">
    <text>Hatte Bezeichnung "S_A_SW_3"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14" dT="2020-08-11T17:05:29.48" personId="{5C0D953D-9D7F-4E09-9320-CC4A91695EBE}" id="{00279007-6DC8-4430-94FF-55CB43413B98}">
    <text>Hatte Bezeichnung "S_A_SW_3"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Y3" dT="2021-06-03T07:45:42.13" personId="{43ECE064-A7AC-4122-A975-320BA9049386}" id="{94E7FA04-254E-44F1-BE60-A96A54A38C7D}">
    <text>gibts nicht</text>
  </threadedComment>
  <threadedComment ref="V33" dT="2021-06-03T07:45:42.13" personId="{43ECE064-A7AC-4122-A975-320BA9049386}" id="{CB0222F0-FE30-4659-A881-1B97D551CFCA}">
    <text>gibts nicht</text>
  </threadedComment>
  <threadedComment ref="R36" dT="2021-06-18T10:20:01.44" personId="{43ECE064-A7AC-4122-A975-320BA9049386}" id="{08749E92-48F0-4336-885D-561722EBB3A1}">
    <text>von klee kopiert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A30" dT="2021-05-26T13:48:30.75" personId="{50FBE7F2-8208-41EF-BDBE-CF1E41306234}" id="{E4DED78D-CBA2-4DD0-AF82-393074CF3AB1}">
    <text>Zählt zu Unkraut ist weizen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Y24" dT="2021-07-12T15:54:39.43" personId="{43ECE064-A7AC-4122-A975-320BA9049386}" id="{2197F2AC-C4B4-4528-9A11-8A305A5A7E88}">
    <text>namenlose tüte hinzugefügt</text>
  </threadedComment>
  <threadedComment ref="D29" dT="2021-08-03T15:45:49.57" personId="{50FBE7F2-8208-41EF-BDBE-CF1E41306234}" id="{3A6B65B1-3AF4-4576-8D11-C16C878B6ED6}">
    <text>zu 17 von 27 geändert wegen handschrift</text>
  </threadedComment>
  <threadedComment ref="M38" dT="2021-07-12T15:55:01.48" personId="{43ECE064-A7AC-4122-A975-320BA9049386}" id="{91D9210B-AFB7-4285-A827-578C8EFE0DB6}">
    <text>von b4 kopiert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7DDF-88E1-43FB-93D2-3D8AE9E32790}">
  <sheetPr>
    <tabColor rgb="FFFF0000"/>
  </sheetPr>
  <dimension ref="A1:L361"/>
  <sheetViews>
    <sheetView zoomScale="70" zoomScaleNormal="70" workbookViewId="0">
      <pane ySplit="1" topLeftCell="A319" activePane="bottomLeft" state="frozen"/>
      <selection pane="bottomLeft" activeCell="K1" sqref="K1"/>
    </sheetView>
  </sheetViews>
  <sheetFormatPr baseColWidth="10" defaultRowHeight="14" x14ac:dyDescent="0.3"/>
  <sheetData>
    <row r="1" spans="1:12" ht="42" x14ac:dyDescent="0.3">
      <c r="A1" t="s">
        <v>97</v>
      </c>
      <c r="B1" t="s">
        <v>1</v>
      </c>
      <c r="C1" t="s">
        <v>3</v>
      </c>
      <c r="D1" t="s">
        <v>100</v>
      </c>
      <c r="E1" t="s">
        <v>99</v>
      </c>
      <c r="F1" s="127" t="s">
        <v>121</v>
      </c>
      <c r="G1" s="127" t="s">
        <v>102</v>
      </c>
      <c r="H1" s="127" t="s">
        <v>98</v>
      </c>
      <c r="I1" s="127" t="s">
        <v>13</v>
      </c>
      <c r="J1" s="127" t="s">
        <v>18</v>
      </c>
      <c r="K1" s="127"/>
      <c r="L1" s="127" t="s">
        <v>101</v>
      </c>
    </row>
    <row r="2" spans="1:12" x14ac:dyDescent="0.3">
      <c r="A2" s="232" t="s">
        <v>111</v>
      </c>
      <c r="B2" s="233" t="s">
        <v>2</v>
      </c>
      <c r="C2" s="234" t="s">
        <v>112</v>
      </c>
      <c r="D2" s="235">
        <v>1</v>
      </c>
      <c r="E2" s="236">
        <v>43952</v>
      </c>
      <c r="F2" s="237">
        <f>'Struppen 1. Schnitt 2020'!AK12</f>
        <v>0.2810795454545455</v>
      </c>
      <c r="G2" s="238" t="str">
        <f>IF('Struppen 1. Schnitt 2020'!AL12=0,"",'Struppen 1. Schnitt 2020'!AL12)</f>
        <v/>
      </c>
      <c r="H2" s="239">
        <f>IF('Struppen 1. Schnitt 2020'!AM12=0,"",'Struppen 1. Schnitt 2020'!AM12)</f>
        <v>40.43028951793076</v>
      </c>
      <c r="I2" s="240" t="str">
        <f>IF('Struppen 1. Schnitt 2020'!S12=0,"",'Struppen 1. Schnitt 2020'!S12)</f>
        <v/>
      </c>
      <c r="J2" s="240" t="str">
        <f>IF('Struppen 1. Schnitt 2020'!AE12=0,"",'Struppen 1. Schnitt 2020'!AE12)</f>
        <v/>
      </c>
      <c r="K2" s="240"/>
      <c r="L2" s="241">
        <f>'Struppen 1. Schnitt 2020'!L12</f>
        <v>50.932534670571094</v>
      </c>
    </row>
    <row r="3" spans="1:12" x14ac:dyDescent="0.3">
      <c r="A3" s="232" t="s">
        <v>111</v>
      </c>
      <c r="B3" s="233" t="s">
        <v>2</v>
      </c>
      <c r="C3" s="234" t="s">
        <v>113</v>
      </c>
      <c r="D3" s="235">
        <v>2</v>
      </c>
      <c r="E3" s="236">
        <v>43952</v>
      </c>
      <c r="F3" s="237">
        <f>'Struppen 1. Schnitt 2020'!AK13</f>
        <v>0</v>
      </c>
      <c r="G3" s="238">
        <f>IF('Struppen 1. Schnitt 2020'!AL13=0,"",'Struppen 1. Schnitt 2020'!AL13)</f>
        <v>22.054087948487741</v>
      </c>
      <c r="H3" s="239">
        <f>IF('Struppen 1. Schnitt 2020'!AM13=0,"",'Struppen 1. Schnitt 2020'!AM13)</f>
        <v>14.46790188656928</v>
      </c>
      <c r="I3" s="240" t="str">
        <f>IF('Struppen 1. Schnitt 2020'!S13=0,"",'Struppen 1. Schnitt 2020'!S13)</f>
        <v/>
      </c>
      <c r="J3" s="240">
        <f>IF('Struppen 1. Schnitt 2020'!AE13=0,"",'Struppen 1. Schnitt 2020'!AE13)</f>
        <v>22.054087948487741</v>
      </c>
      <c r="K3" s="240"/>
      <c r="L3" s="241">
        <f>'Struppen 1. Schnitt 2020'!L13</f>
        <v>62.224385086794101</v>
      </c>
    </row>
    <row r="4" spans="1:12" x14ac:dyDescent="0.3">
      <c r="A4" s="232" t="s">
        <v>111</v>
      </c>
      <c r="B4" s="242" t="s">
        <v>2</v>
      </c>
      <c r="C4" s="234" t="s">
        <v>114</v>
      </c>
      <c r="D4" s="235">
        <v>3</v>
      </c>
      <c r="E4" s="236">
        <v>43952</v>
      </c>
      <c r="F4" s="237">
        <f>'Struppen 1. Schnitt 2020'!AK14</f>
        <v>0</v>
      </c>
      <c r="G4" s="238">
        <f>IF('Struppen 1. Schnitt 2020'!AL14=0,"",'Struppen 1. Schnitt 2020'!AL14)</f>
        <v>40.709256693548369</v>
      </c>
      <c r="H4" s="239">
        <f>IF('Struppen 1. Schnitt 2020'!AM14=0,"",'Struppen 1. Schnitt 2020'!AM14)</f>
        <v>1.8823158296110691</v>
      </c>
      <c r="I4" s="240" t="str">
        <f>IF('Struppen 1. Schnitt 2020'!S14=0,"",'Struppen 1. Schnitt 2020'!S14)</f>
        <v/>
      </c>
      <c r="J4" s="240">
        <f>IF('Struppen 1. Schnitt 2020'!AE14=0,"",'Struppen 1. Schnitt 2020'!AE14)</f>
        <v>40.709256693548369</v>
      </c>
      <c r="K4" s="240"/>
      <c r="L4" s="241">
        <f>'Struppen 1. Schnitt 2020'!L14</f>
        <v>58.248604676366206</v>
      </c>
    </row>
    <row r="5" spans="1:12" x14ac:dyDescent="0.3">
      <c r="A5" s="232" t="s">
        <v>111</v>
      </c>
      <c r="B5" s="233" t="s">
        <v>2</v>
      </c>
      <c r="C5" s="234" t="s">
        <v>115</v>
      </c>
      <c r="D5" s="235">
        <v>4</v>
      </c>
      <c r="E5" s="236">
        <v>43952</v>
      </c>
      <c r="F5" s="237">
        <f>'Struppen 1. Schnitt 2020'!AK15</f>
        <v>2.3308349839587108</v>
      </c>
      <c r="G5" s="238">
        <f>IF('Struppen 1. Schnitt 2020'!AL15=0,"",'Struppen 1. Schnitt 2020'!AL15)</f>
        <v>27.065696914813874</v>
      </c>
      <c r="H5" s="239">
        <f>IF('Struppen 1. Schnitt 2020'!AM15=0,"",'Struppen 1. Schnitt 2020'!AM15)</f>
        <v>4.5976357042676819</v>
      </c>
      <c r="I5" s="240" t="str">
        <f>IF('Struppen 1. Schnitt 2020'!S15=0,"",'Struppen 1. Schnitt 2020'!S15)</f>
        <v/>
      </c>
      <c r="J5" s="240">
        <f>IF('Struppen 1. Schnitt 2020'!AE15=0,"",'Struppen 1. Schnitt 2020'!AE15)</f>
        <v>27.065696914813874</v>
      </c>
      <c r="K5" s="240"/>
      <c r="L5" s="241">
        <f>'Struppen 1. Schnitt 2020'!L15</f>
        <v>68.869024688568217</v>
      </c>
    </row>
    <row r="6" spans="1:12" x14ac:dyDescent="0.3">
      <c r="A6" s="232" t="s">
        <v>111</v>
      </c>
      <c r="B6" s="233" t="s">
        <v>2</v>
      </c>
      <c r="C6" s="234" t="s">
        <v>116</v>
      </c>
      <c r="D6" s="235">
        <v>5</v>
      </c>
      <c r="E6" s="236">
        <v>43952</v>
      </c>
      <c r="F6" s="237">
        <f>'Struppen 1. Schnitt 2020'!AK16</f>
        <v>0</v>
      </c>
      <c r="G6" s="238">
        <f>IF('Struppen 1. Schnitt 2020'!AL16=0,"",'Struppen 1. Schnitt 2020'!AL16)</f>
        <v>44.000475345646052</v>
      </c>
      <c r="H6" s="239" t="str">
        <f>IF('Struppen 1. Schnitt 2020'!AM16=0,"",'Struppen 1. Schnitt 2020'!AM16)</f>
        <v/>
      </c>
      <c r="I6" s="240" t="str">
        <f>IF('Struppen 1. Schnitt 2020'!S16=0,"",'Struppen 1. Schnitt 2020'!S16)</f>
        <v/>
      </c>
      <c r="J6" s="240">
        <f>IF('Struppen 1. Schnitt 2020'!AE16=0,"",'Struppen 1. Schnitt 2020'!AE16)</f>
        <v>44.000475345646052</v>
      </c>
      <c r="K6" s="240"/>
      <c r="L6" s="241">
        <f>'Struppen 1. Schnitt 2020'!L16</f>
        <v>34.771591448474915</v>
      </c>
    </row>
    <row r="7" spans="1:12" x14ac:dyDescent="0.3">
      <c r="A7" s="232" t="s">
        <v>111</v>
      </c>
      <c r="B7" s="233" t="s">
        <v>2</v>
      </c>
      <c r="C7" s="234" t="s">
        <v>117</v>
      </c>
      <c r="D7" s="235">
        <v>6</v>
      </c>
      <c r="E7" s="236">
        <v>43952</v>
      </c>
      <c r="F7" s="237">
        <f>'Struppen 1. Schnitt 2020'!AK17</f>
        <v>0</v>
      </c>
      <c r="G7" s="238">
        <f>IF('Struppen 1. Schnitt 2020'!AL17=0,"",'Struppen 1. Schnitt 2020'!AL17)</f>
        <v>2.7089778494322165</v>
      </c>
      <c r="H7" s="239">
        <f>IF('Struppen 1. Schnitt 2020'!AM17=0,"",'Struppen 1. Schnitt 2020'!AM17)</f>
        <v>25.157242216669104</v>
      </c>
      <c r="I7" s="240">
        <f>IF('Struppen 1. Schnitt 2020'!S17=0,"",'Struppen 1. Schnitt 2020'!S17)</f>
        <v>2.7089778494322165</v>
      </c>
      <c r="J7" s="240" t="str">
        <f>IF('Struppen 1. Schnitt 2020'!AE17=0,"",'Struppen 1. Schnitt 2020'!AE17)</f>
        <v/>
      </c>
      <c r="K7" s="240"/>
      <c r="L7" s="241">
        <f>'Struppen 1. Schnitt 2020'!L17</f>
        <v>43.118540332211502</v>
      </c>
    </row>
    <row r="8" spans="1:12" x14ac:dyDescent="0.3">
      <c r="A8" s="232" t="s">
        <v>111</v>
      </c>
      <c r="B8" s="233" t="s">
        <v>2</v>
      </c>
      <c r="C8" s="234" t="s">
        <v>118</v>
      </c>
      <c r="D8" s="235">
        <v>7</v>
      </c>
      <c r="E8" s="236">
        <v>43952</v>
      </c>
      <c r="F8" s="237">
        <f>'Struppen 1. Schnitt 2020'!AK18</f>
        <v>-7.5436893203881319E-3</v>
      </c>
      <c r="G8" s="238">
        <f>IF('Struppen 1. Schnitt 2020'!AL18=0,"",'Struppen 1. Schnitt 2020'!AL18)</f>
        <v>14.915956804546891</v>
      </c>
      <c r="H8" s="239">
        <f>IF('Struppen 1. Schnitt 2020'!AM18=0,"",'Struppen 1. Schnitt 2020'!AM18)</f>
        <v>18.45783047865174</v>
      </c>
      <c r="I8" s="240">
        <f>IF('Struppen 1. Schnitt 2020'!S18=0,"",'Struppen 1. Schnitt 2020'!S18)</f>
        <v>14.915956804546891</v>
      </c>
      <c r="J8" s="240" t="str">
        <f>IF('Struppen 1. Schnitt 2020'!AE18=0,"",'Struppen 1. Schnitt 2020'!AE18)</f>
        <v/>
      </c>
      <c r="K8" s="240"/>
      <c r="L8" s="241">
        <f>'Struppen 1. Schnitt 2020'!L18</f>
        <v>38.97077515912833</v>
      </c>
    </row>
    <row r="9" spans="1:12" x14ac:dyDescent="0.3">
      <c r="A9" s="232" t="s">
        <v>111</v>
      </c>
      <c r="B9" s="233" t="s">
        <v>2</v>
      </c>
      <c r="C9" s="234" t="s">
        <v>119</v>
      </c>
      <c r="D9" s="235">
        <v>8</v>
      </c>
      <c r="E9" s="236">
        <v>43952</v>
      </c>
      <c r="F9" s="237">
        <f>'Struppen 1. Schnitt 2020'!AK19</f>
        <v>0.93271664548919953</v>
      </c>
      <c r="G9" s="238">
        <f>IF('Struppen 1. Schnitt 2020'!AL19=0,"",'Struppen 1. Schnitt 2020'!AL19)</f>
        <v>12.879371262277189</v>
      </c>
      <c r="H9" s="239">
        <f>IF('Struppen 1. Schnitt 2020'!AM19=0,"",'Struppen 1. Schnitt 2020'!AM19)</f>
        <v>5.6953965371224253</v>
      </c>
      <c r="I9" s="240">
        <f>IF('Struppen 1. Schnitt 2020'!S19=0,"",'Struppen 1. Schnitt 2020'!S19)</f>
        <v>12.879371262277189</v>
      </c>
      <c r="J9" s="240" t="str">
        <f>IF('Struppen 1. Schnitt 2020'!AE19=0,"",'Struppen 1. Schnitt 2020'!AE19)</f>
        <v/>
      </c>
      <c r="K9" s="240"/>
      <c r="L9" s="241">
        <f>'Struppen 1. Schnitt 2020'!L19</f>
        <v>36.907239103098533</v>
      </c>
    </row>
    <row r="10" spans="1:12" x14ac:dyDescent="0.3">
      <c r="A10" s="232" t="s">
        <v>111</v>
      </c>
      <c r="B10" s="243" t="s">
        <v>2</v>
      </c>
      <c r="C10" s="234" t="s">
        <v>120</v>
      </c>
      <c r="D10" s="244">
        <v>9</v>
      </c>
      <c r="E10" s="236">
        <v>43952</v>
      </c>
      <c r="F10" s="237">
        <f>'Struppen 1. Schnitt 2020'!AK20</f>
        <v>1.0620304182509508</v>
      </c>
      <c r="G10" s="238">
        <f>IF('Struppen 1. Schnitt 2020'!AL20=0,"",'Struppen 1. Schnitt 2020'!AL20)</f>
        <v>20.56177041039415</v>
      </c>
      <c r="H10" s="239" t="str">
        <f>IF('Struppen 1. Schnitt 2020'!AM20=0,"",'Struppen 1. Schnitt 2020'!AM20)</f>
        <v/>
      </c>
      <c r="I10" s="240">
        <f>IF('Struppen 1. Schnitt 2020'!S20=0,"",'Struppen 1. Schnitt 2020'!S20)</f>
        <v>20.56177041039415</v>
      </c>
      <c r="J10" s="240" t="str">
        <f>IF('Struppen 1. Schnitt 2020'!AE20=0,"",'Struppen 1. Schnitt 2020'!AE20)</f>
        <v/>
      </c>
      <c r="K10" s="240"/>
      <c r="L10" s="241">
        <f>'Struppen 1. Schnitt 2020'!L20</f>
        <v>24.205379131153173</v>
      </c>
    </row>
    <row r="11" spans="1:12" x14ac:dyDescent="0.3">
      <c r="A11" s="232" t="s">
        <v>111</v>
      </c>
      <c r="B11" s="233" t="s">
        <v>9</v>
      </c>
      <c r="C11" s="234" t="s">
        <v>112</v>
      </c>
      <c r="D11" s="235">
        <v>1</v>
      </c>
      <c r="E11" s="236">
        <v>43952</v>
      </c>
      <c r="F11" s="237">
        <f>'Struppen 1. Schnitt 2020'!AK21</f>
        <v>2.6779262782401907</v>
      </c>
      <c r="G11" s="238" t="str">
        <f>IF('Struppen 1. Schnitt 2020'!AL21=0,"",'Struppen 1. Schnitt 2020'!AL21)</f>
        <v/>
      </c>
      <c r="H11" s="239">
        <f>IF('Struppen 1. Schnitt 2020'!AM21=0,"",'Struppen 1. Schnitt 2020'!AM21)</f>
        <v>35.868465486570173</v>
      </c>
      <c r="I11" s="240" t="str">
        <f>IF('Struppen 1. Schnitt 2020'!S21=0,"",'Struppen 1. Schnitt 2020'!S21)</f>
        <v/>
      </c>
      <c r="J11" s="240" t="str">
        <f>IF('Struppen 1. Schnitt 2020'!AE21=0,"",'Struppen 1. Schnitt 2020'!AE21)</f>
        <v/>
      </c>
      <c r="K11" s="240"/>
      <c r="L11" s="241">
        <f>'Struppen 1. Schnitt 2020'!L21</f>
        <v>37.958282773126243</v>
      </c>
    </row>
    <row r="12" spans="1:12" x14ac:dyDescent="0.3">
      <c r="A12" s="232" t="s">
        <v>111</v>
      </c>
      <c r="B12" s="233" t="s">
        <v>9</v>
      </c>
      <c r="C12" s="234" t="s">
        <v>113</v>
      </c>
      <c r="D12" s="235">
        <v>2</v>
      </c>
      <c r="E12" s="236">
        <v>43952</v>
      </c>
      <c r="F12" s="237">
        <f>'Struppen 1. Schnitt 2020'!AK22</f>
        <v>0.30255528255528241</v>
      </c>
      <c r="G12" s="238">
        <f>IF('Struppen 1. Schnitt 2020'!AL22=0,"",'Struppen 1. Schnitt 2020'!AL22)</f>
        <v>8.9801768307040284</v>
      </c>
      <c r="H12" s="239">
        <f>IF('Struppen 1. Schnitt 2020'!AM22=0,"",'Struppen 1. Schnitt 2020'!AM22)</f>
        <v>27.243250127784965</v>
      </c>
      <c r="I12" s="240" t="str">
        <f>IF('Struppen 1. Schnitt 2020'!S22=0,"",'Struppen 1. Schnitt 2020'!S22)</f>
        <v/>
      </c>
      <c r="J12" s="240">
        <f>IF('Struppen 1. Schnitt 2020'!AE22=0,"",'Struppen 1. Schnitt 2020'!AE22)</f>
        <v>8.9801768307040284</v>
      </c>
      <c r="K12" s="240"/>
      <c r="L12" s="241">
        <f>'Struppen 1. Schnitt 2020'!L22</f>
        <v>48.308283998011454</v>
      </c>
    </row>
    <row r="13" spans="1:12" x14ac:dyDescent="0.3">
      <c r="A13" s="232" t="s">
        <v>111</v>
      </c>
      <c r="B13" s="233" t="s">
        <v>9</v>
      </c>
      <c r="C13" s="234" t="s">
        <v>114</v>
      </c>
      <c r="D13" s="235">
        <v>3</v>
      </c>
      <c r="E13" s="236">
        <v>43952</v>
      </c>
      <c r="F13" s="237">
        <f>'Struppen 1. Schnitt 2020'!AK23</f>
        <v>3.318965517241388E-2</v>
      </c>
      <c r="G13" s="238">
        <f>IF('Struppen 1. Schnitt 2020'!AL23=0,"",'Struppen 1. Schnitt 2020'!AL23)</f>
        <v>34.405144181084772</v>
      </c>
      <c r="H13" s="239">
        <f>IF('Struppen 1. Schnitt 2020'!AM23=0,"",'Struppen 1. Schnitt 2020'!AM23)</f>
        <v>7.110170573614699</v>
      </c>
      <c r="I13" s="240" t="str">
        <f>IF('Struppen 1. Schnitt 2020'!S23=0,"",'Struppen 1. Schnitt 2020'!S23)</f>
        <v/>
      </c>
      <c r="J13" s="240">
        <f>IF('Struppen 1. Schnitt 2020'!AE23=0,"",'Struppen 1. Schnitt 2020'!AE23)</f>
        <v>34.405144181084772</v>
      </c>
      <c r="K13" s="240"/>
      <c r="L13" s="241">
        <f>'Struppen 1. Schnitt 2020'!L23</f>
        <v>61.4883889120416</v>
      </c>
    </row>
    <row r="14" spans="1:12" x14ac:dyDescent="0.3">
      <c r="A14" s="232" t="s">
        <v>111</v>
      </c>
      <c r="B14" s="233" t="s">
        <v>9</v>
      </c>
      <c r="C14" s="234" t="s">
        <v>115</v>
      </c>
      <c r="D14" s="235">
        <v>4</v>
      </c>
      <c r="E14" s="236">
        <v>43952</v>
      </c>
      <c r="F14" s="237">
        <f>'Struppen 1. Schnitt 2020'!AK24</f>
        <v>0</v>
      </c>
      <c r="G14" s="238">
        <f>IF('Struppen 1. Schnitt 2020'!AL24=0,"",'Struppen 1. Schnitt 2020'!AL24)</f>
        <v>25.610706038622666</v>
      </c>
      <c r="H14" s="239">
        <f>IF('Struppen 1. Schnitt 2020'!AM24=0,"",'Struppen 1. Schnitt 2020'!AM24)</f>
        <v>12.168912357138344</v>
      </c>
      <c r="I14" s="240" t="str">
        <f>IF('Struppen 1. Schnitt 2020'!S24=0,"",'Struppen 1. Schnitt 2020'!S24)</f>
        <v/>
      </c>
      <c r="J14" s="240">
        <f>IF('Struppen 1. Schnitt 2020'!AE24=0,"",'Struppen 1. Schnitt 2020'!AE24)</f>
        <v>25.610706038622666</v>
      </c>
      <c r="K14" s="240"/>
      <c r="L14" s="241">
        <f>'Struppen 1. Schnitt 2020'!L24</f>
        <v>49.48925418209749</v>
      </c>
    </row>
    <row r="15" spans="1:12" x14ac:dyDescent="0.3">
      <c r="A15" s="232" t="s">
        <v>111</v>
      </c>
      <c r="B15" s="242" t="s">
        <v>9</v>
      </c>
      <c r="C15" s="234" t="s">
        <v>116</v>
      </c>
      <c r="D15" s="235">
        <v>5</v>
      </c>
      <c r="E15" s="236">
        <v>43952</v>
      </c>
      <c r="F15" s="237">
        <f>'Struppen 1. Schnitt 2020'!AK25</f>
        <v>0</v>
      </c>
      <c r="G15" s="238">
        <f>IF('Struppen 1. Schnitt 2020'!AL25=0,"",'Struppen 1. Schnitt 2020'!AL25)</f>
        <v>48.002697266632275</v>
      </c>
      <c r="H15" s="239" t="str">
        <f>IF('Struppen 1. Schnitt 2020'!AM25=0,"",'Struppen 1. Schnitt 2020'!AM25)</f>
        <v/>
      </c>
      <c r="I15" s="240" t="str">
        <f>IF('Struppen 1. Schnitt 2020'!S25=0,"",'Struppen 1. Schnitt 2020'!S25)</f>
        <v/>
      </c>
      <c r="J15" s="240">
        <f>IF('Struppen 1. Schnitt 2020'!AE25=0,"",'Struppen 1. Schnitt 2020'!AE25)</f>
        <v>48.002697266632275</v>
      </c>
      <c r="K15" s="240"/>
      <c r="L15" s="241">
        <f>'Struppen 1. Schnitt 2020'!L25</f>
        <v>52.027762356816375</v>
      </c>
    </row>
    <row r="16" spans="1:12" x14ac:dyDescent="0.3">
      <c r="A16" s="232" t="s">
        <v>111</v>
      </c>
      <c r="B16" s="233" t="s">
        <v>9</v>
      </c>
      <c r="C16" s="234" t="s">
        <v>117</v>
      </c>
      <c r="D16" s="235">
        <v>6</v>
      </c>
      <c r="E16" s="236">
        <v>43952</v>
      </c>
      <c r="F16" s="237">
        <f>'Struppen 1. Schnitt 2020'!AK26</f>
        <v>1.1120267291264812</v>
      </c>
      <c r="G16" s="238">
        <f>IF('Struppen 1. Schnitt 2020'!AL26=0,"",'Struppen 1. Schnitt 2020'!AL26)</f>
        <v>3.254112547030918</v>
      </c>
      <c r="H16" s="239">
        <f>IF('Struppen 1. Schnitt 2020'!AM26=0,"",'Struppen 1. Schnitt 2020'!AM26)</f>
        <v>38.096319999999984</v>
      </c>
      <c r="I16" s="240">
        <f>IF('Struppen 1. Schnitt 2020'!S26=0,"",'Struppen 1. Schnitt 2020'!S26)</f>
        <v>3.254112547030918</v>
      </c>
      <c r="J16" s="240" t="str">
        <f>IF('Struppen 1. Schnitt 2020'!AE26=0,"",'Struppen 1. Schnitt 2020'!AE26)</f>
        <v/>
      </c>
      <c r="K16" s="240"/>
      <c r="L16" s="241">
        <f>'Struppen 1. Schnitt 2020'!L26</f>
        <v>47.796365022638568</v>
      </c>
    </row>
    <row r="17" spans="1:12" x14ac:dyDescent="0.3">
      <c r="A17" s="232" t="s">
        <v>111</v>
      </c>
      <c r="B17" s="233" t="s">
        <v>9</v>
      </c>
      <c r="C17" s="234" t="s">
        <v>118</v>
      </c>
      <c r="D17" s="235">
        <v>7</v>
      </c>
      <c r="E17" s="236">
        <v>43952</v>
      </c>
      <c r="F17" s="237">
        <f>'Struppen 1. Schnitt 2020'!AK27</f>
        <v>0</v>
      </c>
      <c r="G17" s="238">
        <f>IF('Struppen 1. Schnitt 2020'!AL27=0,"",'Struppen 1. Schnitt 2020'!AL27)</f>
        <v>15.078540000453133</v>
      </c>
      <c r="H17" s="239">
        <f>IF('Struppen 1. Schnitt 2020'!AM27=0,"",'Struppen 1. Schnitt 2020'!AM27)</f>
        <v>13.592725033467202</v>
      </c>
      <c r="I17" s="240">
        <f>IF('Struppen 1. Schnitt 2020'!S27=0,"",'Struppen 1. Schnitt 2020'!S27)</f>
        <v>15.078540000453133</v>
      </c>
      <c r="J17" s="240" t="str">
        <f>IF('Struppen 1. Schnitt 2020'!AE27=0,"",'Struppen 1. Schnitt 2020'!AE27)</f>
        <v/>
      </c>
      <c r="K17" s="240"/>
      <c r="L17" s="241">
        <f>'Struppen 1. Schnitt 2020'!L27</f>
        <v>44.892450104497847</v>
      </c>
    </row>
    <row r="18" spans="1:12" x14ac:dyDescent="0.3">
      <c r="A18" s="232" t="s">
        <v>111</v>
      </c>
      <c r="B18" s="233" t="s">
        <v>9</v>
      </c>
      <c r="C18" s="234" t="s">
        <v>119</v>
      </c>
      <c r="D18" s="235">
        <v>8</v>
      </c>
      <c r="E18" s="236">
        <v>43952</v>
      </c>
      <c r="F18" s="237">
        <f>'Struppen 1. Schnitt 2020'!AK28</f>
        <v>0.13669624573378827</v>
      </c>
      <c r="G18" s="238">
        <f>IF('Struppen 1. Schnitt 2020'!AL28=0,"",'Struppen 1. Schnitt 2020'!AL28)</f>
        <v>17.604138375958662</v>
      </c>
      <c r="H18" s="239">
        <f>IF('Struppen 1. Schnitt 2020'!AM28=0,"",'Struppen 1. Schnitt 2020'!AM28)</f>
        <v>7.7594610106248396</v>
      </c>
      <c r="I18" s="240">
        <f>IF('Struppen 1. Schnitt 2020'!S28=0,"",'Struppen 1. Schnitt 2020'!S28)</f>
        <v>17.604138375958662</v>
      </c>
      <c r="J18" s="240" t="str">
        <f>IF('Struppen 1. Schnitt 2020'!AE28=0,"",'Struppen 1. Schnitt 2020'!AE28)</f>
        <v/>
      </c>
      <c r="K18" s="240"/>
      <c r="L18" s="241">
        <f>'Struppen 1. Schnitt 2020'!L28</f>
        <v>42.646726405184083</v>
      </c>
    </row>
    <row r="19" spans="1:12" x14ac:dyDescent="0.3">
      <c r="A19" s="232" t="s">
        <v>111</v>
      </c>
      <c r="B19" s="243" t="s">
        <v>9</v>
      </c>
      <c r="C19" s="234" t="s">
        <v>120</v>
      </c>
      <c r="D19" s="244">
        <v>9</v>
      </c>
      <c r="E19" s="236">
        <v>43952</v>
      </c>
      <c r="F19" s="237">
        <f>'Struppen 1. Schnitt 2020'!AK29</f>
        <v>0</v>
      </c>
      <c r="G19" s="238" t="str">
        <f>IF('Struppen 1. Schnitt 2020'!AL29=0,"",'Struppen 1. Schnitt 2020'!AL29)</f>
        <v/>
      </c>
      <c r="H19" s="239" t="str">
        <f>IF('Struppen 1. Schnitt 2020'!AM29=0,"",'Struppen 1. Schnitt 2020'!AM29)</f>
        <v/>
      </c>
      <c r="I19" s="240">
        <f>IF('Struppen 1. Schnitt 2020'!S29=0,"",'Struppen 1. Schnitt 2020'!S29)</f>
        <v>9.6433655288989062</v>
      </c>
      <c r="J19" s="240" t="str">
        <f>IF('Struppen 1. Schnitt 2020'!AE29=0,"",'Struppen 1. Schnitt 2020'!AE29)</f>
        <v/>
      </c>
      <c r="K19" s="240"/>
      <c r="L19" s="241">
        <f>'Struppen 1. Schnitt 2020'!L29</f>
        <v>53.201786945762841</v>
      </c>
    </row>
    <row r="20" spans="1:12" x14ac:dyDescent="0.3">
      <c r="A20" s="232" t="s">
        <v>111</v>
      </c>
      <c r="B20" s="233" t="s">
        <v>10</v>
      </c>
      <c r="C20" s="234" t="s">
        <v>112</v>
      </c>
      <c r="D20" s="235">
        <v>1</v>
      </c>
      <c r="E20" s="236">
        <v>43952</v>
      </c>
      <c r="F20" s="237">
        <f>'Struppen 1. Schnitt 2020'!AK30</f>
        <v>0</v>
      </c>
      <c r="G20" s="238" t="str">
        <f>IF('Struppen 1. Schnitt 2020'!AL30=0,"",'Struppen 1. Schnitt 2020'!AL30)</f>
        <v/>
      </c>
      <c r="H20" s="239" t="str">
        <f>IF('Struppen 1. Schnitt 2020'!AM30=0,"",'Struppen 1. Schnitt 2020'!AM30)</f>
        <v/>
      </c>
      <c r="I20" s="240">
        <f>IF('Struppen 1. Schnitt 2020'!S30=0,"",'Struppen 1. Schnitt 2020'!S30)</f>
        <v>10.292882769201862</v>
      </c>
      <c r="J20" s="240" t="str">
        <f>IF('Struppen 1. Schnitt 2020'!AE30=0,"",'Struppen 1. Schnitt 2020'!AE30)</f>
        <v/>
      </c>
      <c r="K20" s="240"/>
      <c r="L20" s="241">
        <f>'Struppen 1. Schnitt 2020'!L30</f>
        <v>53.083923783794845</v>
      </c>
    </row>
    <row r="21" spans="1:12" x14ac:dyDescent="0.3">
      <c r="A21" s="232" t="s">
        <v>111</v>
      </c>
      <c r="B21" s="233" t="s">
        <v>10</v>
      </c>
      <c r="C21" s="234" t="s">
        <v>113</v>
      </c>
      <c r="D21" s="235">
        <v>2</v>
      </c>
      <c r="E21" s="236">
        <v>43952</v>
      </c>
      <c r="F21" s="237">
        <f>'Struppen 1. Schnitt 2020'!AK31</f>
        <v>0</v>
      </c>
      <c r="G21" s="238">
        <f>IF('Struppen 1. Schnitt 2020'!AL31=0,"",'Struppen 1. Schnitt 2020'!AL31)</f>
        <v>21.686579991697808</v>
      </c>
      <c r="H21" s="239">
        <f>IF('Struppen 1. Schnitt 2020'!AM31=0,"",'Struppen 1. Schnitt 2020'!AM31)</f>
        <v>31.976254327182641</v>
      </c>
      <c r="I21" s="240" t="str">
        <f>IF('Struppen 1. Schnitt 2020'!S31=0,"",'Struppen 1. Schnitt 2020'!S31)</f>
        <v/>
      </c>
      <c r="J21" s="240">
        <f>IF('Struppen 1. Schnitt 2020'!AE31=0,"",'Struppen 1. Schnitt 2020'!AE31)</f>
        <v>21.686579991697808</v>
      </c>
      <c r="K21" s="240"/>
      <c r="L21" s="241">
        <f>'Struppen 1. Schnitt 2020'!L31</f>
        <v>62.596907283122064</v>
      </c>
    </row>
    <row r="22" spans="1:12" x14ac:dyDescent="0.3">
      <c r="A22" s="232" t="s">
        <v>111</v>
      </c>
      <c r="B22" s="233" t="s">
        <v>10</v>
      </c>
      <c r="C22" s="234" t="s">
        <v>114</v>
      </c>
      <c r="D22" s="235">
        <v>3</v>
      </c>
      <c r="E22" s="236">
        <v>43952</v>
      </c>
      <c r="F22" s="237">
        <f>'Struppen 1. Schnitt 2020'!AK32</f>
        <v>0</v>
      </c>
      <c r="G22" s="238">
        <f>IF('Struppen 1. Schnitt 2020'!AL32=0,"",'Struppen 1. Schnitt 2020'!AL32)</f>
        <v>19.577902855738103</v>
      </c>
      <c r="H22" s="239">
        <f>IF('Struppen 1. Schnitt 2020'!AM32=0,"",'Struppen 1. Schnitt 2020'!AM32)</f>
        <v>21.452396292004632</v>
      </c>
      <c r="I22" s="240" t="str">
        <f>IF('Struppen 1. Schnitt 2020'!S32=0,"",'Struppen 1. Schnitt 2020'!S32)</f>
        <v/>
      </c>
      <c r="J22" s="240">
        <f>IF('Struppen 1. Schnitt 2020'!AE32=0,"",'Struppen 1. Schnitt 2020'!AE32)</f>
        <v>19.577902855738103</v>
      </c>
      <c r="K22" s="240"/>
      <c r="L22" s="241">
        <f>'Struppen 1. Schnitt 2020'!L32</f>
        <v>52.206563221853976</v>
      </c>
    </row>
    <row r="23" spans="1:12" x14ac:dyDescent="0.3">
      <c r="A23" s="232" t="s">
        <v>111</v>
      </c>
      <c r="B23" s="233" t="s">
        <v>10</v>
      </c>
      <c r="C23" s="234" t="s">
        <v>115</v>
      </c>
      <c r="D23" s="235">
        <v>4</v>
      </c>
      <c r="E23" s="236">
        <v>43952</v>
      </c>
      <c r="F23" s="237">
        <f>'Struppen 1. Schnitt 2020'!AK33</f>
        <v>0</v>
      </c>
      <c r="G23" s="238">
        <f>IF('Struppen 1. Schnitt 2020'!AL33=0,"",'Struppen 1. Schnitt 2020'!AL33)</f>
        <v>24.386884655615066</v>
      </c>
      <c r="H23" s="239">
        <f>IF('Struppen 1. Schnitt 2020'!AM33=0,"",'Struppen 1. Schnitt 2020'!AM33)</f>
        <v>27.161388181120483</v>
      </c>
      <c r="I23" s="240" t="str">
        <f>IF('Struppen 1. Schnitt 2020'!S33=0,"",'Struppen 1. Schnitt 2020'!S33)</f>
        <v/>
      </c>
      <c r="J23" s="240">
        <f>IF('Struppen 1. Schnitt 2020'!AE33=0,"",'Struppen 1. Schnitt 2020'!AE33)</f>
        <v>24.386884655615066</v>
      </c>
      <c r="K23" s="240"/>
      <c r="L23" s="241">
        <f>'Struppen 1. Schnitt 2020'!L33</f>
        <v>53.392806452231625</v>
      </c>
    </row>
    <row r="24" spans="1:12" x14ac:dyDescent="0.3">
      <c r="A24" s="232" t="s">
        <v>111</v>
      </c>
      <c r="B24" s="233" t="s">
        <v>10</v>
      </c>
      <c r="C24" s="234" t="s">
        <v>116</v>
      </c>
      <c r="D24" s="235">
        <v>5</v>
      </c>
      <c r="E24" s="236">
        <v>43952</v>
      </c>
      <c r="F24" s="237">
        <f>'Struppen 1. Schnitt 2020'!AK34</f>
        <v>0</v>
      </c>
      <c r="G24" s="238">
        <f>IF('Struppen 1. Schnitt 2020'!AL34=0,"",'Struppen 1. Schnitt 2020'!AL34)</f>
        <v>37.209769372504859</v>
      </c>
      <c r="H24" s="239" t="str">
        <f>IF('Struppen 1. Schnitt 2020'!AM34=0,"",'Struppen 1. Schnitt 2020'!AM34)</f>
        <v/>
      </c>
      <c r="I24" s="240" t="str">
        <f>IF('Struppen 1. Schnitt 2020'!S34=0,"",'Struppen 1. Schnitt 2020'!S34)</f>
        <v/>
      </c>
      <c r="J24" s="240">
        <f>IF('Struppen 1. Schnitt 2020'!AE34=0,"",'Struppen 1. Schnitt 2020'!AE34)</f>
        <v>37.209769372504859</v>
      </c>
      <c r="K24" s="240"/>
      <c r="L24" s="241">
        <f>'Struppen 1. Schnitt 2020'!L34</f>
        <v>52.718272617067711</v>
      </c>
    </row>
    <row r="25" spans="1:12" x14ac:dyDescent="0.3">
      <c r="A25" s="232" t="s">
        <v>111</v>
      </c>
      <c r="B25" s="233" t="s">
        <v>10</v>
      </c>
      <c r="C25" s="234" t="s">
        <v>117</v>
      </c>
      <c r="D25" s="235">
        <v>6</v>
      </c>
      <c r="E25" s="236">
        <v>43952</v>
      </c>
      <c r="F25" s="237">
        <f>'Struppen 1. Schnitt 2020'!AK35</f>
        <v>0.50915110422316945</v>
      </c>
      <c r="G25" s="238">
        <f>IF('Struppen 1. Schnitt 2020'!AL35=0,"",'Struppen 1. Schnitt 2020'!AL35)</f>
        <v>6.4047707049965785</v>
      </c>
      <c r="H25" s="239">
        <f>IF('Struppen 1. Schnitt 2020'!AM35=0,"",'Struppen 1. Schnitt 2020'!AM35)</f>
        <v>22.846978344521531</v>
      </c>
      <c r="I25" s="240">
        <f>IF('Struppen 1. Schnitt 2020'!S35=0,"",'Struppen 1. Schnitt 2020'!S35)</f>
        <v>6.4047707049965785</v>
      </c>
      <c r="J25" s="240" t="str">
        <f>IF('Struppen 1. Schnitt 2020'!AE35=0,"",'Struppen 1. Schnitt 2020'!AE35)</f>
        <v/>
      </c>
      <c r="K25" s="240"/>
      <c r="L25" s="241">
        <f>'Struppen 1. Schnitt 2020'!L35</f>
        <v>54.624118767017819</v>
      </c>
    </row>
    <row r="26" spans="1:12" x14ac:dyDescent="0.3">
      <c r="A26" s="232" t="s">
        <v>111</v>
      </c>
      <c r="B26" s="242" t="s">
        <v>10</v>
      </c>
      <c r="C26" s="234" t="s">
        <v>118</v>
      </c>
      <c r="D26" s="235">
        <v>7</v>
      </c>
      <c r="E26" s="236">
        <v>43952</v>
      </c>
      <c r="F26" s="237">
        <f>'Struppen 1. Schnitt 2020'!AK36</f>
        <v>0.20583391730903988</v>
      </c>
      <c r="G26" s="238">
        <f>IF('Struppen 1. Schnitt 2020'!AL36=0,"",'Struppen 1. Schnitt 2020'!AL36)</f>
        <v>13.65958260089131</v>
      </c>
      <c r="H26" s="239">
        <f>IF('Struppen 1. Schnitt 2020'!AM36=0,"",'Struppen 1. Schnitt 2020'!AM36)</f>
        <v>28.828794155661697</v>
      </c>
      <c r="I26" s="240">
        <f>IF('Struppen 1. Schnitt 2020'!S36=0,"",'Struppen 1. Schnitt 2020'!S36)</f>
        <v>13.65958260089131</v>
      </c>
      <c r="J26" s="240" t="str">
        <f>IF('Struppen 1. Schnitt 2020'!AE36=0,"",'Struppen 1. Schnitt 2020'!AE36)</f>
        <v/>
      </c>
      <c r="K26" s="240"/>
      <c r="L26" s="241">
        <f>'Struppen 1. Schnitt 2020'!L36</f>
        <v>53.037967655600468</v>
      </c>
    </row>
    <row r="27" spans="1:12" x14ac:dyDescent="0.3">
      <c r="A27" s="232" t="s">
        <v>111</v>
      </c>
      <c r="B27" s="233" t="s">
        <v>10</v>
      </c>
      <c r="C27" s="234" t="s">
        <v>119</v>
      </c>
      <c r="D27" s="235">
        <v>8</v>
      </c>
      <c r="E27" s="236">
        <v>43952</v>
      </c>
      <c r="F27" s="237">
        <f>'Struppen 1. Schnitt 2020'!AK37</f>
        <v>1.4528034253092292</v>
      </c>
      <c r="G27" s="238">
        <f>IF('Struppen 1. Schnitt 2020'!AL37=0,"",'Struppen 1. Schnitt 2020'!AL37)</f>
        <v>20.54567680077675</v>
      </c>
      <c r="H27" s="239">
        <f>IF('Struppen 1. Schnitt 2020'!AM37=0,"",'Struppen 1. Schnitt 2020'!AM37)</f>
        <v>23.645182942419577</v>
      </c>
      <c r="I27" s="240">
        <f>IF('Struppen 1. Schnitt 2020'!S37=0,"",'Struppen 1. Schnitt 2020'!S37)</f>
        <v>20.54567680077675</v>
      </c>
      <c r="J27" s="240" t="str">
        <f>IF('Struppen 1. Schnitt 2020'!AE37=0,"",'Struppen 1. Schnitt 2020'!AE37)</f>
        <v/>
      </c>
      <c r="K27" s="240"/>
      <c r="L27" s="241">
        <f>'Struppen 1. Schnitt 2020'!L37</f>
        <v>53.878214821371493</v>
      </c>
    </row>
    <row r="28" spans="1:12" x14ac:dyDescent="0.3">
      <c r="A28" s="232" t="s">
        <v>111</v>
      </c>
      <c r="B28" s="243" t="s">
        <v>10</v>
      </c>
      <c r="C28" s="234" t="s">
        <v>120</v>
      </c>
      <c r="D28" s="244">
        <v>9</v>
      </c>
      <c r="E28" s="236">
        <v>43952</v>
      </c>
      <c r="F28" s="237">
        <f>'Struppen 1. Schnitt 2020'!AK38</f>
        <v>2.5679988582302569</v>
      </c>
      <c r="G28" s="238">
        <f>IF('Struppen 1. Schnitt 2020'!AL38=0,"",'Struppen 1. Schnitt 2020'!AL38)</f>
        <v>13.188397158433832</v>
      </c>
      <c r="H28" s="239" t="str">
        <f>IF('Struppen 1. Schnitt 2020'!AM38=0,"",'Struppen 1. Schnitt 2020'!AM38)</f>
        <v/>
      </c>
      <c r="I28" s="240">
        <f>IF('Struppen 1. Schnitt 2020'!S38=0,"",'Struppen 1. Schnitt 2020'!S38)</f>
        <v>13.188397158433832</v>
      </c>
      <c r="J28" s="240" t="str">
        <f>IF('Struppen 1. Schnitt 2020'!AE38=0,"",'Struppen 1. Schnitt 2020'!AE38)</f>
        <v/>
      </c>
      <c r="K28" s="240"/>
      <c r="L28" s="241">
        <f>'Struppen 1. Schnitt 2020'!L38</f>
        <v>23.938879320842684</v>
      </c>
    </row>
    <row r="29" spans="1:12" x14ac:dyDescent="0.3">
      <c r="A29" s="232" t="s">
        <v>111</v>
      </c>
      <c r="B29" s="233" t="s">
        <v>11</v>
      </c>
      <c r="C29" s="234" t="s">
        <v>112</v>
      </c>
      <c r="D29" s="235">
        <v>1</v>
      </c>
      <c r="E29" s="236">
        <v>43952</v>
      </c>
      <c r="F29" s="237">
        <f>'Struppen 1. Schnitt 2020'!AK39</f>
        <v>0.42100098716683121</v>
      </c>
      <c r="G29" s="238" t="str">
        <f>IF('Struppen 1. Schnitt 2020'!AL39=0,"",'Struppen 1. Schnitt 2020'!AL39)</f>
        <v/>
      </c>
      <c r="H29" s="239">
        <f>IF('Struppen 1. Schnitt 2020'!AM39=0,"",'Struppen 1. Schnitt 2020'!AM39)</f>
        <v>42.799055243295314</v>
      </c>
      <c r="I29" s="240" t="str">
        <f>IF('Struppen 1. Schnitt 2020'!S39=0,"",'Struppen 1. Schnitt 2020'!S39)</f>
        <v/>
      </c>
      <c r="J29" s="240" t="str">
        <f>IF('Struppen 1. Schnitt 2020'!AE39=0,"",'Struppen 1. Schnitt 2020'!AE39)</f>
        <v/>
      </c>
      <c r="K29" s="240"/>
      <c r="L29" s="241">
        <f>'Struppen 1. Schnitt 2020'!L39</f>
        <v>51.935193749156973</v>
      </c>
    </row>
    <row r="30" spans="1:12" x14ac:dyDescent="0.3">
      <c r="A30" s="232" t="s">
        <v>111</v>
      </c>
      <c r="B30" s="233" t="s">
        <v>11</v>
      </c>
      <c r="C30" s="234" t="s">
        <v>113</v>
      </c>
      <c r="D30" s="235">
        <v>2</v>
      </c>
      <c r="E30" s="236">
        <v>43952</v>
      </c>
      <c r="F30" s="237">
        <f>'Struppen 1. Schnitt 2020'!AK40</f>
        <v>0</v>
      </c>
      <c r="G30" s="238">
        <f>IF('Struppen 1. Schnitt 2020'!AL40=0,"",'Struppen 1. Schnitt 2020'!AL40)</f>
        <v>14.192470732364029</v>
      </c>
      <c r="H30" s="239">
        <f>IF('Struppen 1. Schnitt 2020'!AM40=0,"",'Struppen 1. Schnitt 2020'!AM40)</f>
        <v>34.11548045919011</v>
      </c>
      <c r="I30" s="240" t="str">
        <f>IF('Struppen 1. Schnitt 2020'!S40=0,"",'Struppen 1. Schnitt 2020'!S40)</f>
        <v/>
      </c>
      <c r="J30" s="240">
        <f>IF('Struppen 1. Schnitt 2020'!AE40=0,"",'Struppen 1. Schnitt 2020'!AE40)</f>
        <v>14.192470732364029</v>
      </c>
      <c r="K30" s="240"/>
      <c r="L30" s="241">
        <f>'Struppen 1. Schnitt 2020'!L40</f>
        <v>66.20234228570763</v>
      </c>
    </row>
    <row r="31" spans="1:12" x14ac:dyDescent="0.3">
      <c r="A31" s="232" t="s">
        <v>111</v>
      </c>
      <c r="B31" s="233" t="s">
        <v>11</v>
      </c>
      <c r="C31" s="234" t="s">
        <v>114</v>
      </c>
      <c r="D31" s="235">
        <v>3</v>
      </c>
      <c r="E31" s="236">
        <v>43952</v>
      </c>
      <c r="F31" s="237">
        <f>'Struppen 1. Schnitt 2020'!AK41</f>
        <v>0</v>
      </c>
      <c r="G31" s="238">
        <f>IF('Struppen 1. Schnitt 2020'!AL41=0,"",'Struppen 1. Schnitt 2020'!AL41)</f>
        <v>20.669160918045581</v>
      </c>
      <c r="H31" s="239">
        <f>IF('Struppen 1. Schnitt 2020'!AM41=0,"",'Struppen 1. Schnitt 2020'!AM41)</f>
        <v>14.96042512730577</v>
      </c>
      <c r="I31" s="240" t="str">
        <f>IF('Struppen 1. Schnitt 2020'!S41=0,"",'Struppen 1. Schnitt 2020'!S41)</f>
        <v/>
      </c>
      <c r="J31" s="240">
        <f>IF('Struppen 1. Schnitt 2020'!AE41=0,"",'Struppen 1. Schnitt 2020'!AE41)</f>
        <v>20.669160918045581</v>
      </c>
      <c r="K31" s="240"/>
      <c r="L31" s="241">
        <f>'Struppen 1. Schnitt 2020'!L41</f>
        <v>52.683249222198093</v>
      </c>
    </row>
    <row r="32" spans="1:12" x14ac:dyDescent="0.3">
      <c r="A32" s="232" t="s">
        <v>111</v>
      </c>
      <c r="B32" s="233" t="s">
        <v>11</v>
      </c>
      <c r="C32" s="234" t="s">
        <v>115</v>
      </c>
      <c r="D32" s="235">
        <v>4</v>
      </c>
      <c r="E32" s="236">
        <v>43952</v>
      </c>
      <c r="F32" s="237">
        <f>'Struppen 1. Schnitt 2020'!AK42</f>
        <v>1.4172410958904109</v>
      </c>
      <c r="G32" s="238">
        <f>IF('Struppen 1. Schnitt 2020'!AL42=0,"",'Struppen 1. Schnitt 2020'!AL42)</f>
        <v>22.298675873407309</v>
      </c>
      <c r="H32" s="239">
        <f>IF('Struppen 1. Schnitt 2020'!AM42=0,"",'Struppen 1. Schnitt 2020'!AM42)</f>
        <v>19.417169604275642</v>
      </c>
      <c r="I32" s="240" t="str">
        <f>IF('Struppen 1. Schnitt 2020'!S42=0,"",'Struppen 1. Schnitt 2020'!S42)</f>
        <v/>
      </c>
      <c r="J32" s="240">
        <f>IF('Struppen 1. Schnitt 2020'!AE42=0,"",'Struppen 1. Schnitt 2020'!AE42)</f>
        <v>22.298675873407309</v>
      </c>
      <c r="K32" s="240"/>
      <c r="L32" s="241">
        <f>'Struppen 1. Schnitt 2020'!L42</f>
        <v>52.786224995048535</v>
      </c>
    </row>
    <row r="33" spans="1:12" x14ac:dyDescent="0.3">
      <c r="A33" s="232" t="s">
        <v>111</v>
      </c>
      <c r="B33" s="233" t="s">
        <v>11</v>
      </c>
      <c r="C33" s="234" t="s">
        <v>116</v>
      </c>
      <c r="D33" s="235">
        <v>5</v>
      </c>
      <c r="E33" s="236">
        <v>43952</v>
      </c>
      <c r="F33" s="237">
        <f>'Struppen 1. Schnitt 2020'!AK43</f>
        <v>0</v>
      </c>
      <c r="G33" s="238" t="str">
        <f>IF('Struppen 1. Schnitt 2020'!AL43=0,"",'Struppen 1. Schnitt 2020'!AL43)</f>
        <v/>
      </c>
      <c r="H33" s="239" t="str">
        <f>IF('Struppen 1. Schnitt 2020'!AM43=0,"",'Struppen 1. Schnitt 2020'!AM43)</f>
        <v/>
      </c>
      <c r="I33" s="240" t="str">
        <f>IF('Struppen 1. Schnitt 2020'!S43=0,"",'Struppen 1. Schnitt 2020'!S43)</f>
        <v/>
      </c>
      <c r="J33" s="240">
        <f>IF('Struppen 1. Schnitt 2020'!AE43=0,"",'Struppen 1. Schnitt 2020'!AE43)</f>
        <v>30.527872065810925</v>
      </c>
      <c r="K33" s="240"/>
      <c r="L33" s="241">
        <f>'Struppen 1. Schnitt 2020'!L43</f>
        <v>51.369881156521821</v>
      </c>
    </row>
    <row r="34" spans="1:12" x14ac:dyDescent="0.3">
      <c r="A34" s="232" t="s">
        <v>111</v>
      </c>
      <c r="B34" s="233" t="s">
        <v>11</v>
      </c>
      <c r="C34" s="234" t="s">
        <v>117</v>
      </c>
      <c r="D34" s="235">
        <v>6</v>
      </c>
      <c r="E34" s="236">
        <v>43952</v>
      </c>
      <c r="F34" s="237">
        <f>'Struppen 1. Schnitt 2020'!AK44</f>
        <v>0</v>
      </c>
      <c r="G34" s="238">
        <f>IF('Struppen 1. Schnitt 2020'!AL44=0,"",'Struppen 1. Schnitt 2020'!AL44)</f>
        <v>16.247523065798983</v>
      </c>
      <c r="H34" s="239">
        <f>IF('Struppen 1. Schnitt 2020'!AM44=0,"",'Struppen 1. Schnitt 2020'!AM44)</f>
        <v>28.295243898029288</v>
      </c>
      <c r="I34" s="240">
        <f>IF('Struppen 1. Schnitt 2020'!S44=0,"",'Struppen 1. Schnitt 2020'!S44)</f>
        <v>16.247523065798983</v>
      </c>
      <c r="J34" s="240" t="str">
        <f>IF('Struppen 1. Schnitt 2020'!AE44=0,"",'Struppen 1. Schnitt 2020'!AE44)</f>
        <v/>
      </c>
      <c r="K34" s="240"/>
      <c r="L34" s="241">
        <f>'Struppen 1. Schnitt 2020'!L44</f>
        <v>48.431919614434499</v>
      </c>
    </row>
    <row r="35" spans="1:12" x14ac:dyDescent="0.3">
      <c r="A35" s="232" t="s">
        <v>111</v>
      </c>
      <c r="B35" s="233" t="s">
        <v>11</v>
      </c>
      <c r="C35" s="234" t="s">
        <v>118</v>
      </c>
      <c r="D35" s="235">
        <v>7</v>
      </c>
      <c r="E35" s="236">
        <v>43952</v>
      </c>
      <c r="F35" s="237">
        <f>'Struppen 1. Schnitt 2020'!AK45</f>
        <v>1.9109947643979062</v>
      </c>
      <c r="G35" s="238">
        <f>IF('Struppen 1. Schnitt 2020'!AL45=0,"",'Struppen 1. Schnitt 2020'!AL45)</f>
        <v>9.7734287311347128</v>
      </c>
      <c r="H35" s="239">
        <f>IF('Struppen 1. Schnitt 2020'!AM45=0,"",'Struppen 1. Schnitt 2020'!AM45)</f>
        <v>30.481816398481296</v>
      </c>
      <c r="I35" s="240">
        <f>IF('Struppen 1. Schnitt 2020'!S45=0,"",'Struppen 1. Schnitt 2020'!S45)</f>
        <v>9.7734287311347128</v>
      </c>
      <c r="J35" s="240" t="str">
        <f>IF('Struppen 1. Schnitt 2020'!AE45=0,"",'Struppen 1. Schnitt 2020'!AE45)</f>
        <v/>
      </c>
      <c r="K35" s="240"/>
      <c r="L35" s="241">
        <f>'Struppen 1. Schnitt 2020'!L45</f>
        <v>50.252944582625958</v>
      </c>
    </row>
    <row r="36" spans="1:12" x14ac:dyDescent="0.3">
      <c r="A36" s="232" t="s">
        <v>111</v>
      </c>
      <c r="B36" s="233" t="s">
        <v>11</v>
      </c>
      <c r="C36" s="234" t="s">
        <v>119</v>
      </c>
      <c r="D36" s="235">
        <v>8</v>
      </c>
      <c r="E36" s="236">
        <v>43952</v>
      </c>
      <c r="F36" s="237">
        <f>'Struppen 1. Schnitt 2020'!AK46</f>
        <v>0.40230991217063994</v>
      </c>
      <c r="G36" s="238">
        <f>IF('Struppen 1. Schnitt 2020'!AL46=0,"",'Struppen 1. Schnitt 2020'!AL46)</f>
        <v>21.030900586286002</v>
      </c>
      <c r="H36" s="239">
        <f>IF('Struppen 1. Schnitt 2020'!AM46=0,"",'Struppen 1. Schnitt 2020'!AM46)</f>
        <v>7.7731682523785661</v>
      </c>
      <c r="I36" s="240">
        <f>IF('Struppen 1. Schnitt 2020'!S46=0,"",'Struppen 1. Schnitt 2020'!S46)</f>
        <v>21.030900586286002</v>
      </c>
      <c r="J36" s="240" t="str">
        <f>IF('Struppen 1. Schnitt 2020'!AE46=0,"",'Struppen 1. Schnitt 2020'!AE46)</f>
        <v/>
      </c>
      <c r="K36" s="240"/>
      <c r="L36" s="241">
        <f>'Struppen 1. Schnitt 2020'!L46</f>
        <v>45.33912266657385</v>
      </c>
    </row>
    <row r="37" spans="1:12" x14ac:dyDescent="0.3">
      <c r="A37" s="232" t="s">
        <v>111</v>
      </c>
      <c r="B37" s="233" t="s">
        <v>11</v>
      </c>
      <c r="C37" s="234" t="s">
        <v>120</v>
      </c>
      <c r="D37" s="235">
        <v>9</v>
      </c>
      <c r="E37" s="236">
        <v>43952</v>
      </c>
      <c r="F37" s="237">
        <f>'Struppen 1. Schnitt 2020'!AK47</f>
        <v>0.1081702127659576</v>
      </c>
      <c r="G37" s="238">
        <f>IF('Struppen 1. Schnitt 2020'!AL47=0,"",'Struppen 1. Schnitt 2020'!AL47)</f>
        <v>27.314279821174555</v>
      </c>
      <c r="H37" s="239" t="str">
        <f>IF('Struppen 1. Schnitt 2020'!AM47=0,"",'Struppen 1. Schnitt 2020'!AM47)</f>
        <v/>
      </c>
      <c r="I37" s="240">
        <f>IF('Struppen 1. Schnitt 2020'!S47=0,"",'Struppen 1. Schnitt 2020'!S47)</f>
        <v>27.314279821174555</v>
      </c>
      <c r="J37" s="240" t="str">
        <f>IF('Struppen 1. Schnitt 2020'!AE47=0,"",'Struppen 1. Schnitt 2020'!AE47)</f>
        <v/>
      </c>
      <c r="K37" s="240"/>
      <c r="L37" s="241">
        <f>'Struppen 1. Schnitt 2020'!L47</f>
        <v>40.144979995915769</v>
      </c>
    </row>
    <row r="38" spans="1:12" x14ac:dyDescent="0.3">
      <c r="A38" s="245" t="s">
        <v>9</v>
      </c>
      <c r="B38" s="246" t="s">
        <v>2</v>
      </c>
      <c r="C38" s="247" t="s">
        <v>112</v>
      </c>
      <c r="D38" s="248">
        <v>1</v>
      </c>
      <c r="E38" s="249">
        <v>43957</v>
      </c>
      <c r="F38" s="256">
        <f>'Bautzen 1. Schnitt 2020'!AJ12</f>
        <v>1.383520940484938</v>
      </c>
      <c r="G38" s="251" t="str">
        <f>IF('Bautzen 1. Schnitt 2020'!AK12=0,"",'Bautzen 1. Schnitt 2020'!AK12)</f>
        <v/>
      </c>
      <c r="H38" s="251">
        <f>IF('Bautzen 1. Schnitt 2020'!AL12=0,"",'Bautzen 1. Schnitt 2020'!AL12)</f>
        <v>18.354211113671532</v>
      </c>
      <c r="I38" s="250" t="str">
        <f>IF('Bautzen 1. Schnitt 2020'!R12=0,"",'Bautzen 1. Schnitt 2020'!R12)</f>
        <v/>
      </c>
      <c r="J38" s="250" t="str">
        <f>IF('Bautzen 1. Schnitt 2020'!AD12=0,"",'Bautzen 1. Schnitt 2020'!AD12)</f>
        <v/>
      </c>
      <c r="K38" s="250"/>
      <c r="L38" s="252">
        <f>'Bautzen 1. Schnitt 2020'!K12</f>
        <v>17.115515193814804</v>
      </c>
    </row>
    <row r="39" spans="1:12" x14ac:dyDescent="0.3">
      <c r="A39" s="245" t="s">
        <v>9</v>
      </c>
      <c r="B39" s="246" t="s">
        <v>2</v>
      </c>
      <c r="C39" s="247" t="s">
        <v>113</v>
      </c>
      <c r="D39" s="248">
        <v>2</v>
      </c>
      <c r="E39" s="249">
        <v>43957</v>
      </c>
      <c r="F39" s="256">
        <f>'Bautzen 1. Schnitt 2020'!AJ13</f>
        <v>0.30058426966292123</v>
      </c>
      <c r="G39" s="251">
        <f>IF('Bautzen 1. Schnitt 2020'!AK13=0,"",'Bautzen 1. Schnitt 2020'!AK13)</f>
        <v>28.958852290076337</v>
      </c>
      <c r="H39" s="251">
        <f>IF('Bautzen 1. Schnitt 2020'!AL13=0,"",'Bautzen 1. Schnitt 2020'!AL13)</f>
        <v>23.88771388643719</v>
      </c>
      <c r="I39" s="250" t="str">
        <f>IF('Bautzen 1. Schnitt 2020'!R13=0,"",'Bautzen 1. Schnitt 2020'!R13)</f>
        <v/>
      </c>
      <c r="J39" s="250">
        <f>IF('Bautzen 1. Schnitt 2020'!AD13=0,"",'Bautzen 1. Schnitt 2020'!AD13)</f>
        <v>28.958852290076337</v>
      </c>
      <c r="K39" s="250"/>
      <c r="L39" s="252">
        <f>'Bautzen 1. Schnitt 2020'!K13</f>
        <v>67.935492527678946</v>
      </c>
    </row>
    <row r="40" spans="1:12" x14ac:dyDescent="0.3">
      <c r="A40" s="245" t="s">
        <v>9</v>
      </c>
      <c r="B40" s="253" t="s">
        <v>2</v>
      </c>
      <c r="C40" s="247" t="s">
        <v>114</v>
      </c>
      <c r="D40" s="248">
        <v>3</v>
      </c>
      <c r="E40" s="249">
        <v>43957</v>
      </c>
      <c r="F40" s="256">
        <f>'Bautzen 1. Schnitt 2020'!AJ14</f>
        <v>0.48484318181818176</v>
      </c>
      <c r="G40" s="251">
        <f>IF('Bautzen 1. Schnitt 2020'!AK14=0,"",'Bautzen 1. Schnitt 2020'!AK14)</f>
        <v>24.287033002377289</v>
      </c>
      <c r="H40" s="251">
        <f>IF('Bautzen 1. Schnitt 2020'!AL14=0,"",'Bautzen 1. Schnitt 2020'!AL14)</f>
        <v>22.262932233041756</v>
      </c>
      <c r="I40" s="250" t="str">
        <f>IF('Bautzen 1. Schnitt 2020'!R14=0,"",'Bautzen 1. Schnitt 2020'!R14)</f>
        <v/>
      </c>
      <c r="J40" s="250">
        <f>IF('Bautzen 1. Schnitt 2020'!AD14=0,"",'Bautzen 1. Schnitt 2020'!AD14)</f>
        <v>24.287033002377289</v>
      </c>
      <c r="K40" s="250"/>
      <c r="L40" s="252">
        <f>'Bautzen 1. Schnitt 2020'!K14</f>
        <v>58.419133004950972</v>
      </c>
    </row>
    <row r="41" spans="1:12" x14ac:dyDescent="0.3">
      <c r="A41" s="245" t="s">
        <v>9</v>
      </c>
      <c r="B41" s="246" t="s">
        <v>2</v>
      </c>
      <c r="C41" s="247" t="s">
        <v>115</v>
      </c>
      <c r="D41" s="248">
        <v>4</v>
      </c>
      <c r="E41" s="249">
        <v>43957</v>
      </c>
      <c r="F41" s="256">
        <f>'Bautzen 1. Schnitt 2020'!AJ15</f>
        <v>0.39035545023696694</v>
      </c>
      <c r="G41" s="251">
        <f>IF('Bautzen 1. Schnitt 2020'!AK15=0,"",'Bautzen 1. Schnitt 2020'!AK15)</f>
        <v>25.52774742737137</v>
      </c>
      <c r="H41" s="251">
        <f>IF('Bautzen 1. Schnitt 2020'!AL15=0,"",'Bautzen 1. Schnitt 2020'!AL15)</f>
        <v>6.7409333553391653</v>
      </c>
      <c r="I41" s="250" t="str">
        <f>IF('Bautzen 1. Schnitt 2020'!R15=0,"",'Bautzen 1. Schnitt 2020'!R15)</f>
        <v/>
      </c>
      <c r="J41" s="250">
        <f>IF('Bautzen 1. Schnitt 2020'!AD15=0,"",'Bautzen 1. Schnitt 2020'!AD15)</f>
        <v>25.52774742737137</v>
      </c>
      <c r="K41" s="250"/>
      <c r="L41" s="252">
        <f>'Bautzen 1. Schnitt 2020'!K15</f>
        <v>41.303351382958027</v>
      </c>
    </row>
    <row r="42" spans="1:12" x14ac:dyDescent="0.3">
      <c r="A42" s="245" t="s">
        <v>9</v>
      </c>
      <c r="B42" s="246" t="s">
        <v>2</v>
      </c>
      <c r="C42" s="247" t="s">
        <v>116</v>
      </c>
      <c r="D42" s="248">
        <v>5</v>
      </c>
      <c r="E42" s="249">
        <v>43957</v>
      </c>
      <c r="F42" s="256">
        <f>'Bautzen 1. Schnitt 2020'!AJ16</f>
        <v>9.5199999999999993E-2</v>
      </c>
      <c r="G42" s="251">
        <f>IF('Bautzen 1. Schnitt 2020'!AK16=0,"",'Bautzen 1. Schnitt 2020'!AK16)</f>
        <v>26.229429257835594</v>
      </c>
      <c r="H42" s="251" t="str">
        <f>IF('Bautzen 1. Schnitt 2020'!AL16=0,"",'Bautzen 1. Schnitt 2020'!AL16)</f>
        <v/>
      </c>
      <c r="I42" s="250" t="str">
        <f>IF('Bautzen 1. Schnitt 2020'!R16=0,"",'Bautzen 1. Schnitt 2020'!R16)</f>
        <v/>
      </c>
      <c r="J42" s="250">
        <f>IF('Bautzen 1. Schnitt 2020'!AD16=0,"",'Bautzen 1. Schnitt 2020'!AD16)</f>
        <v>26.229429257835594</v>
      </c>
      <c r="K42" s="250"/>
      <c r="L42" s="252">
        <f>'Bautzen 1. Schnitt 2020'!K16</f>
        <v>50.773436014451399</v>
      </c>
    </row>
    <row r="43" spans="1:12" x14ac:dyDescent="0.3">
      <c r="A43" s="245" t="s">
        <v>9</v>
      </c>
      <c r="B43" s="246" t="s">
        <v>2</v>
      </c>
      <c r="C43" s="247" t="s">
        <v>117</v>
      </c>
      <c r="D43" s="248">
        <v>6</v>
      </c>
      <c r="E43" s="249">
        <v>43957</v>
      </c>
      <c r="F43" s="256">
        <f>'Bautzen 1. Schnitt 2020'!AJ17</f>
        <v>0.2674956413449564</v>
      </c>
      <c r="G43" s="251">
        <f>IF('Bautzen 1. Schnitt 2020'!AK17=0,"",'Bautzen 1. Schnitt 2020'!AK17)</f>
        <v>16.982730811969201</v>
      </c>
      <c r="H43" s="251">
        <f>IF('Bautzen 1. Schnitt 2020'!AL17=0,"",'Bautzen 1. Schnitt 2020'!AL17)</f>
        <v>8.3377738095238083</v>
      </c>
      <c r="I43" s="250">
        <f>IF('Bautzen 1. Schnitt 2020'!R17=0,"",'Bautzen 1. Schnitt 2020'!R17)</f>
        <v>16.982730811969201</v>
      </c>
      <c r="J43" s="250" t="str">
        <f>IF('Bautzen 1. Schnitt 2020'!AD17=0,"",'Bautzen 1. Schnitt 2020'!AD17)</f>
        <v/>
      </c>
      <c r="K43" s="250"/>
      <c r="L43" s="252">
        <f>'Bautzen 1. Schnitt 2020'!K17</f>
        <v>31.237596382210363</v>
      </c>
    </row>
    <row r="44" spans="1:12" x14ac:dyDescent="0.3">
      <c r="A44" s="245" t="s">
        <v>9</v>
      </c>
      <c r="B44" s="246" t="s">
        <v>2</v>
      </c>
      <c r="C44" s="247" t="s">
        <v>118</v>
      </c>
      <c r="D44" s="248">
        <v>7</v>
      </c>
      <c r="E44" s="249">
        <v>43957</v>
      </c>
      <c r="F44" s="256">
        <f>'Bautzen 1. Schnitt 2020'!AJ18</f>
        <v>0.83276571428571433</v>
      </c>
      <c r="G44" s="251">
        <f>IF('Bautzen 1. Schnitt 2020'!AK18=0,"",'Bautzen 1. Schnitt 2020'!AK18)</f>
        <v>14.654013743815282</v>
      </c>
      <c r="H44" s="251">
        <f>IF('Bautzen 1. Schnitt 2020'!AL18=0,"",'Bautzen 1. Schnitt 2020'!AL18)</f>
        <v>8.2596882461138961</v>
      </c>
      <c r="I44" s="250">
        <f>IF('Bautzen 1. Schnitt 2020'!R18=0,"",'Bautzen 1. Schnitt 2020'!R18)</f>
        <v>14.654013743815282</v>
      </c>
      <c r="J44" s="250" t="str">
        <f>IF('Bautzen 1. Schnitt 2020'!AD18=0,"",'Bautzen 1. Schnitt 2020'!AD18)</f>
        <v/>
      </c>
      <c r="K44" s="250"/>
      <c r="L44" s="252">
        <f>'Bautzen 1. Schnitt 2020'!K18</f>
        <v>31.041123479074741</v>
      </c>
    </row>
    <row r="45" spans="1:12" x14ac:dyDescent="0.3">
      <c r="A45" s="245" t="s">
        <v>9</v>
      </c>
      <c r="B45" s="246" t="s">
        <v>2</v>
      </c>
      <c r="C45" s="247" t="s">
        <v>119</v>
      </c>
      <c r="D45" s="248">
        <v>8</v>
      </c>
      <c r="E45" s="249">
        <v>43957</v>
      </c>
      <c r="F45" s="256">
        <f>'Bautzen 1. Schnitt 2020'!AJ19</f>
        <v>0.24455555555555555</v>
      </c>
      <c r="G45" s="251">
        <f>IF('Bautzen 1. Schnitt 2020'!AK19=0,"",'Bautzen 1. Schnitt 2020'!AK19)</f>
        <v>11.19073167772205</v>
      </c>
      <c r="H45" s="251">
        <f>IF('Bautzen 1. Schnitt 2020'!AL19=0,"",'Bautzen 1. Schnitt 2020'!AL19)</f>
        <v>4.2810880611741489</v>
      </c>
      <c r="I45" s="250">
        <f>IF('Bautzen 1. Schnitt 2020'!R19=0,"",'Bautzen 1. Schnitt 2020'!R19)</f>
        <v>11.19073167772205</v>
      </c>
      <c r="J45" s="250" t="str">
        <f>IF('Bautzen 1. Schnitt 2020'!AD19=0,"",'Bautzen 1. Schnitt 2020'!AD19)</f>
        <v/>
      </c>
      <c r="K45" s="250"/>
      <c r="L45" s="252">
        <f>'Bautzen 1. Schnitt 2020'!K19</f>
        <v>20.939219023656229</v>
      </c>
    </row>
    <row r="46" spans="1:12" x14ac:dyDescent="0.3">
      <c r="A46" s="245" t="s">
        <v>9</v>
      </c>
      <c r="B46" s="254" t="s">
        <v>2</v>
      </c>
      <c r="C46" s="247" t="s">
        <v>120</v>
      </c>
      <c r="D46" s="255">
        <v>9</v>
      </c>
      <c r="E46" s="249">
        <v>43957</v>
      </c>
      <c r="F46" s="256">
        <f>'Bautzen 1. Schnitt 2020'!AJ20</f>
        <v>9.4272727272727203E-2</v>
      </c>
      <c r="G46" s="251">
        <f>IF('Bautzen 1. Schnitt 2020'!AK20=0,"",'Bautzen 1. Schnitt 2020'!AK20)</f>
        <v>15.645296817625463</v>
      </c>
      <c r="H46" s="251" t="str">
        <f>IF('Bautzen 1. Schnitt 2020'!AL20=0,"",'Bautzen 1. Schnitt 2020'!AL20)</f>
        <v/>
      </c>
      <c r="I46" s="250">
        <f>IF('Bautzen 1. Schnitt 2020'!R20=0,"",'Bautzen 1. Schnitt 2020'!R20)</f>
        <v>15.645296817625463</v>
      </c>
      <c r="J46" s="250" t="str">
        <f>IF('Bautzen 1. Schnitt 2020'!AD20=0,"",'Bautzen 1. Schnitt 2020'!AD20)</f>
        <v/>
      </c>
      <c r="K46" s="250"/>
      <c r="L46" s="252">
        <f>'Bautzen 1. Schnitt 2020'!K20</f>
        <v>18.903914520849288</v>
      </c>
    </row>
    <row r="47" spans="1:12" x14ac:dyDescent="0.3">
      <c r="A47" s="245" t="s">
        <v>9</v>
      </c>
      <c r="B47" s="246" t="s">
        <v>9</v>
      </c>
      <c r="C47" s="247" t="s">
        <v>112</v>
      </c>
      <c r="D47" s="248">
        <v>1</v>
      </c>
      <c r="E47" s="249">
        <v>43957</v>
      </c>
      <c r="F47" s="256">
        <f>'Bautzen 1. Schnitt 2020'!AJ21</f>
        <v>1.0219250000000002</v>
      </c>
      <c r="G47" s="251" t="str">
        <f>IF('Bautzen 1. Schnitt 2020'!AK21=0,"",'Bautzen 1. Schnitt 2020'!AK21)</f>
        <v/>
      </c>
      <c r="H47" s="251">
        <f>IF('Bautzen 1. Schnitt 2020'!AL21=0,"",'Bautzen 1. Schnitt 2020'!AL21)</f>
        <v>22.60243223017401</v>
      </c>
      <c r="I47" s="250" t="str">
        <f>IF('Bautzen 1. Schnitt 2020'!R21=0,"",'Bautzen 1. Schnitt 2020'!R21)</f>
        <v/>
      </c>
      <c r="J47" s="250" t="str">
        <f>IF('Bautzen 1. Schnitt 2020'!AD21=0,"",'Bautzen 1. Schnitt 2020'!AD21)</f>
        <v/>
      </c>
      <c r="K47" s="250"/>
      <c r="L47" s="252">
        <f>'Bautzen 1. Schnitt 2020'!K21</f>
        <v>27.574367933226569</v>
      </c>
    </row>
    <row r="48" spans="1:12" x14ac:dyDescent="0.3">
      <c r="A48" s="245" t="s">
        <v>9</v>
      </c>
      <c r="B48" s="246" t="s">
        <v>9</v>
      </c>
      <c r="C48" s="247" t="s">
        <v>113</v>
      </c>
      <c r="D48" s="248">
        <v>2</v>
      </c>
      <c r="E48" s="249">
        <v>43957</v>
      </c>
      <c r="F48" s="256">
        <f>'Bautzen 1. Schnitt 2020'!AJ22</f>
        <v>1.061345744680851</v>
      </c>
      <c r="G48" s="251">
        <f>IF('Bautzen 1. Schnitt 2020'!AK22=0,"",'Bautzen 1. Schnitt 2020'!AK22)</f>
        <v>22.954429864423332</v>
      </c>
      <c r="H48" s="251">
        <f>IF('Bautzen 1. Schnitt 2020'!AL22=0,"",'Bautzen 1. Schnitt 2020'!AL22)</f>
        <v>10.178170895908856</v>
      </c>
      <c r="I48" s="250" t="str">
        <f>IF('Bautzen 1. Schnitt 2020'!R22=0,"",'Bautzen 1. Schnitt 2020'!R22)</f>
        <v/>
      </c>
      <c r="J48" s="250">
        <f>IF('Bautzen 1. Schnitt 2020'!AD22=0,"",'Bautzen 1. Schnitt 2020'!AD22)</f>
        <v>22.954429864423332</v>
      </c>
      <c r="K48" s="250"/>
      <c r="L48" s="252">
        <f>'Bautzen 1. Schnitt 2020'!K22</f>
        <v>47.940514778799042</v>
      </c>
    </row>
    <row r="49" spans="1:12" x14ac:dyDescent="0.3">
      <c r="A49" s="245" t="s">
        <v>9</v>
      </c>
      <c r="B49" s="246" t="s">
        <v>9</v>
      </c>
      <c r="C49" s="247" t="s">
        <v>114</v>
      </c>
      <c r="D49" s="248">
        <v>3</v>
      </c>
      <c r="E49" s="249">
        <v>43957</v>
      </c>
      <c r="F49" s="256">
        <f>'Bautzen 1. Schnitt 2020'!AJ23</f>
        <v>5.1481756947715498</v>
      </c>
      <c r="G49" s="251">
        <f>IF('Bautzen 1. Schnitt 2020'!AK23=0,"",'Bautzen 1. Schnitt 2020'!AK23)</f>
        <v>39.800625049908177</v>
      </c>
      <c r="H49" s="251">
        <f>IF('Bautzen 1. Schnitt 2020'!AL23=0,"",'Bautzen 1. Schnitt 2020'!AL23)</f>
        <v>15.082167335370116</v>
      </c>
      <c r="I49" s="250" t="str">
        <f>IF('Bautzen 1. Schnitt 2020'!R23=0,"",'Bautzen 1. Schnitt 2020'!R23)</f>
        <v/>
      </c>
      <c r="J49" s="250">
        <f>IF('Bautzen 1. Schnitt 2020'!AD23=0,"",'Bautzen 1. Schnitt 2020'!AD23)</f>
        <v>39.800625049908177</v>
      </c>
      <c r="K49" s="250"/>
      <c r="L49" s="252">
        <f>'Bautzen 1. Schnitt 2020'!K23</f>
        <v>52.801285093643884</v>
      </c>
    </row>
    <row r="50" spans="1:12" x14ac:dyDescent="0.3">
      <c r="A50" s="245" t="s">
        <v>9</v>
      </c>
      <c r="B50" s="246" t="s">
        <v>9</v>
      </c>
      <c r="C50" s="247" t="s">
        <v>115</v>
      </c>
      <c r="D50" s="248">
        <v>4</v>
      </c>
      <c r="E50" s="249">
        <v>43957</v>
      </c>
      <c r="F50" s="256">
        <f>'Bautzen 1. Schnitt 2020'!AJ24</f>
        <v>0.13640000000000002</v>
      </c>
      <c r="G50" s="251">
        <f>IF('Bautzen 1. Schnitt 2020'!AK24=0,"",'Bautzen 1. Schnitt 2020'!AK24)</f>
        <v>61.684509790727404</v>
      </c>
      <c r="H50" s="251">
        <f>IF('Bautzen 1. Schnitt 2020'!AL24=0,"",'Bautzen 1. Schnitt 2020'!AL24)</f>
        <v>3.7091631967763612</v>
      </c>
      <c r="I50" s="250" t="str">
        <f>IF('Bautzen 1. Schnitt 2020'!R24=0,"",'Bautzen 1. Schnitt 2020'!R24)</f>
        <v/>
      </c>
      <c r="J50" s="250">
        <f>IF('Bautzen 1. Schnitt 2020'!AD24=0,"",'Bautzen 1. Schnitt 2020'!AD24)</f>
        <v>61.684509790727404</v>
      </c>
      <c r="K50" s="250"/>
      <c r="L50" s="252">
        <f>'Bautzen 1. Schnitt 2020'!K24</f>
        <v>50.72478850543844</v>
      </c>
    </row>
    <row r="51" spans="1:12" x14ac:dyDescent="0.3">
      <c r="A51" s="245" t="s">
        <v>9</v>
      </c>
      <c r="B51" s="253" t="s">
        <v>9</v>
      </c>
      <c r="C51" s="247" t="s">
        <v>116</v>
      </c>
      <c r="D51" s="248">
        <v>5</v>
      </c>
      <c r="E51" s="249">
        <v>43957</v>
      </c>
      <c r="F51" s="256">
        <f>'Bautzen 1. Schnitt 2020'!AJ25</f>
        <v>0.22114763231197773</v>
      </c>
      <c r="G51" s="251">
        <f>IF('Bautzen 1. Schnitt 2020'!AK25=0,"",'Bautzen 1. Schnitt 2020'!AK25)</f>
        <v>35.643901049475261</v>
      </c>
      <c r="H51" s="251" t="str">
        <f>IF('Bautzen 1. Schnitt 2020'!AL25=0,"",'Bautzen 1. Schnitt 2020'!AL25)</f>
        <v/>
      </c>
      <c r="I51" s="250" t="str">
        <f>IF('Bautzen 1. Schnitt 2020'!R25=0,"",'Bautzen 1. Schnitt 2020'!R25)</f>
        <v/>
      </c>
      <c r="J51" s="250">
        <f>IF('Bautzen 1. Schnitt 2020'!AD25=0,"",'Bautzen 1. Schnitt 2020'!AD25)</f>
        <v>35.643901049475261</v>
      </c>
      <c r="K51" s="250"/>
      <c r="L51" s="252">
        <f>'Bautzen 1. Schnitt 2020'!K25</f>
        <v>45.294879579032596</v>
      </c>
    </row>
    <row r="52" spans="1:12" x14ac:dyDescent="0.3">
      <c r="A52" s="245" t="s">
        <v>9</v>
      </c>
      <c r="B52" s="246" t="s">
        <v>9</v>
      </c>
      <c r="C52" s="247" t="s">
        <v>117</v>
      </c>
      <c r="D52" s="248">
        <v>6</v>
      </c>
      <c r="E52" s="249">
        <v>43957</v>
      </c>
      <c r="F52" s="256">
        <f>'Bautzen 1. Schnitt 2020'!AJ26</f>
        <v>0.5874165289256198</v>
      </c>
      <c r="G52" s="251">
        <f>IF('Bautzen 1. Schnitt 2020'!AK26=0,"",'Bautzen 1. Schnitt 2020'!AK26)</f>
        <v>9.2134268949595999</v>
      </c>
      <c r="H52" s="251">
        <f>IF('Bautzen 1. Schnitt 2020'!AL26=0,"",'Bautzen 1. Schnitt 2020'!AL26)</f>
        <v>16.837089325973725</v>
      </c>
      <c r="I52" s="250">
        <f>IF('Bautzen 1. Schnitt 2020'!R26=0,"",'Bautzen 1. Schnitt 2020'!R26)</f>
        <v>9.2134268949595999</v>
      </c>
      <c r="J52" s="250" t="str">
        <f>IF('Bautzen 1. Schnitt 2020'!AD26=0,"",'Bautzen 1. Schnitt 2020'!AD26)</f>
        <v/>
      </c>
      <c r="K52" s="250"/>
      <c r="L52" s="252">
        <f>'Bautzen 1. Schnitt 2020'!K26</f>
        <v>37.407773250469873</v>
      </c>
    </row>
    <row r="53" spans="1:12" x14ac:dyDescent="0.3">
      <c r="A53" s="245" t="s">
        <v>9</v>
      </c>
      <c r="B53" s="246" t="s">
        <v>9</v>
      </c>
      <c r="C53" s="247" t="s">
        <v>118</v>
      </c>
      <c r="D53" s="248">
        <v>7</v>
      </c>
      <c r="E53" s="249">
        <v>43957</v>
      </c>
      <c r="F53" s="256">
        <f>'Bautzen 1. Schnitt 2020'!AJ27</f>
        <v>1.7138384056019393</v>
      </c>
      <c r="G53" s="251">
        <f>IF('Bautzen 1. Schnitt 2020'!AK27=0,"",'Bautzen 1. Schnitt 2020'!AK27)</f>
        <v>10.533847165437301</v>
      </c>
      <c r="H53" s="251">
        <f>IF('Bautzen 1. Schnitt 2020'!AL27=0,"",'Bautzen 1. Schnitt 2020'!AL27)</f>
        <v>5.2364509490052606</v>
      </c>
      <c r="I53" s="250">
        <f>IF('Bautzen 1. Schnitt 2020'!R27=0,"",'Bautzen 1. Schnitt 2020'!R27)</f>
        <v>10.533847165437301</v>
      </c>
      <c r="J53" s="250" t="str">
        <f>IF('Bautzen 1. Schnitt 2020'!AD27=0,"",'Bautzen 1. Schnitt 2020'!AD27)</f>
        <v/>
      </c>
      <c r="K53" s="250"/>
      <c r="L53" s="252">
        <f>'Bautzen 1. Schnitt 2020'!K27</f>
        <v>23.420474638629212</v>
      </c>
    </row>
    <row r="54" spans="1:12" x14ac:dyDescent="0.3">
      <c r="A54" s="245" t="s">
        <v>9</v>
      </c>
      <c r="B54" s="246" t="s">
        <v>9</v>
      </c>
      <c r="C54" s="247" t="s">
        <v>119</v>
      </c>
      <c r="D54" s="248">
        <v>8</v>
      </c>
      <c r="E54" s="249">
        <v>43957</v>
      </c>
      <c r="F54" s="256">
        <f>'Bautzen 1. Schnitt 2020'!AJ28</f>
        <v>0.74877683799609629</v>
      </c>
      <c r="G54" s="251">
        <f>IF('Bautzen 1. Schnitt 2020'!AK28=0,"",'Bautzen 1. Schnitt 2020'!AK28)</f>
        <v>8.0421158556340302</v>
      </c>
      <c r="H54" s="251">
        <f>IF('Bautzen 1. Schnitt 2020'!AL28=0,"",'Bautzen 1. Schnitt 2020'!AL28)</f>
        <v>6.9773733597802865</v>
      </c>
      <c r="I54" s="250">
        <f>IF('Bautzen 1. Schnitt 2020'!R28=0,"",'Bautzen 1. Schnitt 2020'!R28)</f>
        <v>8.0421158556340302</v>
      </c>
      <c r="J54" s="250" t="str">
        <f>IF('Bautzen 1. Schnitt 2020'!AD28=0,"",'Bautzen 1. Schnitt 2020'!AD28)</f>
        <v/>
      </c>
      <c r="K54" s="250"/>
      <c r="L54" s="252">
        <f>'Bautzen 1. Schnitt 2020'!K28</f>
        <v>17.684389555671515</v>
      </c>
    </row>
    <row r="55" spans="1:12" x14ac:dyDescent="0.3">
      <c r="A55" s="245" t="s">
        <v>9</v>
      </c>
      <c r="B55" s="254" t="s">
        <v>9</v>
      </c>
      <c r="C55" s="247" t="s">
        <v>120</v>
      </c>
      <c r="D55" s="255">
        <v>9</v>
      </c>
      <c r="E55" s="249">
        <v>43957</v>
      </c>
      <c r="F55" s="256">
        <f>'Bautzen 1. Schnitt 2020'!AJ29</f>
        <v>8.8800000000000004E-2</v>
      </c>
      <c r="G55" s="251">
        <f>IF('Bautzen 1. Schnitt 2020'!AK29=0,"",'Bautzen 1. Schnitt 2020'!AK29)</f>
        <v>10.848648551806512</v>
      </c>
      <c r="H55" s="251" t="str">
        <f>IF('Bautzen 1. Schnitt 2020'!AL29=0,"",'Bautzen 1. Schnitt 2020'!AL29)</f>
        <v/>
      </c>
      <c r="I55" s="250">
        <f>IF('Bautzen 1. Schnitt 2020'!R29=0,"",'Bautzen 1. Schnitt 2020'!R29)</f>
        <v>10.848648551806512</v>
      </c>
      <c r="J55" s="250" t="str">
        <f>IF('Bautzen 1. Schnitt 2020'!AD29=0,"",'Bautzen 1. Schnitt 2020'!AD29)</f>
        <v/>
      </c>
      <c r="K55" s="250"/>
      <c r="L55" s="252">
        <f>'Bautzen 1. Schnitt 2020'!K29</f>
        <v>26.132754271299159</v>
      </c>
    </row>
    <row r="56" spans="1:12" x14ac:dyDescent="0.3">
      <c r="A56" s="245" t="s">
        <v>9</v>
      </c>
      <c r="B56" s="246" t="s">
        <v>10</v>
      </c>
      <c r="C56" s="247" t="s">
        <v>112</v>
      </c>
      <c r="D56" s="248">
        <v>1</v>
      </c>
      <c r="E56" s="249">
        <v>43957</v>
      </c>
      <c r="F56" s="256">
        <f>'Bautzen 1. Schnitt 2020'!AJ30</f>
        <v>3.3726910734751043</v>
      </c>
      <c r="G56" s="251" t="str">
        <f>IF('Bautzen 1. Schnitt 2020'!AK30=0,"",'Bautzen 1. Schnitt 2020'!AK30)</f>
        <v/>
      </c>
      <c r="H56" s="251">
        <f>IF('Bautzen 1. Schnitt 2020'!AL30=0,"",'Bautzen 1. Schnitt 2020'!AL30)</f>
        <v>4.9919318784417701</v>
      </c>
      <c r="I56" s="250" t="str">
        <f>IF('Bautzen 1. Schnitt 2020'!R30=0,"",'Bautzen 1. Schnitt 2020'!R30)</f>
        <v/>
      </c>
      <c r="J56" s="250" t="str">
        <f>IF('Bautzen 1. Schnitt 2020'!AD30=0,"",'Bautzen 1. Schnitt 2020'!AD30)</f>
        <v/>
      </c>
      <c r="K56" s="250"/>
      <c r="L56" s="252">
        <f>'Bautzen 1. Schnitt 2020'!K30</f>
        <v>12.952753983942211</v>
      </c>
    </row>
    <row r="57" spans="1:12" x14ac:dyDescent="0.3">
      <c r="A57" s="245" t="s">
        <v>9</v>
      </c>
      <c r="B57" s="246" t="s">
        <v>10</v>
      </c>
      <c r="C57" s="247" t="s">
        <v>113</v>
      </c>
      <c r="D57" s="248">
        <v>2</v>
      </c>
      <c r="E57" s="249">
        <v>43957</v>
      </c>
      <c r="F57" s="256">
        <f>'Bautzen 1. Schnitt 2020'!AJ31</f>
        <v>0</v>
      </c>
      <c r="G57" s="251">
        <f>IF('Bautzen 1. Schnitt 2020'!AK31=0,"",'Bautzen 1. Schnitt 2020'!AK31)</f>
        <v>42.423991686313435</v>
      </c>
      <c r="H57" s="251">
        <f>IF('Bautzen 1. Schnitt 2020'!AL31=0,"",'Bautzen 1. Schnitt 2020'!AL31)</f>
        <v>4.3665571309424518</v>
      </c>
      <c r="I57" s="250" t="str">
        <f>IF('Bautzen 1. Schnitt 2020'!R31=0,"",'Bautzen 1. Schnitt 2020'!R31)</f>
        <v/>
      </c>
      <c r="J57" s="250">
        <f>IF('Bautzen 1. Schnitt 2020'!AD31=0,"",'Bautzen 1. Schnitt 2020'!AD31)</f>
        <v>42.423991686313435</v>
      </c>
      <c r="K57" s="250"/>
      <c r="L57" s="252">
        <f>'Bautzen 1. Schnitt 2020'!K31</f>
        <v>37.615161923096551</v>
      </c>
    </row>
    <row r="58" spans="1:12" x14ac:dyDescent="0.3">
      <c r="A58" s="245" t="s">
        <v>9</v>
      </c>
      <c r="B58" s="246" t="s">
        <v>10</v>
      </c>
      <c r="C58" s="247" t="s">
        <v>114</v>
      </c>
      <c r="D58" s="248">
        <v>3</v>
      </c>
      <c r="E58" s="249">
        <v>43957</v>
      </c>
      <c r="F58" s="256">
        <f>'Bautzen 1. Schnitt 2020'!AJ32</f>
        <v>0.48547257876312727</v>
      </c>
      <c r="G58" s="251">
        <f>IF('Bautzen 1. Schnitt 2020'!AK32=0,"",'Bautzen 1. Schnitt 2020'!AK32)</f>
        <v>34.56862519809826</v>
      </c>
      <c r="H58" s="251">
        <f>IF('Bautzen 1. Schnitt 2020'!AL32=0,"",'Bautzen 1. Schnitt 2020'!AL32)</f>
        <v>3.0331844166843105</v>
      </c>
      <c r="I58" s="250" t="str">
        <f>IF('Bautzen 1. Schnitt 2020'!R32=0,"",'Bautzen 1. Schnitt 2020'!R32)</f>
        <v/>
      </c>
      <c r="J58" s="250">
        <f>IF('Bautzen 1. Schnitt 2020'!AD32=0,"",'Bautzen 1. Schnitt 2020'!AD32)</f>
        <v>34.56862519809826</v>
      </c>
      <c r="K58" s="250"/>
      <c r="L58" s="252">
        <f>'Bautzen 1. Schnitt 2020'!K32</f>
        <v>41.017027847062515</v>
      </c>
    </row>
    <row r="59" spans="1:12" x14ac:dyDescent="0.3">
      <c r="A59" s="245" t="s">
        <v>9</v>
      </c>
      <c r="B59" s="246" t="s">
        <v>10</v>
      </c>
      <c r="C59" s="247" t="s">
        <v>115</v>
      </c>
      <c r="D59" s="248">
        <v>4</v>
      </c>
      <c r="E59" s="249">
        <v>43957</v>
      </c>
      <c r="F59" s="256">
        <f>'Bautzen 1. Schnitt 2020'!AJ33</f>
        <v>1.4102000000000001</v>
      </c>
      <c r="G59" s="251">
        <f>IF('Bautzen 1. Schnitt 2020'!AK33=0,"",'Bautzen 1. Schnitt 2020'!AK33)</f>
        <v>23.730474241593178</v>
      </c>
      <c r="H59" s="251">
        <f>IF('Bautzen 1. Schnitt 2020'!AL33=0,"",'Bautzen 1. Schnitt 2020'!AL33)</f>
        <v>2.1046961871487158</v>
      </c>
      <c r="I59" s="250" t="str">
        <f>IF('Bautzen 1. Schnitt 2020'!R33=0,"",'Bautzen 1. Schnitt 2020'!R33)</f>
        <v/>
      </c>
      <c r="J59" s="250">
        <f>IF('Bautzen 1. Schnitt 2020'!AD33=0,"",'Bautzen 1. Schnitt 2020'!AD33)</f>
        <v>23.730474241593178</v>
      </c>
      <c r="K59" s="250"/>
      <c r="L59" s="252">
        <f>'Bautzen 1. Schnitt 2020'!K33</f>
        <v>42.342967752540382</v>
      </c>
    </row>
    <row r="60" spans="1:12" x14ac:dyDescent="0.3">
      <c r="A60" s="245" t="s">
        <v>9</v>
      </c>
      <c r="B60" s="246" t="s">
        <v>10</v>
      </c>
      <c r="C60" s="247" t="s">
        <v>116</v>
      </c>
      <c r="D60" s="248">
        <v>5</v>
      </c>
      <c r="E60" s="249">
        <v>43957</v>
      </c>
      <c r="F60" s="256">
        <f>'Bautzen 1. Schnitt 2020'!AJ34</f>
        <v>6.5904347826086881E-2</v>
      </c>
      <c r="G60" s="251">
        <f>IF('Bautzen 1. Schnitt 2020'!AK34=0,"",'Bautzen 1. Schnitt 2020'!AK34)</f>
        <v>30.652291620605794</v>
      </c>
      <c r="H60" s="251" t="str">
        <f>IF('Bautzen 1. Schnitt 2020'!AL34=0,"",'Bautzen 1. Schnitt 2020'!AL34)</f>
        <v/>
      </c>
      <c r="I60" s="250" t="str">
        <f>IF('Bautzen 1. Schnitt 2020'!R34=0,"",'Bautzen 1. Schnitt 2020'!R34)</f>
        <v/>
      </c>
      <c r="J60" s="250">
        <f>IF('Bautzen 1. Schnitt 2020'!AD34=0,"",'Bautzen 1. Schnitt 2020'!AD34)</f>
        <v>30.652291620605794</v>
      </c>
      <c r="K60" s="250"/>
      <c r="L60" s="252">
        <f>'Bautzen 1. Schnitt 2020'!K34</f>
        <v>38.827160493827158</v>
      </c>
    </row>
    <row r="61" spans="1:12" x14ac:dyDescent="0.3">
      <c r="A61" s="245" t="s">
        <v>9</v>
      </c>
      <c r="B61" s="246" t="s">
        <v>10</v>
      </c>
      <c r="C61" s="247" t="s">
        <v>117</v>
      </c>
      <c r="D61" s="248">
        <v>6</v>
      </c>
      <c r="E61" s="249">
        <v>43957</v>
      </c>
      <c r="F61" s="256">
        <f>'Bautzen 1. Schnitt 2020'!AJ35</f>
        <v>3.1690898047722351</v>
      </c>
      <c r="G61" s="251">
        <f>IF('Bautzen 1. Schnitt 2020'!AK35=0,"",'Bautzen 1. Schnitt 2020'!AK35)</f>
        <v>8.4247622742965387</v>
      </c>
      <c r="H61" s="251">
        <f>IF('Bautzen 1. Schnitt 2020'!AL35=0,"",'Bautzen 1. Schnitt 2020'!AL35)</f>
        <v>5.8621910928178345</v>
      </c>
      <c r="I61" s="250">
        <f>IF('Bautzen 1. Schnitt 2020'!R35=0,"",'Bautzen 1. Schnitt 2020'!R35)</f>
        <v>8.4247622742965387</v>
      </c>
      <c r="J61" s="250" t="str">
        <f>IF('Bautzen 1. Schnitt 2020'!AD35=0,"",'Bautzen 1. Schnitt 2020'!AD35)</f>
        <v/>
      </c>
      <c r="K61" s="250"/>
      <c r="L61" s="252">
        <f>'Bautzen 1. Schnitt 2020'!K35</f>
        <v>16.297622600218837</v>
      </c>
    </row>
    <row r="62" spans="1:12" x14ac:dyDescent="0.3">
      <c r="A62" s="245" t="s">
        <v>9</v>
      </c>
      <c r="B62" s="253" t="s">
        <v>10</v>
      </c>
      <c r="C62" s="247" t="s">
        <v>118</v>
      </c>
      <c r="D62" s="248">
        <v>7</v>
      </c>
      <c r="E62" s="249">
        <v>43957</v>
      </c>
      <c r="F62" s="256">
        <f>'Bautzen 1. Schnitt 2020'!AJ36</f>
        <v>0.30310097719869711</v>
      </c>
      <c r="G62" s="251">
        <f>IF('Bautzen 1. Schnitt 2020'!AK36=0,"",'Bautzen 1. Schnitt 2020'!AK36)</f>
        <v>15.042237757819196</v>
      </c>
      <c r="H62" s="251">
        <f>IF('Bautzen 1. Schnitt 2020'!AL36=0,"",'Bautzen 1. Schnitt 2020'!AL36)</f>
        <v>8.9632578396123197</v>
      </c>
      <c r="I62" s="250">
        <f>IF('Bautzen 1. Schnitt 2020'!R36=0,"",'Bautzen 1. Schnitt 2020'!R36)</f>
        <v>15.042237757819196</v>
      </c>
      <c r="J62" s="250" t="str">
        <f>IF('Bautzen 1. Schnitt 2020'!AD36=0,"",'Bautzen 1. Schnitt 2020'!AD36)</f>
        <v/>
      </c>
      <c r="K62" s="250"/>
      <c r="L62" s="252">
        <f>'Bautzen 1. Schnitt 2020'!K36</f>
        <v>13.535187678565558</v>
      </c>
    </row>
    <row r="63" spans="1:12" x14ac:dyDescent="0.3">
      <c r="A63" s="245" t="s">
        <v>9</v>
      </c>
      <c r="B63" s="246" t="s">
        <v>10</v>
      </c>
      <c r="C63" s="247" t="s">
        <v>119</v>
      </c>
      <c r="D63" s="248">
        <v>8</v>
      </c>
      <c r="E63" s="249">
        <v>43957</v>
      </c>
      <c r="F63" s="256">
        <f>'Bautzen 1. Schnitt 2020'!AJ37</f>
        <v>0.78986026731470238</v>
      </c>
      <c r="G63" s="251">
        <f>IF('Bautzen 1. Schnitt 2020'!AK37=0,"",'Bautzen 1. Schnitt 2020'!AK37)</f>
        <v>5.7537084895259101</v>
      </c>
      <c r="H63" s="251">
        <f>IF('Bautzen 1. Schnitt 2020'!AL37=0,"",'Bautzen 1. Schnitt 2020'!AL37)</f>
        <v>1.3782068965517242</v>
      </c>
      <c r="I63" s="250">
        <f>IF('Bautzen 1. Schnitt 2020'!R37=0,"",'Bautzen 1. Schnitt 2020'!R37)</f>
        <v>5.7537084895259101</v>
      </c>
      <c r="J63" s="250" t="str">
        <f>IF('Bautzen 1. Schnitt 2020'!AD37=0,"",'Bautzen 1. Schnitt 2020'!AD37)</f>
        <v/>
      </c>
      <c r="K63" s="250"/>
      <c r="L63" s="252">
        <f>'Bautzen 1. Schnitt 2020'!K37</f>
        <v>11.139947447248629</v>
      </c>
    </row>
    <row r="64" spans="1:12" x14ac:dyDescent="0.3">
      <c r="A64" s="245" t="s">
        <v>9</v>
      </c>
      <c r="B64" s="254" t="s">
        <v>10</v>
      </c>
      <c r="C64" s="247" t="s">
        <v>120</v>
      </c>
      <c r="D64" s="255">
        <v>9</v>
      </c>
      <c r="E64" s="249">
        <v>43957</v>
      </c>
      <c r="F64" s="256">
        <f>'Bautzen 1. Schnitt 2020'!AJ38</f>
        <v>0</v>
      </c>
      <c r="G64" s="251">
        <f>IF('Bautzen 1. Schnitt 2020'!AK38=0,"",'Bautzen 1. Schnitt 2020'!AK38)</f>
        <v>10.126269841787638</v>
      </c>
      <c r="H64" s="251" t="str">
        <f>IF('Bautzen 1. Schnitt 2020'!AL38=0,"",'Bautzen 1. Schnitt 2020'!AL38)</f>
        <v/>
      </c>
      <c r="I64" s="250">
        <f>IF('Bautzen 1. Schnitt 2020'!R38=0,"",'Bautzen 1. Schnitt 2020'!R38)</f>
        <v>10.126269841787638</v>
      </c>
      <c r="J64" s="250" t="str">
        <f>IF('Bautzen 1. Schnitt 2020'!AD38=0,"",'Bautzen 1. Schnitt 2020'!AD38)</f>
        <v/>
      </c>
      <c r="K64" s="250"/>
      <c r="L64" s="252">
        <f>'Bautzen 1. Schnitt 2020'!K38</f>
        <v>7.5144176746645535</v>
      </c>
    </row>
    <row r="65" spans="1:12" x14ac:dyDescent="0.3">
      <c r="A65" s="245" t="s">
        <v>9</v>
      </c>
      <c r="B65" s="246" t="s">
        <v>11</v>
      </c>
      <c r="C65" s="247" t="s">
        <v>112</v>
      </c>
      <c r="D65" s="248">
        <v>1</v>
      </c>
      <c r="E65" s="249">
        <v>43957</v>
      </c>
      <c r="F65" s="256">
        <f>'Bautzen 1. Schnitt 2020'!AJ39</f>
        <v>0.63732934131736518</v>
      </c>
      <c r="G65" s="251" t="str">
        <f>IF('Bautzen 1. Schnitt 2020'!AK39=0,"",'Bautzen 1. Schnitt 2020'!AK39)</f>
        <v/>
      </c>
      <c r="H65" s="251">
        <f>IF('Bautzen 1. Schnitt 2020'!AL39=0,"",'Bautzen 1. Schnitt 2020'!AL39)</f>
        <v>4.8616285132138799</v>
      </c>
      <c r="I65" s="250" t="str">
        <f>IF('Bautzen 1. Schnitt 2020'!R39=0,"",'Bautzen 1. Schnitt 2020'!R39)</f>
        <v/>
      </c>
      <c r="J65" s="250" t="str">
        <f>IF('Bautzen 1. Schnitt 2020'!AD39=0,"",'Bautzen 1. Schnitt 2020'!AD39)</f>
        <v/>
      </c>
      <c r="K65" s="250"/>
      <c r="L65" s="252">
        <f>'Bautzen 1. Schnitt 2020'!K39</f>
        <v>13.49037198007067</v>
      </c>
    </row>
    <row r="66" spans="1:12" x14ac:dyDescent="0.3">
      <c r="A66" s="245" t="s">
        <v>9</v>
      </c>
      <c r="B66" s="246" t="s">
        <v>11</v>
      </c>
      <c r="C66" s="247" t="s">
        <v>113</v>
      </c>
      <c r="D66" s="248">
        <v>2</v>
      </c>
      <c r="E66" s="249">
        <v>43957</v>
      </c>
      <c r="F66" s="256">
        <f>'Bautzen 1. Schnitt 2020'!AJ40</f>
        <v>0.32727327690447394</v>
      </c>
      <c r="G66" s="251">
        <f>IF('Bautzen 1. Schnitt 2020'!AK40=0,"",'Bautzen 1. Schnitt 2020'!AK40)</f>
        <v>12.294463904314398</v>
      </c>
      <c r="H66" s="251">
        <f>IF('Bautzen 1. Schnitt 2020'!AL40=0,"",'Bautzen 1. Schnitt 2020'!AL40)</f>
        <v>8.7322873390782529</v>
      </c>
      <c r="I66" s="250" t="str">
        <f>IF('Bautzen 1. Schnitt 2020'!R40=0,"",'Bautzen 1. Schnitt 2020'!R40)</f>
        <v/>
      </c>
      <c r="J66" s="250">
        <f>IF('Bautzen 1. Schnitt 2020'!AD40=0,"",'Bautzen 1. Schnitt 2020'!AD40)</f>
        <v>12.294463904314398</v>
      </c>
      <c r="K66" s="250"/>
      <c r="L66" s="252">
        <f>'Bautzen 1. Schnitt 2020'!K40</f>
        <v>34.055603793608249</v>
      </c>
    </row>
    <row r="67" spans="1:12" x14ac:dyDescent="0.3">
      <c r="A67" s="245" t="s">
        <v>9</v>
      </c>
      <c r="B67" s="246" t="s">
        <v>11</v>
      </c>
      <c r="C67" s="247" t="s">
        <v>114</v>
      </c>
      <c r="D67" s="248">
        <v>3</v>
      </c>
      <c r="E67" s="249">
        <v>43957</v>
      </c>
      <c r="F67" s="256">
        <f>'Bautzen 1. Schnitt 2020'!AJ41</f>
        <v>0.96494967287367894</v>
      </c>
      <c r="G67" s="251">
        <f>IF('Bautzen 1. Schnitt 2020'!AK41=0,"",'Bautzen 1. Schnitt 2020'!AK41)</f>
        <v>25.792408501814418</v>
      </c>
      <c r="H67" s="251">
        <f>IF('Bautzen 1. Schnitt 2020'!AL41=0,"",'Bautzen 1. Schnitt 2020'!AL41)</f>
        <v>0.48904593639575983</v>
      </c>
      <c r="I67" s="250" t="str">
        <f>IF('Bautzen 1. Schnitt 2020'!R41=0,"",'Bautzen 1. Schnitt 2020'!R41)</f>
        <v/>
      </c>
      <c r="J67" s="250">
        <f>IF('Bautzen 1. Schnitt 2020'!AD41=0,"",'Bautzen 1. Schnitt 2020'!AD41)</f>
        <v>25.792408501814418</v>
      </c>
      <c r="K67" s="250"/>
      <c r="L67" s="252">
        <f>'Bautzen 1. Schnitt 2020'!K41</f>
        <v>30.553310438069296</v>
      </c>
    </row>
    <row r="68" spans="1:12" x14ac:dyDescent="0.3">
      <c r="A68" s="245" t="s">
        <v>9</v>
      </c>
      <c r="B68" s="246" t="s">
        <v>11</v>
      </c>
      <c r="C68" s="247" t="s">
        <v>115</v>
      </c>
      <c r="D68" s="248">
        <v>4</v>
      </c>
      <c r="E68" s="249">
        <v>43957</v>
      </c>
      <c r="F68" s="256">
        <f>'Bautzen 1. Schnitt 2020'!AJ42</f>
        <v>0</v>
      </c>
      <c r="G68" s="251">
        <f>IF('Bautzen 1. Schnitt 2020'!AK42=0,"",'Bautzen 1. Schnitt 2020'!AK42)</f>
        <v>22.172656269468789</v>
      </c>
      <c r="H68" s="251">
        <f>IF('Bautzen 1. Schnitt 2020'!AL42=0,"",'Bautzen 1. Schnitt 2020'!AL42)</f>
        <v>1.4206994450610435</v>
      </c>
      <c r="I68" s="250" t="str">
        <f>IF('Bautzen 1. Schnitt 2020'!R42=0,"",'Bautzen 1. Schnitt 2020'!R42)</f>
        <v/>
      </c>
      <c r="J68" s="250">
        <f>IF('Bautzen 1. Schnitt 2020'!AD42=0,"",'Bautzen 1. Schnitt 2020'!AD42)</f>
        <v>22.172656269468789</v>
      </c>
      <c r="K68" s="250"/>
      <c r="L68" s="252">
        <f>'Bautzen 1. Schnitt 2020'!K42</f>
        <v>36.794018047849335</v>
      </c>
    </row>
    <row r="69" spans="1:12" x14ac:dyDescent="0.3">
      <c r="A69" s="245" t="s">
        <v>9</v>
      </c>
      <c r="B69" s="246" t="s">
        <v>11</v>
      </c>
      <c r="C69" s="247" t="s">
        <v>116</v>
      </c>
      <c r="D69" s="248">
        <v>5</v>
      </c>
      <c r="E69" s="249">
        <v>43957</v>
      </c>
      <c r="F69" s="256">
        <f>'Bautzen 1. Schnitt 2020'!AJ43</f>
        <v>3.4644911734164072</v>
      </c>
      <c r="G69" s="251">
        <f>IF('Bautzen 1. Schnitt 2020'!AK43=0,"",'Bautzen 1. Schnitt 2020'!AK43)</f>
        <v>22.366595486621581</v>
      </c>
      <c r="H69" s="251" t="str">
        <f>IF('Bautzen 1. Schnitt 2020'!AL43=0,"",'Bautzen 1. Schnitt 2020'!AL43)</f>
        <v/>
      </c>
      <c r="I69" s="250" t="str">
        <f>IF('Bautzen 1. Schnitt 2020'!R43=0,"",'Bautzen 1. Schnitt 2020'!R43)</f>
        <v/>
      </c>
      <c r="J69" s="250">
        <f>IF('Bautzen 1. Schnitt 2020'!AD43=0,"",'Bautzen 1. Schnitt 2020'!AD43)</f>
        <v>22.366595486621581</v>
      </c>
      <c r="K69" s="250"/>
      <c r="L69" s="252">
        <f>'Bautzen 1. Schnitt 2020'!K43</f>
        <v>36.191860465116271</v>
      </c>
    </row>
    <row r="70" spans="1:12" x14ac:dyDescent="0.3">
      <c r="A70" s="245" t="s">
        <v>9</v>
      </c>
      <c r="B70" s="246" t="s">
        <v>11</v>
      </c>
      <c r="C70" s="247" t="s">
        <v>117</v>
      </c>
      <c r="D70" s="248">
        <v>6</v>
      </c>
      <c r="E70" s="249">
        <v>43957</v>
      </c>
      <c r="F70" s="256">
        <f>'Bautzen 1. Schnitt 2020'!AJ44</f>
        <v>0.59181818181818191</v>
      </c>
      <c r="G70" s="251">
        <f>IF('Bautzen 1. Schnitt 2020'!AK44=0,"",'Bautzen 1. Schnitt 2020'!AK44)</f>
        <v>3.8397915746560214</v>
      </c>
      <c r="H70" s="251">
        <f>IF('Bautzen 1. Schnitt 2020'!AL44=0,"",'Bautzen 1. Schnitt 2020'!AL44)</f>
        <v>5.1195219359970627</v>
      </c>
      <c r="I70" s="250">
        <f>IF('Bautzen 1. Schnitt 2020'!R44=0,"",'Bautzen 1. Schnitt 2020'!R44)</f>
        <v>3.8397915746560214</v>
      </c>
      <c r="J70" s="250" t="str">
        <f>IF('Bautzen 1. Schnitt 2020'!AD44=0,"",'Bautzen 1. Schnitt 2020'!AD44)</f>
        <v/>
      </c>
      <c r="K70" s="250"/>
      <c r="L70" s="252">
        <f>'Bautzen 1. Schnitt 2020'!K44</f>
        <v>17.377740822862776</v>
      </c>
    </row>
    <row r="71" spans="1:12" x14ac:dyDescent="0.3">
      <c r="A71" s="245" t="s">
        <v>9</v>
      </c>
      <c r="B71" s="246" t="s">
        <v>11</v>
      </c>
      <c r="C71" s="247" t="s">
        <v>118</v>
      </c>
      <c r="D71" s="248">
        <v>7</v>
      </c>
      <c r="E71" s="249">
        <v>43957</v>
      </c>
      <c r="F71" s="256">
        <f>'Bautzen 1. Schnitt 2020'!AJ45</f>
        <v>1.563468395461912</v>
      </c>
      <c r="G71" s="251">
        <f>IF('Bautzen 1. Schnitt 2020'!AK45=0,"",'Bautzen 1. Schnitt 2020'!AK45)</f>
        <v>8.8521568807339452</v>
      </c>
      <c r="H71" s="251">
        <f>IF('Bautzen 1. Schnitt 2020'!AL45=0,"",'Bautzen 1. Schnitt 2020'!AL45)</f>
        <v>5.2217134115247328</v>
      </c>
      <c r="I71" s="250">
        <f>IF('Bautzen 1. Schnitt 2020'!R45=0,"",'Bautzen 1. Schnitt 2020'!R45)</f>
        <v>8.8521568807339452</v>
      </c>
      <c r="J71" s="250" t="str">
        <f>IF('Bautzen 1. Schnitt 2020'!AD45=0,"",'Bautzen 1. Schnitt 2020'!AD45)</f>
        <v/>
      </c>
      <c r="K71" s="250"/>
      <c r="L71" s="252">
        <f>'Bautzen 1. Schnitt 2020'!K45</f>
        <v>26.888423344119541</v>
      </c>
    </row>
    <row r="72" spans="1:12" x14ac:dyDescent="0.3">
      <c r="A72" s="245" t="s">
        <v>9</v>
      </c>
      <c r="B72" s="246" t="s">
        <v>11</v>
      </c>
      <c r="C72" s="247" t="s">
        <v>119</v>
      </c>
      <c r="D72" s="248">
        <v>8</v>
      </c>
      <c r="E72" s="249">
        <v>43957</v>
      </c>
      <c r="F72" s="256">
        <f>'Bautzen 1. Schnitt 2020'!AJ46</f>
        <v>0.98148416289592744</v>
      </c>
      <c r="G72" s="251">
        <f>IF('Bautzen 1. Schnitt 2020'!AK46=0,"",'Bautzen 1. Schnitt 2020'!AK46)</f>
        <v>7.3176724863739082</v>
      </c>
      <c r="H72" s="251">
        <f>IF('Bautzen 1. Schnitt 2020'!AL46=0,"",'Bautzen 1. Schnitt 2020'!AL46)</f>
        <v>3.3348798334324798</v>
      </c>
      <c r="I72" s="250">
        <f>IF('Bautzen 1. Schnitt 2020'!R46=0,"",'Bautzen 1. Schnitt 2020'!R46)</f>
        <v>7.3176724863739082</v>
      </c>
      <c r="J72" s="250" t="str">
        <f>IF('Bautzen 1. Schnitt 2020'!AD46=0,"",'Bautzen 1. Schnitt 2020'!AD46)</f>
        <v/>
      </c>
      <c r="K72" s="250"/>
      <c r="L72" s="252">
        <f>'Bautzen 1. Schnitt 2020'!K46</f>
        <v>3.9325580679083241</v>
      </c>
    </row>
    <row r="73" spans="1:12" x14ac:dyDescent="0.3">
      <c r="A73" s="245" t="s">
        <v>9</v>
      </c>
      <c r="B73" s="246" t="s">
        <v>11</v>
      </c>
      <c r="C73" s="247" t="s">
        <v>120</v>
      </c>
      <c r="D73" s="248">
        <v>9</v>
      </c>
      <c r="E73" s="249">
        <v>43957</v>
      </c>
      <c r="F73" s="256">
        <f>'Bautzen 1. Schnitt 2020'!AJ47</f>
        <v>0.23342857142857146</v>
      </c>
      <c r="G73" s="251">
        <f>IF('Bautzen 1. Schnitt 2020'!AK47=0,"",'Bautzen 1. Schnitt 2020'!AK47)</f>
        <v>35.37035797602767</v>
      </c>
      <c r="H73" s="251" t="str">
        <f>IF('Bautzen 1. Schnitt 2020'!AL47=0,"",'Bautzen 1. Schnitt 2020'!AL47)</f>
        <v/>
      </c>
      <c r="I73" s="250">
        <f>IF('Bautzen 1. Schnitt 2020'!R47=0,"",'Bautzen 1. Schnitt 2020'!R47)</f>
        <v>35.37035797602767</v>
      </c>
      <c r="J73" s="250" t="str">
        <f>IF('Bautzen 1. Schnitt 2020'!AD47=0,"",'Bautzen 1. Schnitt 2020'!AD47)</f>
        <v/>
      </c>
      <c r="K73" s="250"/>
      <c r="L73" s="252">
        <f>'Bautzen 1. Schnitt 2020'!K47</f>
        <v>20.181494085237397</v>
      </c>
    </row>
    <row r="74" spans="1:12" x14ac:dyDescent="0.3">
      <c r="A74" s="210" t="s">
        <v>111</v>
      </c>
      <c r="B74" s="211" t="s">
        <v>2</v>
      </c>
      <c r="C74" s="212" t="s">
        <v>112</v>
      </c>
      <c r="D74" s="213">
        <v>1</v>
      </c>
      <c r="E74" s="214">
        <v>44020</v>
      </c>
      <c r="F74" s="257">
        <f>'Struppen 2. Schnitt 2020'!AJ12</f>
        <v>0</v>
      </c>
      <c r="G74" s="257" t="str">
        <f>IF('Struppen 2. Schnitt 2020'!AK12=0,"",'Struppen 2. Schnitt 2020'!AK12)</f>
        <v/>
      </c>
      <c r="H74" s="257">
        <f>IF('Struppen 2. Schnitt 2020'!AL12=0,"",'Struppen 2. Schnitt 2020'!AL12)</f>
        <v>49.241060778835745</v>
      </c>
      <c r="I74" s="257" t="str">
        <f>IF('Struppen 2. Schnitt 2020'!R12=0,"",'Struppen 2. Schnitt 2020'!R12)</f>
        <v/>
      </c>
      <c r="J74" s="257" t="str">
        <f>IF('Struppen 2. Schnitt 2020'!AD12=0,"",'Struppen 2. Schnitt 2020'!AD12)</f>
        <v/>
      </c>
      <c r="K74" s="257"/>
      <c r="L74" s="220">
        <f>'Struppen 2. Schnitt 2020'!K12</f>
        <v>45.665254031787896</v>
      </c>
    </row>
    <row r="75" spans="1:12" x14ac:dyDescent="0.3">
      <c r="A75" s="210" t="s">
        <v>111</v>
      </c>
      <c r="B75" s="211" t="s">
        <v>2</v>
      </c>
      <c r="C75" s="212" t="s">
        <v>113</v>
      </c>
      <c r="D75" s="213">
        <v>2</v>
      </c>
      <c r="E75" s="214">
        <v>44020</v>
      </c>
      <c r="F75" s="257">
        <f>'Struppen 2. Schnitt 2020'!AJ13</f>
        <v>0</v>
      </c>
      <c r="G75" s="257">
        <f>IF('Struppen 2. Schnitt 2020'!AK13=0,"",'Struppen 2. Schnitt 2020'!AK13)</f>
        <v>7.6247193487789602</v>
      </c>
      <c r="H75" s="257">
        <f>IF('Struppen 2. Schnitt 2020'!AL13=0,"",'Struppen 2. Schnitt 2020'!AL13)</f>
        <v>20.205276372100009</v>
      </c>
      <c r="I75" s="257" t="str">
        <f>IF('Struppen 2. Schnitt 2020'!R13=0,"",'Struppen 2. Schnitt 2020'!R13)</f>
        <v/>
      </c>
      <c r="J75" s="257">
        <f>IF('Struppen 2. Schnitt 2020'!AD13=0,"",'Struppen 2. Schnitt 2020'!AD13)</f>
        <v>7.6247193487789602</v>
      </c>
      <c r="K75" s="257"/>
      <c r="L75" s="220">
        <f>'Struppen 2. Schnitt 2020'!K13</f>
        <v>31.128425214179988</v>
      </c>
    </row>
    <row r="76" spans="1:12" x14ac:dyDescent="0.3">
      <c r="A76" s="210" t="s">
        <v>111</v>
      </c>
      <c r="B76" s="216" t="s">
        <v>2</v>
      </c>
      <c r="C76" s="212" t="s">
        <v>114</v>
      </c>
      <c r="D76" s="213">
        <v>3</v>
      </c>
      <c r="E76" s="214">
        <v>44020</v>
      </c>
      <c r="F76" s="257">
        <f>'Struppen 2. Schnitt 2020'!AJ14</f>
        <v>0</v>
      </c>
      <c r="G76" s="257">
        <f>IF('Struppen 2. Schnitt 2020'!AK14=0,"",'Struppen 2. Schnitt 2020'!AK14)</f>
        <v>6.7125170068027193</v>
      </c>
      <c r="H76" s="257">
        <f>IF('Struppen 2. Schnitt 2020'!AL14=0,"",'Struppen 2. Schnitt 2020'!AL14)</f>
        <v>7.3418962993936869</v>
      </c>
      <c r="I76" s="257" t="str">
        <f>IF('Struppen 2. Schnitt 2020'!R14=0,"",'Struppen 2. Schnitt 2020'!R14)</f>
        <v/>
      </c>
      <c r="J76" s="257">
        <f>IF('Struppen 2. Schnitt 2020'!AD14=0,"",'Struppen 2. Schnitt 2020'!AD14)</f>
        <v>6.7125170068027193</v>
      </c>
      <c r="K76" s="257"/>
      <c r="L76" s="220">
        <f>'Struppen 2. Schnitt 2020'!K14</f>
        <v>12.972802567850284</v>
      </c>
    </row>
    <row r="77" spans="1:12" x14ac:dyDescent="0.3">
      <c r="A77" s="210" t="s">
        <v>111</v>
      </c>
      <c r="B77" s="211" t="s">
        <v>2</v>
      </c>
      <c r="C77" s="212" t="s">
        <v>115</v>
      </c>
      <c r="D77" s="213">
        <v>4</v>
      </c>
      <c r="E77" s="214">
        <v>44020</v>
      </c>
      <c r="F77" s="257">
        <f>'Struppen 2. Schnitt 2020'!AJ15</f>
        <v>0</v>
      </c>
      <c r="G77" s="257">
        <f>IF('Struppen 2. Schnitt 2020'!AK15=0,"",'Struppen 2. Schnitt 2020'!AK15)</f>
        <v>9.5529095297866178</v>
      </c>
      <c r="H77" s="257">
        <f>IF('Struppen 2. Schnitt 2020'!AL15=0,"",'Struppen 2. Schnitt 2020'!AL15)</f>
        <v>5.8992915970398663</v>
      </c>
      <c r="I77" s="257" t="str">
        <f>IF('Struppen 2. Schnitt 2020'!R15=0,"",'Struppen 2. Schnitt 2020'!R15)</f>
        <v/>
      </c>
      <c r="J77" s="257">
        <f>IF('Struppen 2. Schnitt 2020'!AD15=0,"",'Struppen 2. Schnitt 2020'!AD15)</f>
        <v>9.5529095297866178</v>
      </c>
      <c r="K77" s="257"/>
      <c r="L77" s="220">
        <f>'Struppen 2. Schnitt 2020'!K15</f>
        <v>30.047919249470254</v>
      </c>
    </row>
    <row r="78" spans="1:12" x14ac:dyDescent="0.3">
      <c r="A78" s="210" t="s">
        <v>111</v>
      </c>
      <c r="B78" s="211" t="s">
        <v>2</v>
      </c>
      <c r="C78" s="212" t="s">
        <v>116</v>
      </c>
      <c r="D78" s="213">
        <v>5</v>
      </c>
      <c r="E78" s="214">
        <v>44020</v>
      </c>
      <c r="F78" s="257">
        <f>'Struppen 2. Schnitt 2020'!AJ16</f>
        <v>0</v>
      </c>
      <c r="G78" s="257">
        <f>IF('Struppen 2. Schnitt 2020'!AK16=0,"",'Struppen 2. Schnitt 2020'!AK16)</f>
        <v>8.7813731343283585</v>
      </c>
      <c r="H78" s="257" t="str">
        <f>IF('Struppen 2. Schnitt 2020'!AL16=0,"",'Struppen 2. Schnitt 2020'!AL16)</f>
        <v/>
      </c>
      <c r="I78" s="257" t="str">
        <f>IF('Struppen 2. Schnitt 2020'!R16=0,"",'Struppen 2. Schnitt 2020'!R16)</f>
        <v/>
      </c>
      <c r="J78" s="257">
        <f>IF('Struppen 2. Schnitt 2020'!AD16=0,"",'Struppen 2. Schnitt 2020'!AD16)</f>
        <v>8.7813731343283585</v>
      </c>
      <c r="K78" s="257"/>
      <c r="L78" s="220">
        <f>'Struppen 2. Schnitt 2020'!K16</f>
        <v>9.0254830681265723</v>
      </c>
    </row>
    <row r="79" spans="1:12" x14ac:dyDescent="0.3">
      <c r="A79" s="210" t="s">
        <v>111</v>
      </c>
      <c r="B79" s="211" t="s">
        <v>2</v>
      </c>
      <c r="C79" s="212" t="s">
        <v>117</v>
      </c>
      <c r="D79" s="213">
        <v>6</v>
      </c>
      <c r="E79" s="214">
        <v>44020</v>
      </c>
      <c r="F79" s="257">
        <f>'Struppen 2. Schnitt 2020'!AJ17</f>
        <v>0</v>
      </c>
      <c r="G79" s="257">
        <f>IF('Struppen 2. Schnitt 2020'!AK17=0,"",'Struppen 2. Schnitt 2020'!AK17)</f>
        <v>4.3609965052421362</v>
      </c>
      <c r="H79" s="257">
        <f>IF('Struppen 2. Schnitt 2020'!AL17=0,"",'Struppen 2. Schnitt 2020'!AL17)</f>
        <v>24.600277917631658</v>
      </c>
      <c r="I79" s="257">
        <f>IF('Struppen 2. Schnitt 2020'!R17=0,"",'Struppen 2. Schnitt 2020'!R17)</f>
        <v>4.3609965052421362</v>
      </c>
      <c r="J79" s="257" t="str">
        <f>IF('Struppen 2. Schnitt 2020'!AD17=0,"",'Struppen 2. Schnitt 2020'!AD17)</f>
        <v/>
      </c>
      <c r="K79" s="257"/>
      <c r="L79" s="220">
        <f>'Struppen 2. Schnitt 2020'!K17</f>
        <v>34.858238423545238</v>
      </c>
    </row>
    <row r="80" spans="1:12" x14ac:dyDescent="0.3">
      <c r="A80" s="210" t="s">
        <v>111</v>
      </c>
      <c r="B80" s="211" t="s">
        <v>2</v>
      </c>
      <c r="C80" s="212" t="s">
        <v>118</v>
      </c>
      <c r="D80" s="213">
        <v>7</v>
      </c>
      <c r="E80" s="214">
        <v>44020</v>
      </c>
      <c r="F80" s="257">
        <f>'Struppen 2. Schnitt 2020'!AJ18</f>
        <v>0</v>
      </c>
      <c r="G80" s="257">
        <f>IF('Struppen 2. Schnitt 2020'!AK18=0,"",'Struppen 2. Schnitt 2020'!AK18)</f>
        <v>23.083760415981043</v>
      </c>
      <c r="H80" s="257">
        <f>IF('Struppen 2. Schnitt 2020'!AL18=0,"",'Struppen 2. Schnitt 2020'!AL18)</f>
        <v>12.699715779899957</v>
      </c>
      <c r="I80" s="257">
        <f>IF('Struppen 2. Schnitt 2020'!R18=0,"",'Struppen 2. Schnitt 2020'!R18)</f>
        <v>23.083760415981043</v>
      </c>
      <c r="J80" s="257" t="str">
        <f>IF('Struppen 2. Schnitt 2020'!AD18=0,"",'Struppen 2. Schnitt 2020'!AD18)</f>
        <v/>
      </c>
      <c r="K80" s="257"/>
      <c r="L80" s="220">
        <f>'Struppen 2. Schnitt 2020'!K18</f>
        <v>30.582039017574029</v>
      </c>
    </row>
    <row r="81" spans="1:12" x14ac:dyDescent="0.3">
      <c r="A81" s="210" t="s">
        <v>111</v>
      </c>
      <c r="B81" s="211" t="s">
        <v>2</v>
      </c>
      <c r="C81" s="212" t="s">
        <v>119</v>
      </c>
      <c r="D81" s="213">
        <v>8</v>
      </c>
      <c r="E81" s="214">
        <v>44020</v>
      </c>
      <c r="F81" s="257">
        <f>'Struppen 2. Schnitt 2020'!AJ19</f>
        <v>0</v>
      </c>
      <c r="G81" s="257">
        <f>IF('Struppen 2. Schnitt 2020'!AK19=0,"",'Struppen 2. Schnitt 2020'!AK19)</f>
        <v>13.1938747553816</v>
      </c>
      <c r="H81" s="257">
        <f>IF('Struppen 2. Schnitt 2020'!AL19=0,"",'Struppen 2. Schnitt 2020'!AL19)</f>
        <v>14.058242787002815</v>
      </c>
      <c r="I81" s="257">
        <f>IF('Struppen 2. Schnitt 2020'!R19=0,"",'Struppen 2. Schnitt 2020'!R19)</f>
        <v>13.1938747553816</v>
      </c>
      <c r="J81" s="257" t="str">
        <f>IF('Struppen 2. Schnitt 2020'!AD19=0,"",'Struppen 2. Schnitt 2020'!AD19)</f>
        <v/>
      </c>
      <c r="K81" s="257"/>
      <c r="L81" s="220">
        <f>'Struppen 2. Schnitt 2020'!K19</f>
        <v>31.252047891296943</v>
      </c>
    </row>
    <row r="82" spans="1:12" x14ac:dyDescent="0.3">
      <c r="A82" s="210" t="s">
        <v>111</v>
      </c>
      <c r="B82" s="217" t="s">
        <v>2</v>
      </c>
      <c r="C82" s="212" t="s">
        <v>120</v>
      </c>
      <c r="D82" s="218">
        <v>9</v>
      </c>
      <c r="E82" s="214">
        <v>44020</v>
      </c>
      <c r="F82" s="257">
        <f>'Struppen 2. Schnitt 2020'!AJ20</f>
        <v>2.847</v>
      </c>
      <c r="G82" s="257">
        <f>IF('Struppen 2. Schnitt 2020'!AK20=0,"",'Struppen 2. Schnitt 2020'!AK20)</f>
        <v>27.066266431344864</v>
      </c>
      <c r="H82" s="257" t="str">
        <f>IF('Struppen 2. Schnitt 2020'!AL20=0,"",'Struppen 2. Schnitt 2020'!AL20)</f>
        <v/>
      </c>
      <c r="I82" s="257">
        <f>IF('Struppen 2. Schnitt 2020'!R20=0,"",'Struppen 2. Schnitt 2020'!R20)</f>
        <v>27.066266431344864</v>
      </c>
      <c r="J82" s="257" t="str">
        <f>IF('Struppen 2. Schnitt 2020'!AD20=0,"",'Struppen 2. Schnitt 2020'!AD20)</f>
        <v/>
      </c>
      <c r="K82" s="257"/>
      <c r="L82" s="220">
        <f>'Struppen 2. Schnitt 2020'!K20</f>
        <v>22.736018328570005</v>
      </c>
    </row>
    <row r="83" spans="1:12" x14ac:dyDescent="0.3">
      <c r="A83" s="210" t="s">
        <v>111</v>
      </c>
      <c r="B83" s="211" t="s">
        <v>9</v>
      </c>
      <c r="C83" s="212" t="s">
        <v>112</v>
      </c>
      <c r="D83" s="213">
        <v>1</v>
      </c>
      <c r="E83" s="214">
        <v>44020</v>
      </c>
      <c r="F83" s="257">
        <f>'Struppen 2. Schnitt 2020'!AJ21</f>
        <v>0</v>
      </c>
      <c r="G83" s="257" t="str">
        <f>IF('Struppen 2. Schnitt 2020'!AK21=0,"",'Struppen 2. Schnitt 2020'!AK21)</f>
        <v/>
      </c>
      <c r="H83" s="257">
        <f>IF('Struppen 2. Schnitt 2020'!AL21=0,"",'Struppen 2. Schnitt 2020'!AL21)</f>
        <v>30.418466196201422</v>
      </c>
      <c r="I83" s="257" t="str">
        <f>IF('Struppen 2. Schnitt 2020'!R21=0,"",'Struppen 2. Schnitt 2020'!R21)</f>
        <v/>
      </c>
      <c r="J83" s="257" t="str">
        <f>IF('Struppen 2. Schnitt 2020'!AD21=0,"",'Struppen 2. Schnitt 2020'!AD21)</f>
        <v/>
      </c>
      <c r="K83" s="257"/>
      <c r="L83" s="220">
        <f>'Struppen 2. Schnitt 2020'!K21</f>
        <v>35.854222107763185</v>
      </c>
    </row>
    <row r="84" spans="1:12" x14ac:dyDescent="0.3">
      <c r="A84" s="210" t="s">
        <v>111</v>
      </c>
      <c r="B84" s="211" t="s">
        <v>9</v>
      </c>
      <c r="C84" s="212" t="s">
        <v>113</v>
      </c>
      <c r="D84" s="213">
        <v>2</v>
      </c>
      <c r="E84" s="214">
        <v>44020</v>
      </c>
      <c r="F84" s="257">
        <f>'Struppen 2. Schnitt 2020'!AJ22</f>
        <v>0</v>
      </c>
      <c r="G84" s="257">
        <f>IF('Struppen 2. Schnitt 2020'!AK22=0,"",'Struppen 2. Schnitt 2020'!AK22)</f>
        <v>5.1190233695652188</v>
      </c>
      <c r="H84" s="257">
        <f>IF('Struppen 2. Schnitt 2020'!AL22=0,"",'Struppen 2. Schnitt 2020'!AL22)</f>
        <v>38.804461355236143</v>
      </c>
      <c r="I84" s="257" t="str">
        <f>IF('Struppen 2. Schnitt 2020'!R22=0,"",'Struppen 2. Schnitt 2020'!R22)</f>
        <v/>
      </c>
      <c r="J84" s="257">
        <f>IF('Struppen 2. Schnitt 2020'!AD22=0,"",'Struppen 2. Schnitt 2020'!AD22)</f>
        <v>5.1190233695652188</v>
      </c>
      <c r="K84" s="257"/>
      <c r="L84" s="220">
        <f>'Struppen 2. Schnitt 2020'!K22</f>
        <v>39.509928313138374</v>
      </c>
    </row>
    <row r="85" spans="1:12" x14ac:dyDescent="0.3">
      <c r="A85" s="210" t="s">
        <v>111</v>
      </c>
      <c r="B85" s="211" t="s">
        <v>9</v>
      </c>
      <c r="C85" s="212" t="s">
        <v>114</v>
      </c>
      <c r="D85" s="213">
        <v>3</v>
      </c>
      <c r="E85" s="214">
        <v>44020</v>
      </c>
      <c r="F85" s="257">
        <f>'Struppen 2. Schnitt 2020'!AJ23</f>
        <v>0</v>
      </c>
      <c r="G85" s="257">
        <f>IF('Struppen 2. Schnitt 2020'!AK23=0,"",'Struppen 2. Schnitt 2020'!AK23)</f>
        <v>1.0772762814943528</v>
      </c>
      <c r="H85" s="257">
        <f>IF('Struppen 2. Schnitt 2020'!AL23=0,"",'Struppen 2. Schnitt 2020'!AL23)</f>
        <v>28.587155947734587</v>
      </c>
      <c r="I85" s="257" t="str">
        <f>IF('Struppen 2. Schnitt 2020'!R23=0,"",'Struppen 2. Schnitt 2020'!R23)</f>
        <v/>
      </c>
      <c r="J85" s="257">
        <f>IF('Struppen 2. Schnitt 2020'!AD23=0,"",'Struppen 2. Schnitt 2020'!AD23)</f>
        <v>1.0772762814943528</v>
      </c>
      <c r="K85" s="257"/>
      <c r="L85" s="220">
        <f>'Struppen 2. Schnitt 2020'!K23</f>
        <v>26.448525561153545</v>
      </c>
    </row>
    <row r="86" spans="1:12" x14ac:dyDescent="0.3">
      <c r="A86" s="210" t="s">
        <v>111</v>
      </c>
      <c r="B86" s="211" t="s">
        <v>9</v>
      </c>
      <c r="C86" s="212" t="s">
        <v>115</v>
      </c>
      <c r="D86" s="213">
        <v>4</v>
      </c>
      <c r="E86" s="214">
        <v>44020</v>
      </c>
      <c r="F86" s="257">
        <f>'Struppen 2. Schnitt 2020'!AJ24</f>
        <v>0</v>
      </c>
      <c r="G86" s="257">
        <f>IF('Struppen 2. Schnitt 2020'!AK24=0,"",'Struppen 2. Schnitt 2020'!AK24)</f>
        <v>11.549778399913857</v>
      </c>
      <c r="H86" s="257">
        <f>IF('Struppen 2. Schnitt 2020'!AL24=0,"",'Struppen 2. Schnitt 2020'!AL24)</f>
        <v>11.301582843814789</v>
      </c>
      <c r="I86" s="257" t="str">
        <f>IF('Struppen 2. Schnitt 2020'!R24=0,"",'Struppen 2. Schnitt 2020'!R24)</f>
        <v/>
      </c>
      <c r="J86" s="257">
        <f>IF('Struppen 2. Schnitt 2020'!AD24=0,"",'Struppen 2. Schnitt 2020'!AD24)</f>
        <v>11.549778399913857</v>
      </c>
      <c r="K86" s="257"/>
      <c r="L86" s="220">
        <f>'Struppen 2. Schnitt 2020'!K24</f>
        <v>32.311334658944723</v>
      </c>
    </row>
    <row r="87" spans="1:12" x14ac:dyDescent="0.3">
      <c r="A87" s="210" t="s">
        <v>111</v>
      </c>
      <c r="B87" s="216" t="s">
        <v>9</v>
      </c>
      <c r="C87" s="212" t="s">
        <v>116</v>
      </c>
      <c r="D87" s="213">
        <v>5</v>
      </c>
      <c r="E87" s="214">
        <v>44020</v>
      </c>
      <c r="F87" s="257">
        <f>'Struppen 2. Schnitt 2020'!AJ25</f>
        <v>0</v>
      </c>
      <c r="G87" s="257">
        <f>IF('Struppen 2. Schnitt 2020'!AK25=0,"",'Struppen 2. Schnitt 2020'!AK25)</f>
        <v>6.2220259241478644</v>
      </c>
      <c r="H87" s="257" t="str">
        <f>IF('Struppen 2. Schnitt 2020'!AL25=0,"",'Struppen 2. Schnitt 2020'!AL25)</f>
        <v/>
      </c>
      <c r="I87" s="257" t="str">
        <f>IF('Struppen 2. Schnitt 2020'!R25=0,"",'Struppen 2. Schnitt 2020'!R25)</f>
        <v/>
      </c>
      <c r="J87" s="257">
        <f>IF('Struppen 2. Schnitt 2020'!AD25=0,"",'Struppen 2. Schnitt 2020'!AD25)</f>
        <v>6.2220259241478644</v>
      </c>
      <c r="K87" s="257"/>
      <c r="L87" s="220">
        <f>'Struppen 2. Schnitt 2020'!K25</f>
        <v>8.6632688331931149</v>
      </c>
    </row>
    <row r="88" spans="1:12" x14ac:dyDescent="0.3">
      <c r="A88" s="210" t="s">
        <v>111</v>
      </c>
      <c r="B88" s="211" t="s">
        <v>9</v>
      </c>
      <c r="C88" s="212" t="s">
        <v>117</v>
      </c>
      <c r="D88" s="213">
        <v>6</v>
      </c>
      <c r="E88" s="214">
        <v>44020</v>
      </c>
      <c r="F88" s="257">
        <f>'Struppen 2. Schnitt 2020'!AJ26</f>
        <v>0</v>
      </c>
      <c r="G88" s="257">
        <f>IF('Struppen 2. Schnitt 2020'!AK26=0,"",'Struppen 2. Schnitt 2020'!AK26)</f>
        <v>4.8420310094097516</v>
      </c>
      <c r="H88" s="257">
        <f>IF('Struppen 2. Schnitt 2020'!AL26=0,"",'Struppen 2. Schnitt 2020'!AL26)</f>
        <v>42.400425179699411</v>
      </c>
      <c r="I88" s="257">
        <f>IF('Struppen 2. Schnitt 2020'!R26=0,"",'Struppen 2. Schnitt 2020'!R26)</f>
        <v>4.8420310094097516</v>
      </c>
      <c r="J88" s="257" t="str">
        <f>IF('Struppen 2. Schnitt 2020'!AD26=0,"",'Struppen 2. Schnitt 2020'!AD26)</f>
        <v/>
      </c>
      <c r="K88" s="257"/>
      <c r="L88" s="220">
        <f>'Struppen 2. Schnitt 2020'!K26</f>
        <v>42.725199692480103</v>
      </c>
    </row>
    <row r="89" spans="1:12" x14ac:dyDescent="0.3">
      <c r="A89" s="210" t="s">
        <v>111</v>
      </c>
      <c r="B89" s="211" t="s">
        <v>9</v>
      </c>
      <c r="C89" s="212" t="s">
        <v>118</v>
      </c>
      <c r="D89" s="213">
        <v>7</v>
      </c>
      <c r="E89" s="214">
        <v>44020</v>
      </c>
      <c r="F89" s="257">
        <f>'Struppen 2. Schnitt 2020'!AJ27</f>
        <v>0</v>
      </c>
      <c r="G89" s="257">
        <f>IF('Struppen 2. Schnitt 2020'!AK27=0,"",'Struppen 2. Schnitt 2020'!AK27)</f>
        <v>29.381425832982551</v>
      </c>
      <c r="H89" s="257">
        <f>IF('Struppen 2. Schnitt 2020'!AL27=0,"",'Struppen 2. Schnitt 2020'!AL27)</f>
        <v>15.439855190755685</v>
      </c>
      <c r="I89" s="257">
        <f>IF('Struppen 2. Schnitt 2020'!R27=0,"",'Struppen 2. Schnitt 2020'!R27)</f>
        <v>29.381425832982551</v>
      </c>
      <c r="J89" s="257" t="str">
        <f>IF('Struppen 2. Schnitt 2020'!AD27=0,"",'Struppen 2. Schnitt 2020'!AD27)</f>
        <v/>
      </c>
      <c r="K89" s="257"/>
      <c r="L89" s="220">
        <f>'Struppen 2. Schnitt 2020'!K27</f>
        <v>49.797628344659891</v>
      </c>
    </row>
    <row r="90" spans="1:12" x14ac:dyDescent="0.3">
      <c r="A90" s="210" t="s">
        <v>111</v>
      </c>
      <c r="B90" s="211" t="s">
        <v>9</v>
      </c>
      <c r="C90" s="212" t="s">
        <v>119</v>
      </c>
      <c r="D90" s="213">
        <v>8</v>
      </c>
      <c r="E90" s="214">
        <v>44020</v>
      </c>
      <c r="F90" s="257">
        <f>'Struppen 2. Schnitt 2020'!AJ28</f>
        <v>0</v>
      </c>
      <c r="G90" s="257">
        <f>IF('Struppen 2. Schnitt 2020'!AK28=0,"",'Struppen 2. Schnitt 2020'!AK28)</f>
        <v>19.129798442906576</v>
      </c>
      <c r="H90" s="257">
        <f>IF('Struppen 2. Schnitt 2020'!AL28=0,"",'Struppen 2. Schnitt 2020'!AL28)</f>
        <v>10.219128321845059</v>
      </c>
      <c r="I90" s="257">
        <f>IF('Struppen 2. Schnitt 2020'!R28=0,"",'Struppen 2. Schnitt 2020'!R28)</f>
        <v>19.129798442906576</v>
      </c>
      <c r="J90" s="257" t="str">
        <f>IF('Struppen 2. Schnitt 2020'!AD28=0,"",'Struppen 2. Schnitt 2020'!AD28)</f>
        <v/>
      </c>
      <c r="K90" s="257"/>
      <c r="L90" s="220">
        <f>'Struppen 2. Schnitt 2020'!K28</f>
        <v>43.670159164009334</v>
      </c>
    </row>
    <row r="91" spans="1:12" x14ac:dyDescent="0.3">
      <c r="A91" s="210" t="s">
        <v>111</v>
      </c>
      <c r="B91" s="217" t="s">
        <v>9</v>
      </c>
      <c r="C91" s="212" t="s">
        <v>120</v>
      </c>
      <c r="D91" s="218">
        <v>9</v>
      </c>
      <c r="E91" s="214">
        <v>44020</v>
      </c>
      <c r="F91" s="257">
        <f>'Struppen 2. Schnitt 2020'!AJ29</f>
        <v>0</v>
      </c>
      <c r="G91" s="257" t="str">
        <f>IF('Struppen 2. Schnitt 2020'!AK29=0,"",'Struppen 2. Schnitt 2020'!AK29)</f>
        <v/>
      </c>
      <c r="H91" s="257" t="str">
        <f>IF('Struppen 2. Schnitt 2020'!AL29=0,"",'Struppen 2. Schnitt 2020'!AL29)</f>
        <v/>
      </c>
      <c r="I91" s="257">
        <f>IF('Struppen 2. Schnitt 2020'!R29=0,"",'Struppen 2. Schnitt 2020'!R29)</f>
        <v>16.2886050607644</v>
      </c>
      <c r="J91" s="257" t="str">
        <f>IF('Struppen 2. Schnitt 2020'!AD29=0,"",'Struppen 2. Schnitt 2020'!AD29)</f>
        <v/>
      </c>
      <c r="K91" s="257"/>
      <c r="L91" s="220">
        <f>'Struppen 2. Schnitt 2020'!K29</f>
        <v>32.441986269633475</v>
      </c>
    </row>
    <row r="92" spans="1:12" x14ac:dyDescent="0.3">
      <c r="A92" s="210" t="s">
        <v>111</v>
      </c>
      <c r="B92" s="211" t="s">
        <v>10</v>
      </c>
      <c r="C92" s="212" t="s">
        <v>112</v>
      </c>
      <c r="D92" s="213">
        <v>1</v>
      </c>
      <c r="E92" s="214">
        <v>44020</v>
      </c>
      <c r="F92" s="257">
        <f>'Struppen 2. Schnitt 2020'!AJ30</f>
        <v>0</v>
      </c>
      <c r="G92" s="257" t="str">
        <f>IF('Struppen 2. Schnitt 2020'!AK30=0,"",'Struppen 2. Schnitt 2020'!AK30)</f>
        <v/>
      </c>
      <c r="H92" s="257" t="str">
        <f>IF('Struppen 2. Schnitt 2020'!AL30=0,"",'Struppen 2. Schnitt 2020'!AL30)</f>
        <v/>
      </c>
      <c r="I92" s="257">
        <f>IF('Struppen 2. Schnitt 2020'!R30=0,"",'Struppen 2. Schnitt 2020'!R30)</f>
        <v>18.748799548755553</v>
      </c>
      <c r="J92" s="257" t="str">
        <f>IF('Struppen 2. Schnitt 2020'!AD30=0,"",'Struppen 2. Schnitt 2020'!AD30)</f>
        <v/>
      </c>
      <c r="K92" s="257"/>
      <c r="L92" s="220">
        <f>'Struppen 2. Schnitt 2020'!K30</f>
        <v>32.294353958902882</v>
      </c>
    </row>
    <row r="93" spans="1:12" x14ac:dyDescent="0.3">
      <c r="A93" s="210" t="s">
        <v>111</v>
      </c>
      <c r="B93" s="211" t="s">
        <v>10</v>
      </c>
      <c r="C93" s="212" t="s">
        <v>113</v>
      </c>
      <c r="D93" s="213">
        <v>2</v>
      </c>
      <c r="E93" s="214">
        <v>44020</v>
      </c>
      <c r="F93" s="257">
        <f>'Struppen 2. Schnitt 2020'!AJ31</f>
        <v>0</v>
      </c>
      <c r="G93" s="257">
        <f>IF('Struppen 2. Schnitt 2020'!AK31=0,"",'Struppen 2. Schnitt 2020'!AK31)</f>
        <v>0.78335487345180388</v>
      </c>
      <c r="H93" s="257">
        <f>IF('Struppen 2. Schnitt 2020'!AL31=0,"",'Struppen 2. Schnitt 2020'!AL31)</f>
        <v>20.106365318325711</v>
      </c>
      <c r="I93" s="257" t="str">
        <f>IF('Struppen 2. Schnitt 2020'!R31=0,"",'Struppen 2. Schnitt 2020'!R31)</f>
        <v/>
      </c>
      <c r="J93" s="257">
        <f>IF('Struppen 2. Schnitt 2020'!AD31=0,"",'Struppen 2. Schnitt 2020'!AD31)</f>
        <v>0.78335487345180388</v>
      </c>
      <c r="K93" s="257"/>
      <c r="L93" s="220">
        <f>'Struppen 2. Schnitt 2020'!K31</f>
        <v>36.764552743934175</v>
      </c>
    </row>
    <row r="94" spans="1:12" x14ac:dyDescent="0.3">
      <c r="A94" s="210" t="s">
        <v>111</v>
      </c>
      <c r="B94" s="211" t="s">
        <v>10</v>
      </c>
      <c r="C94" s="212" t="s">
        <v>114</v>
      </c>
      <c r="D94" s="213">
        <v>3</v>
      </c>
      <c r="E94" s="214">
        <v>44020</v>
      </c>
      <c r="F94" s="257">
        <f>'Struppen 2. Schnitt 2020'!AJ32</f>
        <v>0</v>
      </c>
      <c r="G94" s="257">
        <f>IF('Struppen 2. Schnitt 2020'!AK32=0,"",'Struppen 2. Schnitt 2020'!AK32)</f>
        <v>5.2728128533735399</v>
      </c>
      <c r="H94" s="257">
        <f>IF('Struppen 2. Schnitt 2020'!AL32=0,"",'Struppen 2. Schnitt 2020'!AL32)</f>
        <v>20.761090548857602</v>
      </c>
      <c r="I94" s="257" t="str">
        <f>IF('Struppen 2. Schnitt 2020'!R32=0,"",'Struppen 2. Schnitt 2020'!R32)</f>
        <v/>
      </c>
      <c r="J94" s="257">
        <f>IF('Struppen 2. Schnitt 2020'!AD32=0,"",'Struppen 2. Schnitt 2020'!AD32)</f>
        <v>5.2728128533735399</v>
      </c>
      <c r="K94" s="257"/>
      <c r="L94" s="220">
        <f>'Struppen 2. Schnitt 2020'!K32</f>
        <v>31.376244342308691</v>
      </c>
    </row>
    <row r="95" spans="1:12" x14ac:dyDescent="0.3">
      <c r="A95" s="210" t="s">
        <v>111</v>
      </c>
      <c r="B95" s="211" t="s">
        <v>10</v>
      </c>
      <c r="C95" s="212" t="s">
        <v>115</v>
      </c>
      <c r="D95" s="213">
        <v>4</v>
      </c>
      <c r="E95" s="214">
        <v>44020</v>
      </c>
      <c r="F95" s="257">
        <f>'Struppen 2. Schnitt 2020'!AJ33</f>
        <v>0</v>
      </c>
      <c r="G95" s="257">
        <f>IF('Struppen 2. Schnitt 2020'!AK33=0,"",'Struppen 2. Schnitt 2020'!AK33)</f>
        <v>6.7503068181818193</v>
      </c>
      <c r="H95" s="257">
        <f>IF('Struppen 2. Schnitt 2020'!AL33=0,"",'Struppen 2. Schnitt 2020'!AL33)</f>
        <v>26.75172483267313</v>
      </c>
      <c r="I95" s="257" t="str">
        <f>IF('Struppen 2. Schnitt 2020'!R33=0,"",'Struppen 2. Schnitt 2020'!R33)</f>
        <v/>
      </c>
      <c r="J95" s="257">
        <f>IF('Struppen 2. Schnitt 2020'!AD33=0,"",'Struppen 2. Schnitt 2020'!AD33)</f>
        <v>6.7503068181818193</v>
      </c>
      <c r="K95" s="257"/>
      <c r="L95" s="220">
        <f>'Struppen 2. Schnitt 2020'!K33</f>
        <v>37.14643392936788</v>
      </c>
    </row>
    <row r="96" spans="1:12" x14ac:dyDescent="0.3">
      <c r="A96" s="210" t="s">
        <v>111</v>
      </c>
      <c r="B96" s="211" t="s">
        <v>10</v>
      </c>
      <c r="C96" s="212" t="s">
        <v>116</v>
      </c>
      <c r="D96" s="213">
        <v>5</v>
      </c>
      <c r="E96" s="214">
        <v>44020</v>
      </c>
      <c r="F96" s="257">
        <f>'Struppen 2. Schnitt 2020'!AJ34</f>
        <v>0</v>
      </c>
      <c r="G96" s="257">
        <f>IF('Struppen 2. Schnitt 2020'!AK34=0,"",'Struppen 2. Schnitt 2020'!AK34)</f>
        <v>8.5562620782208576</v>
      </c>
      <c r="H96" s="257" t="str">
        <f>IF('Struppen 2. Schnitt 2020'!AL34=0,"",'Struppen 2. Schnitt 2020'!AL34)</f>
        <v/>
      </c>
      <c r="I96" s="257" t="str">
        <f>IF('Struppen 2. Schnitt 2020'!R34=0,"",'Struppen 2. Schnitt 2020'!R34)</f>
        <v/>
      </c>
      <c r="J96" s="257">
        <f>IF('Struppen 2. Schnitt 2020'!AD34=0,"",'Struppen 2. Schnitt 2020'!AD34)</f>
        <v>8.5562620782208576</v>
      </c>
      <c r="K96" s="257"/>
      <c r="L96" s="220">
        <f>'Struppen 2. Schnitt 2020'!K34</f>
        <v>10.847801774216316</v>
      </c>
    </row>
    <row r="97" spans="1:12" x14ac:dyDescent="0.3">
      <c r="A97" s="210" t="s">
        <v>111</v>
      </c>
      <c r="B97" s="211" t="s">
        <v>10</v>
      </c>
      <c r="C97" s="212" t="s">
        <v>117</v>
      </c>
      <c r="D97" s="213">
        <v>6</v>
      </c>
      <c r="E97" s="214">
        <v>44020</v>
      </c>
      <c r="F97" s="257">
        <f>'Struppen 2. Schnitt 2020'!AJ35</f>
        <v>0</v>
      </c>
      <c r="G97" s="257">
        <f>IF('Struppen 2. Schnitt 2020'!AK35=0,"",'Struppen 2. Schnitt 2020'!AK35)</f>
        <v>19.586049092849525</v>
      </c>
      <c r="H97" s="257">
        <f>IF('Struppen 2. Schnitt 2020'!AL35=0,"",'Struppen 2. Schnitt 2020'!AL35)</f>
        <v>33.494568792619333</v>
      </c>
      <c r="I97" s="257">
        <f>IF('Struppen 2. Schnitt 2020'!R35=0,"",'Struppen 2. Schnitt 2020'!R35)</f>
        <v>19.586049092849525</v>
      </c>
      <c r="J97" s="257" t="str">
        <f>IF('Struppen 2. Schnitt 2020'!AD35=0,"",'Struppen 2. Schnitt 2020'!AD35)</f>
        <v/>
      </c>
      <c r="K97" s="257"/>
      <c r="L97" s="220">
        <f>'Struppen 2. Schnitt 2020'!K35</f>
        <v>34.190036518982978</v>
      </c>
    </row>
    <row r="98" spans="1:12" x14ac:dyDescent="0.3">
      <c r="A98" s="210" t="s">
        <v>111</v>
      </c>
      <c r="B98" s="216" t="s">
        <v>10</v>
      </c>
      <c r="C98" s="212" t="s">
        <v>118</v>
      </c>
      <c r="D98" s="213">
        <v>7</v>
      </c>
      <c r="E98" s="214">
        <v>44020</v>
      </c>
      <c r="F98" s="257">
        <f>'Struppen 2. Schnitt 2020'!AJ36</f>
        <v>0</v>
      </c>
      <c r="G98" s="257">
        <f>IF('Struppen 2. Schnitt 2020'!AK36=0,"",'Struppen 2. Schnitt 2020'!AK36)</f>
        <v>25.731233904342801</v>
      </c>
      <c r="H98" s="257">
        <f>IF('Struppen 2. Schnitt 2020'!AL36=0,"",'Struppen 2. Schnitt 2020'!AL36)</f>
        <v>19.135558000508784</v>
      </c>
      <c r="I98" s="257">
        <f>IF('Struppen 2. Schnitt 2020'!R36=0,"",'Struppen 2. Schnitt 2020'!R36)</f>
        <v>25.731233904342801</v>
      </c>
      <c r="J98" s="257" t="str">
        <f>IF('Struppen 2. Schnitt 2020'!AD36=0,"",'Struppen 2. Schnitt 2020'!AD36)</f>
        <v/>
      </c>
      <c r="K98" s="257"/>
      <c r="L98" s="220">
        <f>'Struppen 2. Schnitt 2020'!K36</f>
        <v>45.670520277717443</v>
      </c>
    </row>
    <row r="99" spans="1:12" x14ac:dyDescent="0.3">
      <c r="A99" s="210" t="s">
        <v>111</v>
      </c>
      <c r="B99" s="211" t="s">
        <v>10</v>
      </c>
      <c r="C99" s="212" t="s">
        <v>119</v>
      </c>
      <c r="D99" s="213">
        <v>8</v>
      </c>
      <c r="E99" s="214">
        <v>44020</v>
      </c>
      <c r="F99" s="257">
        <f>'Struppen 2. Schnitt 2020'!AJ37</f>
        <v>0</v>
      </c>
      <c r="G99" s="257">
        <f>IF('Struppen 2. Schnitt 2020'!AK37=0,"",'Struppen 2. Schnitt 2020'!AK37)</f>
        <v>25.575021355453586</v>
      </c>
      <c r="H99" s="257">
        <f>IF('Struppen 2. Schnitt 2020'!AL37=0,"",'Struppen 2. Schnitt 2020'!AL37)</f>
        <v>22.482877104612658</v>
      </c>
      <c r="I99" s="257">
        <f>IF('Struppen 2. Schnitt 2020'!R37=0,"",'Struppen 2. Schnitt 2020'!R37)</f>
        <v>25.575021355453586</v>
      </c>
      <c r="J99" s="257" t="str">
        <f>IF('Struppen 2. Schnitt 2020'!AD37=0,"",'Struppen 2. Schnitt 2020'!AD37)</f>
        <v/>
      </c>
      <c r="K99" s="257"/>
      <c r="L99" s="220">
        <f>'Struppen 2. Schnitt 2020'!K37</f>
        <v>32.851263962375072</v>
      </c>
    </row>
    <row r="100" spans="1:12" x14ac:dyDescent="0.3">
      <c r="A100" s="210" t="s">
        <v>111</v>
      </c>
      <c r="B100" s="217" t="s">
        <v>10</v>
      </c>
      <c r="C100" s="212" t="s">
        <v>120</v>
      </c>
      <c r="D100" s="218">
        <v>9</v>
      </c>
      <c r="E100" s="214">
        <v>44020</v>
      </c>
      <c r="F100" s="257">
        <f>'Struppen 2. Schnitt 2020'!AJ38</f>
        <v>0</v>
      </c>
      <c r="G100" s="257">
        <f>IF('Struppen 2. Schnitt 2020'!AK38=0,"",'Struppen 2. Schnitt 2020'!AK38)</f>
        <v>20.855292867465788</v>
      </c>
      <c r="H100" s="257" t="str">
        <f>IF('Struppen 2. Schnitt 2020'!AL38=0,"",'Struppen 2. Schnitt 2020'!AL38)</f>
        <v/>
      </c>
      <c r="I100" s="257">
        <f>IF('Struppen 2. Schnitt 2020'!R38=0,"",'Struppen 2. Schnitt 2020'!R38)</f>
        <v>20.855292867465788</v>
      </c>
      <c r="J100" s="257" t="str">
        <f>IF('Struppen 2. Schnitt 2020'!AD38=0,"",'Struppen 2. Schnitt 2020'!AD38)</f>
        <v/>
      </c>
      <c r="K100" s="257"/>
      <c r="L100" s="220">
        <f>'Struppen 2. Schnitt 2020'!K38</f>
        <v>31.223701288900969</v>
      </c>
    </row>
    <row r="101" spans="1:12" x14ac:dyDescent="0.3">
      <c r="A101" s="210" t="s">
        <v>111</v>
      </c>
      <c r="B101" s="211" t="s">
        <v>11</v>
      </c>
      <c r="C101" s="212" t="s">
        <v>112</v>
      </c>
      <c r="D101" s="213">
        <v>1</v>
      </c>
      <c r="E101" s="214">
        <v>44020</v>
      </c>
      <c r="F101" s="257">
        <f>'Struppen 2. Schnitt 2020'!AJ39</f>
        <v>0</v>
      </c>
      <c r="G101" s="257" t="str">
        <f>IF('Struppen 2. Schnitt 2020'!AK39=0,"",'Struppen 2. Schnitt 2020'!AK39)</f>
        <v/>
      </c>
      <c r="H101" s="257">
        <f>IF('Struppen 2. Schnitt 2020'!AL39=0,"",'Struppen 2. Schnitt 2020'!AL39)</f>
        <v>38.64199076265804</v>
      </c>
      <c r="I101" s="257" t="str">
        <f>IF('Struppen 2. Schnitt 2020'!R39=0,"",'Struppen 2. Schnitt 2020'!R39)</f>
        <v/>
      </c>
      <c r="J101" s="257" t="str">
        <f>IF('Struppen 2. Schnitt 2020'!AD39=0,"",'Struppen 2. Schnitt 2020'!AD39)</f>
        <v/>
      </c>
      <c r="K101" s="257"/>
      <c r="L101" s="220">
        <f>'Struppen 2. Schnitt 2020'!K39</f>
        <v>39.933201418754749</v>
      </c>
    </row>
    <row r="102" spans="1:12" x14ac:dyDescent="0.3">
      <c r="A102" s="210" t="s">
        <v>111</v>
      </c>
      <c r="B102" s="211" t="s">
        <v>11</v>
      </c>
      <c r="C102" s="212" t="s">
        <v>113</v>
      </c>
      <c r="D102" s="213">
        <v>2</v>
      </c>
      <c r="E102" s="214">
        <v>44020</v>
      </c>
      <c r="F102" s="257">
        <f>'Struppen 2. Schnitt 2020'!AJ40</f>
        <v>0</v>
      </c>
      <c r="G102" s="257">
        <f>IF('Struppen 2. Schnitt 2020'!AK40=0,"",'Struppen 2. Schnitt 2020'!AK40)</f>
        <v>4.5093775780010592</v>
      </c>
      <c r="H102" s="257">
        <f>IF('Struppen 2. Schnitt 2020'!AL40=0,"",'Struppen 2. Schnitt 2020'!AL40)</f>
        <v>34.958798222549426</v>
      </c>
      <c r="I102" s="257" t="str">
        <f>IF('Struppen 2. Schnitt 2020'!R40=0,"",'Struppen 2. Schnitt 2020'!R40)</f>
        <v/>
      </c>
      <c r="J102" s="257">
        <f>IF('Struppen 2. Schnitt 2020'!AD40=0,"",'Struppen 2. Schnitt 2020'!AD40)</f>
        <v>4.5093775780010592</v>
      </c>
      <c r="K102" s="257"/>
      <c r="L102" s="220">
        <f>'Struppen 2. Schnitt 2020'!K40</f>
        <v>40.88846284060088</v>
      </c>
    </row>
    <row r="103" spans="1:12" x14ac:dyDescent="0.3">
      <c r="A103" s="210" t="s">
        <v>111</v>
      </c>
      <c r="B103" s="211" t="s">
        <v>11</v>
      </c>
      <c r="C103" s="212" t="s">
        <v>114</v>
      </c>
      <c r="D103" s="213">
        <v>3</v>
      </c>
      <c r="E103" s="214">
        <v>44020</v>
      </c>
      <c r="F103" s="257">
        <f>'Struppen 2. Schnitt 2020'!AJ41</f>
        <v>0</v>
      </c>
      <c r="G103" s="257">
        <f>IF('Struppen 2. Schnitt 2020'!AK41=0,"",'Struppen 2. Schnitt 2020'!AK41)</f>
        <v>5.7867135873472311</v>
      </c>
      <c r="H103" s="257">
        <f>IF('Struppen 2. Schnitt 2020'!AL41=0,"",'Struppen 2. Schnitt 2020'!AL41)</f>
        <v>17.67051743119266</v>
      </c>
      <c r="I103" s="257" t="str">
        <f>IF('Struppen 2. Schnitt 2020'!R41=0,"",'Struppen 2. Schnitt 2020'!R41)</f>
        <v/>
      </c>
      <c r="J103" s="257">
        <f>IF('Struppen 2. Schnitt 2020'!AD41=0,"",'Struppen 2. Schnitt 2020'!AD41)</f>
        <v>5.7867135873472311</v>
      </c>
      <c r="K103" s="257"/>
      <c r="L103" s="220">
        <f>'Struppen 2. Schnitt 2020'!K41</f>
        <v>31.217767949234425</v>
      </c>
    </row>
    <row r="104" spans="1:12" x14ac:dyDescent="0.3">
      <c r="A104" s="210" t="s">
        <v>111</v>
      </c>
      <c r="B104" s="211" t="s">
        <v>11</v>
      </c>
      <c r="C104" s="212" t="s">
        <v>115</v>
      </c>
      <c r="D104" s="213">
        <v>4</v>
      </c>
      <c r="E104" s="214">
        <v>44020</v>
      </c>
      <c r="F104" s="257">
        <f>'Struppen 2. Schnitt 2020'!AJ42</f>
        <v>0</v>
      </c>
      <c r="G104" s="257">
        <f>IF('Struppen 2. Schnitt 2020'!AK42=0,"",'Struppen 2. Schnitt 2020'!AK42)</f>
        <v>3.2834073657576606</v>
      </c>
      <c r="H104" s="257">
        <f>IF('Struppen 2. Schnitt 2020'!AL42=0,"",'Struppen 2. Schnitt 2020'!AL42)</f>
        <v>24.123239346423698</v>
      </c>
      <c r="I104" s="257" t="str">
        <f>IF('Struppen 2. Schnitt 2020'!R42=0,"",'Struppen 2. Schnitt 2020'!R42)</f>
        <v/>
      </c>
      <c r="J104" s="257">
        <f>IF('Struppen 2. Schnitt 2020'!AD42=0,"",'Struppen 2. Schnitt 2020'!AD42)</f>
        <v>3.2834073657576606</v>
      </c>
      <c r="K104" s="257"/>
      <c r="L104" s="220">
        <f>'Struppen 2. Schnitt 2020'!K42</f>
        <v>28.018091390843548</v>
      </c>
    </row>
    <row r="105" spans="1:12" x14ac:dyDescent="0.3">
      <c r="A105" s="210" t="s">
        <v>111</v>
      </c>
      <c r="B105" s="211" t="s">
        <v>11</v>
      </c>
      <c r="C105" s="212" t="s">
        <v>116</v>
      </c>
      <c r="D105" s="213">
        <v>5</v>
      </c>
      <c r="E105" s="214">
        <v>44020</v>
      </c>
      <c r="F105" s="257">
        <f>'Struppen 2. Schnitt 2020'!AJ43</f>
        <v>0</v>
      </c>
      <c r="G105" s="257" t="str">
        <f>IF('Struppen 2. Schnitt 2020'!AK43=0,"",'Struppen 2. Schnitt 2020'!AK43)</f>
        <v/>
      </c>
      <c r="H105" s="257" t="str">
        <f>IF('Struppen 2. Schnitt 2020'!AL43=0,"",'Struppen 2. Schnitt 2020'!AL43)</f>
        <v/>
      </c>
      <c r="I105" s="257" t="str">
        <f>IF('Struppen 2. Schnitt 2020'!R43=0,"",'Struppen 2. Schnitt 2020'!R43)</f>
        <v/>
      </c>
      <c r="J105" s="257">
        <f>IF('Struppen 2. Schnitt 2020'!AD43=0,"",'Struppen 2. Schnitt 2020'!AD43)</f>
        <v>7.6522084805653723</v>
      </c>
      <c r="K105" s="257"/>
      <c r="L105" s="220">
        <f>'Struppen 2. Schnitt 2020'!K43</f>
        <v>21.566508857082063</v>
      </c>
    </row>
    <row r="106" spans="1:12" x14ac:dyDescent="0.3">
      <c r="A106" s="210" t="s">
        <v>111</v>
      </c>
      <c r="B106" s="211" t="s">
        <v>11</v>
      </c>
      <c r="C106" s="212" t="s">
        <v>117</v>
      </c>
      <c r="D106" s="213">
        <v>6</v>
      </c>
      <c r="E106" s="214">
        <v>44020</v>
      </c>
      <c r="F106" s="257">
        <f>'Struppen 2. Schnitt 2020'!AJ44</f>
        <v>0</v>
      </c>
      <c r="G106" s="257">
        <f>IF('Struppen 2. Schnitt 2020'!AK44=0,"",'Struppen 2. Schnitt 2020'!AK44)</f>
        <v>20.579497075073121</v>
      </c>
      <c r="H106" s="257">
        <f>IF('Struppen 2. Schnitt 2020'!AL44=0,"",'Struppen 2. Schnitt 2020'!AL44)</f>
        <v>14.305159696969698</v>
      </c>
      <c r="I106" s="257">
        <f>IF('Struppen 2. Schnitt 2020'!R44=0,"",'Struppen 2. Schnitt 2020'!R44)</f>
        <v>20.579497075073121</v>
      </c>
      <c r="J106" s="257" t="str">
        <f>IF('Struppen 2. Schnitt 2020'!AD44=0,"",'Struppen 2. Schnitt 2020'!AD44)</f>
        <v/>
      </c>
      <c r="K106" s="257"/>
      <c r="L106" s="220">
        <f>'Struppen 2. Schnitt 2020'!K44</f>
        <v>44.011694136538082</v>
      </c>
    </row>
    <row r="107" spans="1:12" x14ac:dyDescent="0.3">
      <c r="A107" s="210" t="s">
        <v>111</v>
      </c>
      <c r="B107" s="211" t="s">
        <v>11</v>
      </c>
      <c r="C107" s="212" t="s">
        <v>118</v>
      </c>
      <c r="D107" s="213">
        <v>7</v>
      </c>
      <c r="E107" s="214">
        <v>44020</v>
      </c>
      <c r="F107" s="257">
        <f>'Struppen 2. Schnitt 2020'!AJ45</f>
        <v>0</v>
      </c>
      <c r="G107" s="257">
        <f>IF('Struppen 2. Schnitt 2020'!AK45=0,"",'Struppen 2. Schnitt 2020'!AK45)</f>
        <v>18.512466083267039</v>
      </c>
      <c r="H107" s="257">
        <f>IF('Struppen 2. Schnitt 2020'!AL45=0,"",'Struppen 2. Schnitt 2020'!AL45)</f>
        <v>16.504188828678615</v>
      </c>
      <c r="I107" s="257">
        <f>IF('Struppen 2. Schnitt 2020'!R45=0,"",'Struppen 2. Schnitt 2020'!R45)</f>
        <v>18.512466083267039</v>
      </c>
      <c r="J107" s="257" t="str">
        <f>IF('Struppen 2. Schnitt 2020'!AD45=0,"",'Struppen 2. Schnitt 2020'!AD45)</f>
        <v/>
      </c>
      <c r="K107" s="257"/>
      <c r="L107" s="220">
        <f>'Struppen 2. Schnitt 2020'!K45</f>
        <v>44.350830068122242</v>
      </c>
    </row>
    <row r="108" spans="1:12" x14ac:dyDescent="0.3">
      <c r="A108" s="210" t="s">
        <v>111</v>
      </c>
      <c r="B108" s="211" t="s">
        <v>11</v>
      </c>
      <c r="C108" s="212" t="s">
        <v>119</v>
      </c>
      <c r="D108" s="213">
        <v>8</v>
      </c>
      <c r="E108" s="214">
        <v>44020</v>
      </c>
      <c r="F108" s="257">
        <f>'Struppen 2. Schnitt 2020'!AJ46</f>
        <v>0</v>
      </c>
      <c r="G108" s="257">
        <f>IF('Struppen 2. Schnitt 2020'!AK46=0,"",'Struppen 2. Schnitt 2020'!AK46)</f>
        <v>68.433130169786693</v>
      </c>
      <c r="H108" s="257">
        <f>IF('Struppen 2. Schnitt 2020'!AL46=0,"",'Struppen 2. Schnitt 2020'!AL46)</f>
        <v>2.0363986473429954</v>
      </c>
      <c r="I108" s="257">
        <f>IF('Struppen 2. Schnitt 2020'!R46=0,"",'Struppen 2. Schnitt 2020'!R46)</f>
        <v>68.433130169786693</v>
      </c>
      <c r="J108" s="257" t="str">
        <f>IF('Struppen 2. Schnitt 2020'!AD46=0,"",'Struppen 2. Schnitt 2020'!AD46)</f>
        <v/>
      </c>
      <c r="K108" s="257"/>
      <c r="L108" s="220">
        <f>'Struppen 2. Schnitt 2020'!K46</f>
        <v>36.038457948287125</v>
      </c>
    </row>
    <row r="109" spans="1:12" x14ac:dyDescent="0.3">
      <c r="A109" s="210" t="s">
        <v>111</v>
      </c>
      <c r="B109" s="211" t="s">
        <v>11</v>
      </c>
      <c r="C109" s="212" t="s">
        <v>120</v>
      </c>
      <c r="D109" s="213">
        <v>9</v>
      </c>
      <c r="E109" s="214">
        <v>44020</v>
      </c>
      <c r="F109" s="257">
        <f>'Struppen 2. Schnitt 2020'!AJ47</f>
        <v>0</v>
      </c>
      <c r="G109" s="257">
        <f>IF('Struppen 2. Schnitt 2020'!AK47=0,"",'Struppen 2. Schnitt 2020'!AK47)</f>
        <v>35.095704211779378</v>
      </c>
      <c r="H109" s="257" t="str">
        <f>IF('Struppen 2. Schnitt 2020'!AL47=0,"",'Struppen 2. Schnitt 2020'!AL47)</f>
        <v/>
      </c>
      <c r="I109" s="257">
        <f>IF('Struppen 2. Schnitt 2020'!R47=0,"",'Struppen 2. Schnitt 2020'!R47)</f>
        <v>35.095704211779378</v>
      </c>
      <c r="J109" s="257" t="str">
        <f>IF('Struppen 2. Schnitt 2020'!AD47=0,"",'Struppen 2. Schnitt 2020'!AD47)</f>
        <v/>
      </c>
      <c r="K109" s="257"/>
      <c r="L109" s="220">
        <f>'Struppen 2. Schnitt 2020'!K47</f>
        <v>30.088004231587089</v>
      </c>
    </row>
    <row r="110" spans="1:12" x14ac:dyDescent="0.3">
      <c r="A110" s="245" t="s">
        <v>9</v>
      </c>
      <c r="B110" s="246" t="s">
        <v>2</v>
      </c>
      <c r="C110" s="247" t="s">
        <v>112</v>
      </c>
      <c r="D110" s="248">
        <v>1</v>
      </c>
      <c r="E110" s="249">
        <v>44018</v>
      </c>
      <c r="F110" s="256">
        <f>'Bautzen 2. Schnitt 2020'!AJ12</f>
        <v>0</v>
      </c>
      <c r="G110" s="260" t="str">
        <f>IF('Bautzen 2. Schnitt 2020'!AK12=0,"",'Bautzen 2. Schnitt 2020'!AK12)</f>
        <v/>
      </c>
      <c r="H110" s="258">
        <f>IF('Bautzen 2. Schnitt 2020'!AL12=0,"",'Bautzen 2. Schnitt 2020'!AL12)</f>
        <v>17.147890713021084</v>
      </c>
      <c r="I110" s="256" t="str">
        <f>IF('Bautzen 2. Schnitt 2020'!R12=0,"",'Bautzen 2. Schnitt 2020'!R12)</f>
        <v/>
      </c>
      <c r="J110" s="256" t="str">
        <f>IF('Bautzen 2. Schnitt 2020'!AD12=0,"",'Bautzen 2. Schnitt 2020'!AD12)</f>
        <v/>
      </c>
      <c r="K110" s="256"/>
      <c r="L110" s="259">
        <f>'Bautzen 2. Schnitt 2020'!K12</f>
        <v>28.842423512728928</v>
      </c>
    </row>
    <row r="111" spans="1:12" x14ac:dyDescent="0.3">
      <c r="A111" s="245" t="s">
        <v>9</v>
      </c>
      <c r="B111" s="246" t="s">
        <v>2</v>
      </c>
      <c r="C111" s="247" t="s">
        <v>113</v>
      </c>
      <c r="D111" s="248">
        <v>2</v>
      </c>
      <c r="E111" s="249">
        <v>44018</v>
      </c>
      <c r="F111" s="256">
        <f>'Bautzen 2. Schnitt 2020'!AJ13</f>
        <v>0</v>
      </c>
      <c r="G111" s="258">
        <f>IF('Bautzen 2. Schnitt 2020'!AK13=0,"",'Bautzen 2. Schnitt 2020'!AK13)</f>
        <v>4.46</v>
      </c>
      <c r="H111" s="258">
        <f>IF('Bautzen 2. Schnitt 2020'!AL13=0,"",'Bautzen 2. Schnitt 2020'!AL13)</f>
        <v>21.086818844508706</v>
      </c>
      <c r="I111" s="256" t="str">
        <f>IF('Bautzen 2. Schnitt 2020'!R13=0,"",'Bautzen 2. Schnitt 2020'!R13)</f>
        <v/>
      </c>
      <c r="J111" s="256">
        <f>IF('Bautzen 2. Schnitt 2020'!AD13=0,"",'Bautzen 2. Schnitt 2020'!AD13)</f>
        <v>4.46</v>
      </c>
      <c r="K111" s="256"/>
      <c r="L111" s="259">
        <f>'Bautzen 2. Schnitt 2020'!K13</f>
        <v>48.759689922480611</v>
      </c>
    </row>
    <row r="112" spans="1:12" x14ac:dyDescent="0.3">
      <c r="A112" s="245" t="s">
        <v>9</v>
      </c>
      <c r="B112" s="253" t="s">
        <v>2</v>
      </c>
      <c r="C112" s="247" t="s">
        <v>114</v>
      </c>
      <c r="D112" s="248">
        <v>3</v>
      </c>
      <c r="E112" s="249">
        <v>44018</v>
      </c>
      <c r="F112" s="256">
        <f>'Bautzen 2. Schnitt 2020'!AJ14</f>
        <v>0</v>
      </c>
      <c r="G112" s="258">
        <f>IF('Bautzen 2. Schnitt 2020'!AK14=0,"",'Bautzen 2. Schnitt 2020'!AK14)</f>
        <v>2.7420000000000004</v>
      </c>
      <c r="H112" s="258">
        <f>IF('Bautzen 2. Schnitt 2020'!AL14=0,"",'Bautzen 2. Schnitt 2020'!AL14)</f>
        <v>16.372261221734728</v>
      </c>
      <c r="I112" s="256" t="str">
        <f>IF('Bautzen 2. Schnitt 2020'!R14=0,"",'Bautzen 2. Schnitt 2020'!R14)</f>
        <v/>
      </c>
      <c r="J112" s="256">
        <f>IF('Bautzen 2. Schnitt 2020'!AD14=0,"",'Bautzen 2. Schnitt 2020'!AD14)</f>
        <v>2.7420000000000004</v>
      </c>
      <c r="K112" s="256"/>
      <c r="L112" s="259">
        <f>'Bautzen 2. Schnitt 2020'!K14</f>
        <v>36.232997552785825</v>
      </c>
    </row>
    <row r="113" spans="1:12" x14ac:dyDescent="0.3">
      <c r="A113" s="245" t="s">
        <v>9</v>
      </c>
      <c r="B113" s="246" t="s">
        <v>2</v>
      </c>
      <c r="C113" s="247" t="s">
        <v>115</v>
      </c>
      <c r="D113" s="248">
        <v>4</v>
      </c>
      <c r="E113" s="249">
        <v>44018</v>
      </c>
      <c r="F113" s="256">
        <f>'Bautzen 2. Schnitt 2020'!AJ15</f>
        <v>0</v>
      </c>
      <c r="G113" s="258">
        <f>IF('Bautzen 2. Schnitt 2020'!AK15=0,"",'Bautzen 2. Schnitt 2020'!AK15)</f>
        <v>3.4960000000000004</v>
      </c>
      <c r="H113" s="258">
        <f>IF('Bautzen 2. Schnitt 2020'!AL15=0,"",'Bautzen 2. Schnitt 2020'!AL15)</f>
        <v>8.956999999999999</v>
      </c>
      <c r="I113" s="256" t="str">
        <f>IF('Bautzen 2. Schnitt 2020'!R15=0,"",'Bautzen 2. Schnitt 2020'!R15)</f>
        <v/>
      </c>
      <c r="J113" s="256">
        <f>IF('Bautzen 2. Schnitt 2020'!AD15=0,"",'Bautzen 2. Schnitt 2020'!AD15)</f>
        <v>3.4960000000000004</v>
      </c>
      <c r="K113" s="256"/>
      <c r="L113" s="259">
        <f>'Bautzen 2. Schnitt 2020'!K15</f>
        <v>23.854213303134848</v>
      </c>
    </row>
    <row r="114" spans="1:12" x14ac:dyDescent="0.3">
      <c r="A114" s="245" t="s">
        <v>9</v>
      </c>
      <c r="B114" s="246" t="s">
        <v>2</v>
      </c>
      <c r="C114" s="247" t="s">
        <v>116</v>
      </c>
      <c r="D114" s="248">
        <v>5</v>
      </c>
      <c r="E114" s="249">
        <v>44018</v>
      </c>
      <c r="F114" s="256">
        <f>'Bautzen 2. Schnitt 2020'!AJ16</f>
        <v>0</v>
      </c>
      <c r="G114" s="258">
        <f>IF('Bautzen 2. Schnitt 2020'!AK16=0,"",'Bautzen 2. Schnitt 2020'!AK16)</f>
        <v>4.2869999999999999</v>
      </c>
      <c r="H114" s="260" t="str">
        <f>IF('Bautzen 2. Schnitt 2020'!AL16=0,"",'Bautzen 2. Schnitt 2020'!AL16)</f>
        <v/>
      </c>
      <c r="I114" s="256" t="str">
        <f>IF('Bautzen 2. Schnitt 2020'!R16=0,"",'Bautzen 2. Schnitt 2020'!R16)</f>
        <v/>
      </c>
      <c r="J114" s="256">
        <f>IF('Bautzen 2. Schnitt 2020'!AD16=0,"",'Bautzen 2. Schnitt 2020'!AD16)</f>
        <v>4.2869999999999999</v>
      </c>
      <c r="K114" s="256"/>
      <c r="L114" s="259">
        <f>'Bautzen 2. Schnitt 2020'!K16</f>
        <v>13.672609708553228</v>
      </c>
    </row>
    <row r="115" spans="1:12" x14ac:dyDescent="0.3">
      <c r="A115" s="245" t="s">
        <v>9</v>
      </c>
      <c r="B115" s="246" t="s">
        <v>2</v>
      </c>
      <c r="C115" s="247" t="s">
        <v>117</v>
      </c>
      <c r="D115" s="248">
        <v>6</v>
      </c>
      <c r="E115" s="249">
        <v>44018</v>
      </c>
      <c r="F115" s="256">
        <f>'Bautzen 2. Schnitt 2020'!AJ17</f>
        <v>0</v>
      </c>
      <c r="G115" s="258">
        <f>IF('Bautzen 2. Schnitt 2020'!AK17=0,"",'Bautzen 2. Schnitt 2020'!AK17)</f>
        <v>11.859000000000002</v>
      </c>
      <c r="H115" s="258">
        <f>IF('Bautzen 2. Schnitt 2020'!AL17=0,"",'Bautzen 2. Schnitt 2020'!AL17)</f>
        <v>2.411</v>
      </c>
      <c r="I115" s="256">
        <f>IF('Bautzen 2. Schnitt 2020'!R17=0,"",'Bautzen 2. Schnitt 2020'!R17)</f>
        <v>11.859000000000002</v>
      </c>
      <c r="J115" s="256" t="str">
        <f>IF('Bautzen 2. Schnitt 2020'!AD17=0,"",'Bautzen 2. Schnitt 2020'!AD17)</f>
        <v/>
      </c>
      <c r="K115" s="256"/>
      <c r="L115" s="259">
        <f>'Bautzen 2. Schnitt 2020'!K17</f>
        <v>18.84072921154457</v>
      </c>
    </row>
    <row r="116" spans="1:12" x14ac:dyDescent="0.3">
      <c r="A116" s="245" t="s">
        <v>9</v>
      </c>
      <c r="B116" s="246" t="s">
        <v>2</v>
      </c>
      <c r="C116" s="247" t="s">
        <v>118</v>
      </c>
      <c r="D116" s="248">
        <v>7</v>
      </c>
      <c r="E116" s="249">
        <v>44018</v>
      </c>
      <c r="F116" s="256">
        <f>'Bautzen 2. Schnitt 2020'!AJ18</f>
        <v>0</v>
      </c>
      <c r="G116" s="258">
        <f>IF('Bautzen 2. Schnitt 2020'!AK18=0,"",'Bautzen 2. Schnitt 2020'!AK18)</f>
        <v>7.3069999999999995</v>
      </c>
      <c r="H116" s="258">
        <f>IF('Bautzen 2. Schnitt 2020'!AL18=0,"",'Bautzen 2. Schnitt 2020'!AL18)</f>
        <v>1.3619999999999999</v>
      </c>
      <c r="I116" s="256">
        <f>IF('Bautzen 2. Schnitt 2020'!R18=0,"",'Bautzen 2. Schnitt 2020'!R18)</f>
        <v>7.3069999999999995</v>
      </c>
      <c r="J116" s="256" t="str">
        <f>IF('Bautzen 2. Schnitt 2020'!AD18=0,"",'Bautzen 2. Schnitt 2020'!AD18)</f>
        <v/>
      </c>
      <c r="K116" s="256"/>
      <c r="L116" s="259">
        <f>'Bautzen 2. Schnitt 2020'!K18</f>
        <v>24.567057053507948</v>
      </c>
    </row>
    <row r="117" spans="1:12" x14ac:dyDescent="0.3">
      <c r="A117" s="245" t="s">
        <v>9</v>
      </c>
      <c r="B117" s="246" t="s">
        <v>2</v>
      </c>
      <c r="C117" s="247" t="s">
        <v>119</v>
      </c>
      <c r="D117" s="248">
        <v>8</v>
      </c>
      <c r="E117" s="249">
        <v>44018</v>
      </c>
      <c r="F117" s="256">
        <f>'Bautzen 2. Schnitt 2020'!AJ19</f>
        <v>0</v>
      </c>
      <c r="G117" s="258">
        <f>IF('Bautzen 2. Schnitt 2020'!AK19=0,"",'Bautzen 2. Schnitt 2020'!AK19)</f>
        <v>5.3469999999999995</v>
      </c>
      <c r="H117" s="261">
        <v>0</v>
      </c>
      <c r="I117" s="256">
        <f>IF('Bautzen 2. Schnitt 2020'!R19=0,"",'Bautzen 2. Schnitt 2020'!R19)</f>
        <v>5.3469999999999995</v>
      </c>
      <c r="J117" s="256" t="str">
        <f>IF('Bautzen 2. Schnitt 2020'!AD19=0,"",'Bautzen 2. Schnitt 2020'!AD19)</f>
        <v/>
      </c>
      <c r="K117" s="256"/>
      <c r="L117" s="259">
        <f>'Bautzen 2. Schnitt 2020'!K19</f>
        <v>13.727632932190959</v>
      </c>
    </row>
    <row r="118" spans="1:12" x14ac:dyDescent="0.3">
      <c r="A118" s="245" t="s">
        <v>9</v>
      </c>
      <c r="B118" s="254" t="s">
        <v>2</v>
      </c>
      <c r="C118" s="247" t="s">
        <v>120</v>
      </c>
      <c r="D118" s="255">
        <v>9</v>
      </c>
      <c r="E118" s="249">
        <v>44018</v>
      </c>
      <c r="F118" s="256">
        <f>'Bautzen 2. Schnitt 2020'!AJ20</f>
        <v>0</v>
      </c>
      <c r="G118" s="258">
        <f>IF('Bautzen 2. Schnitt 2020'!AK20=0,"",'Bautzen 2. Schnitt 2020'!AK20)</f>
        <v>6.343</v>
      </c>
      <c r="H118" s="260" t="str">
        <f>IF('Bautzen 2. Schnitt 2020'!AL20=0,"",'Bautzen 2. Schnitt 2020'!AL20)</f>
        <v/>
      </c>
      <c r="I118" s="256">
        <f>IF('Bautzen 2. Schnitt 2020'!R20=0,"",'Bautzen 2. Schnitt 2020'!R20)</f>
        <v>6.343</v>
      </c>
      <c r="J118" s="256" t="str">
        <f>IF('Bautzen 2. Schnitt 2020'!AD20=0,"",'Bautzen 2. Schnitt 2020'!AD20)</f>
        <v/>
      </c>
      <c r="K118" s="256"/>
      <c r="L118" s="259">
        <f>'Bautzen 2. Schnitt 2020'!K20</f>
        <v>7.9027246171659886</v>
      </c>
    </row>
    <row r="119" spans="1:12" x14ac:dyDescent="0.3">
      <c r="A119" s="245" t="s">
        <v>9</v>
      </c>
      <c r="B119" s="246" t="s">
        <v>9</v>
      </c>
      <c r="C119" s="247" t="s">
        <v>112</v>
      </c>
      <c r="D119" s="248">
        <v>1</v>
      </c>
      <c r="E119" s="249">
        <v>44018</v>
      </c>
      <c r="F119" s="256">
        <f>'Bautzen 2. Schnitt 2020'!AJ21</f>
        <v>0</v>
      </c>
      <c r="G119" s="260" t="str">
        <f>IF('Bautzen 2. Schnitt 2020'!AK21=0,"",'Bautzen 2. Schnitt 2020'!AK21)</f>
        <v/>
      </c>
      <c r="H119" s="258">
        <f>IF('Bautzen 2. Schnitt 2020'!AL21=0,"",'Bautzen 2. Schnitt 2020'!AL21)</f>
        <v>3.5790000000000002</v>
      </c>
      <c r="I119" s="256" t="str">
        <f>IF('Bautzen 2. Schnitt 2020'!R21=0,"",'Bautzen 2. Schnitt 2020'!R21)</f>
        <v/>
      </c>
      <c r="J119" s="256" t="str">
        <f>IF('Bautzen 2. Schnitt 2020'!AD21=0,"",'Bautzen 2. Schnitt 2020'!AD21)</f>
        <v/>
      </c>
      <c r="K119" s="256"/>
      <c r="L119" s="259">
        <f>'Bautzen 2. Schnitt 2020'!K21</f>
        <v>7.4099322678735815</v>
      </c>
    </row>
    <row r="120" spans="1:12" x14ac:dyDescent="0.3">
      <c r="A120" s="245" t="s">
        <v>9</v>
      </c>
      <c r="B120" s="246" t="s">
        <v>9</v>
      </c>
      <c r="C120" s="247" t="s">
        <v>113</v>
      </c>
      <c r="D120" s="248">
        <v>2</v>
      </c>
      <c r="E120" s="249">
        <v>44018</v>
      </c>
      <c r="F120" s="256">
        <f>'Bautzen 2. Schnitt 2020'!AJ22</f>
        <v>0</v>
      </c>
      <c r="G120" s="258">
        <f>IF('Bautzen 2. Schnitt 2020'!AK22=0,"",'Bautzen 2. Schnitt 2020'!AK22)</f>
        <v>3.5270000000000006</v>
      </c>
      <c r="H120" s="258">
        <f>IF('Bautzen 2. Schnitt 2020'!AL22=0,"",'Bautzen 2. Schnitt 2020'!AL22)</f>
        <v>0.84600000000000009</v>
      </c>
      <c r="I120" s="256" t="str">
        <f>IF('Bautzen 2. Schnitt 2020'!R22=0,"",'Bautzen 2. Schnitt 2020'!R22)</f>
        <v/>
      </c>
      <c r="J120" s="256">
        <f>IF('Bautzen 2. Schnitt 2020'!AD22=0,"",'Bautzen 2. Schnitt 2020'!AD22)</f>
        <v>3.5270000000000006</v>
      </c>
      <c r="K120" s="256"/>
      <c r="L120" s="259">
        <f>'Bautzen 2. Schnitt 2020'!K22</f>
        <v>8.113954532468064</v>
      </c>
    </row>
    <row r="121" spans="1:12" x14ac:dyDescent="0.3">
      <c r="A121" s="245" t="s">
        <v>9</v>
      </c>
      <c r="B121" s="246" t="s">
        <v>9</v>
      </c>
      <c r="C121" s="247" t="s">
        <v>114</v>
      </c>
      <c r="D121" s="248">
        <v>3</v>
      </c>
      <c r="E121" s="249">
        <v>44018</v>
      </c>
      <c r="F121" s="256">
        <f>'Bautzen 2. Schnitt 2020'!AJ23</f>
        <v>0</v>
      </c>
      <c r="G121" s="258">
        <f>IF('Bautzen 2. Schnitt 2020'!AK23=0,"",'Bautzen 2. Schnitt 2020'!AK23)</f>
        <v>2.4649999999999994</v>
      </c>
      <c r="H121" s="258">
        <f>IF('Bautzen 2. Schnitt 2020'!AL23=0,"",'Bautzen 2. Schnitt 2020'!AL23)</f>
        <v>1.1370000000000002</v>
      </c>
      <c r="I121" s="256" t="str">
        <f>IF('Bautzen 2. Schnitt 2020'!R23=0,"",'Bautzen 2. Schnitt 2020'!R23)</f>
        <v/>
      </c>
      <c r="J121" s="256">
        <f>IF('Bautzen 2. Schnitt 2020'!AD23=0,"",'Bautzen 2. Schnitt 2020'!AD23)</f>
        <v>2.4649999999999994</v>
      </c>
      <c r="K121" s="256"/>
      <c r="L121" s="259">
        <f>'Bautzen 2. Schnitt 2020'!K23</f>
        <v>5.0959641512405316</v>
      </c>
    </row>
    <row r="122" spans="1:12" x14ac:dyDescent="0.3">
      <c r="A122" s="245" t="s">
        <v>9</v>
      </c>
      <c r="B122" s="246" t="s">
        <v>9</v>
      </c>
      <c r="C122" s="247" t="s">
        <v>115</v>
      </c>
      <c r="D122" s="248">
        <v>4</v>
      </c>
      <c r="E122" s="249">
        <v>44018</v>
      </c>
      <c r="F122" s="256">
        <f>'Bautzen 2. Schnitt 2020'!AJ24</f>
        <v>0</v>
      </c>
      <c r="G122" s="258">
        <f>IF('Bautzen 2. Schnitt 2020'!AK24=0,"",'Bautzen 2. Schnitt 2020'!AK24)</f>
        <v>3.028</v>
      </c>
      <c r="H122" s="258">
        <f>IF('Bautzen 2. Schnitt 2020'!AL24=0,"",'Bautzen 2. Schnitt 2020'!AL24)</f>
        <v>3.6590000000000003</v>
      </c>
      <c r="I122" s="256" t="str">
        <f>IF('Bautzen 2. Schnitt 2020'!R24=0,"",'Bautzen 2. Schnitt 2020'!R24)</f>
        <v/>
      </c>
      <c r="J122" s="256">
        <f>IF('Bautzen 2. Schnitt 2020'!AD24=0,"",'Bautzen 2. Schnitt 2020'!AD24)</f>
        <v>3.028</v>
      </c>
      <c r="K122" s="256"/>
      <c r="L122" s="259">
        <f>'Bautzen 2. Schnitt 2020'!K24</f>
        <v>9.3933811449871385</v>
      </c>
    </row>
    <row r="123" spans="1:12" x14ac:dyDescent="0.3">
      <c r="A123" s="245" t="s">
        <v>9</v>
      </c>
      <c r="B123" s="253" t="s">
        <v>9</v>
      </c>
      <c r="C123" s="247" t="s">
        <v>116</v>
      </c>
      <c r="D123" s="248">
        <v>5</v>
      </c>
      <c r="E123" s="249">
        <v>44018</v>
      </c>
      <c r="F123" s="256">
        <f>'Bautzen 2. Schnitt 2020'!AJ25</f>
        <v>0</v>
      </c>
      <c r="G123" s="258">
        <f>IF('Bautzen 2. Schnitt 2020'!AK25=0,"",'Bautzen 2. Schnitt 2020'!AK25)</f>
        <v>3.8490000000000002</v>
      </c>
      <c r="H123" s="260" t="str">
        <f>IF('Bautzen 2. Schnitt 2020'!AL25=0,"",'Bautzen 2. Schnitt 2020'!AL25)</f>
        <v/>
      </c>
      <c r="I123" s="256" t="str">
        <f>IF('Bautzen 2. Schnitt 2020'!R25=0,"",'Bautzen 2. Schnitt 2020'!R25)</f>
        <v/>
      </c>
      <c r="J123" s="256">
        <f>IF('Bautzen 2. Schnitt 2020'!AD25=0,"",'Bautzen 2. Schnitt 2020'!AD25)</f>
        <v>3.8490000000000002</v>
      </c>
      <c r="K123" s="256"/>
      <c r="L123" s="259">
        <f>'Bautzen 2. Schnitt 2020'!K25</f>
        <v>10.087223317992551</v>
      </c>
    </row>
    <row r="124" spans="1:12" x14ac:dyDescent="0.3">
      <c r="A124" s="245" t="s">
        <v>9</v>
      </c>
      <c r="B124" s="246" t="s">
        <v>9</v>
      </c>
      <c r="C124" s="247" t="s">
        <v>117</v>
      </c>
      <c r="D124" s="248">
        <v>6</v>
      </c>
      <c r="E124" s="249">
        <v>44018</v>
      </c>
      <c r="F124" s="256">
        <f>'Bautzen 2. Schnitt 2020'!AJ26</f>
        <v>0</v>
      </c>
      <c r="G124" s="258">
        <f>IF('Bautzen 2. Schnitt 2020'!AK26=0,"",'Bautzen 2. Schnitt 2020'!AK26)</f>
        <v>2.9959999999999996</v>
      </c>
      <c r="H124" s="258">
        <f>IF('Bautzen 2. Schnitt 2020'!AL26=0,"",'Bautzen 2. Schnitt 2020'!AL26)</f>
        <v>0.65799999999999992</v>
      </c>
      <c r="I124" s="256">
        <f>IF('Bautzen 2. Schnitt 2020'!R26=0,"",'Bautzen 2. Schnitt 2020'!R26)</f>
        <v>2.9959999999999996</v>
      </c>
      <c r="J124" s="256" t="str">
        <f>IF('Bautzen 2. Schnitt 2020'!AD26=0,"",'Bautzen 2. Schnitt 2020'!AD26)</f>
        <v/>
      </c>
      <c r="K124" s="256"/>
      <c r="L124" s="259">
        <f>'Bautzen 2. Schnitt 2020'!K26</f>
        <v>6.3191995478298262</v>
      </c>
    </row>
    <row r="125" spans="1:12" x14ac:dyDescent="0.3">
      <c r="A125" s="245" t="s">
        <v>9</v>
      </c>
      <c r="B125" s="246" t="s">
        <v>9</v>
      </c>
      <c r="C125" s="247" t="s">
        <v>118</v>
      </c>
      <c r="D125" s="248">
        <v>7</v>
      </c>
      <c r="E125" s="249">
        <v>44018</v>
      </c>
      <c r="F125" s="256">
        <f>'Bautzen 2. Schnitt 2020'!AJ27</f>
        <v>0</v>
      </c>
      <c r="G125" s="258">
        <f>IF('Bautzen 2. Schnitt 2020'!AK27=0,"",'Bautzen 2. Schnitt 2020'!AK27)</f>
        <v>2.2869999999999999</v>
      </c>
      <c r="H125" s="261">
        <v>0</v>
      </c>
      <c r="I125" s="256">
        <f>IF('Bautzen 2. Schnitt 2020'!R27=0,"",'Bautzen 2. Schnitt 2020'!R27)</f>
        <v>2.2869999999999999</v>
      </c>
      <c r="J125" s="256" t="str">
        <f>IF('Bautzen 2. Schnitt 2020'!AD27=0,"",'Bautzen 2. Schnitt 2020'!AD27)</f>
        <v/>
      </c>
      <c r="K125" s="256"/>
      <c r="L125" s="259">
        <f>'Bautzen 2. Schnitt 2020'!K27</f>
        <v>2.8131354138474247</v>
      </c>
    </row>
    <row r="126" spans="1:12" x14ac:dyDescent="0.3">
      <c r="A126" s="245" t="s">
        <v>9</v>
      </c>
      <c r="B126" s="246" t="s">
        <v>9</v>
      </c>
      <c r="C126" s="247" t="s">
        <v>119</v>
      </c>
      <c r="D126" s="248">
        <v>8</v>
      </c>
      <c r="E126" s="249">
        <v>44018</v>
      </c>
      <c r="F126" s="256">
        <f>'Bautzen 2. Schnitt 2020'!AJ28</f>
        <v>0</v>
      </c>
      <c r="G126" s="258">
        <f>IF('Bautzen 2. Schnitt 2020'!AK28=0,"",'Bautzen 2. Schnitt 2020'!AK28)</f>
        <v>5.5389999999999997</v>
      </c>
      <c r="H126" s="258">
        <f>IF('Bautzen 2. Schnitt 2020'!AL28=0,"",'Bautzen 2. Schnitt 2020'!AL28)</f>
        <v>1.0270000000000001</v>
      </c>
      <c r="I126" s="256">
        <f>IF('Bautzen 2. Schnitt 2020'!R28=0,"",'Bautzen 2. Schnitt 2020'!R28)</f>
        <v>5.5389999999999997</v>
      </c>
      <c r="J126" s="256" t="str">
        <f>IF('Bautzen 2. Schnitt 2020'!AD28=0,"",'Bautzen 2. Schnitt 2020'!AD28)</f>
        <v/>
      </c>
      <c r="K126" s="256"/>
      <c r="L126" s="259">
        <f>'Bautzen 2. Schnitt 2020'!K28</f>
        <v>9.6015122738499663</v>
      </c>
    </row>
    <row r="127" spans="1:12" x14ac:dyDescent="0.3">
      <c r="A127" s="245" t="s">
        <v>9</v>
      </c>
      <c r="B127" s="254" t="s">
        <v>9</v>
      </c>
      <c r="C127" s="247" t="s">
        <v>120</v>
      </c>
      <c r="D127" s="255">
        <v>9</v>
      </c>
      <c r="E127" s="249">
        <v>44018</v>
      </c>
      <c r="F127" s="256">
        <f>'Bautzen 2. Schnitt 2020'!AJ29</f>
        <v>0</v>
      </c>
      <c r="G127" s="258">
        <f>IF('Bautzen 2. Schnitt 2020'!AK29=0,"",'Bautzen 2. Schnitt 2020'!AK29)</f>
        <v>7.6469999999999994</v>
      </c>
      <c r="H127" s="260" t="str">
        <f>IF('Bautzen 2. Schnitt 2020'!AL29=0,"",'Bautzen 2. Schnitt 2020'!AL29)</f>
        <v/>
      </c>
      <c r="I127" s="256">
        <f>IF('Bautzen 2. Schnitt 2020'!R29=0,"",'Bautzen 2. Schnitt 2020'!R29)</f>
        <v>7.6469999999999994</v>
      </c>
      <c r="J127" s="256" t="str">
        <f>IF('Bautzen 2. Schnitt 2020'!AD29=0,"",'Bautzen 2. Schnitt 2020'!AD29)</f>
        <v/>
      </c>
      <c r="K127" s="256"/>
      <c r="L127" s="259">
        <f>'Bautzen 2. Schnitt 2020'!K29</f>
        <v>21.800110287498818</v>
      </c>
    </row>
    <row r="128" spans="1:12" x14ac:dyDescent="0.3">
      <c r="A128" s="245" t="s">
        <v>9</v>
      </c>
      <c r="B128" s="246" t="s">
        <v>10</v>
      </c>
      <c r="C128" s="247" t="s">
        <v>112</v>
      </c>
      <c r="D128" s="248">
        <v>1</v>
      </c>
      <c r="E128" s="249">
        <v>44018</v>
      </c>
      <c r="F128" s="256">
        <f>'Bautzen 2. Schnitt 2020'!AJ30</f>
        <v>1.0000000000000675E-3</v>
      </c>
      <c r="G128" s="260" t="str">
        <f>IF('Bautzen 2. Schnitt 2020'!AK30=0,"",'Bautzen 2. Schnitt 2020'!AK30)</f>
        <v/>
      </c>
      <c r="H128" s="258">
        <f>IF('Bautzen 2. Schnitt 2020'!AL30=0,"",'Bautzen 2. Schnitt 2020'!AL30)</f>
        <v>0.52300000000000002</v>
      </c>
      <c r="I128" s="256" t="str">
        <f>IF('Bautzen 2. Schnitt 2020'!R30=0,"",'Bautzen 2. Schnitt 2020'!R30)</f>
        <v/>
      </c>
      <c r="J128" s="256" t="str">
        <f>IF('Bautzen 2. Schnitt 2020'!AD30=0,"",'Bautzen 2. Schnitt 2020'!AD30)</f>
        <v/>
      </c>
      <c r="K128" s="256"/>
      <c r="L128" s="259">
        <f>'Bautzen 2. Schnitt 2020'!K30</f>
        <v>0.25336832895888028</v>
      </c>
    </row>
    <row r="129" spans="1:12" x14ac:dyDescent="0.3">
      <c r="A129" s="245" t="s">
        <v>9</v>
      </c>
      <c r="B129" s="246" t="s">
        <v>10</v>
      </c>
      <c r="C129" s="247" t="s">
        <v>113</v>
      </c>
      <c r="D129" s="248">
        <v>2</v>
      </c>
      <c r="E129" s="249">
        <v>44018</v>
      </c>
      <c r="F129" s="256">
        <f>'Bautzen 2. Schnitt 2020'!AJ31</f>
        <v>0</v>
      </c>
      <c r="G129" s="258">
        <f>IF('Bautzen 2. Schnitt 2020'!AK31=0,"",'Bautzen 2. Schnitt 2020'!AK31)</f>
        <v>2.1240000000000001</v>
      </c>
      <c r="H129" s="258">
        <f>IF('Bautzen 2. Schnitt 2020'!AL31=0,"",'Bautzen 2. Schnitt 2020'!AL31)</f>
        <v>0.47200000000000009</v>
      </c>
      <c r="I129" s="256" t="str">
        <f>IF('Bautzen 2. Schnitt 2020'!R31=0,"",'Bautzen 2. Schnitt 2020'!R31)</f>
        <v/>
      </c>
      <c r="J129" s="256">
        <f>IF('Bautzen 2. Schnitt 2020'!AD31=0,"",'Bautzen 2. Schnitt 2020'!AD31)</f>
        <v>2.1240000000000001</v>
      </c>
      <c r="K129" s="256"/>
      <c r="L129" s="259">
        <f>'Bautzen 2. Schnitt 2020'!K31</f>
        <v>5.1208910622113546</v>
      </c>
    </row>
    <row r="130" spans="1:12" x14ac:dyDescent="0.3">
      <c r="A130" s="245" t="s">
        <v>9</v>
      </c>
      <c r="B130" s="246" t="s">
        <v>10</v>
      </c>
      <c r="C130" s="247" t="s">
        <v>114</v>
      </c>
      <c r="D130" s="248">
        <v>3</v>
      </c>
      <c r="E130" s="249">
        <v>44018</v>
      </c>
      <c r="F130" s="256">
        <f>'Bautzen 2. Schnitt 2020'!AJ32</f>
        <v>0</v>
      </c>
      <c r="G130" s="258">
        <f>IF('Bautzen 2. Schnitt 2020'!AK32=0,"",'Bautzen 2. Schnitt 2020'!AK32)</f>
        <v>2.1040000000000001</v>
      </c>
      <c r="H130" s="258">
        <f>IF('Bautzen 2. Schnitt 2020'!AL32=0,"",'Bautzen 2. Schnitt 2020'!AL32)</f>
        <v>0.16800000000000004</v>
      </c>
      <c r="I130" s="256" t="str">
        <f>IF('Bautzen 2. Schnitt 2020'!R32=0,"",'Bautzen 2. Schnitt 2020'!R32)</f>
        <v/>
      </c>
      <c r="J130" s="256">
        <f>IF('Bautzen 2. Schnitt 2020'!AD32=0,"",'Bautzen 2. Schnitt 2020'!AD32)</f>
        <v>2.1040000000000001</v>
      </c>
      <c r="K130" s="256"/>
      <c r="L130" s="259">
        <f>'Bautzen 2. Schnitt 2020'!K32</f>
        <v>4.8032643744542751</v>
      </c>
    </row>
    <row r="131" spans="1:12" x14ac:dyDescent="0.3">
      <c r="A131" s="245" t="s">
        <v>9</v>
      </c>
      <c r="B131" s="246" t="s">
        <v>10</v>
      </c>
      <c r="C131" s="247" t="s">
        <v>115</v>
      </c>
      <c r="D131" s="248">
        <v>4</v>
      </c>
      <c r="E131" s="249">
        <v>44018</v>
      </c>
      <c r="F131" s="256">
        <f>'Bautzen 2. Schnitt 2020'!AJ33</f>
        <v>0</v>
      </c>
      <c r="G131" s="258">
        <f>IF('Bautzen 2. Schnitt 2020'!AK33=0,"",'Bautzen 2. Schnitt 2020'!AK33)</f>
        <v>1.6930000000000001</v>
      </c>
      <c r="H131" s="258">
        <f>IF('Bautzen 2. Schnitt 2020'!AL33=0,"",'Bautzen 2. Schnitt 2020'!AL33)</f>
        <v>0.68000000000000016</v>
      </c>
      <c r="I131" s="256" t="str">
        <f>IF('Bautzen 2. Schnitt 2020'!R33=0,"",'Bautzen 2. Schnitt 2020'!R33)</f>
        <v/>
      </c>
      <c r="J131" s="256">
        <f>IF('Bautzen 2. Schnitt 2020'!AD33=0,"",'Bautzen 2. Schnitt 2020'!AD33)</f>
        <v>1.6930000000000001</v>
      </c>
      <c r="K131" s="256"/>
      <c r="L131" s="259">
        <f>'Bautzen 2. Schnitt 2020'!K33</f>
        <v>2.9181786763435311</v>
      </c>
    </row>
    <row r="132" spans="1:12" x14ac:dyDescent="0.3">
      <c r="A132" s="245" t="s">
        <v>9</v>
      </c>
      <c r="B132" s="246" t="s">
        <v>10</v>
      </c>
      <c r="C132" s="247" t="s">
        <v>116</v>
      </c>
      <c r="D132" s="248">
        <v>5</v>
      </c>
      <c r="E132" s="249">
        <v>44018</v>
      </c>
      <c r="F132" s="256">
        <f>'Bautzen 2. Schnitt 2020'!AJ34</f>
        <v>0</v>
      </c>
      <c r="G132" s="258">
        <f>IF('Bautzen 2. Schnitt 2020'!AK34=0,"",'Bautzen 2. Schnitt 2020'!AK34)</f>
        <v>4.6160000000000005</v>
      </c>
      <c r="H132" s="260" t="str">
        <f>IF('Bautzen 2. Schnitt 2020'!AL34=0,"",'Bautzen 2. Schnitt 2020'!AL34)</f>
        <v/>
      </c>
      <c r="I132" s="256" t="str">
        <f>IF('Bautzen 2. Schnitt 2020'!R34=0,"",'Bautzen 2. Schnitt 2020'!R34)</f>
        <v/>
      </c>
      <c r="J132" s="256">
        <f>IF('Bautzen 2. Schnitt 2020'!AD34=0,"",'Bautzen 2. Schnitt 2020'!AD34)</f>
        <v>4.6160000000000005</v>
      </c>
      <c r="K132" s="256"/>
      <c r="L132" s="259">
        <f>'Bautzen 2. Schnitt 2020'!K34</f>
        <v>5.9636684303350966</v>
      </c>
    </row>
    <row r="133" spans="1:12" x14ac:dyDescent="0.3">
      <c r="A133" s="245" t="s">
        <v>9</v>
      </c>
      <c r="B133" s="246" t="s">
        <v>10</v>
      </c>
      <c r="C133" s="247" t="s">
        <v>117</v>
      </c>
      <c r="D133" s="248">
        <v>6</v>
      </c>
      <c r="E133" s="249">
        <v>44018</v>
      </c>
      <c r="F133" s="256">
        <f>'Bautzen 2. Schnitt 2020'!AJ35</f>
        <v>3.3999999999999989E-2</v>
      </c>
      <c r="G133" s="258">
        <f>IF('Bautzen 2. Schnitt 2020'!AK35=0,"",'Bautzen 2. Schnitt 2020'!AK35)</f>
        <v>3.6929999999999996</v>
      </c>
      <c r="H133" s="258">
        <f>IF('Bautzen 2. Schnitt 2020'!AL35=0,"",'Bautzen 2. Schnitt 2020'!AL35)</f>
        <v>0.68500000000000005</v>
      </c>
      <c r="I133" s="256">
        <f>IF('Bautzen 2. Schnitt 2020'!R35=0,"",'Bautzen 2. Schnitt 2020'!R35)</f>
        <v>3.6929999999999996</v>
      </c>
      <c r="J133" s="256" t="str">
        <f>IF('Bautzen 2. Schnitt 2020'!AD35=0,"",'Bautzen 2. Schnitt 2020'!AD35)</f>
        <v/>
      </c>
      <c r="K133" s="256"/>
      <c r="L133" s="259">
        <f>'Bautzen 2. Schnitt 2020'!K35</f>
        <v>3.5771170231264118</v>
      </c>
    </row>
    <row r="134" spans="1:12" x14ac:dyDescent="0.3">
      <c r="A134" s="245" t="s">
        <v>9</v>
      </c>
      <c r="B134" s="253" t="s">
        <v>10</v>
      </c>
      <c r="C134" s="247" t="s">
        <v>118</v>
      </c>
      <c r="D134" s="248">
        <v>7</v>
      </c>
      <c r="E134" s="249">
        <v>44018</v>
      </c>
      <c r="F134" s="256">
        <f>'Bautzen 2. Schnitt 2020'!AJ36</f>
        <v>0</v>
      </c>
      <c r="G134" s="258">
        <f>IF('Bautzen 2. Schnitt 2020'!AK36=0,"",'Bautzen 2. Schnitt 2020'!AK36)</f>
        <v>2.6190000000000002</v>
      </c>
      <c r="H134" s="261">
        <v>0</v>
      </c>
      <c r="I134" s="256">
        <f>IF('Bautzen 2. Schnitt 2020'!R36=0,"",'Bautzen 2. Schnitt 2020'!R36)</f>
        <v>2.6190000000000002</v>
      </c>
      <c r="J134" s="256" t="str">
        <f>IF('Bautzen 2. Schnitt 2020'!AD36=0,"",'Bautzen 2. Schnitt 2020'!AD36)</f>
        <v/>
      </c>
      <c r="K134" s="256"/>
      <c r="L134" s="259">
        <f>'Bautzen 2. Schnitt 2020'!K36</f>
        <v>5.0499960940551514</v>
      </c>
    </row>
    <row r="135" spans="1:12" x14ac:dyDescent="0.3">
      <c r="A135" s="245" t="s">
        <v>9</v>
      </c>
      <c r="B135" s="246" t="s">
        <v>10</v>
      </c>
      <c r="C135" s="247" t="s">
        <v>119</v>
      </c>
      <c r="D135" s="248">
        <v>8</v>
      </c>
      <c r="E135" s="249">
        <v>44018</v>
      </c>
      <c r="F135" s="256">
        <f>'Bautzen 2. Schnitt 2020'!AJ37</f>
        <v>0</v>
      </c>
      <c r="G135" s="258">
        <f>IF('Bautzen 2. Schnitt 2020'!AK37=0,"",'Bautzen 2. Schnitt 2020'!AK37)</f>
        <v>1.6280000000000003</v>
      </c>
      <c r="H135" s="261">
        <v>0</v>
      </c>
      <c r="I135" s="256">
        <f>IF('Bautzen 2. Schnitt 2020'!R37=0,"",'Bautzen 2. Schnitt 2020'!R37)</f>
        <v>1.6280000000000003</v>
      </c>
      <c r="J135" s="256" t="str">
        <f>IF('Bautzen 2. Schnitt 2020'!AD37=0,"",'Bautzen 2. Schnitt 2020'!AD37)</f>
        <v/>
      </c>
      <c r="K135" s="256"/>
      <c r="L135" s="259">
        <f>'Bautzen 2. Schnitt 2020'!K37</f>
        <v>2.0075308860135381</v>
      </c>
    </row>
    <row r="136" spans="1:12" x14ac:dyDescent="0.3">
      <c r="A136" s="245" t="s">
        <v>9</v>
      </c>
      <c r="B136" s="254" t="s">
        <v>10</v>
      </c>
      <c r="C136" s="247" t="s">
        <v>120</v>
      </c>
      <c r="D136" s="255">
        <v>9</v>
      </c>
      <c r="E136" s="249">
        <v>44018</v>
      </c>
      <c r="F136" s="256">
        <f>'Bautzen 2. Schnitt 2020'!AJ38</f>
        <v>0</v>
      </c>
      <c r="G136" s="258">
        <f>IF('Bautzen 2. Schnitt 2020'!AK38=0,"",'Bautzen 2. Schnitt 2020'!AK38)</f>
        <v>3.0019999999999998</v>
      </c>
      <c r="H136" s="260" t="str">
        <f>IF('Bautzen 2. Schnitt 2020'!AL38=0,"",'Bautzen 2. Schnitt 2020'!AL38)</f>
        <v/>
      </c>
      <c r="I136" s="256">
        <f>IF('Bautzen 2. Schnitt 2020'!R38=0,"",'Bautzen 2. Schnitt 2020'!R38)</f>
        <v>3.0019999999999998</v>
      </c>
      <c r="J136" s="256" t="str">
        <f>IF('Bautzen 2. Schnitt 2020'!AD38=0,"",'Bautzen 2. Schnitt 2020'!AD38)</f>
        <v/>
      </c>
      <c r="K136" s="256"/>
      <c r="L136" s="259">
        <f>'Bautzen 2. Schnitt 2020'!K38</f>
        <v>4.5829605425240869</v>
      </c>
    </row>
    <row r="137" spans="1:12" x14ac:dyDescent="0.3">
      <c r="A137" s="245" t="s">
        <v>9</v>
      </c>
      <c r="B137" s="246" t="s">
        <v>11</v>
      </c>
      <c r="C137" s="247" t="s">
        <v>112</v>
      </c>
      <c r="D137" s="248">
        <v>1</v>
      </c>
      <c r="E137" s="249">
        <v>44018</v>
      </c>
      <c r="F137" s="256">
        <f>'Bautzen 2. Schnitt 2020'!AJ39</f>
        <v>3.7999999999999992E-2</v>
      </c>
      <c r="G137" s="260" t="str">
        <f>IF('Bautzen 2. Schnitt 2020'!AK39=0,"",'Bautzen 2. Schnitt 2020'!AK39)</f>
        <v/>
      </c>
      <c r="H137" s="258">
        <f>IF('Bautzen 2. Schnitt 2020'!AL39=0,"",'Bautzen 2. Schnitt 2020'!AL39)</f>
        <v>1.125</v>
      </c>
      <c r="I137" s="256" t="str">
        <f>IF('Bautzen 2. Schnitt 2020'!R39=0,"",'Bautzen 2. Schnitt 2020'!R39)</f>
        <v/>
      </c>
      <c r="J137" s="256" t="str">
        <f>IF('Bautzen 2. Schnitt 2020'!AD39=0,"",'Bautzen 2. Schnitt 2020'!AD39)</f>
        <v/>
      </c>
      <c r="K137" s="256"/>
      <c r="L137" s="259">
        <f>'Bautzen 2. Schnitt 2020'!K39</f>
        <v>1.3956099740090979</v>
      </c>
    </row>
    <row r="138" spans="1:12" x14ac:dyDescent="0.3">
      <c r="A138" s="245" t="s">
        <v>9</v>
      </c>
      <c r="B138" s="246" t="s">
        <v>11</v>
      </c>
      <c r="C138" s="247" t="s">
        <v>113</v>
      </c>
      <c r="D138" s="248">
        <v>2</v>
      </c>
      <c r="E138" s="249">
        <v>44018</v>
      </c>
      <c r="F138" s="256">
        <f>'Bautzen 2. Schnitt 2020'!AJ40</f>
        <v>0</v>
      </c>
      <c r="G138" s="258">
        <f>IF('Bautzen 2. Schnitt 2020'!AK40=0,"",'Bautzen 2. Schnitt 2020'!AK40)</f>
        <v>1.3240000000000001</v>
      </c>
      <c r="H138" s="258">
        <f>IF('Bautzen 2. Schnitt 2020'!AL40=0,"",'Bautzen 2. Schnitt 2020'!AL40)</f>
        <v>0.69799999999999995</v>
      </c>
      <c r="I138" s="256" t="str">
        <f>IF('Bautzen 2. Schnitt 2020'!R40=0,"",'Bautzen 2. Schnitt 2020'!R40)</f>
        <v/>
      </c>
      <c r="J138" s="256">
        <f>IF('Bautzen 2. Schnitt 2020'!AD40=0,"",'Bautzen 2. Schnitt 2020'!AD40)</f>
        <v>1.3240000000000001</v>
      </c>
      <c r="K138" s="256"/>
      <c r="L138" s="259">
        <f>'Bautzen 2. Schnitt 2020'!K40</f>
        <v>1.7502335720959221</v>
      </c>
    </row>
    <row r="139" spans="1:12" x14ac:dyDescent="0.3">
      <c r="A139" s="245" t="s">
        <v>9</v>
      </c>
      <c r="B139" s="246" t="s">
        <v>11</v>
      </c>
      <c r="C139" s="247" t="s">
        <v>114</v>
      </c>
      <c r="D139" s="248">
        <v>3</v>
      </c>
      <c r="E139" s="249">
        <v>44018</v>
      </c>
      <c r="F139" s="256">
        <f>'Bautzen 2. Schnitt 2020'!AJ41</f>
        <v>0</v>
      </c>
      <c r="G139" s="258">
        <f>IF('Bautzen 2. Schnitt 2020'!AK41=0,"",'Bautzen 2. Schnitt 2020'!AK41)</f>
        <v>1.7649999999999999</v>
      </c>
      <c r="H139" s="258">
        <f>IF('Bautzen 2. Schnitt 2020'!AL41=0,"",'Bautzen 2. Schnitt 2020'!AL41)</f>
        <v>0.16800000000000004</v>
      </c>
      <c r="I139" s="256" t="str">
        <f>IF('Bautzen 2. Schnitt 2020'!R41=0,"",'Bautzen 2. Schnitt 2020'!R41)</f>
        <v/>
      </c>
      <c r="J139" s="256">
        <f>IF('Bautzen 2. Schnitt 2020'!AD41=0,"",'Bautzen 2. Schnitt 2020'!AD41)</f>
        <v>1.7649999999999999</v>
      </c>
      <c r="K139" s="256"/>
      <c r="L139" s="259">
        <f>'Bautzen 2. Schnitt 2020'!K41</f>
        <v>3.3998193821624345</v>
      </c>
    </row>
    <row r="140" spans="1:12" x14ac:dyDescent="0.3">
      <c r="A140" s="245" t="s">
        <v>9</v>
      </c>
      <c r="B140" s="246" t="s">
        <v>11</v>
      </c>
      <c r="C140" s="247" t="s">
        <v>115</v>
      </c>
      <c r="D140" s="248">
        <v>4</v>
      </c>
      <c r="E140" s="249">
        <v>44018</v>
      </c>
      <c r="F140" s="256">
        <f>'Bautzen 2. Schnitt 2020'!AJ42</f>
        <v>0</v>
      </c>
      <c r="G140" s="258">
        <f>IF('Bautzen 2. Schnitt 2020'!AK42=0,"",'Bautzen 2. Schnitt 2020'!AK42)</f>
        <v>1.9610000000000003</v>
      </c>
      <c r="H140" s="261">
        <v>0</v>
      </c>
      <c r="I140" s="256" t="str">
        <f>IF('Bautzen 2. Schnitt 2020'!R42=0,"",'Bautzen 2. Schnitt 2020'!R42)</f>
        <v/>
      </c>
      <c r="J140" s="256">
        <f>IF('Bautzen 2. Schnitt 2020'!AD42=0,"",'Bautzen 2. Schnitt 2020'!AD42)</f>
        <v>1.9610000000000003</v>
      </c>
      <c r="K140" s="256"/>
      <c r="L140" s="259">
        <f>'Bautzen 2. Schnitt 2020'!K42</f>
        <v>2.4004050854648242</v>
      </c>
    </row>
    <row r="141" spans="1:12" x14ac:dyDescent="0.3">
      <c r="A141" s="245" t="s">
        <v>9</v>
      </c>
      <c r="B141" s="246" t="s">
        <v>11</v>
      </c>
      <c r="C141" s="247" t="s">
        <v>116</v>
      </c>
      <c r="D141" s="248">
        <v>5</v>
      </c>
      <c r="E141" s="249">
        <v>44018</v>
      </c>
      <c r="F141" s="256">
        <f>'Bautzen 2. Schnitt 2020'!AJ43</f>
        <v>0</v>
      </c>
      <c r="G141" s="258">
        <f>IF('Bautzen 2. Schnitt 2020'!AK43=0,"",'Bautzen 2. Schnitt 2020'!AK43)</f>
        <v>2.0340000000000003</v>
      </c>
      <c r="H141" s="260" t="str">
        <f>IF('Bautzen 2. Schnitt 2020'!AL43=0,"",'Bautzen 2. Schnitt 2020'!AL43)</f>
        <v/>
      </c>
      <c r="I141" s="256" t="str">
        <f>IF('Bautzen 2. Schnitt 2020'!R43=0,"",'Bautzen 2. Schnitt 2020'!R43)</f>
        <v/>
      </c>
      <c r="J141" s="256">
        <f>IF('Bautzen 2. Schnitt 2020'!AD43=0,"",'Bautzen 2. Schnitt 2020'!AD43)</f>
        <v>2.0340000000000003</v>
      </c>
      <c r="K141" s="256"/>
      <c r="L141" s="259">
        <f>'Bautzen 2. Schnitt 2020'!K43</f>
        <v>4.5348086675887478</v>
      </c>
    </row>
    <row r="142" spans="1:12" x14ac:dyDescent="0.3">
      <c r="A142" s="245" t="s">
        <v>9</v>
      </c>
      <c r="B142" s="246" t="s">
        <v>11</v>
      </c>
      <c r="C142" s="247" t="s">
        <v>117</v>
      </c>
      <c r="D142" s="248">
        <v>6</v>
      </c>
      <c r="E142" s="249">
        <v>44018</v>
      </c>
      <c r="F142" s="256">
        <f>'Bautzen 2. Schnitt 2020'!AJ44</f>
        <v>0</v>
      </c>
      <c r="G142" s="258">
        <f>IF('Bautzen 2. Schnitt 2020'!AK44=0,"",'Bautzen 2. Schnitt 2020'!AK44)</f>
        <v>1.4750000000000001</v>
      </c>
      <c r="H142" s="258">
        <v>0</v>
      </c>
      <c r="I142" s="256">
        <f>IF('Bautzen 2. Schnitt 2020'!R44=0,"",'Bautzen 2. Schnitt 2020'!R44)</f>
        <v>1.4750000000000001</v>
      </c>
      <c r="J142" s="256" t="str">
        <f>IF('Bautzen 2. Schnitt 2020'!AD44=0,"",'Bautzen 2. Schnitt 2020'!AD44)</f>
        <v/>
      </c>
      <c r="K142" s="256"/>
      <c r="L142" s="259">
        <f>'Bautzen 2. Schnitt 2020'!K44</f>
        <v>0.25817121469295407</v>
      </c>
    </row>
    <row r="143" spans="1:12" x14ac:dyDescent="0.3">
      <c r="A143" s="245" t="s">
        <v>9</v>
      </c>
      <c r="B143" s="246" t="s">
        <v>11</v>
      </c>
      <c r="C143" s="247" t="s">
        <v>118</v>
      </c>
      <c r="D143" s="248">
        <v>7</v>
      </c>
      <c r="E143" s="249">
        <v>44018</v>
      </c>
      <c r="F143" s="256">
        <f>'Bautzen 2. Schnitt 2020'!AJ45</f>
        <v>0</v>
      </c>
      <c r="G143" s="258">
        <f>IF('Bautzen 2. Schnitt 2020'!AK45=0,"",'Bautzen 2. Schnitt 2020'!AK45)</f>
        <v>3.6490000000000005</v>
      </c>
      <c r="H143" s="258">
        <f>IF('Bautzen 2. Schnitt 2020'!AL45=0,"",'Bautzen 2. Schnitt 2020'!AL45)</f>
        <v>0.50800000000000001</v>
      </c>
      <c r="I143" s="256">
        <f>IF('Bautzen 2. Schnitt 2020'!R45=0,"",'Bautzen 2. Schnitt 2020'!R45)</f>
        <v>3.6490000000000005</v>
      </c>
      <c r="J143" s="256" t="str">
        <f>IF('Bautzen 2. Schnitt 2020'!AD45=0,"",'Bautzen 2. Schnitt 2020'!AD45)</f>
        <v/>
      </c>
      <c r="K143" s="256"/>
      <c r="L143" s="259">
        <f>'Bautzen 2. Schnitt 2020'!K45</f>
        <v>5.519110601589424</v>
      </c>
    </row>
    <row r="144" spans="1:12" x14ac:dyDescent="0.3">
      <c r="A144" s="245" t="s">
        <v>9</v>
      </c>
      <c r="B144" s="246" t="s">
        <v>11</v>
      </c>
      <c r="C144" s="247" t="s">
        <v>119</v>
      </c>
      <c r="D144" s="248">
        <v>8</v>
      </c>
      <c r="E144" s="249">
        <v>44018</v>
      </c>
      <c r="F144" s="256">
        <f>'Bautzen 2. Schnitt 2020'!AJ46</f>
        <v>0</v>
      </c>
      <c r="G144" s="258">
        <f>IF('Bautzen 2. Schnitt 2020'!AK46=0,"",'Bautzen 2. Schnitt 2020'!AK46)</f>
        <v>2.4050000000000002</v>
      </c>
      <c r="H144" s="261">
        <v>0</v>
      </c>
      <c r="I144" s="256">
        <f>IF('Bautzen 2. Schnitt 2020'!R46=0,"",'Bautzen 2. Schnitt 2020'!R46)</f>
        <v>2.4050000000000002</v>
      </c>
      <c r="J144" s="256" t="str">
        <f>IF('Bautzen 2. Schnitt 2020'!AD46=0,"",'Bautzen 2. Schnitt 2020'!AD46)</f>
        <v/>
      </c>
      <c r="K144" s="256"/>
      <c r="L144" s="259">
        <f>'Bautzen 2. Schnitt 2020'!K46</f>
        <v>2.2109419063733768</v>
      </c>
    </row>
    <row r="145" spans="1:12" x14ac:dyDescent="0.3">
      <c r="A145" s="245" t="s">
        <v>9</v>
      </c>
      <c r="B145" s="246" t="s">
        <v>11</v>
      </c>
      <c r="C145" s="247" t="s">
        <v>120</v>
      </c>
      <c r="D145" s="248">
        <v>9</v>
      </c>
      <c r="E145" s="249">
        <v>44018</v>
      </c>
      <c r="F145" s="256">
        <f>'Bautzen 2. Schnitt 2020'!AJ47</f>
        <v>0</v>
      </c>
      <c r="G145" s="258">
        <f>IF('Bautzen 2. Schnitt 2020'!AK47=0,"",'Bautzen 2. Schnitt 2020'!AK47)</f>
        <v>2.9789999999999996</v>
      </c>
      <c r="H145" s="260" t="str">
        <f>IF('Bautzen 2. Schnitt 2020'!AL47=0,"",'Bautzen 2. Schnitt 2020'!AL47)</f>
        <v/>
      </c>
      <c r="I145" s="256">
        <f>IF('Bautzen 2. Schnitt 2020'!R47=0,"",'Bautzen 2. Schnitt 2020'!R47)</f>
        <v>2.9789999999999996</v>
      </c>
      <c r="J145" s="256" t="str">
        <f>IF('Bautzen 2. Schnitt 2020'!AD47=0,"",'Bautzen 2. Schnitt 2020'!AD47)</f>
        <v/>
      </c>
      <c r="K145" s="256"/>
      <c r="L145" s="259">
        <f>'Bautzen 2. Schnitt 2020'!K47</f>
        <v>4.6004042081252559</v>
      </c>
    </row>
    <row r="146" spans="1:12" x14ac:dyDescent="0.3">
      <c r="A146" s="210" t="s">
        <v>111</v>
      </c>
      <c r="B146" s="211" t="s">
        <v>2</v>
      </c>
      <c r="C146" s="212" t="s">
        <v>112</v>
      </c>
      <c r="D146" s="213">
        <v>1</v>
      </c>
      <c r="E146" s="214">
        <v>44082</v>
      </c>
      <c r="F146" s="257">
        <f>'Struppen 3. Schnitt 2020'!AJ12</f>
        <v>0</v>
      </c>
      <c r="G146" s="257" t="str">
        <f>IF('Struppen 3. Schnitt 2020'!AK12=0,"",'Struppen 3. Schnitt 2020'!AK12)</f>
        <v/>
      </c>
      <c r="H146" s="257">
        <f>IF('Struppen 3. Schnitt 2020'!AL12=0,"",'Struppen 3. Schnitt 2020'!AL12)</f>
        <v>8.2884581332631697</v>
      </c>
      <c r="I146" s="257" t="str">
        <f>IF('Struppen 3. Schnitt 2020'!R12=0,"",'Struppen 3. Schnitt 2020'!R12)</f>
        <v/>
      </c>
      <c r="J146" s="257" t="str">
        <f>IF('Struppen 3. Schnitt 2020'!AD12=0,"",'Struppen 3. Schnitt 2020'!AD12)</f>
        <v/>
      </c>
      <c r="K146" s="257"/>
      <c r="L146" s="220">
        <f>'Struppen 3. Schnitt 2020'!K12</f>
        <v>12.698485747206371</v>
      </c>
    </row>
    <row r="147" spans="1:12" x14ac:dyDescent="0.3">
      <c r="A147" s="210" t="s">
        <v>111</v>
      </c>
      <c r="B147" s="211" t="s">
        <v>2</v>
      </c>
      <c r="C147" s="212" t="s">
        <v>113</v>
      </c>
      <c r="D147" s="213">
        <v>2</v>
      </c>
      <c r="E147" s="214">
        <v>44082</v>
      </c>
      <c r="F147" s="257">
        <f>'Struppen 3. Schnitt 2020'!AJ13</f>
        <v>0</v>
      </c>
      <c r="G147" s="257">
        <f>IF('Struppen 3. Schnitt 2020'!AK13=0,"",'Struppen 3. Schnitt 2020'!AK13)</f>
        <v>8.103839131270421</v>
      </c>
      <c r="H147" s="257">
        <f>IF('Struppen 3. Schnitt 2020'!AL13=0,"",'Struppen 3. Schnitt 2020'!AL13)</f>
        <v>6.1191037983395695</v>
      </c>
      <c r="I147" s="257" t="str">
        <f>IF('Struppen 3. Schnitt 2020'!R13=0,"",'Struppen 3. Schnitt 2020'!R13)</f>
        <v/>
      </c>
      <c r="J147" s="257">
        <f>IF('Struppen 3. Schnitt 2020'!AD13=0,"",'Struppen 3. Schnitt 2020'!AD13)</f>
        <v>8.103839131270421</v>
      </c>
      <c r="K147" s="257"/>
      <c r="L147" s="220">
        <f>'Struppen 3. Schnitt 2020'!K13</f>
        <v>16.061883753379767</v>
      </c>
    </row>
    <row r="148" spans="1:12" x14ac:dyDescent="0.3">
      <c r="A148" s="210" t="s">
        <v>111</v>
      </c>
      <c r="B148" s="216" t="s">
        <v>2</v>
      </c>
      <c r="C148" s="212" t="s">
        <v>114</v>
      </c>
      <c r="D148" s="213">
        <v>3</v>
      </c>
      <c r="E148" s="214">
        <v>44082</v>
      </c>
      <c r="F148" s="257">
        <f>'Struppen 3. Schnitt 2020'!AJ14</f>
        <v>0</v>
      </c>
      <c r="G148" s="257">
        <f>IF('Struppen 3. Schnitt 2020'!AK14=0,"",'Struppen 3. Schnitt 2020'!AK14)</f>
        <v>9.4519272583789817</v>
      </c>
      <c r="H148" s="257">
        <f>IF('Struppen 3. Schnitt 2020'!AL14=0,"",'Struppen 3. Schnitt 2020'!AL14)</f>
        <v>1.7801883750530336</v>
      </c>
      <c r="I148" s="257" t="str">
        <f>IF('Struppen 3. Schnitt 2020'!R14=0,"",'Struppen 3. Schnitt 2020'!R14)</f>
        <v/>
      </c>
      <c r="J148" s="257">
        <f>IF('Struppen 3. Schnitt 2020'!AD14=0,"",'Struppen 3. Schnitt 2020'!AD14)</f>
        <v>9.4519272583789817</v>
      </c>
      <c r="K148" s="257"/>
      <c r="L148" s="220">
        <f>'Struppen 3. Schnitt 2020'!K14</f>
        <v>8.9671083289862636</v>
      </c>
    </row>
    <row r="149" spans="1:12" x14ac:dyDescent="0.3">
      <c r="A149" s="210" t="s">
        <v>111</v>
      </c>
      <c r="B149" s="211" t="s">
        <v>2</v>
      </c>
      <c r="C149" s="212" t="s">
        <v>115</v>
      </c>
      <c r="D149" s="213">
        <v>4</v>
      </c>
      <c r="E149" s="214">
        <v>44082</v>
      </c>
      <c r="F149" s="257">
        <f>'Struppen 3. Schnitt 2020'!AJ15</f>
        <v>0</v>
      </c>
      <c r="G149" s="257">
        <f>IF('Struppen 3. Schnitt 2020'!AK15=0,"",'Struppen 3. Schnitt 2020'!AK15)</f>
        <v>9.5599241592655417</v>
      </c>
      <c r="H149" s="257">
        <f>IF('Struppen 3. Schnitt 2020'!AL15=0,"",'Struppen 3. Schnitt 2020'!AL15)</f>
        <v>6.2044990961677504</v>
      </c>
      <c r="I149" s="257" t="str">
        <f>IF('Struppen 3. Schnitt 2020'!R15=0,"",'Struppen 3. Schnitt 2020'!R15)</f>
        <v/>
      </c>
      <c r="J149" s="257">
        <f>IF('Struppen 3. Schnitt 2020'!AD15=0,"",'Struppen 3. Schnitt 2020'!AD15)</f>
        <v>9.5599241592655417</v>
      </c>
      <c r="K149" s="257"/>
      <c r="L149" s="220">
        <f>'Struppen 3. Schnitt 2020'!K15</f>
        <v>12.938686002865213</v>
      </c>
    </row>
    <row r="150" spans="1:12" x14ac:dyDescent="0.3">
      <c r="A150" s="210" t="s">
        <v>111</v>
      </c>
      <c r="B150" s="211" t="s">
        <v>2</v>
      </c>
      <c r="C150" s="212" t="s">
        <v>116</v>
      </c>
      <c r="D150" s="213">
        <v>5</v>
      </c>
      <c r="E150" s="214">
        <v>44082</v>
      </c>
      <c r="F150" s="257">
        <f>'Struppen 3. Schnitt 2020'!AJ16</f>
        <v>0</v>
      </c>
      <c r="G150" s="257">
        <f>IF('Struppen 3. Schnitt 2020'!AK16=0,"",'Struppen 3. Schnitt 2020'!AK16)</f>
        <v>8.7086033407124166</v>
      </c>
      <c r="H150" s="257" t="str">
        <f>IF('Struppen 3. Schnitt 2020'!AL16=0,"",'Struppen 3. Schnitt 2020'!AL16)</f>
        <v/>
      </c>
      <c r="I150" s="257" t="str">
        <f>IF('Struppen 3. Schnitt 2020'!R16=0,"",'Struppen 3. Schnitt 2020'!R16)</f>
        <v/>
      </c>
      <c r="J150" s="257">
        <f>IF('Struppen 3. Schnitt 2020'!AD16=0,"",'Struppen 3. Schnitt 2020'!AD16)</f>
        <v>8.7086033407124166</v>
      </c>
      <c r="K150" s="257"/>
      <c r="L150" s="220">
        <f>'Struppen 3. Schnitt 2020'!K16</f>
        <v>8.7882122219228123</v>
      </c>
    </row>
    <row r="151" spans="1:12" x14ac:dyDescent="0.3">
      <c r="A151" s="210" t="s">
        <v>111</v>
      </c>
      <c r="B151" s="211" t="s">
        <v>2</v>
      </c>
      <c r="C151" s="212" t="s">
        <v>117</v>
      </c>
      <c r="D151" s="213">
        <v>6</v>
      </c>
      <c r="E151" s="214">
        <v>44082</v>
      </c>
      <c r="F151" s="257">
        <f>'Struppen 3. Schnitt 2020'!AJ17</f>
        <v>0</v>
      </c>
      <c r="G151" s="257">
        <f>IF('Struppen 3. Schnitt 2020'!AK17=0,"",'Struppen 3. Schnitt 2020'!AK17)</f>
        <v>13.067120327914406</v>
      </c>
      <c r="H151" s="257">
        <f>IF('Struppen 3. Schnitt 2020'!AL17=0,"",'Struppen 3. Schnitt 2020'!AL17)</f>
        <v>1.6655095541401272</v>
      </c>
      <c r="I151" s="257">
        <f>IF('Struppen 3. Schnitt 2020'!R17=0,"",'Struppen 3. Schnitt 2020'!R17)</f>
        <v>13.067120327914406</v>
      </c>
      <c r="J151" s="257" t="str">
        <f>IF('Struppen 3. Schnitt 2020'!AD17=0,"",'Struppen 3. Schnitt 2020'!AD17)</f>
        <v/>
      </c>
      <c r="K151" s="257"/>
      <c r="L151" s="220">
        <f>'Struppen 3. Schnitt 2020'!K17</f>
        <v>20.965921330403685</v>
      </c>
    </row>
    <row r="152" spans="1:12" x14ac:dyDescent="0.3">
      <c r="A152" s="210" t="s">
        <v>111</v>
      </c>
      <c r="B152" s="211" t="s">
        <v>2</v>
      </c>
      <c r="C152" s="212" t="s">
        <v>118</v>
      </c>
      <c r="D152" s="213">
        <v>7</v>
      </c>
      <c r="E152" s="214">
        <v>44082</v>
      </c>
      <c r="F152" s="257">
        <f>'Struppen 3. Schnitt 2020'!AJ18</f>
        <v>0</v>
      </c>
      <c r="G152" s="257">
        <f>IF('Struppen 3. Schnitt 2020'!AK18=0,"",'Struppen 3. Schnitt 2020'!AK18)</f>
        <v>11.087319612787764</v>
      </c>
      <c r="H152" s="257">
        <f>IF('Struppen 3. Schnitt 2020'!AL18=0,"",'Struppen 3. Schnitt 2020'!AL18)</f>
        <v>1.8831420947298199</v>
      </c>
      <c r="I152" s="257">
        <f>IF('Struppen 3. Schnitt 2020'!R18=0,"",'Struppen 3. Schnitt 2020'!R18)</f>
        <v>11.087319612787764</v>
      </c>
      <c r="J152" s="257" t="str">
        <f>IF('Struppen 3. Schnitt 2020'!AD18=0,"",'Struppen 3. Schnitt 2020'!AD18)</f>
        <v/>
      </c>
      <c r="K152" s="257"/>
      <c r="L152" s="220">
        <f>'Struppen 3. Schnitt 2020'!K18</f>
        <v>12.0004016150663</v>
      </c>
    </row>
    <row r="153" spans="1:12" x14ac:dyDescent="0.3">
      <c r="A153" s="210" t="s">
        <v>111</v>
      </c>
      <c r="B153" s="211" t="s">
        <v>2</v>
      </c>
      <c r="C153" s="212" t="s">
        <v>119</v>
      </c>
      <c r="D153" s="213">
        <v>8</v>
      </c>
      <c r="E153" s="214">
        <v>44082</v>
      </c>
      <c r="F153" s="257">
        <f>'Struppen 3. Schnitt 2020'!AJ19</f>
        <v>0</v>
      </c>
      <c r="G153" s="257">
        <f>IF('Struppen 3. Schnitt 2020'!AK19=0,"",'Struppen 3. Schnitt 2020'!AK19)</f>
        <v>9.9049046001045493</v>
      </c>
      <c r="H153" s="257">
        <f>IF('Struppen 3. Schnitt 2020'!AL19=0,"",'Struppen 3. Schnitt 2020'!AL19)</f>
        <v>1.5238321204941616</v>
      </c>
      <c r="I153" s="257">
        <f>IF('Struppen 3. Schnitt 2020'!R19=0,"",'Struppen 3. Schnitt 2020'!R19)</f>
        <v>9.9049046001045493</v>
      </c>
      <c r="J153" s="257" t="str">
        <f>IF('Struppen 3. Schnitt 2020'!AD19=0,"",'Struppen 3. Schnitt 2020'!AD19)</f>
        <v/>
      </c>
      <c r="K153" s="257"/>
      <c r="L153" s="220">
        <f>'Struppen 3. Schnitt 2020'!K19</f>
        <v>13.773907577396306</v>
      </c>
    </row>
    <row r="154" spans="1:12" x14ac:dyDescent="0.3">
      <c r="A154" s="210" t="s">
        <v>111</v>
      </c>
      <c r="B154" s="217" t="s">
        <v>2</v>
      </c>
      <c r="C154" s="212" t="s">
        <v>120</v>
      </c>
      <c r="D154" s="218">
        <v>9</v>
      </c>
      <c r="E154" s="214">
        <v>44082</v>
      </c>
      <c r="F154" s="257">
        <f>'Struppen 3. Schnitt 2020'!AJ20</f>
        <v>0</v>
      </c>
      <c r="G154" s="257">
        <f>IF('Struppen 3. Schnitt 2020'!AK20=0,"",'Struppen 3. Schnitt 2020'!AK20)</f>
        <v>10.702480660850769</v>
      </c>
      <c r="H154" s="257" t="str">
        <f>IF('Struppen 3. Schnitt 2020'!AL20=0,"",'Struppen 3. Schnitt 2020'!AL20)</f>
        <v/>
      </c>
      <c r="I154" s="257">
        <f>IF('Struppen 3. Schnitt 2020'!R20=0,"",'Struppen 3. Schnitt 2020'!R20)</f>
        <v>10.702480660850769</v>
      </c>
      <c r="J154" s="257" t="str">
        <f>IF('Struppen 3. Schnitt 2020'!AD20=0,"",'Struppen 3. Schnitt 2020'!AD20)</f>
        <v/>
      </c>
      <c r="K154" s="257"/>
      <c r="L154" s="220">
        <f>'Struppen 3. Schnitt 2020'!K20</f>
        <v>13.95420867241589</v>
      </c>
    </row>
    <row r="155" spans="1:12" x14ac:dyDescent="0.3">
      <c r="A155" s="210" t="s">
        <v>111</v>
      </c>
      <c r="B155" s="211" t="s">
        <v>9</v>
      </c>
      <c r="C155" s="212" t="s">
        <v>112</v>
      </c>
      <c r="D155" s="213">
        <v>1</v>
      </c>
      <c r="E155" s="214">
        <v>44082</v>
      </c>
      <c r="F155" s="257">
        <f>'Struppen 3. Schnitt 2020'!AJ21</f>
        <v>0</v>
      </c>
      <c r="G155" s="257" t="str">
        <f>IF('Struppen 3. Schnitt 2020'!AK21=0,"",'Struppen 3. Schnitt 2020'!AK21)</f>
        <v/>
      </c>
      <c r="H155" s="257">
        <f>IF('Struppen 3. Schnitt 2020'!AL21=0,"",'Struppen 3. Schnitt 2020'!AL21)</f>
        <v>14.57814324273429</v>
      </c>
      <c r="I155" s="257" t="str">
        <f>IF('Struppen 3. Schnitt 2020'!R21=0,"",'Struppen 3. Schnitt 2020'!R21)</f>
        <v/>
      </c>
      <c r="J155" s="257" t="str">
        <f>IF('Struppen 3. Schnitt 2020'!AD21=0,"",'Struppen 3. Schnitt 2020'!AD21)</f>
        <v/>
      </c>
      <c r="K155" s="257"/>
      <c r="L155" s="220">
        <f>'Struppen 3. Schnitt 2020'!K21</f>
        <v>13.226794633829808</v>
      </c>
    </row>
    <row r="156" spans="1:12" x14ac:dyDescent="0.3">
      <c r="A156" s="210" t="s">
        <v>111</v>
      </c>
      <c r="B156" s="211" t="s">
        <v>9</v>
      </c>
      <c r="C156" s="212" t="s">
        <v>113</v>
      </c>
      <c r="D156" s="213">
        <v>2</v>
      </c>
      <c r="E156" s="214">
        <v>44082</v>
      </c>
      <c r="F156" s="257">
        <f>'Struppen 3. Schnitt 2020'!AJ22</f>
        <v>0</v>
      </c>
      <c r="G156" s="257">
        <f>IF('Struppen 3. Schnitt 2020'!AK22=0,"",'Struppen 3. Schnitt 2020'!AK22)</f>
        <v>8.5058271402176153</v>
      </c>
      <c r="H156" s="257">
        <f>IF('Struppen 3. Schnitt 2020'!AL22=0,"",'Struppen 3. Schnitt 2020'!AL22)</f>
        <v>7.9285021514629967</v>
      </c>
      <c r="I156" s="257" t="str">
        <f>IF('Struppen 3. Schnitt 2020'!R22=0,"",'Struppen 3. Schnitt 2020'!R22)</f>
        <v/>
      </c>
      <c r="J156" s="257">
        <f>IF('Struppen 3. Schnitt 2020'!AD22=0,"",'Struppen 3. Schnitt 2020'!AD22)</f>
        <v>8.5058271402176153</v>
      </c>
      <c r="K156" s="257"/>
      <c r="L156" s="220">
        <f>'Struppen 3. Schnitt 2020'!K22</f>
        <v>17.317162807791252</v>
      </c>
    </row>
    <row r="157" spans="1:12" x14ac:dyDescent="0.3">
      <c r="A157" s="210" t="s">
        <v>111</v>
      </c>
      <c r="B157" s="211" t="s">
        <v>9</v>
      </c>
      <c r="C157" s="212" t="s">
        <v>114</v>
      </c>
      <c r="D157" s="213">
        <v>3</v>
      </c>
      <c r="E157" s="214">
        <v>44082</v>
      </c>
      <c r="F157" s="257">
        <f>'Struppen 3. Schnitt 2020'!AJ23</f>
        <v>0</v>
      </c>
      <c r="G157" s="257">
        <f>IF('Struppen 3. Schnitt 2020'!AK23=0,"",'Struppen 3. Schnitt 2020'!AK23)</f>
        <v>4.2108686379059632</v>
      </c>
      <c r="H157" s="257">
        <f>IF('Struppen 3. Schnitt 2020'!AL23=0,"",'Struppen 3. Schnitt 2020'!AL23)</f>
        <v>7.7801817186644779</v>
      </c>
      <c r="I157" s="257" t="str">
        <f>IF('Struppen 3. Schnitt 2020'!R23=0,"",'Struppen 3. Schnitt 2020'!R23)</f>
        <v/>
      </c>
      <c r="J157" s="257">
        <f>IF('Struppen 3. Schnitt 2020'!AD23=0,"",'Struppen 3. Schnitt 2020'!AD23)</f>
        <v>4.2108686379059632</v>
      </c>
      <c r="K157" s="257"/>
      <c r="L157" s="220">
        <f>'Struppen 3. Schnitt 2020'!K23</f>
        <v>12.980174444185623</v>
      </c>
    </row>
    <row r="158" spans="1:12" x14ac:dyDescent="0.3">
      <c r="A158" s="210" t="s">
        <v>111</v>
      </c>
      <c r="B158" s="211" t="s">
        <v>9</v>
      </c>
      <c r="C158" s="212" t="s">
        <v>115</v>
      </c>
      <c r="D158" s="213">
        <v>4</v>
      </c>
      <c r="E158" s="214">
        <v>44082</v>
      </c>
      <c r="F158" s="257">
        <f>'Struppen 3. Schnitt 2020'!AJ24</f>
        <v>0</v>
      </c>
      <c r="G158" s="257">
        <f>IF('Struppen 3. Schnitt 2020'!AK24=0,"",'Struppen 3. Schnitt 2020'!AK24)</f>
        <v>8.0484047154840184</v>
      </c>
      <c r="H158" s="257">
        <f>IF('Struppen 3. Schnitt 2020'!AL24=0,"",'Struppen 3. Schnitt 2020'!AL24)</f>
        <v>2.6999750346740639</v>
      </c>
      <c r="I158" s="257" t="str">
        <f>IF('Struppen 3. Schnitt 2020'!R24=0,"",'Struppen 3. Schnitt 2020'!R24)</f>
        <v/>
      </c>
      <c r="J158" s="257">
        <f>IF('Struppen 3. Schnitt 2020'!AD24=0,"",'Struppen 3. Schnitt 2020'!AD24)</f>
        <v>8.0484047154840184</v>
      </c>
      <c r="K158" s="257"/>
      <c r="L158" s="220">
        <f>'Struppen 3. Schnitt 2020'!K24</f>
        <v>17.27191322490858</v>
      </c>
    </row>
    <row r="159" spans="1:12" x14ac:dyDescent="0.3">
      <c r="A159" s="210" t="s">
        <v>111</v>
      </c>
      <c r="B159" s="216" t="s">
        <v>9</v>
      </c>
      <c r="C159" s="212" t="s">
        <v>116</v>
      </c>
      <c r="D159" s="213">
        <v>5</v>
      </c>
      <c r="E159" s="214">
        <v>44082</v>
      </c>
      <c r="F159" s="257">
        <f>'Struppen 3. Schnitt 2020'!AJ25</f>
        <v>0</v>
      </c>
      <c r="G159" s="257">
        <f>IF('Struppen 3. Schnitt 2020'!AK25=0,"",'Struppen 3. Schnitt 2020'!AK25)</f>
        <v>8.4844890183969035</v>
      </c>
      <c r="H159" s="257" t="str">
        <f>IF('Struppen 3. Schnitt 2020'!AL25=0,"",'Struppen 3. Schnitt 2020'!AL25)</f>
        <v/>
      </c>
      <c r="I159" s="257" t="str">
        <f>IF('Struppen 3. Schnitt 2020'!R25=0,"",'Struppen 3. Schnitt 2020'!R25)</f>
        <v/>
      </c>
      <c r="J159" s="257">
        <f>IF('Struppen 3. Schnitt 2020'!AD25=0,"",'Struppen 3. Schnitt 2020'!AD25)</f>
        <v>8.4844890183969035</v>
      </c>
      <c r="K159" s="257"/>
      <c r="L159" s="220">
        <f>'Struppen 3. Schnitt 2020'!K25</f>
        <v>18.391255052745734</v>
      </c>
    </row>
    <row r="160" spans="1:12" x14ac:dyDescent="0.3">
      <c r="A160" s="210" t="s">
        <v>111</v>
      </c>
      <c r="B160" s="211" t="s">
        <v>9</v>
      </c>
      <c r="C160" s="212" t="s">
        <v>117</v>
      </c>
      <c r="D160" s="213">
        <v>6</v>
      </c>
      <c r="E160" s="214">
        <v>44082</v>
      </c>
      <c r="F160" s="257">
        <f>'Struppen 3. Schnitt 2020'!AJ26</f>
        <v>0</v>
      </c>
      <c r="G160" s="257">
        <f>IF('Struppen 3. Schnitt 2020'!AK26=0,"",'Struppen 3. Schnitt 2020'!AK26)</f>
        <v>6.3886476661750011</v>
      </c>
      <c r="H160" s="257">
        <f>IF('Struppen 3. Schnitt 2020'!AL26=0,"",'Struppen 3. Schnitt 2020'!AL26)</f>
        <v>6.8457694040194044</v>
      </c>
      <c r="I160" s="257">
        <f>IF('Struppen 3. Schnitt 2020'!R26=0,"",'Struppen 3. Schnitt 2020'!R26)</f>
        <v>6.3886476661750011</v>
      </c>
      <c r="J160" s="257" t="str">
        <f>IF('Struppen 3. Schnitt 2020'!AD26=0,"",'Struppen 3. Schnitt 2020'!AD26)</f>
        <v/>
      </c>
      <c r="K160" s="257"/>
      <c r="L160" s="220">
        <f>'Struppen 3. Schnitt 2020'!K26</f>
        <v>11.098281270780037</v>
      </c>
    </row>
    <row r="161" spans="1:12" x14ac:dyDescent="0.3">
      <c r="A161" s="210" t="s">
        <v>111</v>
      </c>
      <c r="B161" s="211" t="s">
        <v>9</v>
      </c>
      <c r="C161" s="212" t="s">
        <v>118</v>
      </c>
      <c r="D161" s="213">
        <v>7</v>
      </c>
      <c r="E161" s="214">
        <v>44082</v>
      </c>
      <c r="F161" s="257">
        <f>'Struppen 3. Schnitt 2020'!AJ27</f>
        <v>0</v>
      </c>
      <c r="G161" s="257">
        <f>IF('Struppen 3. Schnitt 2020'!AK27=0,"",'Struppen 3. Schnitt 2020'!AK27)</f>
        <v>11.318417140181081</v>
      </c>
      <c r="H161" s="257">
        <f>IF('Struppen 3. Schnitt 2020'!AL27=0,"",'Struppen 3. Schnitt 2020'!AL27)</f>
        <v>7.5558160037515449</v>
      </c>
      <c r="I161" s="257">
        <f>IF('Struppen 3. Schnitt 2020'!R27=0,"",'Struppen 3. Schnitt 2020'!R27)</f>
        <v>11.318417140181081</v>
      </c>
      <c r="J161" s="257" t="str">
        <f>IF('Struppen 3. Schnitt 2020'!AD27=0,"",'Struppen 3. Schnitt 2020'!AD27)</f>
        <v/>
      </c>
      <c r="K161" s="257"/>
      <c r="L161" s="220">
        <f>'Struppen 3. Schnitt 2020'!K27</f>
        <v>16.225883056551361</v>
      </c>
    </row>
    <row r="162" spans="1:12" x14ac:dyDescent="0.3">
      <c r="A162" s="210" t="s">
        <v>111</v>
      </c>
      <c r="B162" s="211" t="s">
        <v>9</v>
      </c>
      <c r="C162" s="212" t="s">
        <v>119</v>
      </c>
      <c r="D162" s="213">
        <v>8</v>
      </c>
      <c r="E162" s="214">
        <v>44082</v>
      </c>
      <c r="F162" s="257">
        <f>'Struppen 3. Schnitt 2020'!AJ28</f>
        <v>0</v>
      </c>
      <c r="G162" s="257">
        <f>IF('Struppen 3. Schnitt 2020'!AK28=0,"",'Struppen 3. Schnitt 2020'!AK28)</f>
        <v>8.0356792569659454</v>
      </c>
      <c r="H162" s="257">
        <f>IF('Struppen 3. Schnitt 2020'!AL28=0,"",'Struppen 3. Schnitt 2020'!AL28)</f>
        <v>1.9798769522006625</v>
      </c>
      <c r="I162" s="257">
        <f>IF('Struppen 3. Schnitt 2020'!R28=0,"",'Struppen 3. Schnitt 2020'!R28)</f>
        <v>8.0356792569659454</v>
      </c>
      <c r="J162" s="257" t="str">
        <f>IF('Struppen 3. Schnitt 2020'!AD28=0,"",'Struppen 3. Schnitt 2020'!AD28)</f>
        <v/>
      </c>
      <c r="K162" s="257"/>
      <c r="L162" s="220">
        <f>'Struppen 3. Schnitt 2020'!K28</f>
        <v>12.567610971927794</v>
      </c>
    </row>
    <row r="163" spans="1:12" x14ac:dyDescent="0.3">
      <c r="A163" s="210" t="s">
        <v>111</v>
      </c>
      <c r="B163" s="217" t="s">
        <v>9</v>
      </c>
      <c r="C163" s="212" t="s">
        <v>120</v>
      </c>
      <c r="D163" s="218">
        <v>9</v>
      </c>
      <c r="E163" s="214">
        <v>44082</v>
      </c>
      <c r="F163" s="257">
        <f>'Struppen 3. Schnitt 2020'!AJ29</f>
        <v>0</v>
      </c>
      <c r="G163" s="257" t="str">
        <f>IF('Struppen 3. Schnitt 2020'!AK29=0,"",'Struppen 3. Schnitt 2020'!AK29)</f>
        <v/>
      </c>
      <c r="H163" s="257" t="str">
        <f>IF('Struppen 3. Schnitt 2020'!AL29=0,"",'Struppen 3. Schnitt 2020'!AL29)</f>
        <v/>
      </c>
      <c r="I163" s="257">
        <f>IF('Struppen 3. Schnitt 2020'!R29=0,"",'Struppen 3. Schnitt 2020'!R29)</f>
        <v>9.4555947183231819</v>
      </c>
      <c r="J163" s="257" t="str">
        <f>IF('Struppen 3. Schnitt 2020'!AD29=0,"",'Struppen 3. Schnitt 2020'!AD29)</f>
        <v/>
      </c>
      <c r="K163" s="257"/>
      <c r="L163" s="220">
        <f>'Struppen 3. Schnitt 2020'!K29</f>
        <v>10.695071559532606</v>
      </c>
    </row>
    <row r="164" spans="1:12" x14ac:dyDescent="0.3">
      <c r="A164" s="210" t="s">
        <v>111</v>
      </c>
      <c r="B164" s="211" t="s">
        <v>10</v>
      </c>
      <c r="C164" s="212" t="s">
        <v>112</v>
      </c>
      <c r="D164" s="213">
        <v>1</v>
      </c>
      <c r="E164" s="214">
        <v>44082</v>
      </c>
      <c r="F164" s="257">
        <f>'Struppen 3. Schnitt 2020'!AJ30</f>
        <v>0</v>
      </c>
      <c r="G164" s="257" t="str">
        <f>IF('Struppen 3. Schnitt 2020'!AK30=0,"",'Struppen 3. Schnitt 2020'!AK30)</f>
        <v/>
      </c>
      <c r="H164" s="257" t="str">
        <f>IF('Struppen 3. Schnitt 2020'!AL30=0,"",'Struppen 3. Schnitt 2020'!AL30)</f>
        <v/>
      </c>
      <c r="I164" s="257">
        <f>IF('Struppen 3. Schnitt 2020'!R30=0,"",'Struppen 3. Schnitt 2020'!R30)</f>
        <v>12.868972409564684</v>
      </c>
      <c r="J164" s="257" t="str">
        <f>IF('Struppen 3. Schnitt 2020'!AD30=0,"",'Struppen 3. Schnitt 2020'!AD30)</f>
        <v/>
      </c>
      <c r="K164" s="257"/>
      <c r="L164" s="220">
        <f>'Struppen 3. Schnitt 2020'!K30</f>
        <v>12.886135840129489</v>
      </c>
    </row>
    <row r="165" spans="1:12" x14ac:dyDescent="0.3">
      <c r="A165" s="210" t="s">
        <v>111</v>
      </c>
      <c r="B165" s="211" t="s">
        <v>10</v>
      </c>
      <c r="C165" s="212" t="s">
        <v>113</v>
      </c>
      <c r="D165" s="213">
        <v>2</v>
      </c>
      <c r="E165" s="214">
        <v>44082</v>
      </c>
      <c r="F165" s="257">
        <f>'Struppen 3. Schnitt 2020'!AJ31</f>
        <v>0</v>
      </c>
      <c r="G165" s="257">
        <f>IF('Struppen 3. Schnitt 2020'!AK31=0,"",'Struppen 3. Schnitt 2020'!AK31)</f>
        <v>9.2952628076611372</v>
      </c>
      <c r="H165" s="257">
        <f>IF('Struppen 3. Schnitt 2020'!AL31=0,"",'Struppen 3. Schnitt 2020'!AL31)</f>
        <v>6.8314968787931329</v>
      </c>
      <c r="I165" s="257" t="str">
        <f>IF('Struppen 3. Schnitt 2020'!R31=0,"",'Struppen 3. Schnitt 2020'!R31)</f>
        <v/>
      </c>
      <c r="J165" s="257">
        <f>IF('Struppen 3. Schnitt 2020'!AD31=0,"",'Struppen 3. Schnitt 2020'!AD31)</f>
        <v>9.2952628076611372</v>
      </c>
      <c r="K165" s="257"/>
      <c r="L165" s="220">
        <f>'Struppen 3. Schnitt 2020'!K31</f>
        <v>15.122601494647542</v>
      </c>
    </row>
    <row r="166" spans="1:12" x14ac:dyDescent="0.3">
      <c r="A166" s="210" t="s">
        <v>111</v>
      </c>
      <c r="B166" s="211" t="s">
        <v>10</v>
      </c>
      <c r="C166" s="212" t="s">
        <v>114</v>
      </c>
      <c r="D166" s="213">
        <v>3</v>
      </c>
      <c r="E166" s="214">
        <v>44082</v>
      </c>
      <c r="F166" s="257">
        <f>'Struppen 3. Schnitt 2020'!AJ32</f>
        <v>0</v>
      </c>
      <c r="G166" s="257">
        <f>IF('Struppen 3. Schnitt 2020'!AK32=0,"",'Struppen 3. Schnitt 2020'!AK32)</f>
        <v>12.048965816791904</v>
      </c>
      <c r="H166" s="257">
        <f>IF('Struppen 3. Schnitt 2020'!AL32=0,"",'Struppen 3. Schnitt 2020'!AL32)</f>
        <v>5.356555996035679</v>
      </c>
      <c r="I166" s="257" t="str">
        <f>IF('Struppen 3. Schnitt 2020'!R32=0,"",'Struppen 3. Schnitt 2020'!R32)</f>
        <v/>
      </c>
      <c r="J166" s="257">
        <f>IF('Struppen 3. Schnitt 2020'!AD32=0,"",'Struppen 3. Schnitt 2020'!AD32)</f>
        <v>12.048965816791904</v>
      </c>
      <c r="K166" s="257"/>
      <c r="L166" s="220">
        <f>'Struppen 3. Schnitt 2020'!K32</f>
        <v>13.874324072347566</v>
      </c>
    </row>
    <row r="167" spans="1:12" x14ac:dyDescent="0.3">
      <c r="A167" s="210" t="s">
        <v>111</v>
      </c>
      <c r="B167" s="211" t="s">
        <v>10</v>
      </c>
      <c r="C167" s="212" t="s">
        <v>115</v>
      </c>
      <c r="D167" s="213">
        <v>4</v>
      </c>
      <c r="E167" s="214">
        <v>44082</v>
      </c>
      <c r="F167" s="257">
        <f>'Struppen 3. Schnitt 2020'!AJ33</f>
        <v>0</v>
      </c>
      <c r="G167" s="257">
        <f>IF('Struppen 3. Schnitt 2020'!AK33=0,"",'Struppen 3. Schnitt 2020'!AK33)</f>
        <v>7.1326583547396778</v>
      </c>
      <c r="H167" s="257">
        <f>IF('Struppen 3. Schnitt 2020'!AL33=0,"",'Struppen 3. Schnitt 2020'!AL33)</f>
        <v>1.8790717703349282</v>
      </c>
      <c r="I167" s="257" t="str">
        <f>IF('Struppen 3. Schnitt 2020'!R33=0,"",'Struppen 3. Schnitt 2020'!R33)</f>
        <v/>
      </c>
      <c r="J167" s="257">
        <f>IF('Struppen 3. Schnitt 2020'!AD33=0,"",'Struppen 3. Schnitt 2020'!AD33)</f>
        <v>7.1326583547396778</v>
      </c>
      <c r="K167" s="257"/>
      <c r="L167" s="220">
        <f>'Struppen 3. Schnitt 2020'!K33</f>
        <v>18.982362644334476</v>
      </c>
    </row>
    <row r="168" spans="1:12" x14ac:dyDescent="0.3">
      <c r="A168" s="210" t="s">
        <v>111</v>
      </c>
      <c r="B168" s="211" t="s">
        <v>10</v>
      </c>
      <c r="C168" s="212" t="s">
        <v>116</v>
      </c>
      <c r="D168" s="213">
        <v>5</v>
      </c>
      <c r="E168" s="214">
        <v>44082</v>
      </c>
      <c r="F168" s="257">
        <f>'Struppen 3. Schnitt 2020'!AJ34</f>
        <v>0</v>
      </c>
      <c r="G168" s="257">
        <f>IF('Struppen 3. Schnitt 2020'!AK34=0,"",'Struppen 3. Schnitt 2020'!AK34)</f>
        <v>6.6950670089858804</v>
      </c>
      <c r="H168" s="257" t="str">
        <f>IF('Struppen 3. Schnitt 2020'!AL34=0,"",'Struppen 3. Schnitt 2020'!AL34)</f>
        <v/>
      </c>
      <c r="I168" s="257" t="str">
        <f>IF('Struppen 3. Schnitt 2020'!R34=0,"",'Struppen 3. Schnitt 2020'!R34)</f>
        <v/>
      </c>
      <c r="J168" s="257">
        <f>IF('Struppen 3. Schnitt 2020'!AD34=0,"",'Struppen 3. Schnitt 2020'!AD34)</f>
        <v>6.6950670089858804</v>
      </c>
      <c r="K168" s="257"/>
      <c r="L168" s="220">
        <f>'Struppen 3. Schnitt 2020'!K34</f>
        <v>12.778014706832602</v>
      </c>
    </row>
    <row r="169" spans="1:12" x14ac:dyDescent="0.3">
      <c r="A169" s="210" t="s">
        <v>111</v>
      </c>
      <c r="B169" s="211" t="s">
        <v>10</v>
      </c>
      <c r="C169" s="212" t="s">
        <v>117</v>
      </c>
      <c r="D169" s="213">
        <v>6</v>
      </c>
      <c r="E169" s="214">
        <v>44082</v>
      </c>
      <c r="F169" s="257">
        <f>'Struppen 3. Schnitt 2020'!AJ35</f>
        <v>0</v>
      </c>
      <c r="G169" s="257">
        <f>IF('Struppen 3. Schnitt 2020'!AK35=0,"",'Struppen 3. Schnitt 2020'!AK35)</f>
        <v>10.584482030992417</v>
      </c>
      <c r="H169" s="257">
        <f>IF('Struppen 3. Schnitt 2020'!AL35=0,"",'Struppen 3. Schnitt 2020'!AL35)</f>
        <v>6.5146136161903065</v>
      </c>
      <c r="I169" s="257">
        <f>IF('Struppen 3. Schnitt 2020'!R35=0,"",'Struppen 3. Schnitt 2020'!R35)</f>
        <v>10.584482030992417</v>
      </c>
      <c r="J169" s="257" t="str">
        <f>IF('Struppen 3. Schnitt 2020'!AD35=0,"",'Struppen 3. Schnitt 2020'!AD35)</f>
        <v/>
      </c>
      <c r="K169" s="257"/>
      <c r="L169" s="220">
        <f>'Struppen 3. Schnitt 2020'!K35</f>
        <v>13.91119356148706</v>
      </c>
    </row>
    <row r="170" spans="1:12" x14ac:dyDescent="0.3">
      <c r="A170" s="210" t="s">
        <v>111</v>
      </c>
      <c r="B170" s="216" t="s">
        <v>10</v>
      </c>
      <c r="C170" s="212" t="s">
        <v>118</v>
      </c>
      <c r="D170" s="213">
        <v>7</v>
      </c>
      <c r="E170" s="214">
        <v>44082</v>
      </c>
      <c r="F170" s="257">
        <f>'Struppen 3. Schnitt 2020'!AJ36</f>
        <v>0</v>
      </c>
      <c r="G170" s="257">
        <f>IF('Struppen 3. Schnitt 2020'!AK36=0,"",'Struppen 3. Schnitt 2020'!AK36)</f>
        <v>5.0102687654914728</v>
      </c>
      <c r="H170" s="257">
        <f>IF('Struppen 3. Schnitt 2020'!AL36=0,"",'Struppen 3. Schnitt 2020'!AL36)</f>
        <v>4.4489727929830263</v>
      </c>
      <c r="I170" s="257">
        <f>IF('Struppen 3. Schnitt 2020'!R36=0,"",'Struppen 3. Schnitt 2020'!R36)</f>
        <v>5.0102687654914728</v>
      </c>
      <c r="J170" s="257" t="str">
        <f>IF('Struppen 3. Schnitt 2020'!AD36=0,"",'Struppen 3. Schnitt 2020'!AD36)</f>
        <v/>
      </c>
      <c r="K170" s="257"/>
      <c r="L170" s="220">
        <f>'Struppen 3. Schnitt 2020'!K36</f>
        <v>18.492024691358022</v>
      </c>
    </row>
    <row r="171" spans="1:12" x14ac:dyDescent="0.3">
      <c r="A171" s="210" t="s">
        <v>111</v>
      </c>
      <c r="B171" s="211" t="s">
        <v>10</v>
      </c>
      <c r="C171" s="212" t="s">
        <v>119</v>
      </c>
      <c r="D171" s="213">
        <v>8</v>
      </c>
      <c r="E171" s="214">
        <v>44082</v>
      </c>
      <c r="F171" s="257">
        <f>'Struppen 3. Schnitt 2020'!AJ37</f>
        <v>0</v>
      </c>
      <c r="G171" s="257">
        <f>IF('Struppen 3. Schnitt 2020'!AK37=0,"",'Struppen 3. Schnitt 2020'!AK37)</f>
        <v>9.2808156309882293</v>
      </c>
      <c r="H171" s="257">
        <f>IF('Struppen 3. Schnitt 2020'!AL37=0,"",'Struppen 3. Schnitt 2020'!AL37)</f>
        <v>1.6659843239712604</v>
      </c>
      <c r="I171" s="257">
        <f>IF('Struppen 3. Schnitt 2020'!R37=0,"",'Struppen 3. Schnitt 2020'!R37)</f>
        <v>9.2808156309882293</v>
      </c>
      <c r="J171" s="257" t="str">
        <f>IF('Struppen 3. Schnitt 2020'!AD37=0,"",'Struppen 3. Schnitt 2020'!AD37)</f>
        <v/>
      </c>
      <c r="K171" s="257"/>
      <c r="L171" s="220">
        <f>'Struppen 3. Schnitt 2020'!K37</f>
        <v>15.050924501862676</v>
      </c>
    </row>
    <row r="172" spans="1:12" x14ac:dyDescent="0.3">
      <c r="A172" s="210" t="s">
        <v>111</v>
      </c>
      <c r="B172" s="217" t="s">
        <v>10</v>
      </c>
      <c r="C172" s="212" t="s">
        <v>120</v>
      </c>
      <c r="D172" s="218">
        <v>9</v>
      </c>
      <c r="E172" s="214">
        <v>44082</v>
      </c>
      <c r="F172" s="257">
        <f>'Struppen 3. Schnitt 2020'!AJ38</f>
        <v>0</v>
      </c>
      <c r="G172" s="257">
        <f>IF('Struppen 3. Schnitt 2020'!AK38=0,"",'Struppen 3. Schnitt 2020'!AK38)</f>
        <v>9.9459451662137521</v>
      </c>
      <c r="H172" s="257" t="str">
        <f>IF('Struppen 3. Schnitt 2020'!AL38=0,"",'Struppen 3. Schnitt 2020'!AL38)</f>
        <v/>
      </c>
      <c r="I172" s="257">
        <f>IF('Struppen 3. Schnitt 2020'!R38=0,"",'Struppen 3. Schnitt 2020'!R38)</f>
        <v>9.9459451662137521</v>
      </c>
      <c r="J172" s="257" t="str">
        <f>IF('Struppen 3. Schnitt 2020'!AD38=0,"",'Struppen 3. Schnitt 2020'!AD38)</f>
        <v/>
      </c>
      <c r="K172" s="257"/>
      <c r="L172" s="220">
        <f>'Struppen 3. Schnitt 2020'!K38</f>
        <v>11.308172780856866</v>
      </c>
    </row>
    <row r="173" spans="1:12" x14ac:dyDescent="0.3">
      <c r="A173" s="210" t="s">
        <v>111</v>
      </c>
      <c r="B173" s="211" t="s">
        <v>11</v>
      </c>
      <c r="C173" s="212" t="s">
        <v>112</v>
      </c>
      <c r="D173" s="213">
        <v>1</v>
      </c>
      <c r="E173" s="214">
        <v>44082</v>
      </c>
      <c r="F173" s="257">
        <f>'Struppen 3. Schnitt 2020'!AJ39</f>
        <v>0</v>
      </c>
      <c r="G173" s="257" t="str">
        <f>IF('Struppen 3. Schnitt 2020'!AK39=0,"",'Struppen 3. Schnitt 2020'!AK39)</f>
        <v/>
      </c>
      <c r="H173" s="257">
        <f>IF('Struppen 3. Schnitt 2020'!AL39=0,"",'Struppen 3. Schnitt 2020'!AL39)</f>
        <v>12.394909867061715</v>
      </c>
      <c r="I173" s="257" t="str">
        <f>IF('Struppen 3. Schnitt 2020'!R39=0,"",'Struppen 3. Schnitt 2020'!R39)</f>
        <v/>
      </c>
      <c r="J173" s="257" t="str">
        <f>IF('Struppen 3. Schnitt 2020'!AD39=0,"",'Struppen 3. Schnitt 2020'!AD39)</f>
        <v/>
      </c>
      <c r="K173" s="257"/>
      <c r="L173" s="220">
        <f>'Struppen 3. Schnitt 2020'!K39</f>
        <v>11.57088956083931</v>
      </c>
    </row>
    <row r="174" spans="1:12" x14ac:dyDescent="0.3">
      <c r="A174" s="210" t="s">
        <v>111</v>
      </c>
      <c r="B174" s="211" t="s">
        <v>11</v>
      </c>
      <c r="C174" s="212" t="s">
        <v>113</v>
      </c>
      <c r="D174" s="213">
        <v>2</v>
      </c>
      <c r="E174" s="214">
        <v>44082</v>
      </c>
      <c r="F174" s="257">
        <f>'Struppen 3. Schnitt 2020'!AJ40</f>
        <v>0</v>
      </c>
      <c r="G174" s="257">
        <f>IF('Struppen 3. Schnitt 2020'!AK40=0,"",'Struppen 3. Schnitt 2020'!AK40)</f>
        <v>3.9901442169774417</v>
      </c>
      <c r="H174" s="257">
        <f>IF('Struppen 3. Schnitt 2020'!AL40=0,"",'Struppen 3. Schnitt 2020'!AL40)</f>
        <v>1.77212744721689</v>
      </c>
      <c r="I174" s="257" t="str">
        <f>IF('Struppen 3. Schnitt 2020'!R40=0,"",'Struppen 3. Schnitt 2020'!R40)</f>
        <v/>
      </c>
      <c r="J174" s="257">
        <f>IF('Struppen 3. Schnitt 2020'!AD40=0,"",'Struppen 3. Schnitt 2020'!AD40)</f>
        <v>3.9901442169774417</v>
      </c>
      <c r="K174" s="257"/>
      <c r="L174" s="220">
        <f>'Struppen 3. Schnitt 2020'!K40</f>
        <v>12.620344362244111</v>
      </c>
    </row>
    <row r="175" spans="1:12" x14ac:dyDescent="0.3">
      <c r="A175" s="210" t="s">
        <v>111</v>
      </c>
      <c r="B175" s="211" t="s">
        <v>11</v>
      </c>
      <c r="C175" s="212" t="s">
        <v>114</v>
      </c>
      <c r="D175" s="213">
        <v>3</v>
      </c>
      <c r="E175" s="214">
        <v>44082</v>
      </c>
      <c r="F175" s="257">
        <f>'Struppen 3. Schnitt 2020'!AJ41</f>
        <v>0</v>
      </c>
      <c r="G175" s="257">
        <f>IF('Struppen 3. Schnitt 2020'!AK41=0,"",'Struppen 3. Schnitt 2020'!AK41)</f>
        <v>3.9260646651270208</v>
      </c>
      <c r="H175" s="257">
        <f>IF('Struppen 3. Schnitt 2020'!AL41=0,"",'Struppen 3. Schnitt 2020'!AL41)</f>
        <v>6.5100781350482313</v>
      </c>
      <c r="I175" s="257" t="str">
        <f>IF('Struppen 3. Schnitt 2020'!R41=0,"",'Struppen 3. Schnitt 2020'!R41)</f>
        <v/>
      </c>
      <c r="J175" s="257">
        <f>IF('Struppen 3. Schnitt 2020'!AD41=0,"",'Struppen 3. Schnitt 2020'!AD41)</f>
        <v>3.9260646651270208</v>
      </c>
      <c r="K175" s="257"/>
      <c r="L175" s="220">
        <f>'Struppen 3. Schnitt 2020'!K41</f>
        <v>13.95289534265982</v>
      </c>
    </row>
    <row r="176" spans="1:12" x14ac:dyDescent="0.3">
      <c r="A176" s="210" t="s">
        <v>111</v>
      </c>
      <c r="B176" s="211" t="s">
        <v>11</v>
      </c>
      <c r="C176" s="212" t="s">
        <v>115</v>
      </c>
      <c r="D176" s="213">
        <v>4</v>
      </c>
      <c r="E176" s="214">
        <v>44082</v>
      </c>
      <c r="F176" s="257">
        <f>'Struppen 3. Schnitt 2020'!AJ42</f>
        <v>0</v>
      </c>
      <c r="G176" s="257">
        <f>IF('Struppen 3. Schnitt 2020'!AK42=0,"",'Struppen 3. Schnitt 2020'!AK42)</f>
        <v>6.4198679319500442</v>
      </c>
      <c r="H176" s="257">
        <f>IF('Struppen 3. Schnitt 2020'!AL42=0,"",'Struppen 3. Schnitt 2020'!AL42)</f>
        <v>1.2344884318766067</v>
      </c>
      <c r="I176" s="257" t="str">
        <f>IF('Struppen 3. Schnitt 2020'!R42=0,"",'Struppen 3. Schnitt 2020'!R42)</f>
        <v/>
      </c>
      <c r="J176" s="257">
        <f>IF('Struppen 3. Schnitt 2020'!AD42=0,"",'Struppen 3. Schnitt 2020'!AD42)</f>
        <v>6.4198679319500442</v>
      </c>
      <c r="K176" s="257"/>
      <c r="L176" s="220">
        <f>'Struppen 3. Schnitt 2020'!K42</f>
        <v>12.288451248482726</v>
      </c>
    </row>
    <row r="177" spans="1:12" x14ac:dyDescent="0.3">
      <c r="A177" s="210" t="s">
        <v>111</v>
      </c>
      <c r="B177" s="211" t="s">
        <v>11</v>
      </c>
      <c r="C177" s="212" t="s">
        <v>116</v>
      </c>
      <c r="D177" s="213">
        <v>5</v>
      </c>
      <c r="E177" s="214">
        <v>44082</v>
      </c>
      <c r="F177" s="257">
        <f>'Struppen 3. Schnitt 2020'!AJ43</f>
        <v>0</v>
      </c>
      <c r="G177" s="257" t="str">
        <f>IF('Struppen 3. Schnitt 2020'!AK43=0,"",'Struppen 3. Schnitt 2020'!AK43)</f>
        <v/>
      </c>
      <c r="H177" s="257" t="str">
        <f>IF('Struppen 3. Schnitt 2020'!AL43=0,"",'Struppen 3. Schnitt 2020'!AL43)</f>
        <v/>
      </c>
      <c r="I177" s="257" t="str">
        <f>IF('Struppen 3. Schnitt 2020'!R43=0,"",'Struppen 3. Schnitt 2020'!R43)</f>
        <v/>
      </c>
      <c r="J177" s="257">
        <f>IF('Struppen 3. Schnitt 2020'!AD43=0,"",'Struppen 3. Schnitt 2020'!AD43)</f>
        <v>5.8675978161965414</v>
      </c>
      <c r="K177" s="257"/>
      <c r="L177" s="220">
        <f>'Struppen 3. Schnitt 2020'!K43</f>
        <v>6.4584457029845384</v>
      </c>
    </row>
    <row r="178" spans="1:12" x14ac:dyDescent="0.3">
      <c r="A178" s="210" t="s">
        <v>111</v>
      </c>
      <c r="B178" s="211" t="s">
        <v>11</v>
      </c>
      <c r="C178" s="212" t="s">
        <v>117</v>
      </c>
      <c r="D178" s="213">
        <v>6</v>
      </c>
      <c r="E178" s="214">
        <v>44082</v>
      </c>
      <c r="F178" s="257">
        <f>'Struppen 3. Schnitt 2020'!AJ44</f>
        <v>0</v>
      </c>
      <c r="G178" s="257">
        <f>IF('Struppen 3. Schnitt 2020'!AK44=0,"",'Struppen 3. Schnitt 2020'!AK44)</f>
        <v>11.02410700015982</v>
      </c>
      <c r="H178" s="257">
        <f>IF('Struppen 3. Schnitt 2020'!AL44=0,"",'Struppen 3. Schnitt 2020'!AL44)</f>
        <v>0.91114864864864875</v>
      </c>
      <c r="I178" s="257">
        <f>IF('Struppen 3. Schnitt 2020'!R44=0,"",'Struppen 3. Schnitt 2020'!R44)</f>
        <v>11.02410700015982</v>
      </c>
      <c r="J178" s="257" t="str">
        <f>IF('Struppen 3. Schnitt 2020'!AD44=0,"",'Struppen 3. Schnitt 2020'!AD44)</f>
        <v/>
      </c>
      <c r="K178" s="257"/>
      <c r="L178" s="220">
        <f>'Struppen 3. Schnitt 2020'!K44</f>
        <v>17.408115547933384</v>
      </c>
    </row>
    <row r="179" spans="1:12" x14ac:dyDescent="0.3">
      <c r="A179" s="210" t="s">
        <v>111</v>
      </c>
      <c r="B179" s="211" t="s">
        <v>11</v>
      </c>
      <c r="C179" s="212" t="s">
        <v>118</v>
      </c>
      <c r="D179" s="213">
        <v>7</v>
      </c>
      <c r="E179" s="214">
        <v>44082</v>
      </c>
      <c r="F179" s="257">
        <f>'Struppen 3. Schnitt 2020'!AJ45</f>
        <v>0</v>
      </c>
      <c r="G179" s="257">
        <f>IF('Struppen 3. Schnitt 2020'!AK45=0,"",'Struppen 3. Schnitt 2020'!AK45)</f>
        <v>12.080769786648316</v>
      </c>
      <c r="H179" s="257">
        <f>IF('Struppen 3. Schnitt 2020'!AL45=0,"",'Struppen 3. Schnitt 2020'!AL45)</f>
        <v>0.89336734693877551</v>
      </c>
      <c r="I179" s="257">
        <f>IF('Struppen 3. Schnitt 2020'!R45=0,"",'Struppen 3. Schnitt 2020'!R45)</f>
        <v>12.080769786648316</v>
      </c>
      <c r="J179" s="257" t="str">
        <f>IF('Struppen 3. Schnitt 2020'!AD45=0,"",'Struppen 3. Schnitt 2020'!AD45)</f>
        <v/>
      </c>
      <c r="K179" s="257"/>
      <c r="L179" s="220">
        <f>'Struppen 3. Schnitt 2020'!K45</f>
        <v>12.927325683405265</v>
      </c>
    </row>
    <row r="180" spans="1:12" x14ac:dyDescent="0.3">
      <c r="A180" s="210" t="s">
        <v>111</v>
      </c>
      <c r="B180" s="211" t="s">
        <v>11</v>
      </c>
      <c r="C180" s="212" t="s">
        <v>119</v>
      </c>
      <c r="D180" s="213">
        <v>8</v>
      </c>
      <c r="E180" s="214">
        <v>44082</v>
      </c>
      <c r="F180" s="257">
        <f>'Struppen 3. Schnitt 2020'!AJ46</f>
        <v>0</v>
      </c>
      <c r="G180" s="257">
        <f>IF('Struppen 3. Schnitt 2020'!AK46=0,"",'Struppen 3. Schnitt 2020'!AK46)</f>
        <v>9.1320452220590465</v>
      </c>
      <c r="H180" s="257">
        <f>IF('Struppen 3. Schnitt 2020'!AL46=0,"",'Struppen 3. Schnitt 2020'!AL46)</f>
        <v>5.5418587360594787</v>
      </c>
      <c r="I180" s="257">
        <f>IF('Struppen 3. Schnitt 2020'!R46=0,"",'Struppen 3. Schnitt 2020'!R46)</f>
        <v>9.1320452220590465</v>
      </c>
      <c r="J180" s="257" t="str">
        <f>IF('Struppen 3. Schnitt 2020'!AD46=0,"",'Struppen 3. Schnitt 2020'!AD46)</f>
        <v/>
      </c>
      <c r="K180" s="257"/>
      <c r="L180" s="220">
        <f>'Struppen 3. Schnitt 2020'!K46</f>
        <v>13.975104470153969</v>
      </c>
    </row>
    <row r="181" spans="1:12" x14ac:dyDescent="0.3">
      <c r="A181" s="210" t="s">
        <v>111</v>
      </c>
      <c r="B181" s="211" t="s">
        <v>11</v>
      </c>
      <c r="C181" s="212" t="s">
        <v>120</v>
      </c>
      <c r="D181" s="213">
        <v>9</v>
      </c>
      <c r="E181" s="214">
        <v>44082</v>
      </c>
      <c r="F181" s="257">
        <f>'Struppen 3. Schnitt 2020'!AJ47</f>
        <v>0</v>
      </c>
      <c r="G181" s="257">
        <f>IF('Struppen 3. Schnitt 2020'!AK47=0,"",'Struppen 3. Schnitt 2020'!AK47)</f>
        <v>9.0140513670256865</v>
      </c>
      <c r="H181" s="257" t="str">
        <f>IF('Struppen 3. Schnitt 2020'!AL47=0,"",'Struppen 3. Schnitt 2020'!AL47)</f>
        <v/>
      </c>
      <c r="I181" s="257">
        <f>IF('Struppen 3. Schnitt 2020'!R47=0,"",'Struppen 3. Schnitt 2020'!R47)</f>
        <v>9.0140513670256865</v>
      </c>
      <c r="J181" s="257" t="str">
        <f>IF('Struppen 3. Schnitt 2020'!AD47=0,"",'Struppen 3. Schnitt 2020'!AD47)</f>
        <v/>
      </c>
      <c r="K181" s="257"/>
      <c r="L181" s="220">
        <f>'Struppen 3. Schnitt 2020'!K47</f>
        <v>7.1319444444444438</v>
      </c>
    </row>
    <row r="182" spans="1:12" x14ac:dyDescent="0.3">
      <c r="A182" s="245" t="s">
        <v>9</v>
      </c>
      <c r="B182" s="246" t="s">
        <v>2</v>
      </c>
      <c r="C182" s="247" t="s">
        <v>112</v>
      </c>
      <c r="D182" s="248">
        <v>1</v>
      </c>
      <c r="E182" s="249">
        <v>44080</v>
      </c>
      <c r="F182" s="256">
        <f>'Bautzen 3. Schnitt 2020'!AJ12</f>
        <v>0</v>
      </c>
      <c r="G182" s="258" t="str">
        <f>IF('Bautzen 3. Schnitt 2020'!AK12=0,"",'Bautzen 3. Schnitt 2020'!AK12)</f>
        <v/>
      </c>
      <c r="H182" s="258">
        <f>IF('Bautzen 3. Schnitt 2020'!AL12=0,"",'Bautzen 3. Schnitt 2020'!AL12)</f>
        <v>10.173027944486121</v>
      </c>
      <c r="I182" s="256" t="str">
        <f>IF('Bautzen 3. Schnitt 2020'!R12=0,"",'Bautzen 3. Schnitt 2020'!R12)</f>
        <v/>
      </c>
      <c r="J182" s="256" t="str">
        <f>IF('Bautzen 3. Schnitt 2020'!AD12=0,"",'Bautzen 3. Schnitt 2020'!AD12)</f>
        <v/>
      </c>
      <c r="K182" s="256"/>
      <c r="L182" s="259">
        <f>'Bautzen 3. Schnitt 2020'!K12</f>
        <v>8.5042799979739669</v>
      </c>
    </row>
    <row r="183" spans="1:12" x14ac:dyDescent="0.3">
      <c r="A183" s="245" t="s">
        <v>9</v>
      </c>
      <c r="B183" s="246" t="s">
        <v>2</v>
      </c>
      <c r="C183" s="247" t="s">
        <v>113</v>
      </c>
      <c r="D183" s="248">
        <v>2</v>
      </c>
      <c r="E183" s="249">
        <v>44080</v>
      </c>
      <c r="F183" s="256">
        <f>'Bautzen 3. Schnitt 2020'!AJ13</f>
        <v>0</v>
      </c>
      <c r="G183" s="258">
        <f>IF('Bautzen 3. Schnitt 2020'!AK13=0,"",'Bautzen 3. Schnitt 2020'!AK13)</f>
        <v>8.1911237430926729</v>
      </c>
      <c r="H183" s="258">
        <f>IF('Bautzen 3. Schnitt 2020'!AL13=0,"",'Bautzen 3. Schnitt 2020'!AL13)</f>
        <v>7.6974618095139382</v>
      </c>
      <c r="I183" s="256" t="str">
        <f>IF('Bautzen 3. Schnitt 2020'!R13=0,"",'Bautzen 3. Schnitt 2020'!R13)</f>
        <v/>
      </c>
      <c r="J183" s="256">
        <f>IF('Bautzen 3. Schnitt 2020'!AD13=0,"",'Bautzen 3. Schnitt 2020'!AD13)</f>
        <v>8.1911237430926729</v>
      </c>
      <c r="K183" s="256"/>
      <c r="L183" s="259">
        <f>'Bautzen 3. Schnitt 2020'!K13</f>
        <v>15.596693308258889</v>
      </c>
    </row>
    <row r="184" spans="1:12" x14ac:dyDescent="0.3">
      <c r="A184" s="245" t="s">
        <v>9</v>
      </c>
      <c r="B184" s="253" t="s">
        <v>2</v>
      </c>
      <c r="C184" s="247" t="s">
        <v>114</v>
      </c>
      <c r="D184" s="248">
        <v>3</v>
      </c>
      <c r="E184" s="249">
        <v>44080</v>
      </c>
      <c r="F184" s="256">
        <f>'Bautzen 3. Schnitt 2020'!AJ14</f>
        <v>0</v>
      </c>
      <c r="G184" s="258">
        <f>IF('Bautzen 3. Schnitt 2020'!AK14=0,"",'Bautzen 3. Schnitt 2020'!AK14)</f>
        <v>6.9205721438324987</v>
      </c>
      <c r="H184" s="258">
        <f>IF('Bautzen 3. Schnitt 2020'!AL14=0,"",'Bautzen 3. Schnitt 2020'!AL14)</f>
        <v>5.2760362719192893</v>
      </c>
      <c r="I184" s="256" t="str">
        <f>IF('Bautzen 3. Schnitt 2020'!R14=0,"",'Bautzen 3. Schnitt 2020'!R14)</f>
        <v/>
      </c>
      <c r="J184" s="256">
        <f>IF('Bautzen 3. Schnitt 2020'!AD14=0,"",'Bautzen 3. Schnitt 2020'!AD14)</f>
        <v>6.9205721438324987</v>
      </c>
      <c r="K184" s="256"/>
      <c r="L184" s="259">
        <f>'Bautzen 3. Schnitt 2020'!K14</f>
        <v>14.567704529863462</v>
      </c>
    </row>
    <row r="185" spans="1:12" x14ac:dyDescent="0.3">
      <c r="A185" s="245" t="s">
        <v>9</v>
      </c>
      <c r="B185" s="246" t="s">
        <v>2</v>
      </c>
      <c r="C185" s="247" t="s">
        <v>115</v>
      </c>
      <c r="D185" s="248">
        <v>4</v>
      </c>
      <c r="E185" s="249">
        <v>44080</v>
      </c>
      <c r="F185" s="256">
        <f>'Bautzen 3. Schnitt 2020'!AJ15</f>
        <v>0</v>
      </c>
      <c r="G185" s="258">
        <f>IF('Bautzen 3. Schnitt 2020'!AK15=0,"",'Bautzen 3. Schnitt 2020'!AK15)</f>
        <v>4.9119479452054797</v>
      </c>
      <c r="H185" s="258">
        <f>IF('Bautzen 3. Schnitt 2020'!AL15=0,"",'Bautzen 3. Schnitt 2020'!AL15)</f>
        <v>5.3046212988712593</v>
      </c>
      <c r="I185" s="256" t="str">
        <f>IF('Bautzen 3. Schnitt 2020'!R15=0,"",'Bautzen 3. Schnitt 2020'!R15)</f>
        <v/>
      </c>
      <c r="J185" s="256">
        <f>IF('Bautzen 3. Schnitt 2020'!AD15=0,"",'Bautzen 3. Schnitt 2020'!AD15)</f>
        <v>4.9119479452054797</v>
      </c>
      <c r="K185" s="256"/>
      <c r="L185" s="259">
        <f>'Bautzen 3. Schnitt 2020'!K15</f>
        <v>10.356810110234768</v>
      </c>
    </row>
    <row r="186" spans="1:12" x14ac:dyDescent="0.3">
      <c r="A186" s="245" t="s">
        <v>9</v>
      </c>
      <c r="B186" s="246" t="s">
        <v>2</v>
      </c>
      <c r="C186" s="247" t="s">
        <v>116</v>
      </c>
      <c r="D186" s="248">
        <v>5</v>
      </c>
      <c r="E186" s="249">
        <v>44080</v>
      </c>
      <c r="F186" s="256">
        <f>'Bautzen 3. Schnitt 2020'!AJ16</f>
        <v>0</v>
      </c>
      <c r="G186" s="258">
        <f>IF('Bautzen 3. Schnitt 2020'!AK16=0,"",'Bautzen 3. Schnitt 2020'!AK16)</f>
        <v>10.62401324017979</v>
      </c>
      <c r="H186" s="258" t="str">
        <f>IF('Bautzen 3. Schnitt 2020'!AL16=0,"",'Bautzen 3. Schnitt 2020'!AL16)</f>
        <v/>
      </c>
      <c r="I186" s="256" t="str">
        <f>IF('Bautzen 3. Schnitt 2020'!R16=0,"",'Bautzen 3. Schnitt 2020'!R16)</f>
        <v/>
      </c>
      <c r="J186" s="256">
        <f>IF('Bautzen 3. Schnitt 2020'!AD16=0,"",'Bautzen 3. Schnitt 2020'!AD16)</f>
        <v>10.62401324017979</v>
      </c>
      <c r="K186" s="256"/>
      <c r="L186" s="259">
        <f>'Bautzen 3. Schnitt 2020'!K16</f>
        <v>6.6072178916587347</v>
      </c>
    </row>
    <row r="187" spans="1:12" x14ac:dyDescent="0.3">
      <c r="A187" s="245" t="s">
        <v>9</v>
      </c>
      <c r="B187" s="246" t="s">
        <v>2</v>
      </c>
      <c r="C187" s="247" t="s">
        <v>117</v>
      </c>
      <c r="D187" s="248">
        <v>6</v>
      </c>
      <c r="E187" s="249">
        <v>44080</v>
      </c>
      <c r="F187" s="256">
        <f>'Bautzen 3. Schnitt 2020'!AJ17</f>
        <v>0</v>
      </c>
      <c r="G187" s="258">
        <f>IF('Bautzen 3. Schnitt 2020'!AK17=0,"",'Bautzen 3. Schnitt 2020'!AK17)</f>
        <v>9.2221045450669372</v>
      </c>
      <c r="H187" s="258">
        <f>IF('Bautzen 3. Schnitt 2020'!AL17=0,"",'Bautzen 3. Schnitt 2020'!AL17)</f>
        <v>3.4381816997720609</v>
      </c>
      <c r="I187" s="256">
        <f>IF('Bautzen 3. Schnitt 2020'!R17=0,"",'Bautzen 3. Schnitt 2020'!R17)</f>
        <v>9.2221045450669372</v>
      </c>
      <c r="J187" s="256" t="str">
        <f>IF('Bautzen 3. Schnitt 2020'!AD17=0,"",'Bautzen 3. Schnitt 2020'!AD17)</f>
        <v/>
      </c>
      <c r="K187" s="256"/>
      <c r="L187" s="259">
        <f>'Bautzen 3. Schnitt 2020'!K17</f>
        <v>10.523302644805248</v>
      </c>
    </row>
    <row r="188" spans="1:12" x14ac:dyDescent="0.3">
      <c r="A188" s="245" t="s">
        <v>9</v>
      </c>
      <c r="B188" s="246" t="s">
        <v>2</v>
      </c>
      <c r="C188" s="247" t="s">
        <v>118</v>
      </c>
      <c r="D188" s="248">
        <v>7</v>
      </c>
      <c r="E188" s="249">
        <v>44080</v>
      </c>
      <c r="F188" s="256">
        <f>'Bautzen 3. Schnitt 2020'!AJ18</f>
        <v>0</v>
      </c>
      <c r="G188" s="258">
        <f>IF('Bautzen 3. Schnitt 2020'!AK18=0,"",'Bautzen 3. Schnitt 2020'!AK18)</f>
        <v>10.956689197344602</v>
      </c>
      <c r="H188" s="258">
        <f>IF('Bautzen 3. Schnitt 2020'!AL18=0,"",'Bautzen 3. Schnitt 2020'!AL18)</f>
        <v>3.0472376950780311</v>
      </c>
      <c r="I188" s="256">
        <f>IF('Bautzen 3. Schnitt 2020'!R18=0,"",'Bautzen 3. Schnitt 2020'!R18)</f>
        <v>10.956689197344602</v>
      </c>
      <c r="J188" s="256" t="str">
        <f>IF('Bautzen 3. Schnitt 2020'!AD18=0,"",'Bautzen 3. Schnitt 2020'!AD18)</f>
        <v/>
      </c>
      <c r="K188" s="256"/>
      <c r="L188" s="259">
        <f>'Bautzen 3. Schnitt 2020'!K18</f>
        <v>14.797627268702968</v>
      </c>
    </row>
    <row r="189" spans="1:12" x14ac:dyDescent="0.3">
      <c r="A189" s="245" t="s">
        <v>9</v>
      </c>
      <c r="B189" s="246" t="s">
        <v>2</v>
      </c>
      <c r="C189" s="247" t="s">
        <v>119</v>
      </c>
      <c r="D189" s="248">
        <v>8</v>
      </c>
      <c r="E189" s="249">
        <v>44080</v>
      </c>
      <c r="F189" s="256">
        <f>'Bautzen 3. Schnitt 2020'!AJ19</f>
        <v>0</v>
      </c>
      <c r="G189" s="258">
        <f>IF('Bautzen 3. Schnitt 2020'!AK19=0,"",'Bautzen 3. Schnitt 2020'!AK19)</f>
        <v>15.843237439193269</v>
      </c>
      <c r="H189" s="258" t="str">
        <f>IF('Bautzen 3. Schnitt 2020'!AL19=0,"",'Bautzen 3. Schnitt 2020'!AL19)</f>
        <v/>
      </c>
      <c r="I189" s="256">
        <f>IF('Bautzen 3. Schnitt 2020'!R19=0,"",'Bautzen 3. Schnitt 2020'!R19)</f>
        <v>15.843237439193269</v>
      </c>
      <c r="J189" s="256" t="str">
        <f>IF('Bautzen 3. Schnitt 2020'!AD19=0,"",'Bautzen 3. Schnitt 2020'!AD19)</f>
        <v/>
      </c>
      <c r="K189" s="256"/>
      <c r="L189" s="259">
        <f>'Bautzen 3. Schnitt 2020'!K19</f>
        <v>9.0407377822961301</v>
      </c>
    </row>
    <row r="190" spans="1:12" x14ac:dyDescent="0.3">
      <c r="A190" s="245" t="s">
        <v>9</v>
      </c>
      <c r="B190" s="254" t="s">
        <v>2</v>
      </c>
      <c r="C190" s="247" t="s">
        <v>120</v>
      </c>
      <c r="D190" s="255">
        <v>9</v>
      </c>
      <c r="E190" s="249">
        <v>44080</v>
      </c>
      <c r="F190" s="256">
        <f>'Bautzen 3. Schnitt 2020'!AJ20</f>
        <v>0</v>
      </c>
      <c r="G190" s="258">
        <f>IF('Bautzen 3. Schnitt 2020'!AK20=0,"",'Bautzen 3. Schnitt 2020'!AK20)</f>
        <v>14.341134058542222</v>
      </c>
      <c r="H190" s="258" t="str">
        <f>IF('Bautzen 3. Schnitt 2020'!AL20=0,"",'Bautzen 3. Schnitt 2020'!AL20)</f>
        <v/>
      </c>
      <c r="I190" s="256">
        <f>IF('Bautzen 3. Schnitt 2020'!R20=0,"",'Bautzen 3. Schnitt 2020'!R20)</f>
        <v>14.341134058542222</v>
      </c>
      <c r="J190" s="256" t="str">
        <f>IF('Bautzen 3. Schnitt 2020'!AD20=0,"",'Bautzen 3. Schnitt 2020'!AD20)</f>
        <v/>
      </c>
      <c r="K190" s="256"/>
      <c r="L190" s="259">
        <f>'Bautzen 3. Schnitt 2020'!K20</f>
        <v>3.9048339100681422</v>
      </c>
    </row>
    <row r="191" spans="1:12" x14ac:dyDescent="0.3">
      <c r="A191" s="245" t="s">
        <v>9</v>
      </c>
      <c r="B191" s="246" t="s">
        <v>9</v>
      </c>
      <c r="C191" s="247" t="s">
        <v>112</v>
      </c>
      <c r="D191" s="248">
        <v>1</v>
      </c>
      <c r="E191" s="249">
        <v>44080</v>
      </c>
      <c r="F191" s="256">
        <f>'Bautzen 3. Schnitt 2020'!AJ21</f>
        <v>0</v>
      </c>
      <c r="G191" s="258" t="str">
        <f>IF('Bautzen 3. Schnitt 2020'!AK21=0,"",'Bautzen 3. Schnitt 2020'!AK21)</f>
        <v/>
      </c>
      <c r="H191" s="258">
        <f>IF('Bautzen 3. Schnitt 2020'!AL21=0,"",'Bautzen 3. Schnitt 2020'!AL21)</f>
        <v>18.425530836350681</v>
      </c>
      <c r="I191" s="256" t="str">
        <f>IF('Bautzen 3. Schnitt 2020'!R21=0,"",'Bautzen 3. Schnitt 2020'!R21)</f>
        <v/>
      </c>
      <c r="J191" s="256" t="str">
        <f>IF('Bautzen 3. Schnitt 2020'!AD21=0,"",'Bautzen 3. Schnitt 2020'!AD21)</f>
        <v/>
      </c>
      <c r="K191" s="256"/>
      <c r="L191" s="259">
        <f>'Bautzen 3. Schnitt 2020'!K21</f>
        <v>17.916113048773735</v>
      </c>
    </row>
    <row r="192" spans="1:12" x14ac:dyDescent="0.3">
      <c r="A192" s="245" t="s">
        <v>9</v>
      </c>
      <c r="B192" s="246" t="s">
        <v>9</v>
      </c>
      <c r="C192" s="247" t="s">
        <v>113</v>
      </c>
      <c r="D192" s="248">
        <v>2</v>
      </c>
      <c r="E192" s="249">
        <v>44080</v>
      </c>
      <c r="F192" s="256">
        <f>'Bautzen 3. Schnitt 2020'!AJ22</f>
        <v>0</v>
      </c>
      <c r="G192" s="258">
        <f>IF('Bautzen 3. Schnitt 2020'!AK22=0,"",'Bautzen 3. Schnitt 2020'!AK22)</f>
        <v>6.0083189066059228</v>
      </c>
      <c r="H192" s="258">
        <f>IF('Bautzen 3. Schnitt 2020'!AL22=0,"",'Bautzen 3. Schnitt 2020'!AL22)</f>
        <v>7.7265884610352797</v>
      </c>
      <c r="I192" s="256" t="str">
        <f>IF('Bautzen 3. Schnitt 2020'!R22=0,"",'Bautzen 3. Schnitt 2020'!R22)</f>
        <v/>
      </c>
      <c r="J192" s="256">
        <f>IF('Bautzen 3. Schnitt 2020'!AD22=0,"",'Bautzen 3. Schnitt 2020'!AD22)</f>
        <v>6.0083189066059228</v>
      </c>
      <c r="K192" s="256"/>
      <c r="L192" s="259">
        <f>'Bautzen 3. Schnitt 2020'!K22</f>
        <v>17.052307332011818</v>
      </c>
    </row>
    <row r="193" spans="1:12" x14ac:dyDescent="0.3">
      <c r="A193" s="245" t="s">
        <v>9</v>
      </c>
      <c r="B193" s="246" t="s">
        <v>9</v>
      </c>
      <c r="C193" s="247" t="s">
        <v>114</v>
      </c>
      <c r="D193" s="248">
        <v>3</v>
      </c>
      <c r="E193" s="249">
        <v>44080</v>
      </c>
      <c r="F193" s="256">
        <f>'Bautzen 3. Schnitt 2020'!AJ23</f>
        <v>0</v>
      </c>
      <c r="G193" s="258">
        <f>IF('Bautzen 3. Schnitt 2020'!AK23=0,"",'Bautzen 3. Schnitt 2020'!AK23)</f>
        <v>10.506177465136368</v>
      </c>
      <c r="H193" s="258">
        <f>IF('Bautzen 3. Schnitt 2020'!AL23=0,"",'Bautzen 3. Schnitt 2020'!AL23)</f>
        <v>4.0325585405472957</v>
      </c>
      <c r="I193" s="256" t="str">
        <f>IF('Bautzen 3. Schnitt 2020'!R23=0,"",'Bautzen 3. Schnitt 2020'!R23)</f>
        <v/>
      </c>
      <c r="J193" s="256">
        <f>IF('Bautzen 3. Schnitt 2020'!AD23=0,"",'Bautzen 3. Schnitt 2020'!AD23)</f>
        <v>10.506177465136368</v>
      </c>
      <c r="K193" s="256"/>
      <c r="L193" s="259">
        <f>'Bautzen 3. Schnitt 2020'!K23</f>
        <v>9.6910077861268817</v>
      </c>
    </row>
    <row r="194" spans="1:12" x14ac:dyDescent="0.3">
      <c r="A194" s="245" t="s">
        <v>9</v>
      </c>
      <c r="B194" s="246" t="s">
        <v>9</v>
      </c>
      <c r="C194" s="247" t="s">
        <v>115</v>
      </c>
      <c r="D194" s="248">
        <v>4</v>
      </c>
      <c r="E194" s="249">
        <v>44080</v>
      </c>
      <c r="F194" s="256">
        <f>'Bautzen 3. Schnitt 2020'!AJ24</f>
        <v>0</v>
      </c>
      <c r="G194" s="258">
        <f>IF('Bautzen 3. Schnitt 2020'!AK24=0,"",'Bautzen 3. Schnitt 2020'!AK24)</f>
        <v>5.9674741437206187</v>
      </c>
      <c r="H194" s="258">
        <f>IF('Bautzen 3. Schnitt 2020'!AL24=0,"",'Bautzen 3. Schnitt 2020'!AL24)</f>
        <v>7.1057848745010093</v>
      </c>
      <c r="I194" s="256" t="str">
        <f>IF('Bautzen 3. Schnitt 2020'!R24=0,"",'Bautzen 3. Schnitt 2020'!R24)</f>
        <v/>
      </c>
      <c r="J194" s="256">
        <f>IF('Bautzen 3. Schnitt 2020'!AD24=0,"",'Bautzen 3. Schnitt 2020'!AD24)</f>
        <v>5.9674741437206187</v>
      </c>
      <c r="K194" s="256"/>
      <c r="L194" s="259">
        <f>'Bautzen 3. Schnitt 2020'!K24</f>
        <v>13.970942119452138</v>
      </c>
    </row>
    <row r="195" spans="1:12" x14ac:dyDescent="0.3">
      <c r="A195" s="245" t="s">
        <v>9</v>
      </c>
      <c r="B195" s="253" t="s">
        <v>9</v>
      </c>
      <c r="C195" s="247" t="s">
        <v>116</v>
      </c>
      <c r="D195" s="248">
        <v>5</v>
      </c>
      <c r="E195" s="249">
        <v>44080</v>
      </c>
      <c r="F195" s="256">
        <f>'Bautzen 3. Schnitt 2020'!AJ25</f>
        <v>0</v>
      </c>
      <c r="G195" s="258">
        <f>IF('Bautzen 3. Schnitt 2020'!AK25=0,"",'Bautzen 3. Schnitt 2020'!AK25)</f>
        <v>8.0012701273261513</v>
      </c>
      <c r="H195" s="258" t="str">
        <f>IF('Bautzen 3. Schnitt 2020'!AL25=0,"",'Bautzen 3. Schnitt 2020'!AL25)</f>
        <v/>
      </c>
      <c r="I195" s="256" t="str">
        <f>IF('Bautzen 3. Schnitt 2020'!R25=0,"",'Bautzen 3. Schnitt 2020'!R25)</f>
        <v/>
      </c>
      <c r="J195" s="256">
        <f>IF('Bautzen 3. Schnitt 2020'!AD25=0,"",'Bautzen 3. Schnitt 2020'!AD25)</f>
        <v>8.0012701273261513</v>
      </c>
      <c r="K195" s="256"/>
      <c r="L195" s="259">
        <f>'Bautzen 3. Schnitt 2020'!K25</f>
        <v>8.3507751651930899</v>
      </c>
    </row>
    <row r="196" spans="1:12" x14ac:dyDescent="0.3">
      <c r="A196" s="245" t="s">
        <v>9</v>
      </c>
      <c r="B196" s="246" t="s">
        <v>9</v>
      </c>
      <c r="C196" s="247" t="s">
        <v>117</v>
      </c>
      <c r="D196" s="248">
        <v>6</v>
      </c>
      <c r="E196" s="249">
        <v>44080</v>
      </c>
      <c r="F196" s="256">
        <f>'Bautzen 3. Schnitt 2020'!AJ26</f>
        <v>0</v>
      </c>
      <c r="G196" s="258">
        <f>IF('Bautzen 3. Schnitt 2020'!AK26=0,"",'Bautzen 3. Schnitt 2020'!AK26)</f>
        <v>6.3246309977008037</v>
      </c>
      <c r="H196" s="258">
        <f>IF('Bautzen 3. Schnitt 2020'!AL26=0,"",'Bautzen 3. Schnitt 2020'!AL26)</f>
        <v>5.3136777760945328</v>
      </c>
      <c r="I196" s="256">
        <f>IF('Bautzen 3. Schnitt 2020'!R26=0,"",'Bautzen 3. Schnitt 2020'!R26)</f>
        <v>6.3246309977008037</v>
      </c>
      <c r="J196" s="256" t="str">
        <f>IF('Bautzen 3. Schnitt 2020'!AD26=0,"",'Bautzen 3. Schnitt 2020'!AD26)</f>
        <v/>
      </c>
      <c r="K196" s="256"/>
      <c r="L196" s="259">
        <f>'Bautzen 3. Schnitt 2020'!K26</f>
        <v>12.570150529754814</v>
      </c>
    </row>
    <row r="197" spans="1:12" x14ac:dyDescent="0.3">
      <c r="A197" s="245" t="s">
        <v>9</v>
      </c>
      <c r="B197" s="246" t="s">
        <v>9</v>
      </c>
      <c r="C197" s="247" t="s">
        <v>118</v>
      </c>
      <c r="D197" s="248">
        <v>7</v>
      </c>
      <c r="E197" s="249">
        <v>44080</v>
      </c>
      <c r="F197" s="256">
        <f>'Bautzen 3. Schnitt 2020'!AJ27</f>
        <v>0</v>
      </c>
      <c r="G197" s="258">
        <f>IF('Bautzen 3. Schnitt 2020'!AK27=0,"",'Bautzen 3. Schnitt 2020'!AK27)</f>
        <v>6.0286839326954791</v>
      </c>
      <c r="H197" s="258">
        <f>IF('Bautzen 3. Schnitt 2020'!AL27=0,"",'Bautzen 3. Schnitt 2020'!AL27)</f>
        <v>5.6261741902136464</v>
      </c>
      <c r="I197" s="256">
        <f>IF('Bautzen 3. Schnitt 2020'!R27=0,"",'Bautzen 3. Schnitt 2020'!R27)</f>
        <v>6.0286839326954791</v>
      </c>
      <c r="J197" s="256" t="str">
        <f>IF('Bautzen 3. Schnitt 2020'!AD27=0,"",'Bautzen 3. Schnitt 2020'!AD27)</f>
        <v/>
      </c>
      <c r="K197" s="256"/>
      <c r="L197" s="259">
        <f>'Bautzen 3. Schnitt 2020'!K27</f>
        <v>11.909324507944193</v>
      </c>
    </row>
    <row r="198" spans="1:12" x14ac:dyDescent="0.3">
      <c r="A198" s="245" t="s">
        <v>9</v>
      </c>
      <c r="B198" s="246" t="s">
        <v>9</v>
      </c>
      <c r="C198" s="247" t="s">
        <v>119</v>
      </c>
      <c r="D198" s="248">
        <v>8</v>
      </c>
      <c r="E198" s="249">
        <v>44080</v>
      </c>
      <c r="F198" s="256">
        <f>'Bautzen 3. Schnitt 2020'!AJ28</f>
        <v>0</v>
      </c>
      <c r="G198" s="258">
        <f>IF('Bautzen 3. Schnitt 2020'!AK28=0,"",'Bautzen 3. Schnitt 2020'!AK28)</f>
        <v>5.0937600869674302</v>
      </c>
      <c r="H198" s="258">
        <f>IF('Bautzen 3. Schnitt 2020'!AL28=0,"",'Bautzen 3. Schnitt 2020'!AL28)</f>
        <v>7.9604689395277637</v>
      </c>
      <c r="I198" s="256">
        <f>IF('Bautzen 3. Schnitt 2020'!R28=0,"",'Bautzen 3. Schnitt 2020'!R28)</f>
        <v>5.0937600869674302</v>
      </c>
      <c r="J198" s="256" t="str">
        <f>IF('Bautzen 3. Schnitt 2020'!AD28=0,"",'Bautzen 3. Schnitt 2020'!AD28)</f>
        <v/>
      </c>
      <c r="K198" s="256"/>
      <c r="L198" s="259">
        <f>'Bautzen 3. Schnitt 2020'!K28</f>
        <v>13.172067648663393</v>
      </c>
    </row>
    <row r="199" spans="1:12" x14ac:dyDescent="0.3">
      <c r="A199" s="245" t="s">
        <v>9</v>
      </c>
      <c r="B199" s="254" t="s">
        <v>9</v>
      </c>
      <c r="C199" s="247" t="s">
        <v>120</v>
      </c>
      <c r="D199" s="255">
        <v>9</v>
      </c>
      <c r="E199" s="249">
        <v>44080</v>
      </c>
      <c r="F199" s="256">
        <f>'Bautzen 3. Schnitt 2020'!AJ29</f>
        <v>0</v>
      </c>
      <c r="G199" s="258">
        <f>IF('Bautzen 3. Schnitt 2020'!AK29=0,"",'Bautzen 3. Schnitt 2020'!AK29)</f>
        <v>11.78197694223973</v>
      </c>
      <c r="H199" s="258" t="str">
        <f>IF('Bautzen 3. Schnitt 2020'!AL29=0,"",'Bautzen 3. Schnitt 2020'!AL29)</f>
        <v/>
      </c>
      <c r="I199" s="256">
        <f>IF('Bautzen 3. Schnitt 2020'!R29=0,"",'Bautzen 3. Schnitt 2020'!R29)</f>
        <v>11.78197694223973</v>
      </c>
      <c r="J199" s="256" t="str">
        <f>IF('Bautzen 3. Schnitt 2020'!AD29=0,"",'Bautzen 3. Schnitt 2020'!AD29)</f>
        <v/>
      </c>
      <c r="K199" s="256"/>
      <c r="L199" s="259">
        <f>'Bautzen 3. Schnitt 2020'!K29</f>
        <v>3.9589648335869221</v>
      </c>
    </row>
    <row r="200" spans="1:12" x14ac:dyDescent="0.3">
      <c r="A200" s="245" t="s">
        <v>9</v>
      </c>
      <c r="B200" s="246" t="s">
        <v>10</v>
      </c>
      <c r="C200" s="247" t="s">
        <v>112</v>
      </c>
      <c r="D200" s="248">
        <v>1</v>
      </c>
      <c r="E200" s="249">
        <v>44080</v>
      </c>
      <c r="F200" s="256">
        <f>'Bautzen 3. Schnitt 2020'!AJ30</f>
        <v>0</v>
      </c>
      <c r="G200" s="258" t="str">
        <f>IF('Bautzen 3. Schnitt 2020'!AK30=0,"",'Bautzen 3. Schnitt 2020'!AK30)</f>
        <v/>
      </c>
      <c r="H200" s="258">
        <f>IF('Bautzen 3. Schnitt 2020'!AL30=0,"",'Bautzen 3. Schnitt 2020'!AL30)</f>
        <v>17.170605275779376</v>
      </c>
      <c r="I200" s="256" t="str">
        <f>IF('Bautzen 3. Schnitt 2020'!R30=0,"",'Bautzen 3. Schnitt 2020'!R30)</f>
        <v/>
      </c>
      <c r="J200" s="256" t="str">
        <f>IF('Bautzen 3. Schnitt 2020'!AD30=0,"",'Bautzen 3. Schnitt 2020'!AD30)</f>
        <v/>
      </c>
      <c r="K200" s="256"/>
      <c r="L200" s="259">
        <f>'Bautzen 3. Schnitt 2020'!K30</f>
        <v>15.063243749164325</v>
      </c>
    </row>
    <row r="201" spans="1:12" x14ac:dyDescent="0.3">
      <c r="A201" s="245" t="s">
        <v>9</v>
      </c>
      <c r="B201" s="246" t="s">
        <v>10</v>
      </c>
      <c r="C201" s="247" t="s">
        <v>113</v>
      </c>
      <c r="D201" s="248">
        <v>2</v>
      </c>
      <c r="E201" s="249">
        <v>44080</v>
      </c>
      <c r="F201" s="256">
        <f>'Bautzen 3. Schnitt 2020'!AJ31</f>
        <v>0</v>
      </c>
      <c r="G201" s="258">
        <f>IF('Bautzen 3. Schnitt 2020'!AK31=0,"",'Bautzen 3. Schnitt 2020'!AK31)</f>
        <v>7.3852976616947839</v>
      </c>
      <c r="H201" s="258">
        <f>IF('Bautzen 3. Schnitt 2020'!AL31=0,"",'Bautzen 3. Schnitt 2020'!AL31)</f>
        <v>8.7291910931529699</v>
      </c>
      <c r="I201" s="256" t="str">
        <f>IF('Bautzen 3. Schnitt 2020'!R31=0,"",'Bautzen 3. Schnitt 2020'!R31)</f>
        <v/>
      </c>
      <c r="J201" s="256">
        <f>IF('Bautzen 3. Schnitt 2020'!AD31=0,"",'Bautzen 3. Schnitt 2020'!AD31)</f>
        <v>7.3852976616947839</v>
      </c>
      <c r="K201" s="256"/>
      <c r="L201" s="259">
        <f>'Bautzen 3. Schnitt 2020'!K31</f>
        <v>13.420680740644277</v>
      </c>
    </row>
    <row r="202" spans="1:12" x14ac:dyDescent="0.3">
      <c r="A202" s="245" t="s">
        <v>9</v>
      </c>
      <c r="B202" s="246" t="s">
        <v>10</v>
      </c>
      <c r="C202" s="247" t="s">
        <v>114</v>
      </c>
      <c r="D202" s="248">
        <v>3</v>
      </c>
      <c r="E202" s="249">
        <v>44080</v>
      </c>
      <c r="F202" s="256">
        <f>'Bautzen 3. Schnitt 2020'!AJ32</f>
        <v>0</v>
      </c>
      <c r="G202" s="258">
        <f>IF('Bautzen 3. Schnitt 2020'!AK32=0,"",'Bautzen 3. Schnitt 2020'!AK32)</f>
        <v>5.4561108458575234</v>
      </c>
      <c r="H202" s="258">
        <f>IF('Bautzen 3. Schnitt 2020'!AL32=0,"",'Bautzen 3. Schnitt 2020'!AL32)</f>
        <v>7.5247569952450624</v>
      </c>
      <c r="I202" s="256" t="str">
        <f>IF('Bautzen 3. Schnitt 2020'!R32=0,"",'Bautzen 3. Schnitt 2020'!R32)</f>
        <v/>
      </c>
      <c r="J202" s="256">
        <f>IF('Bautzen 3. Schnitt 2020'!AD32=0,"",'Bautzen 3. Schnitt 2020'!AD32)</f>
        <v>5.4561108458575234</v>
      </c>
      <c r="K202" s="256"/>
      <c r="L202" s="259">
        <f>'Bautzen 3. Schnitt 2020'!K32</f>
        <v>14.292788701992679</v>
      </c>
    </row>
    <row r="203" spans="1:12" x14ac:dyDescent="0.3">
      <c r="A203" s="245" t="s">
        <v>9</v>
      </c>
      <c r="B203" s="246" t="s">
        <v>10</v>
      </c>
      <c r="C203" s="247" t="s">
        <v>115</v>
      </c>
      <c r="D203" s="248">
        <v>4</v>
      </c>
      <c r="E203" s="249">
        <v>44080</v>
      </c>
      <c r="F203" s="256">
        <f>'Bautzen 3. Schnitt 2020'!AJ33</f>
        <v>0</v>
      </c>
      <c r="G203" s="258">
        <f>IF('Bautzen 3. Schnitt 2020'!AK33=0,"",'Bautzen 3. Schnitt 2020'!AK33)</f>
        <v>4.845743593285901</v>
      </c>
      <c r="H203" s="258">
        <f>IF('Bautzen 3. Schnitt 2020'!AL33=0,"",'Bautzen 3. Schnitt 2020'!AL33)</f>
        <v>7.1196459909228453</v>
      </c>
      <c r="I203" s="256" t="str">
        <f>IF('Bautzen 3. Schnitt 2020'!R33=0,"",'Bautzen 3. Schnitt 2020'!R33)</f>
        <v/>
      </c>
      <c r="J203" s="256">
        <f>IF('Bautzen 3. Schnitt 2020'!AD33=0,"",'Bautzen 3. Schnitt 2020'!AD33)</f>
        <v>4.845743593285901</v>
      </c>
      <c r="K203" s="256"/>
      <c r="L203" s="259">
        <f>'Bautzen 3. Schnitt 2020'!K33</f>
        <v>8.05514790637001</v>
      </c>
    </row>
    <row r="204" spans="1:12" x14ac:dyDescent="0.3">
      <c r="A204" s="245" t="s">
        <v>9</v>
      </c>
      <c r="B204" s="246" t="s">
        <v>10</v>
      </c>
      <c r="C204" s="247" t="s">
        <v>116</v>
      </c>
      <c r="D204" s="248">
        <v>5</v>
      </c>
      <c r="E204" s="249">
        <v>44080</v>
      </c>
      <c r="F204" s="256">
        <f>'Bautzen 3. Schnitt 2020'!AJ34</f>
        <v>0</v>
      </c>
      <c r="G204" s="258">
        <f>IF('Bautzen 3. Schnitt 2020'!AK34=0,"",'Bautzen 3. Schnitt 2020'!AK34)</f>
        <v>8.8862415308291993</v>
      </c>
      <c r="H204" s="258" t="str">
        <f>IF('Bautzen 3. Schnitt 2020'!AL34=0,"",'Bautzen 3. Schnitt 2020'!AL34)</f>
        <v/>
      </c>
      <c r="I204" s="256" t="str">
        <f>IF('Bautzen 3. Schnitt 2020'!R34=0,"",'Bautzen 3. Schnitt 2020'!R34)</f>
        <v/>
      </c>
      <c r="J204" s="256">
        <f>IF('Bautzen 3. Schnitt 2020'!AD34=0,"",'Bautzen 3. Schnitt 2020'!AD34)</f>
        <v>8.8862415308291993</v>
      </c>
      <c r="K204" s="256"/>
      <c r="L204" s="259">
        <f>'Bautzen 3. Schnitt 2020'!K34</f>
        <v>6.3369039248935017</v>
      </c>
    </row>
    <row r="205" spans="1:12" x14ac:dyDescent="0.3">
      <c r="A205" s="245" t="s">
        <v>9</v>
      </c>
      <c r="B205" s="246" t="s">
        <v>10</v>
      </c>
      <c r="C205" s="247" t="s">
        <v>117</v>
      </c>
      <c r="D205" s="248">
        <v>6</v>
      </c>
      <c r="E205" s="249">
        <v>44080</v>
      </c>
      <c r="F205" s="256">
        <f>'Bautzen 3. Schnitt 2020'!AJ35</f>
        <v>0</v>
      </c>
      <c r="G205" s="258">
        <f>IF('Bautzen 3. Schnitt 2020'!AK35=0,"",'Bautzen 3. Schnitt 2020'!AK35)</f>
        <v>6.6949882423876987</v>
      </c>
      <c r="H205" s="258">
        <f>IF('Bautzen 3. Schnitt 2020'!AL35=0,"",'Bautzen 3. Schnitt 2020'!AL35)</f>
        <v>8.3767163009972805</v>
      </c>
      <c r="I205" s="256">
        <f>IF('Bautzen 3. Schnitt 2020'!R35=0,"",'Bautzen 3. Schnitt 2020'!R35)</f>
        <v>6.6949882423876987</v>
      </c>
      <c r="J205" s="256" t="str">
        <f>IF('Bautzen 3. Schnitt 2020'!AD35=0,"",'Bautzen 3. Schnitt 2020'!AD35)</f>
        <v/>
      </c>
      <c r="K205" s="256"/>
      <c r="L205" s="259">
        <f>'Bautzen 3. Schnitt 2020'!K35</f>
        <v>13.159024581453819</v>
      </c>
    </row>
    <row r="206" spans="1:12" x14ac:dyDescent="0.3">
      <c r="A206" s="245" t="s">
        <v>9</v>
      </c>
      <c r="B206" s="253" t="s">
        <v>10</v>
      </c>
      <c r="C206" s="247" t="s">
        <v>118</v>
      </c>
      <c r="D206" s="248">
        <v>7</v>
      </c>
      <c r="E206" s="249">
        <v>44080</v>
      </c>
      <c r="F206" s="256">
        <f>'Bautzen 3. Schnitt 2020'!AJ36</f>
        <v>0</v>
      </c>
      <c r="G206" s="258">
        <f>IF('Bautzen 3. Schnitt 2020'!AK36=0,"",'Bautzen 3. Schnitt 2020'!AK36)</f>
        <v>6.0463213564796128</v>
      </c>
      <c r="H206" s="258">
        <f>IF('Bautzen 3. Schnitt 2020'!AL36=0,"",'Bautzen 3. Schnitt 2020'!AL36)</f>
        <v>2.654270852017937</v>
      </c>
      <c r="I206" s="256">
        <f>IF('Bautzen 3. Schnitt 2020'!R36=0,"",'Bautzen 3. Schnitt 2020'!R36)</f>
        <v>6.0463213564796128</v>
      </c>
      <c r="J206" s="256" t="str">
        <f>IF('Bautzen 3. Schnitt 2020'!AD36=0,"",'Bautzen 3. Schnitt 2020'!AD36)</f>
        <v/>
      </c>
      <c r="K206" s="256"/>
      <c r="L206" s="259">
        <f>'Bautzen 3. Schnitt 2020'!K36</f>
        <v>8.899944720840244</v>
      </c>
    </row>
    <row r="207" spans="1:12" x14ac:dyDescent="0.3">
      <c r="A207" s="245" t="s">
        <v>9</v>
      </c>
      <c r="B207" s="246" t="s">
        <v>10</v>
      </c>
      <c r="C207" s="247" t="s">
        <v>119</v>
      </c>
      <c r="D207" s="248">
        <v>8</v>
      </c>
      <c r="E207" s="249">
        <v>44080</v>
      </c>
      <c r="F207" s="256">
        <f>'Bautzen 3. Schnitt 2020'!AJ37</f>
        <v>0</v>
      </c>
      <c r="G207" s="258">
        <f>IF('Bautzen 3. Schnitt 2020'!AK37=0,"",'Bautzen 3. Schnitt 2020'!AK37)</f>
        <v>5.7048330779630465</v>
      </c>
      <c r="H207" s="258">
        <f>IF('Bautzen 3. Schnitt 2020'!AL37=0,"",'Bautzen 3. Schnitt 2020'!AL37)</f>
        <v>2.8014877954281285</v>
      </c>
      <c r="I207" s="256">
        <f>IF('Bautzen 3. Schnitt 2020'!R37=0,"",'Bautzen 3. Schnitt 2020'!R37)</f>
        <v>5.7048330779630465</v>
      </c>
      <c r="J207" s="256" t="str">
        <f>IF('Bautzen 3. Schnitt 2020'!AD37=0,"",'Bautzen 3. Schnitt 2020'!AD37)</f>
        <v/>
      </c>
      <c r="K207" s="256"/>
      <c r="L207" s="259">
        <f>'Bautzen 3. Schnitt 2020'!K37</f>
        <v>5.445371628177762</v>
      </c>
    </row>
    <row r="208" spans="1:12" x14ac:dyDescent="0.3">
      <c r="A208" s="245" t="s">
        <v>9</v>
      </c>
      <c r="B208" s="254" t="s">
        <v>10</v>
      </c>
      <c r="C208" s="247" t="s">
        <v>120</v>
      </c>
      <c r="D208" s="255">
        <v>9</v>
      </c>
      <c r="E208" s="249">
        <v>44080</v>
      </c>
      <c r="F208" s="256">
        <f>'Bautzen 3. Schnitt 2020'!AJ38</f>
        <v>0</v>
      </c>
      <c r="G208" s="258">
        <f>IF('Bautzen 3. Schnitt 2020'!AK38=0,"",'Bautzen 3. Schnitt 2020'!AK38)</f>
        <v>7.6523432574430812</v>
      </c>
      <c r="H208" s="258" t="str">
        <f>IF('Bautzen 3. Schnitt 2020'!AL38=0,"",'Bautzen 3. Schnitt 2020'!AL38)</f>
        <v/>
      </c>
      <c r="I208" s="256">
        <f>IF('Bautzen 3. Schnitt 2020'!R38=0,"",'Bautzen 3. Schnitt 2020'!R38)</f>
        <v>7.6523432574430812</v>
      </c>
      <c r="J208" s="256" t="str">
        <f>IF('Bautzen 3. Schnitt 2020'!AD38=0,"",'Bautzen 3. Schnitt 2020'!AD38)</f>
        <v/>
      </c>
      <c r="K208" s="256"/>
      <c r="L208" s="259">
        <f>'Bautzen 3. Schnitt 2020'!K38</f>
        <v>3.7082245270759011</v>
      </c>
    </row>
    <row r="209" spans="1:12" x14ac:dyDescent="0.3">
      <c r="A209" s="245" t="s">
        <v>9</v>
      </c>
      <c r="B209" s="246" t="s">
        <v>11</v>
      </c>
      <c r="C209" s="247" t="s">
        <v>112</v>
      </c>
      <c r="D209" s="248">
        <v>1</v>
      </c>
      <c r="E209" s="249">
        <v>44080</v>
      </c>
      <c r="F209" s="256">
        <f>'Bautzen 3. Schnitt 2020'!AJ39</f>
        <v>0</v>
      </c>
      <c r="G209" s="258" t="str">
        <f>IF('Bautzen 3. Schnitt 2020'!AK39=0,"",'Bautzen 3. Schnitt 2020'!AK39)</f>
        <v/>
      </c>
      <c r="H209" s="258">
        <f>IF('Bautzen 3. Schnitt 2020'!AL39=0,"",'Bautzen 3. Schnitt 2020'!AL39)</f>
        <v>15.316806031223594</v>
      </c>
      <c r="I209" s="256" t="str">
        <f>IF('Bautzen 3. Schnitt 2020'!R39=0,"",'Bautzen 3. Schnitt 2020'!R39)</f>
        <v/>
      </c>
      <c r="J209" s="256" t="str">
        <f>IF('Bautzen 3. Schnitt 2020'!AD39=0,"",'Bautzen 3. Schnitt 2020'!AD39)</f>
        <v/>
      </c>
      <c r="K209" s="256"/>
      <c r="L209" s="259">
        <f>'Bautzen 3. Schnitt 2020'!K39</f>
        <v>10.249078496804728</v>
      </c>
    </row>
    <row r="210" spans="1:12" x14ac:dyDescent="0.3">
      <c r="A210" s="245" t="s">
        <v>9</v>
      </c>
      <c r="B210" s="246" t="s">
        <v>11</v>
      </c>
      <c r="C210" s="247" t="s">
        <v>113</v>
      </c>
      <c r="D210" s="248">
        <v>2</v>
      </c>
      <c r="E210" s="249">
        <v>44080</v>
      </c>
      <c r="F210" s="256">
        <f>'Bautzen 3. Schnitt 2020'!AJ40</f>
        <v>0</v>
      </c>
      <c r="G210" s="258">
        <f>IF('Bautzen 3. Schnitt 2020'!AK40=0,"",'Bautzen 3. Schnitt 2020'!AK40)</f>
        <v>6.1839513626834393</v>
      </c>
      <c r="H210" s="258">
        <f>IF('Bautzen 3. Schnitt 2020'!AL40=0,"",'Bautzen 3. Schnitt 2020'!AL40)</f>
        <v>9.1344534005037783</v>
      </c>
      <c r="I210" s="256" t="str">
        <f>IF('Bautzen 3. Schnitt 2020'!R40=0,"",'Bautzen 3. Schnitt 2020'!R40)</f>
        <v/>
      </c>
      <c r="J210" s="256">
        <f>IF('Bautzen 3. Schnitt 2020'!AD40=0,"",'Bautzen 3. Schnitt 2020'!AD40)</f>
        <v>6.1839513626834393</v>
      </c>
      <c r="K210" s="256"/>
      <c r="L210" s="259">
        <f>'Bautzen 3. Schnitt 2020'!K40</f>
        <v>14.506397012933908</v>
      </c>
    </row>
    <row r="211" spans="1:12" x14ac:dyDescent="0.3">
      <c r="A211" s="245" t="s">
        <v>9</v>
      </c>
      <c r="B211" s="246" t="s">
        <v>11</v>
      </c>
      <c r="C211" s="247" t="s">
        <v>114</v>
      </c>
      <c r="D211" s="248">
        <v>3</v>
      </c>
      <c r="E211" s="249">
        <v>44080</v>
      </c>
      <c r="F211" s="256">
        <f>'Bautzen 3. Schnitt 2020'!AJ41</f>
        <v>0</v>
      </c>
      <c r="G211" s="258">
        <f>IF('Bautzen 3. Schnitt 2020'!AK41=0,"",'Bautzen 3. Schnitt 2020'!AK41)</f>
        <v>7.310738953881855</v>
      </c>
      <c r="H211" s="258">
        <f>IF('Bautzen 3. Schnitt 2020'!AL41=0,"",'Bautzen 3. Schnitt 2020'!AL41)</f>
        <v>4.1286384459085035</v>
      </c>
      <c r="I211" s="256" t="str">
        <f>IF('Bautzen 3. Schnitt 2020'!R41=0,"",'Bautzen 3. Schnitt 2020'!R41)</f>
        <v/>
      </c>
      <c r="J211" s="256">
        <f>IF('Bautzen 3. Schnitt 2020'!AD41=0,"",'Bautzen 3. Schnitt 2020'!AD41)</f>
        <v>7.310738953881855</v>
      </c>
      <c r="K211" s="256"/>
      <c r="L211" s="259">
        <f>'Bautzen 3. Schnitt 2020'!K41</f>
        <v>13.08949952333556</v>
      </c>
    </row>
    <row r="212" spans="1:12" x14ac:dyDescent="0.3">
      <c r="A212" s="245" t="s">
        <v>9</v>
      </c>
      <c r="B212" s="246" t="s">
        <v>11</v>
      </c>
      <c r="C212" s="247" t="s">
        <v>115</v>
      </c>
      <c r="D212" s="248">
        <v>4</v>
      </c>
      <c r="E212" s="249">
        <v>44080</v>
      </c>
      <c r="F212" s="256">
        <f>'Bautzen 3. Schnitt 2020'!AJ42</f>
        <v>0</v>
      </c>
      <c r="G212" s="258">
        <f>IF('Bautzen 3. Schnitt 2020'!AK42=0,"",'Bautzen 3. Schnitt 2020'!AK42)</f>
        <v>6.4684919165400041</v>
      </c>
      <c r="H212" s="258">
        <f>IF('Bautzen 3. Schnitt 2020'!AL42=0,"",'Bautzen 3. Schnitt 2020'!AL42)</f>
        <v>6.5672239158226002</v>
      </c>
      <c r="I212" s="256" t="str">
        <f>IF('Bautzen 3. Schnitt 2020'!R42=0,"",'Bautzen 3. Schnitt 2020'!R42)</f>
        <v/>
      </c>
      <c r="J212" s="256">
        <f>IF('Bautzen 3. Schnitt 2020'!AD42=0,"",'Bautzen 3. Schnitt 2020'!AD42)</f>
        <v>6.4684919165400041</v>
      </c>
      <c r="K212" s="256"/>
      <c r="L212" s="259">
        <f>'Bautzen 3. Schnitt 2020'!K42</f>
        <v>10.976809787778398</v>
      </c>
    </row>
    <row r="213" spans="1:12" x14ac:dyDescent="0.3">
      <c r="A213" s="245" t="s">
        <v>9</v>
      </c>
      <c r="B213" s="246" t="s">
        <v>11</v>
      </c>
      <c r="C213" s="247" t="s">
        <v>116</v>
      </c>
      <c r="D213" s="248">
        <v>5</v>
      </c>
      <c r="E213" s="249">
        <v>44080</v>
      </c>
      <c r="F213" s="256">
        <f>'Bautzen 3. Schnitt 2020'!AJ43</f>
        <v>0</v>
      </c>
      <c r="G213" s="258">
        <f>IF('Bautzen 3. Schnitt 2020'!AK43=0,"",'Bautzen 3. Schnitt 2020'!AK43)</f>
        <v>8.8869569460620923</v>
      </c>
      <c r="H213" s="258" t="str">
        <f>IF('Bautzen 3. Schnitt 2020'!AL43=0,"",'Bautzen 3. Schnitt 2020'!AL43)</f>
        <v/>
      </c>
      <c r="I213" s="256" t="str">
        <f>IF('Bautzen 3. Schnitt 2020'!R43=0,"",'Bautzen 3. Schnitt 2020'!R43)</f>
        <v/>
      </c>
      <c r="J213" s="256">
        <f>IF('Bautzen 3. Schnitt 2020'!AD43=0,"",'Bautzen 3. Schnitt 2020'!AD43)</f>
        <v>8.8869569460620923</v>
      </c>
      <c r="K213" s="256"/>
      <c r="L213" s="259">
        <f>'Bautzen 3. Schnitt 2020'!K43</f>
        <v>5.4534202989030733</v>
      </c>
    </row>
    <row r="214" spans="1:12" x14ac:dyDescent="0.3">
      <c r="A214" s="245" t="s">
        <v>9</v>
      </c>
      <c r="B214" s="246" t="s">
        <v>11</v>
      </c>
      <c r="C214" s="247" t="s">
        <v>117</v>
      </c>
      <c r="D214" s="248">
        <v>6</v>
      </c>
      <c r="E214" s="249">
        <v>44080</v>
      </c>
      <c r="F214" s="256">
        <f>'Bautzen 3. Schnitt 2020'!AJ44</f>
        <v>0</v>
      </c>
      <c r="G214" s="258">
        <f>IF('Bautzen 3. Schnitt 2020'!AK44=0,"",'Bautzen 3. Schnitt 2020'!AK44)</f>
        <v>9.2506735325841163</v>
      </c>
      <c r="H214" s="258">
        <f>IF('Bautzen 3. Schnitt 2020'!AL44=0,"",'Bautzen 3. Schnitt 2020'!AL44)</f>
        <v>3.3777343283582089</v>
      </c>
      <c r="I214" s="256">
        <f>IF('Bautzen 3. Schnitt 2020'!R44=0,"",'Bautzen 3. Schnitt 2020'!R44)</f>
        <v>9.2506735325841163</v>
      </c>
      <c r="J214" s="256" t="str">
        <f>IF('Bautzen 3. Schnitt 2020'!AD44=0,"",'Bautzen 3. Schnitt 2020'!AD44)</f>
        <v/>
      </c>
      <c r="K214" s="256"/>
      <c r="L214" s="259">
        <f>'Bautzen 3. Schnitt 2020'!K44</f>
        <v>14.101383582829444</v>
      </c>
    </row>
    <row r="215" spans="1:12" x14ac:dyDescent="0.3">
      <c r="A215" s="245" t="s">
        <v>9</v>
      </c>
      <c r="B215" s="246" t="s">
        <v>11</v>
      </c>
      <c r="C215" s="247" t="s">
        <v>118</v>
      </c>
      <c r="D215" s="248">
        <v>7</v>
      </c>
      <c r="E215" s="249">
        <v>44080</v>
      </c>
      <c r="F215" s="256">
        <f>'Bautzen 3. Schnitt 2020'!AJ45</f>
        <v>0</v>
      </c>
      <c r="G215" s="258">
        <f>IF('Bautzen 3. Schnitt 2020'!AK45=0,"",'Bautzen 3. Schnitt 2020'!AK45)</f>
        <v>7.0065008852243409</v>
      </c>
      <c r="H215" s="258">
        <f>IF('Bautzen 3. Schnitt 2020'!AL45=0,"",'Bautzen 3. Schnitt 2020'!AL45)</f>
        <v>5.1317486199779196</v>
      </c>
      <c r="I215" s="256">
        <f>IF('Bautzen 3. Schnitt 2020'!R45=0,"",'Bautzen 3. Schnitt 2020'!R45)</f>
        <v>7.0065008852243409</v>
      </c>
      <c r="J215" s="256" t="str">
        <f>IF('Bautzen 3. Schnitt 2020'!AD45=0,"",'Bautzen 3. Schnitt 2020'!AD45)</f>
        <v/>
      </c>
      <c r="K215" s="256"/>
      <c r="L215" s="259">
        <f>'Bautzen 3. Schnitt 2020'!K45</f>
        <v>13.175794741664902</v>
      </c>
    </row>
    <row r="216" spans="1:12" x14ac:dyDescent="0.3">
      <c r="A216" s="245" t="s">
        <v>9</v>
      </c>
      <c r="B216" s="246" t="s">
        <v>11</v>
      </c>
      <c r="C216" s="247" t="s">
        <v>119</v>
      </c>
      <c r="D216" s="248">
        <v>8</v>
      </c>
      <c r="E216" s="249">
        <v>44080</v>
      </c>
      <c r="F216" s="256">
        <f>'Bautzen 3. Schnitt 2020'!AJ46</f>
        <v>0</v>
      </c>
      <c r="G216" s="258">
        <f>IF('Bautzen 3. Schnitt 2020'!AK46=0,"",'Bautzen 3. Schnitt 2020'!AK46)</f>
        <v>7.6237844702196718</v>
      </c>
      <c r="H216" s="258">
        <f>IF('Bautzen 3. Schnitt 2020'!AL46=0,"",'Bautzen 3. Schnitt 2020'!AL46)</f>
        <v>2.1949040077124362</v>
      </c>
      <c r="I216" s="256">
        <f>IF('Bautzen 3. Schnitt 2020'!R46=0,"",'Bautzen 3. Schnitt 2020'!R46)</f>
        <v>7.6237844702196718</v>
      </c>
      <c r="J216" s="256" t="str">
        <f>IF('Bautzen 3. Schnitt 2020'!AD46=0,"",'Bautzen 3. Schnitt 2020'!AD46)</f>
        <v/>
      </c>
      <c r="K216" s="256"/>
      <c r="L216" s="259">
        <f>'Bautzen 3. Schnitt 2020'!K46</f>
        <v>3.7912581259203386</v>
      </c>
    </row>
    <row r="217" spans="1:12" x14ac:dyDescent="0.3">
      <c r="A217" s="245" t="s">
        <v>9</v>
      </c>
      <c r="B217" s="246" t="s">
        <v>11</v>
      </c>
      <c r="C217" s="247" t="s">
        <v>120</v>
      </c>
      <c r="D217" s="248">
        <v>9</v>
      </c>
      <c r="E217" s="249">
        <v>44080</v>
      </c>
      <c r="F217" s="256">
        <f>'Bautzen 3. Schnitt 2020'!AJ47</f>
        <v>0</v>
      </c>
      <c r="G217" s="258">
        <f>IF('Bautzen 3. Schnitt 2020'!AK47=0,"",'Bautzen 3. Schnitt 2020'!AK47)</f>
        <v>10.78575191576849</v>
      </c>
      <c r="H217" s="258" t="str">
        <f>IF('Bautzen 3. Schnitt 2020'!AL47=0,"",'Bautzen 3. Schnitt 2020'!AL47)</f>
        <v/>
      </c>
      <c r="I217" s="256">
        <f>IF('Bautzen 3. Schnitt 2020'!R47=0,"",'Bautzen 3. Schnitt 2020'!R47)</f>
        <v>10.78575191576849</v>
      </c>
      <c r="J217" s="256" t="str">
        <f>IF('Bautzen 3. Schnitt 2020'!AD47=0,"",'Bautzen 3. Schnitt 2020'!AD47)</f>
        <v/>
      </c>
      <c r="K217" s="256"/>
      <c r="L217" s="259">
        <f>'Bautzen 3. Schnitt 2020'!K47</f>
        <v>5.0584217926729416</v>
      </c>
    </row>
    <row r="218" spans="1:12" x14ac:dyDescent="0.3">
      <c r="A218" s="189" t="s">
        <v>111</v>
      </c>
      <c r="B218" s="190" t="s">
        <v>2</v>
      </c>
      <c r="C218" s="191" t="s">
        <v>112</v>
      </c>
      <c r="D218" s="192">
        <v>1</v>
      </c>
      <c r="E218" s="193">
        <v>44317</v>
      </c>
      <c r="F218" s="194">
        <f>'Struppen 1. Schnitt 2021'!AS12</f>
        <v>38.346226269750233</v>
      </c>
      <c r="G218" s="194" t="str" cm="1">
        <f t="array" ref="G218:G253">IF('Struppen 1. Schnitt 2021'!AR12:AR47=0,"",'Struppen 1. Schnitt 2021'!AR12:AR47)</f>
        <v/>
      </c>
      <c r="H218" s="194" cm="1">
        <f t="array" ref="H218:H253">IF('Struppen 1. Schnitt 2021'!AS12:AS47=0,"",'Struppen 1. Schnitt 2021'!AS12:AS47)</f>
        <v>38.346226269750233</v>
      </c>
      <c r="I218" s="194" t="str">
        <f>IF('Struppen 1. Schnitt 2021'!U12=0,"",'Struppen 1. Schnitt 2021'!U12)</f>
        <v/>
      </c>
      <c r="J218" s="194" t="str">
        <f>IF('Struppen 1. Schnitt 2021'!AK12=0,"",'Struppen 1. Schnitt 2021'!AK12)</f>
        <v/>
      </c>
      <c r="K218" s="194"/>
      <c r="L218" s="195">
        <f>'Struppen 1. Schnitt 2021'!M12</f>
        <v>49.420390885232656</v>
      </c>
    </row>
    <row r="219" spans="1:12" x14ac:dyDescent="0.3">
      <c r="A219" s="189" t="s">
        <v>111</v>
      </c>
      <c r="B219" s="190" t="s">
        <v>2</v>
      </c>
      <c r="C219" s="191" t="s">
        <v>113</v>
      </c>
      <c r="D219" s="192">
        <v>2</v>
      </c>
      <c r="E219" s="193">
        <v>44317</v>
      </c>
      <c r="F219" s="194">
        <f>'Struppen 1. Schnitt 2021'!AS13</f>
        <v>20.380571384363737</v>
      </c>
      <c r="G219" s="194">
        <v>52.487000080534763</v>
      </c>
      <c r="H219" s="194">
        <v>20.380571384363737</v>
      </c>
      <c r="I219" s="194" t="str">
        <f>IF('Struppen 1. Schnitt 2021'!U13=0,"",'Struppen 1. Schnitt 2021'!U13)</f>
        <v/>
      </c>
      <c r="J219" s="194">
        <f>IF('Struppen 1. Schnitt 2021'!AK13=0,"",'Struppen 1. Schnitt 2021'!AK13)</f>
        <v>52.487000080534763</v>
      </c>
      <c r="K219" s="194"/>
      <c r="L219" s="195">
        <f>'Struppen 1. Schnitt 2021'!M13</f>
        <v>87.732116076532492</v>
      </c>
    </row>
    <row r="220" spans="1:12" x14ac:dyDescent="0.3">
      <c r="A220" s="189" t="s">
        <v>111</v>
      </c>
      <c r="B220" s="196" t="s">
        <v>2</v>
      </c>
      <c r="C220" s="191" t="s">
        <v>114</v>
      </c>
      <c r="D220" s="192">
        <v>3</v>
      </c>
      <c r="E220" s="193">
        <v>44317</v>
      </c>
      <c r="F220" s="194">
        <f>'Struppen 1. Schnitt 2021'!AS14</f>
        <v>3.7811450976208256</v>
      </c>
      <c r="G220" s="194">
        <v>67.547263887563261</v>
      </c>
      <c r="H220" s="194">
        <v>3.7811450976208256</v>
      </c>
      <c r="I220" s="194" t="str">
        <f>IF('Struppen 1. Schnitt 2021'!U14=0,"",'Struppen 1. Schnitt 2021'!U14)</f>
        <v/>
      </c>
      <c r="J220" s="194">
        <f>IF('Struppen 1. Schnitt 2021'!AK14=0,"",'Struppen 1. Schnitt 2021'!AK14)</f>
        <v>67.547263887563261</v>
      </c>
      <c r="K220" s="194"/>
      <c r="L220" s="195">
        <f>'Struppen 1. Schnitt 2021'!M14</f>
        <v>58.541415040459135</v>
      </c>
    </row>
    <row r="221" spans="1:12" x14ac:dyDescent="0.3">
      <c r="A221" s="189" t="s">
        <v>111</v>
      </c>
      <c r="B221" s="190" t="s">
        <v>2</v>
      </c>
      <c r="C221" s="191" t="s">
        <v>115</v>
      </c>
      <c r="D221" s="192">
        <v>4</v>
      </c>
      <c r="E221" s="193">
        <v>44317</v>
      </c>
      <c r="F221" s="194">
        <f>'Struppen 1. Schnitt 2021'!AS15</f>
        <v>0.50764081632653058</v>
      </c>
      <c r="G221" s="194">
        <v>62.445025742207164</v>
      </c>
      <c r="H221" s="194">
        <v>0.50764081632653058</v>
      </c>
      <c r="I221" s="194" t="str">
        <f>IF('Struppen 1. Schnitt 2021'!U15=0,"",'Struppen 1. Schnitt 2021'!U15)</f>
        <v/>
      </c>
      <c r="J221" s="194">
        <f>IF('Struppen 1. Schnitt 2021'!AK15=0,"",'Struppen 1. Schnitt 2021'!AK15)</f>
        <v>62.445025742207164</v>
      </c>
      <c r="K221" s="194"/>
      <c r="L221" s="195">
        <f>'Struppen 1. Schnitt 2021'!M15</f>
        <v>91.547586609110496</v>
      </c>
    </row>
    <row r="222" spans="1:12" x14ac:dyDescent="0.3">
      <c r="A222" s="189" t="s">
        <v>111</v>
      </c>
      <c r="B222" s="190" t="s">
        <v>2</v>
      </c>
      <c r="C222" s="191" t="s">
        <v>116</v>
      </c>
      <c r="D222" s="192">
        <v>5</v>
      </c>
      <c r="E222" s="193">
        <v>44317</v>
      </c>
      <c r="F222" s="194">
        <f>'Struppen 1. Schnitt 2021'!AS16</f>
        <v>0</v>
      </c>
      <c r="G222" s="194">
        <v>47.40850106761566</v>
      </c>
      <c r="H222" s="194" t="str">
        <v/>
      </c>
      <c r="I222" s="194" t="str">
        <f>IF('Struppen 1. Schnitt 2021'!U16=0,"",'Struppen 1. Schnitt 2021'!U16)</f>
        <v/>
      </c>
      <c r="J222" s="194">
        <f>IF('Struppen 1. Schnitt 2021'!AK16=0,"",'Struppen 1. Schnitt 2021'!AK16)</f>
        <v>47.40850106761566</v>
      </c>
      <c r="K222" s="194"/>
      <c r="L222" s="195">
        <f>'Struppen 1. Schnitt 2021'!M16</f>
        <v>100.31693445222982</v>
      </c>
    </row>
    <row r="223" spans="1:12" x14ac:dyDescent="0.3">
      <c r="A223" s="189" t="s">
        <v>111</v>
      </c>
      <c r="B223" s="190" t="s">
        <v>2</v>
      </c>
      <c r="C223" s="191" t="s">
        <v>117</v>
      </c>
      <c r="D223" s="192">
        <v>6</v>
      </c>
      <c r="E223" s="193">
        <v>44317</v>
      </c>
      <c r="F223" s="194">
        <f>'Struppen 1. Schnitt 2021'!AS17</f>
        <v>34.410695863849966</v>
      </c>
      <c r="G223" s="194">
        <v>5.9066921421629868</v>
      </c>
      <c r="H223" s="194">
        <v>34.410695863849966</v>
      </c>
      <c r="I223" s="194">
        <f>IF('Struppen 1. Schnitt 2021'!U17=0,"",'Struppen 1. Schnitt 2021'!U17)</f>
        <v>5.9066921421629868</v>
      </c>
      <c r="J223" s="194" t="str">
        <f>IF('Struppen 1. Schnitt 2021'!AK17=0,"",'Struppen 1. Schnitt 2021'!AK17)</f>
        <v/>
      </c>
      <c r="K223" s="194"/>
      <c r="L223" s="195">
        <f>'Struppen 1. Schnitt 2021'!M17</f>
        <v>35.928619981960544</v>
      </c>
    </row>
    <row r="224" spans="1:12" x14ac:dyDescent="0.3">
      <c r="A224" s="189" t="s">
        <v>111</v>
      </c>
      <c r="B224" s="190" t="s">
        <v>2</v>
      </c>
      <c r="C224" s="191" t="s">
        <v>118</v>
      </c>
      <c r="D224" s="192">
        <v>7</v>
      </c>
      <c r="E224" s="193">
        <v>44317</v>
      </c>
      <c r="F224" s="194">
        <f>'Struppen 1. Schnitt 2021'!AS18</f>
        <v>27.917346502718189</v>
      </c>
      <c r="G224" s="194">
        <v>22.037060584260431</v>
      </c>
      <c r="H224" s="194">
        <v>27.917346502718189</v>
      </c>
      <c r="I224" s="194">
        <f>IF('Struppen 1. Schnitt 2021'!U18=0,"",'Struppen 1. Schnitt 2021'!U18)</f>
        <v>22.037060584260431</v>
      </c>
      <c r="J224" s="194" t="str">
        <f>IF('Struppen 1. Schnitt 2021'!AK18=0,"",'Struppen 1. Schnitt 2021'!AK18)</f>
        <v/>
      </c>
      <c r="K224" s="194"/>
      <c r="L224" s="195">
        <f>'Struppen 1. Schnitt 2021'!M18</f>
        <v>46.467181955629606</v>
      </c>
    </row>
    <row r="225" spans="1:12" x14ac:dyDescent="0.3">
      <c r="A225" s="189" t="s">
        <v>111</v>
      </c>
      <c r="B225" s="190" t="s">
        <v>2</v>
      </c>
      <c r="C225" s="191" t="s">
        <v>119</v>
      </c>
      <c r="D225" s="192">
        <v>8</v>
      </c>
      <c r="E225" s="193">
        <v>44317</v>
      </c>
      <c r="F225" s="194">
        <f>'Struppen 1. Schnitt 2021'!AS19</f>
        <v>15.241099885763246</v>
      </c>
      <c r="G225" s="194">
        <v>28.529307168526575</v>
      </c>
      <c r="H225" s="194">
        <v>15.241099885763246</v>
      </c>
      <c r="I225" s="194">
        <f>IF('Struppen 1. Schnitt 2021'!U19=0,"",'Struppen 1. Schnitt 2021'!U19)</f>
        <v>28.529307168526575</v>
      </c>
      <c r="J225" s="194" t="str">
        <f>IF('Struppen 1. Schnitt 2021'!AK19=0,"",'Struppen 1. Schnitt 2021'!AK19)</f>
        <v/>
      </c>
      <c r="K225" s="194"/>
      <c r="L225" s="195">
        <f>'Struppen 1. Schnitt 2021'!M19</f>
        <v>31.428278362836558</v>
      </c>
    </row>
    <row r="226" spans="1:12" x14ac:dyDescent="0.3">
      <c r="A226" s="189" t="s">
        <v>111</v>
      </c>
      <c r="B226" s="197" t="s">
        <v>2</v>
      </c>
      <c r="C226" s="191" t="s">
        <v>120</v>
      </c>
      <c r="D226" s="198">
        <v>9</v>
      </c>
      <c r="E226" s="193">
        <v>44317</v>
      </c>
      <c r="F226" s="194">
        <f>'Struppen 1. Schnitt 2021'!AS20</f>
        <v>0</v>
      </c>
      <c r="G226" s="194">
        <v>29.132952708601835</v>
      </c>
      <c r="H226" s="194" t="str">
        <v/>
      </c>
      <c r="I226" s="194">
        <f>IF('Struppen 1. Schnitt 2021'!U20=0,"",'Struppen 1. Schnitt 2021'!U20)</f>
        <v>29.132952708601835</v>
      </c>
      <c r="J226" s="194" t="str">
        <f>IF('Struppen 1. Schnitt 2021'!AK20=0,"",'Struppen 1. Schnitt 2021'!AK20)</f>
        <v/>
      </c>
      <c r="K226" s="194"/>
      <c r="L226" s="195">
        <f>'Struppen 1. Schnitt 2021'!M20</f>
        <v>29.018023108842161</v>
      </c>
    </row>
    <row r="227" spans="1:12" x14ac:dyDescent="0.3">
      <c r="A227" s="189" t="s">
        <v>111</v>
      </c>
      <c r="B227" s="190" t="s">
        <v>9</v>
      </c>
      <c r="C227" s="191" t="s">
        <v>112</v>
      </c>
      <c r="D227" s="192">
        <v>1</v>
      </c>
      <c r="E227" s="193">
        <v>44317</v>
      </c>
      <c r="F227" s="194">
        <f>'Struppen 1. Schnitt 2021'!AS21</f>
        <v>62.172479261987107</v>
      </c>
      <c r="G227" s="194" t="str">
        <v/>
      </c>
      <c r="H227" s="194">
        <v>62.172479261987107</v>
      </c>
      <c r="I227" s="194" t="str">
        <f>IF('Struppen 1. Schnitt 2021'!U21=0,"",'Struppen 1. Schnitt 2021'!U21)</f>
        <v/>
      </c>
      <c r="J227" s="194" t="str">
        <f>IF('Struppen 1. Schnitt 2021'!AK21=0,"",'Struppen 1. Schnitt 2021'!AK21)</f>
        <v/>
      </c>
      <c r="K227" s="194"/>
      <c r="L227" s="195">
        <f>'Struppen 1. Schnitt 2021'!M21</f>
        <v>63.104861601070255</v>
      </c>
    </row>
    <row r="228" spans="1:12" x14ac:dyDescent="0.3">
      <c r="A228" s="189" t="s">
        <v>111</v>
      </c>
      <c r="B228" s="190" t="s">
        <v>9</v>
      </c>
      <c r="C228" s="191" t="s">
        <v>113</v>
      </c>
      <c r="D228" s="192">
        <v>2</v>
      </c>
      <c r="E228" s="193">
        <v>44317</v>
      </c>
      <c r="F228" s="194">
        <f>'Struppen 1. Schnitt 2021'!AS22</f>
        <v>26.04540471108848</v>
      </c>
      <c r="G228" s="194">
        <v>51.015097515149918</v>
      </c>
      <c r="H228" s="194">
        <v>26.04540471108848</v>
      </c>
      <c r="I228" s="194" t="str">
        <f>IF('Struppen 1. Schnitt 2021'!U22=0,"",'Struppen 1. Schnitt 2021'!U22)</f>
        <v/>
      </c>
      <c r="J228" s="194">
        <f>IF('Struppen 1. Schnitt 2021'!AK22=0,"",'Struppen 1. Schnitt 2021'!AK22)</f>
        <v>51.015097515149918</v>
      </c>
      <c r="K228" s="194"/>
      <c r="L228" s="195">
        <f>'Struppen 1. Schnitt 2021'!M22</f>
        <v>44.867106956941669</v>
      </c>
    </row>
    <row r="229" spans="1:12" x14ac:dyDescent="0.3">
      <c r="A229" s="189" t="s">
        <v>111</v>
      </c>
      <c r="B229" s="190" t="s">
        <v>9</v>
      </c>
      <c r="C229" s="191" t="s">
        <v>114</v>
      </c>
      <c r="D229" s="192">
        <v>3</v>
      </c>
      <c r="E229" s="193">
        <v>44317</v>
      </c>
      <c r="F229" s="194">
        <f>'Struppen 1. Schnitt 2021'!AS23</f>
        <v>10.794419359258955</v>
      </c>
      <c r="G229" s="194">
        <v>55.137833118776769</v>
      </c>
      <c r="H229" s="194">
        <v>10.794419359258955</v>
      </c>
      <c r="I229" s="194" t="str">
        <f>IF('Struppen 1. Schnitt 2021'!U23=0,"",'Struppen 1. Schnitt 2021'!U23)</f>
        <v/>
      </c>
      <c r="J229" s="194">
        <f>IF('Struppen 1. Schnitt 2021'!AK23=0,"",'Struppen 1. Schnitt 2021'!AK23)</f>
        <v>55.137833118776769</v>
      </c>
      <c r="K229" s="194"/>
      <c r="L229" s="195">
        <f>'Struppen 1. Schnitt 2021'!M23</f>
        <v>81.692973963815362</v>
      </c>
    </row>
    <row r="230" spans="1:12" x14ac:dyDescent="0.3">
      <c r="A230" s="189" t="s">
        <v>111</v>
      </c>
      <c r="B230" s="190" t="s">
        <v>9</v>
      </c>
      <c r="C230" s="191" t="s">
        <v>115</v>
      </c>
      <c r="D230" s="192">
        <v>4</v>
      </c>
      <c r="E230" s="193">
        <v>44317</v>
      </c>
      <c r="F230" s="194">
        <f>'Struppen 1. Schnitt 2021'!AS24</f>
        <v>0.86283568728864135</v>
      </c>
      <c r="G230" s="194">
        <v>75.049879251062777</v>
      </c>
      <c r="H230" s="194">
        <v>0.86283568728864135</v>
      </c>
      <c r="I230" s="194" t="str">
        <f>IF('Struppen 1. Schnitt 2021'!U24=0,"",'Struppen 1. Schnitt 2021'!U24)</f>
        <v/>
      </c>
      <c r="J230" s="194">
        <f>IF('Struppen 1. Schnitt 2021'!AK24=0,"",'Struppen 1. Schnitt 2021'!AK24)</f>
        <v>75.049879251062777</v>
      </c>
      <c r="K230" s="194"/>
      <c r="L230" s="195">
        <f>'Struppen 1. Schnitt 2021'!M24</f>
        <v>82.154409591003983</v>
      </c>
    </row>
    <row r="231" spans="1:12" x14ac:dyDescent="0.3">
      <c r="A231" s="189" t="s">
        <v>111</v>
      </c>
      <c r="B231" s="196" t="s">
        <v>9</v>
      </c>
      <c r="C231" s="191" t="s">
        <v>116</v>
      </c>
      <c r="D231" s="192">
        <v>5</v>
      </c>
      <c r="E231" s="193">
        <v>44317</v>
      </c>
      <c r="F231" s="194">
        <f>'Struppen 1. Schnitt 2021'!AS25</f>
        <v>0</v>
      </c>
      <c r="G231" s="194">
        <v>65.122044666364047</v>
      </c>
      <c r="H231" s="194" t="str">
        <v/>
      </c>
      <c r="I231" s="194" t="str">
        <f>IF('Struppen 1. Schnitt 2021'!U25=0,"",'Struppen 1. Schnitt 2021'!U25)</f>
        <v/>
      </c>
      <c r="J231" s="194">
        <f>IF('Struppen 1. Schnitt 2021'!AK25=0,"",'Struppen 1. Schnitt 2021'!AK25)</f>
        <v>65.122044666364047</v>
      </c>
      <c r="K231" s="194"/>
      <c r="L231" s="195">
        <f>'Struppen 1. Schnitt 2021'!M25</f>
        <v>81.037593644163053</v>
      </c>
    </row>
    <row r="232" spans="1:12" x14ac:dyDescent="0.3">
      <c r="A232" s="189" t="s">
        <v>111</v>
      </c>
      <c r="B232" s="190" t="s">
        <v>9</v>
      </c>
      <c r="C232" s="191" t="s">
        <v>117</v>
      </c>
      <c r="D232" s="192">
        <v>6</v>
      </c>
      <c r="E232" s="193">
        <v>44317</v>
      </c>
      <c r="F232" s="194">
        <f>'Struppen 1. Schnitt 2021'!AS26</f>
        <v>50.14629550690448</v>
      </c>
      <c r="G232" s="194">
        <v>6.1065644740155598</v>
      </c>
      <c r="H232" s="194">
        <v>50.14629550690448</v>
      </c>
      <c r="I232" s="194">
        <f>IF('Struppen 1. Schnitt 2021'!U26=0,"",'Struppen 1. Schnitt 2021'!U26)</f>
        <v>6.1065644740155598</v>
      </c>
      <c r="J232" s="194" t="str">
        <f>IF('Struppen 1. Schnitt 2021'!AK26=0,"",'Struppen 1. Schnitt 2021'!AK26)</f>
        <v/>
      </c>
      <c r="K232" s="194"/>
      <c r="L232" s="195">
        <f>'Struppen 1. Schnitt 2021'!M26</f>
        <v>58.255451631711466</v>
      </c>
    </row>
    <row r="233" spans="1:12" x14ac:dyDescent="0.3">
      <c r="A233" s="189" t="s">
        <v>111</v>
      </c>
      <c r="B233" s="190" t="s">
        <v>9</v>
      </c>
      <c r="C233" s="191" t="s">
        <v>118</v>
      </c>
      <c r="D233" s="192">
        <v>7</v>
      </c>
      <c r="E233" s="193">
        <v>44317</v>
      </c>
      <c r="F233" s="194">
        <f>'Struppen 1. Schnitt 2021'!AS27</f>
        <v>21.948227872911083</v>
      </c>
      <c r="G233" s="194">
        <v>16.10694606666404</v>
      </c>
      <c r="H233" s="194">
        <v>21.948227872911083</v>
      </c>
      <c r="I233" s="194">
        <f>IF('Struppen 1. Schnitt 2021'!U27=0,"",'Struppen 1. Schnitt 2021'!U27)</f>
        <v>16.10694606666404</v>
      </c>
      <c r="J233" s="194" t="str">
        <f>IF('Struppen 1. Schnitt 2021'!AK27=0,"",'Struppen 1. Schnitt 2021'!AK27)</f>
        <v/>
      </c>
      <c r="K233" s="194"/>
      <c r="L233" s="195">
        <f>'Struppen 1. Schnitt 2021'!M27</f>
        <v>48.938682999737466</v>
      </c>
    </row>
    <row r="234" spans="1:12" x14ac:dyDescent="0.3">
      <c r="A234" s="189" t="s">
        <v>111</v>
      </c>
      <c r="B234" s="190" t="s">
        <v>9</v>
      </c>
      <c r="C234" s="191" t="s">
        <v>119</v>
      </c>
      <c r="D234" s="192">
        <v>8</v>
      </c>
      <c r="E234" s="193">
        <v>44317</v>
      </c>
      <c r="F234" s="194">
        <f>'Struppen 1. Schnitt 2021'!AS28</f>
        <v>15.61865520002066</v>
      </c>
      <c r="G234" s="194">
        <v>26.879224332283954</v>
      </c>
      <c r="H234" s="194">
        <v>15.61865520002066</v>
      </c>
      <c r="I234" s="194">
        <f>IF('Struppen 1. Schnitt 2021'!U28=0,"",'Struppen 1. Schnitt 2021'!U28)</f>
        <v>26.879224332283954</v>
      </c>
      <c r="J234" s="194" t="str">
        <f>IF('Struppen 1. Schnitt 2021'!AK28=0,"",'Struppen 1. Schnitt 2021'!AK28)</f>
        <v/>
      </c>
      <c r="K234" s="194"/>
      <c r="L234" s="195">
        <f>'Struppen 1. Schnitt 2021'!M28</f>
        <v>43.027447112527341</v>
      </c>
    </row>
    <row r="235" spans="1:12" x14ac:dyDescent="0.3">
      <c r="A235" s="189" t="s">
        <v>111</v>
      </c>
      <c r="B235" s="197" t="s">
        <v>9</v>
      </c>
      <c r="C235" s="191" t="s">
        <v>120</v>
      </c>
      <c r="D235" s="198">
        <v>9</v>
      </c>
      <c r="E235" s="193">
        <v>44317</v>
      </c>
      <c r="F235" s="194">
        <f>'Struppen 1. Schnitt 2021'!AS29</f>
        <v>0</v>
      </c>
      <c r="G235" s="194">
        <v>25.845528812990992</v>
      </c>
      <c r="H235" s="194" t="str">
        <v/>
      </c>
      <c r="I235" s="194">
        <f>IF('Struppen 1. Schnitt 2021'!U29=0,"",'Struppen 1. Schnitt 2021'!U29)</f>
        <v>25.845528812990992</v>
      </c>
      <c r="J235" s="194" t="str">
        <f>IF('Struppen 1. Schnitt 2021'!AK29=0,"",'Struppen 1. Schnitt 2021'!AK29)</f>
        <v/>
      </c>
      <c r="K235" s="194"/>
      <c r="L235" s="195">
        <f>'Struppen 1. Schnitt 2021'!M29</f>
        <v>32.36953340677735</v>
      </c>
    </row>
    <row r="236" spans="1:12" x14ac:dyDescent="0.3">
      <c r="A236" s="189" t="s">
        <v>111</v>
      </c>
      <c r="B236" s="190" t="s">
        <v>10</v>
      </c>
      <c r="C236" s="191" t="s">
        <v>112</v>
      </c>
      <c r="D236" s="192">
        <v>1</v>
      </c>
      <c r="E236" s="193">
        <v>44317</v>
      </c>
      <c r="F236" s="194">
        <f>'Struppen 1. Schnitt 2021'!AS30</f>
        <v>52.034886614135722</v>
      </c>
      <c r="G236" s="194" t="str">
        <v/>
      </c>
      <c r="H236" s="194">
        <v>52.034886614135722</v>
      </c>
      <c r="I236" s="194" t="str">
        <f>IF('Struppen 1. Schnitt 2021'!U30=0,"",'Struppen 1. Schnitt 2021'!U30)</f>
        <v/>
      </c>
      <c r="J236" s="194" t="str">
        <f>IF('Struppen 1. Schnitt 2021'!AK30=0,"",'Struppen 1. Schnitt 2021'!AK30)</f>
        <v/>
      </c>
      <c r="K236" s="194"/>
      <c r="L236" s="195">
        <f>'Struppen 1. Schnitt 2021'!M30</f>
        <v>50.057948785143715</v>
      </c>
    </row>
    <row r="237" spans="1:12" x14ac:dyDescent="0.3">
      <c r="A237" s="189" t="s">
        <v>111</v>
      </c>
      <c r="B237" s="190" t="s">
        <v>10</v>
      </c>
      <c r="C237" s="191" t="s">
        <v>113</v>
      </c>
      <c r="D237" s="192">
        <v>2</v>
      </c>
      <c r="E237" s="193">
        <v>44317</v>
      </c>
      <c r="F237" s="194">
        <f>'Struppen 1. Schnitt 2021'!AS31</f>
        <v>22.625925236988017</v>
      </c>
      <c r="G237" s="194">
        <v>52.501316168000251</v>
      </c>
      <c r="H237" s="194">
        <v>22.625925236988017</v>
      </c>
      <c r="I237" s="194" t="str">
        <f>IF('Struppen 1. Schnitt 2021'!U31=0,"",'Struppen 1. Schnitt 2021'!U31)</f>
        <v/>
      </c>
      <c r="J237" s="194">
        <f>IF('Struppen 1. Schnitt 2021'!AK31=0,"",'Struppen 1. Schnitt 2021'!AK31)</f>
        <v>52.501316168000251</v>
      </c>
      <c r="K237" s="194"/>
      <c r="L237" s="195">
        <f>'Struppen 1. Schnitt 2021'!M31</f>
        <v>67.343495934959336</v>
      </c>
    </row>
    <row r="238" spans="1:12" x14ac:dyDescent="0.3">
      <c r="A238" s="189" t="s">
        <v>111</v>
      </c>
      <c r="B238" s="190" t="s">
        <v>10</v>
      </c>
      <c r="C238" s="191" t="s">
        <v>114</v>
      </c>
      <c r="D238" s="192">
        <v>3</v>
      </c>
      <c r="E238" s="193">
        <v>44317</v>
      </c>
      <c r="F238" s="194">
        <f>'Struppen 1. Schnitt 2021'!AS32</f>
        <v>14.228502206177295</v>
      </c>
      <c r="G238" s="194">
        <v>55.346319402738366</v>
      </c>
      <c r="H238" s="194">
        <v>14.228502206177295</v>
      </c>
      <c r="I238" s="194" t="str">
        <f>IF('Struppen 1. Schnitt 2021'!U32=0,"",'Struppen 1. Schnitt 2021'!U32)</f>
        <v/>
      </c>
      <c r="J238" s="194">
        <f>IF('Struppen 1. Schnitt 2021'!AK32=0,"",'Struppen 1. Schnitt 2021'!AK32)</f>
        <v>55.346319402738366</v>
      </c>
      <c r="K238" s="194"/>
      <c r="L238" s="195">
        <f>'Struppen 1. Schnitt 2021'!M32</f>
        <v>79.480898016384586</v>
      </c>
    </row>
    <row r="239" spans="1:12" x14ac:dyDescent="0.3">
      <c r="A239" s="189" t="s">
        <v>111</v>
      </c>
      <c r="B239" s="190" t="s">
        <v>10</v>
      </c>
      <c r="C239" s="191" t="s">
        <v>115</v>
      </c>
      <c r="D239" s="192">
        <v>4</v>
      </c>
      <c r="E239" s="193">
        <v>44317</v>
      </c>
      <c r="F239" s="194">
        <f>'Struppen 1. Schnitt 2021'!AS33</f>
        <v>0</v>
      </c>
      <c r="G239" s="194">
        <v>71.300489899928323</v>
      </c>
      <c r="H239" s="194" t="str">
        <v/>
      </c>
      <c r="I239" s="194" t="str">
        <f>IF('Struppen 1. Schnitt 2021'!U33=0,"",'Struppen 1. Schnitt 2021'!U33)</f>
        <v/>
      </c>
      <c r="J239" s="194">
        <f>IF('Struppen 1. Schnitt 2021'!AK33=0,"",'Struppen 1. Schnitt 2021'!AK33)</f>
        <v>71.300489899928323</v>
      </c>
      <c r="K239" s="194"/>
      <c r="L239" s="195">
        <f>'Struppen 1. Schnitt 2021'!M33</f>
        <v>41.754839323869767</v>
      </c>
    </row>
    <row r="240" spans="1:12" x14ac:dyDescent="0.3">
      <c r="A240" s="189" t="s">
        <v>111</v>
      </c>
      <c r="B240" s="190" t="s">
        <v>10</v>
      </c>
      <c r="C240" s="191" t="s">
        <v>116</v>
      </c>
      <c r="D240" s="192">
        <v>5</v>
      </c>
      <c r="E240" s="193">
        <v>44317</v>
      </c>
      <c r="F240" s="194">
        <f>'Struppen 1. Schnitt 2021'!AS34</f>
        <v>0</v>
      </c>
      <c r="G240" s="194">
        <v>63.127662705711508</v>
      </c>
      <c r="H240" s="194" t="str">
        <v/>
      </c>
      <c r="I240" s="194" t="str">
        <f>IF('Struppen 1. Schnitt 2021'!U34=0,"",'Struppen 1. Schnitt 2021'!U34)</f>
        <v/>
      </c>
      <c r="J240" s="194">
        <f>IF('Struppen 1. Schnitt 2021'!AK34=0,"",'Struppen 1. Schnitt 2021'!AK34)</f>
        <v>63.127662705711508</v>
      </c>
      <c r="K240" s="194"/>
      <c r="L240" s="195">
        <f>'Struppen 1. Schnitt 2021'!M34</f>
        <v>78.707297693549009</v>
      </c>
    </row>
    <row r="241" spans="1:12" x14ac:dyDescent="0.3">
      <c r="A241" s="189" t="s">
        <v>111</v>
      </c>
      <c r="B241" s="190" t="s">
        <v>10</v>
      </c>
      <c r="C241" s="191" t="s">
        <v>117</v>
      </c>
      <c r="D241" s="192">
        <v>6</v>
      </c>
      <c r="E241" s="193">
        <v>44317</v>
      </c>
      <c r="F241" s="194">
        <f>'Struppen 1. Schnitt 2021'!AS35</f>
        <v>34.696043037471433</v>
      </c>
      <c r="G241" s="194">
        <v>13.218408847836658</v>
      </c>
      <c r="H241" s="194">
        <v>34.696043037471433</v>
      </c>
      <c r="I241" s="194">
        <f>IF('Struppen 1. Schnitt 2021'!U35=0,"",'Struppen 1. Schnitt 2021'!U35)</f>
        <v>13.218408847836658</v>
      </c>
      <c r="J241" s="194" t="str">
        <f>IF('Struppen 1. Schnitt 2021'!AK35=0,"",'Struppen 1. Schnitt 2021'!AK35)</f>
        <v/>
      </c>
      <c r="K241" s="194"/>
      <c r="L241" s="195">
        <f>'Struppen 1. Schnitt 2021'!M35</f>
        <v>178.66604928133907</v>
      </c>
    </row>
    <row r="242" spans="1:12" x14ac:dyDescent="0.3">
      <c r="A242" s="189" t="s">
        <v>111</v>
      </c>
      <c r="B242" s="196" t="s">
        <v>10</v>
      </c>
      <c r="C242" s="191" t="s">
        <v>118</v>
      </c>
      <c r="D242" s="192">
        <v>7</v>
      </c>
      <c r="E242" s="193">
        <v>44317</v>
      </c>
      <c r="F242" s="194">
        <f>'Struppen 1. Schnitt 2021'!AS36</f>
        <v>36.065262740955909</v>
      </c>
      <c r="G242" s="194">
        <v>16.974868493424673</v>
      </c>
      <c r="H242" s="194">
        <v>36.065262740955909</v>
      </c>
      <c r="I242" s="194">
        <f>IF('Struppen 1. Schnitt 2021'!U36=0,"",'Struppen 1. Schnitt 2021'!U36)</f>
        <v>16.974868493424673</v>
      </c>
      <c r="J242" s="194" t="str">
        <f>IF('Struppen 1. Schnitt 2021'!AK36=0,"",'Struppen 1. Schnitt 2021'!AK36)</f>
        <v/>
      </c>
      <c r="K242" s="194"/>
      <c r="L242" s="195">
        <f>'Struppen 1. Schnitt 2021'!M36</f>
        <v>69.549613611103865</v>
      </c>
    </row>
    <row r="243" spans="1:12" x14ac:dyDescent="0.3">
      <c r="A243" s="189" t="s">
        <v>111</v>
      </c>
      <c r="B243" s="190" t="s">
        <v>10</v>
      </c>
      <c r="C243" s="191" t="s">
        <v>119</v>
      </c>
      <c r="D243" s="192">
        <v>8</v>
      </c>
      <c r="E243" s="193">
        <v>44317</v>
      </c>
      <c r="F243" s="194">
        <f>'Struppen 1. Schnitt 2021'!AS37</f>
        <v>7.7483876352624002</v>
      </c>
      <c r="G243" s="194">
        <v>23.345572996287398</v>
      </c>
      <c r="H243" s="194">
        <v>7.7483876352624002</v>
      </c>
      <c r="I243" s="194">
        <f>IF('Struppen 1. Schnitt 2021'!U37=0,"",'Struppen 1. Schnitt 2021'!U37)</f>
        <v>23.345572996287398</v>
      </c>
      <c r="J243" s="194" t="str">
        <f>IF('Struppen 1. Schnitt 2021'!AK37=0,"",'Struppen 1. Schnitt 2021'!AK37)</f>
        <v/>
      </c>
      <c r="K243" s="194"/>
      <c r="L243" s="195">
        <f>'Struppen 1. Schnitt 2021'!M37</f>
        <v>83.909813043096619</v>
      </c>
    </row>
    <row r="244" spans="1:12" x14ac:dyDescent="0.3">
      <c r="A244" s="189" t="s">
        <v>111</v>
      </c>
      <c r="B244" s="197" t="s">
        <v>10</v>
      </c>
      <c r="C244" s="191" t="s">
        <v>120</v>
      </c>
      <c r="D244" s="198">
        <v>9</v>
      </c>
      <c r="E244" s="193">
        <v>44317</v>
      </c>
      <c r="F244" s="194">
        <f>'Struppen 1. Schnitt 2021'!AS38</f>
        <v>0</v>
      </c>
      <c r="G244" s="194">
        <v>25.692284127972126</v>
      </c>
      <c r="H244" s="194" t="str">
        <v/>
      </c>
      <c r="I244" s="194">
        <f>IF('Struppen 1. Schnitt 2021'!U38=0,"",'Struppen 1. Schnitt 2021'!U38)</f>
        <v>25.692284127972126</v>
      </c>
      <c r="J244" s="194" t="str">
        <f>IF('Struppen 1. Schnitt 2021'!AK38=0,"",'Struppen 1. Schnitt 2021'!AK38)</f>
        <v/>
      </c>
      <c r="K244" s="194"/>
      <c r="L244" s="195">
        <f>'Struppen 1. Schnitt 2021'!M38</f>
        <v>40.796758780527142</v>
      </c>
    </row>
    <row r="245" spans="1:12" x14ac:dyDescent="0.3">
      <c r="A245" s="189" t="s">
        <v>111</v>
      </c>
      <c r="B245" s="190" t="s">
        <v>11</v>
      </c>
      <c r="C245" s="191" t="s">
        <v>112</v>
      </c>
      <c r="D245" s="192">
        <v>1</v>
      </c>
      <c r="E245" s="193">
        <v>44317</v>
      </c>
      <c r="F245" s="194">
        <f>'Struppen 1. Schnitt 2021'!AS39</f>
        <v>51.457358035910595</v>
      </c>
      <c r="G245" s="194" t="str">
        <v/>
      </c>
      <c r="H245" s="194">
        <v>51.457358035910595</v>
      </c>
      <c r="I245" s="194" t="str">
        <f>IF('Struppen 1. Schnitt 2021'!U39=0,"",'Struppen 1. Schnitt 2021'!U39)</f>
        <v/>
      </c>
      <c r="J245" s="194" t="str">
        <f>IF('Struppen 1. Schnitt 2021'!AK39=0,"",'Struppen 1. Schnitt 2021'!AK39)</f>
        <v/>
      </c>
      <c r="K245" s="194"/>
      <c r="L245" s="195">
        <f>'Struppen 1. Schnitt 2021'!M39</f>
        <v>68.064652214334529</v>
      </c>
    </row>
    <row r="246" spans="1:12" x14ac:dyDescent="0.3">
      <c r="A246" s="189" t="s">
        <v>111</v>
      </c>
      <c r="B246" s="190" t="s">
        <v>11</v>
      </c>
      <c r="C246" s="191" t="s">
        <v>113</v>
      </c>
      <c r="D246" s="192">
        <v>2</v>
      </c>
      <c r="E246" s="193">
        <v>44317</v>
      </c>
      <c r="F246" s="194">
        <f>'Struppen 1. Schnitt 2021'!AS40</f>
        <v>24.933034297367445</v>
      </c>
      <c r="G246" s="194">
        <v>50.543464403973509</v>
      </c>
      <c r="H246" s="194">
        <v>24.933034297367445</v>
      </c>
      <c r="I246" s="194" t="str">
        <f>IF('Struppen 1. Schnitt 2021'!U40=0,"",'Struppen 1. Schnitt 2021'!U40)</f>
        <v/>
      </c>
      <c r="J246" s="194">
        <f>IF('Struppen 1. Schnitt 2021'!AK40=0,"",'Struppen 1. Schnitt 2021'!AK40)</f>
        <v>50.543464403973509</v>
      </c>
      <c r="K246" s="194"/>
      <c r="L246" s="195">
        <f>'Struppen 1. Schnitt 2021'!M40</f>
        <v>111.96928246430207</v>
      </c>
    </row>
    <row r="247" spans="1:12" x14ac:dyDescent="0.3">
      <c r="A247" s="189" t="s">
        <v>111</v>
      </c>
      <c r="B247" s="190" t="s">
        <v>11</v>
      </c>
      <c r="C247" s="191" t="s">
        <v>114</v>
      </c>
      <c r="D247" s="192">
        <v>3</v>
      </c>
      <c r="E247" s="193">
        <v>44317</v>
      </c>
      <c r="F247" s="194">
        <f>'Struppen 1. Schnitt 2021'!AS41</f>
        <v>2.084524701167692</v>
      </c>
      <c r="G247" s="194">
        <v>46.707948152007027</v>
      </c>
      <c r="H247" s="194">
        <v>2.084524701167692</v>
      </c>
      <c r="I247" s="194" t="str">
        <f>IF('Struppen 1. Schnitt 2021'!U41=0,"",'Struppen 1. Schnitt 2021'!U41)</f>
        <v/>
      </c>
      <c r="J247" s="194">
        <f>IF('Struppen 1. Schnitt 2021'!AK41=0,"",'Struppen 1. Schnitt 2021'!AK41)</f>
        <v>46.707948152007027</v>
      </c>
      <c r="K247" s="194"/>
      <c r="L247" s="195">
        <f>'Struppen 1. Schnitt 2021'!M41</f>
        <v>86.552095700055375</v>
      </c>
    </row>
    <row r="248" spans="1:12" x14ac:dyDescent="0.3">
      <c r="A248" s="189" t="s">
        <v>111</v>
      </c>
      <c r="B248" s="190" t="s">
        <v>11</v>
      </c>
      <c r="C248" s="191" t="s">
        <v>115</v>
      </c>
      <c r="D248" s="192">
        <v>4</v>
      </c>
      <c r="E248" s="193">
        <v>44317</v>
      </c>
      <c r="F248" s="194">
        <f>'Struppen 1. Schnitt 2021'!AS42</f>
        <v>1.2011741209563995</v>
      </c>
      <c r="G248" s="194">
        <v>102.09418474994503</v>
      </c>
      <c r="H248" s="194">
        <v>1.2011741209563995</v>
      </c>
      <c r="I248" s="194" t="str">
        <f>IF('Struppen 1. Schnitt 2021'!U42=0,"",'Struppen 1. Schnitt 2021'!U42)</f>
        <v/>
      </c>
      <c r="J248" s="194">
        <f>IF('Struppen 1. Schnitt 2021'!AK42=0,"",'Struppen 1. Schnitt 2021'!AK42)</f>
        <v>102.09418474994503</v>
      </c>
      <c r="K248" s="194"/>
      <c r="L248" s="195">
        <f>'Struppen 1. Schnitt 2021'!M42</f>
        <v>95.807465301465982</v>
      </c>
    </row>
    <row r="249" spans="1:12" x14ac:dyDescent="0.3">
      <c r="A249" s="189" t="s">
        <v>111</v>
      </c>
      <c r="B249" s="190" t="s">
        <v>11</v>
      </c>
      <c r="C249" s="191" t="s">
        <v>116</v>
      </c>
      <c r="D249" s="192">
        <v>5</v>
      </c>
      <c r="E249" s="193">
        <v>44317</v>
      </c>
      <c r="F249" s="194">
        <f>'Struppen 1. Schnitt 2021'!AS43</f>
        <v>0</v>
      </c>
      <c r="G249" s="194">
        <v>47.538924320670539</v>
      </c>
      <c r="H249" s="194" t="str">
        <v/>
      </c>
      <c r="I249" s="194" t="str">
        <f>IF('Struppen 1. Schnitt 2021'!U43=0,"",'Struppen 1. Schnitt 2021'!U43)</f>
        <v/>
      </c>
      <c r="J249" s="194">
        <f>IF('Struppen 1. Schnitt 2021'!AK43=0,"",'Struppen 1. Schnitt 2021'!AK43)</f>
        <v>47.538924320670539</v>
      </c>
      <c r="K249" s="194"/>
      <c r="L249" s="195">
        <f>'Struppen 1. Schnitt 2021'!M43</f>
        <v>57.221503581612069</v>
      </c>
    </row>
    <row r="250" spans="1:12" x14ac:dyDescent="0.3">
      <c r="A250" s="189" t="s">
        <v>111</v>
      </c>
      <c r="B250" s="190" t="s">
        <v>11</v>
      </c>
      <c r="C250" s="191" t="s">
        <v>117</v>
      </c>
      <c r="D250" s="192">
        <v>6</v>
      </c>
      <c r="E250" s="193">
        <v>44317</v>
      </c>
      <c r="F250" s="194">
        <f>'Struppen 1. Schnitt 2021'!AS44</f>
        <v>36.130099626401005</v>
      </c>
      <c r="G250" s="194">
        <v>12.964453794243219</v>
      </c>
      <c r="H250" s="194">
        <v>36.130099626401005</v>
      </c>
      <c r="I250" s="194">
        <f>IF('Struppen 1. Schnitt 2021'!U44=0,"",'Struppen 1. Schnitt 2021'!U44)</f>
        <v>12.964453794243219</v>
      </c>
      <c r="J250" s="194" t="str">
        <f>IF('Struppen 1. Schnitt 2021'!AK44=0,"",'Struppen 1. Schnitt 2021'!AK44)</f>
        <v/>
      </c>
      <c r="K250" s="194"/>
      <c r="L250" s="195">
        <f>'Struppen 1. Schnitt 2021'!M44</f>
        <v>60.85300524584332</v>
      </c>
    </row>
    <row r="251" spans="1:12" x14ac:dyDescent="0.3">
      <c r="A251" s="189" t="s">
        <v>111</v>
      </c>
      <c r="B251" s="190" t="s">
        <v>11</v>
      </c>
      <c r="C251" s="191" t="s">
        <v>118</v>
      </c>
      <c r="D251" s="192">
        <v>7</v>
      </c>
      <c r="E251" s="193">
        <v>44317</v>
      </c>
      <c r="F251" s="194">
        <f>'Struppen 1. Schnitt 2021'!AS45</f>
        <v>19.74709583069118</v>
      </c>
      <c r="G251" s="194">
        <v>26.5518648639536</v>
      </c>
      <c r="H251" s="194">
        <v>19.74709583069118</v>
      </c>
      <c r="I251" s="194">
        <f>IF('Struppen 1. Schnitt 2021'!U45=0,"",'Struppen 1. Schnitt 2021'!U45)</f>
        <v>26.5518648639536</v>
      </c>
      <c r="J251" s="194" t="str">
        <f>IF('Struppen 1. Schnitt 2021'!AK45=0,"",'Struppen 1. Schnitt 2021'!AK45)</f>
        <v/>
      </c>
      <c r="K251" s="194"/>
      <c r="L251" s="195">
        <f>'Struppen 1. Schnitt 2021'!M45</f>
        <v>47.953095361269192</v>
      </c>
    </row>
    <row r="252" spans="1:12" x14ac:dyDescent="0.3">
      <c r="A252" s="189" t="s">
        <v>111</v>
      </c>
      <c r="B252" s="190" t="s">
        <v>11</v>
      </c>
      <c r="C252" s="191" t="s">
        <v>119</v>
      </c>
      <c r="D252" s="192">
        <v>8</v>
      </c>
      <c r="E252" s="193">
        <v>44317</v>
      </c>
      <c r="F252" s="194">
        <f>'Struppen 1. Schnitt 2021'!AS46</f>
        <v>9.2254453959565641</v>
      </c>
      <c r="G252" s="194">
        <v>23.897050130969173</v>
      </c>
      <c r="H252" s="194">
        <v>9.2254453959565641</v>
      </c>
      <c r="I252" s="194">
        <f>IF('Struppen 1. Schnitt 2021'!U46=0,"",'Struppen 1. Schnitt 2021'!U46)</f>
        <v>23.897050130969173</v>
      </c>
      <c r="J252" s="194" t="str">
        <f>IF('Struppen 1. Schnitt 2021'!AK46=0,"",'Struppen 1. Schnitt 2021'!AK46)</f>
        <v/>
      </c>
      <c r="K252" s="194"/>
      <c r="L252" s="195">
        <f>'Struppen 1. Schnitt 2021'!M46</f>
        <v>45.451647751268247</v>
      </c>
    </row>
    <row r="253" spans="1:12" x14ac:dyDescent="0.3">
      <c r="A253" s="189" t="s">
        <v>111</v>
      </c>
      <c r="B253" s="190" t="s">
        <v>11</v>
      </c>
      <c r="C253" s="191" t="s">
        <v>120</v>
      </c>
      <c r="D253" s="192">
        <v>9</v>
      </c>
      <c r="E253" s="193">
        <v>44317</v>
      </c>
      <c r="F253" s="194">
        <f>'Struppen 1. Schnitt 2021'!AS47</f>
        <v>0</v>
      </c>
      <c r="G253" s="194">
        <v>27.699790177892659</v>
      </c>
      <c r="H253" s="194" t="str">
        <v/>
      </c>
      <c r="I253" s="194">
        <f>IF('Struppen 1. Schnitt 2021'!U47=0,"",'Struppen 1. Schnitt 2021'!U47)</f>
        <v>27.699790177892659</v>
      </c>
      <c r="J253" s="194" t="str">
        <f>IF('Struppen 1. Schnitt 2021'!AK47=0,"",'Struppen 1. Schnitt 2021'!AK47)</f>
        <v/>
      </c>
      <c r="K253" s="194"/>
      <c r="L253" s="195">
        <f>'Struppen 1. Schnitt 2021'!M47</f>
        <v>32.013495923235723</v>
      </c>
    </row>
    <row r="254" spans="1:12" x14ac:dyDescent="0.3">
      <c r="A254" s="199" t="s">
        <v>9</v>
      </c>
      <c r="B254" s="200" t="s">
        <v>2</v>
      </c>
      <c r="C254" s="201" t="s">
        <v>112</v>
      </c>
      <c r="D254" s="202">
        <v>1</v>
      </c>
      <c r="E254" s="203">
        <v>44319</v>
      </c>
      <c r="F254" s="204">
        <f>'Bautzen 1. Schnitt 2021'!AL12</f>
        <v>4.4809454265629549</v>
      </c>
      <c r="G254" s="205" t="str">
        <f>IF('Bautzen 1. Schnitt 2021'!AM12=0,"",'Bautzen 1. Schnitt 2021'!AM12)</f>
        <v/>
      </c>
      <c r="H254" s="205">
        <f>IF('Bautzen 1. Schnitt 2021'!AN12=0,"",'Bautzen 1. Schnitt 2021'!AN12)</f>
        <v>29.772904031522007</v>
      </c>
      <c r="I254" s="204" t="str">
        <f>IF('Bautzen 1. Schnitt 2021'!S12=0,"",'Bautzen 1. Schnitt 2021'!S12)</f>
        <v/>
      </c>
      <c r="J254" s="204" t="str">
        <f>IF('Bautzen 1. Schnitt 2021'!AG12=0,"",'Bautzen 1. Schnitt 2021'!AG12)</f>
        <v/>
      </c>
      <c r="K254" s="204"/>
      <c r="L254" s="206">
        <f>'Bautzen 1. Schnitt 2021'!K12</f>
        <v>51.612920112769224</v>
      </c>
    </row>
    <row r="255" spans="1:12" x14ac:dyDescent="0.3">
      <c r="A255" s="199" t="s">
        <v>9</v>
      </c>
      <c r="B255" s="200" t="s">
        <v>2</v>
      </c>
      <c r="C255" s="201" t="s">
        <v>113</v>
      </c>
      <c r="D255" s="202">
        <v>2</v>
      </c>
      <c r="E255" s="203">
        <v>44319</v>
      </c>
      <c r="F255" s="204">
        <f>'Bautzen 1. Schnitt 2021'!AL13</f>
        <v>1.1624127784783522</v>
      </c>
      <c r="G255" s="205">
        <f>IF('Bautzen 1. Schnitt 2021'!AM13=0,"",'Bautzen 1. Schnitt 2021'!AM13)</f>
        <v>22.275852386067207</v>
      </c>
      <c r="H255" s="205">
        <f>IF('Bautzen 1. Schnitt 2021'!AN13=0,"",'Bautzen 1. Schnitt 2021'!AN13)</f>
        <v>26.071128510414919</v>
      </c>
      <c r="I255" s="204" t="str">
        <f>IF('Bautzen 1. Schnitt 2021'!S13=0,"",'Bautzen 1. Schnitt 2021'!S13)</f>
        <v/>
      </c>
      <c r="J255" s="204">
        <f>IF('Bautzen 1. Schnitt 2021'!AG13=0,"",'Bautzen 1. Schnitt 2021'!AG13)</f>
        <v>22.275852386067207</v>
      </c>
      <c r="K255" s="204"/>
      <c r="L255" s="206">
        <f>'Bautzen 1. Schnitt 2021'!K13</f>
        <v>54.995736426440537</v>
      </c>
    </row>
    <row r="256" spans="1:12" x14ac:dyDescent="0.3">
      <c r="A256" s="199" t="s">
        <v>9</v>
      </c>
      <c r="B256" s="207" t="s">
        <v>2</v>
      </c>
      <c r="C256" s="201" t="s">
        <v>114</v>
      </c>
      <c r="D256" s="202">
        <v>3</v>
      </c>
      <c r="E256" s="203">
        <v>44319</v>
      </c>
      <c r="F256" s="204">
        <f>'Bautzen 1. Schnitt 2021'!AL14</f>
        <v>1.2753209494324047</v>
      </c>
      <c r="G256" s="205">
        <f>IF('Bautzen 1. Schnitt 2021'!AM14=0,"",'Bautzen 1. Schnitt 2021'!AM14)</f>
        <v>25.885978266437377</v>
      </c>
      <c r="H256" s="205">
        <f>IF('Bautzen 1. Schnitt 2021'!AN14=0,"",'Bautzen 1. Schnitt 2021'!AN14)</f>
        <v>10.997344911615675</v>
      </c>
      <c r="I256" s="204" t="str">
        <f>IF('Bautzen 1. Schnitt 2021'!S14=0,"",'Bautzen 1. Schnitt 2021'!S14)</f>
        <v/>
      </c>
      <c r="J256" s="204">
        <f>IF('Bautzen 1. Schnitt 2021'!AG14=0,"",'Bautzen 1. Schnitt 2021'!AG14)</f>
        <v>25.885978266437377</v>
      </c>
      <c r="K256" s="204"/>
      <c r="L256" s="206">
        <f>'Bautzen 1. Schnitt 2021'!K14</f>
        <v>66.14766035907121</v>
      </c>
    </row>
    <row r="257" spans="1:12" x14ac:dyDescent="0.3">
      <c r="A257" s="199" t="s">
        <v>9</v>
      </c>
      <c r="B257" s="200" t="s">
        <v>2</v>
      </c>
      <c r="C257" s="201" t="s">
        <v>115</v>
      </c>
      <c r="D257" s="202">
        <v>4</v>
      </c>
      <c r="E257" s="203">
        <v>44319</v>
      </c>
      <c r="F257" s="204">
        <f>'Bautzen 1. Schnitt 2021'!AL15</f>
        <v>0.88569217970049918</v>
      </c>
      <c r="G257" s="205">
        <f>IF('Bautzen 1. Schnitt 2021'!AM15=0,"",'Bautzen 1. Schnitt 2021'!AM15)</f>
        <v>19.525884279207183</v>
      </c>
      <c r="H257" s="205">
        <f>IF('Bautzen 1. Schnitt 2021'!AN15=0,"",'Bautzen 1. Schnitt 2021'!AN15)</f>
        <v>5.5706303710199281</v>
      </c>
      <c r="I257" s="204" t="str">
        <f>IF('Bautzen 1. Schnitt 2021'!S15=0,"",'Bautzen 1. Schnitt 2021'!S15)</f>
        <v/>
      </c>
      <c r="J257" s="204">
        <f>IF('Bautzen 1. Schnitt 2021'!AG15=0,"",'Bautzen 1. Schnitt 2021'!AG15)</f>
        <v>19.525884279207183</v>
      </c>
      <c r="K257" s="204"/>
      <c r="L257" s="206">
        <f>'Bautzen 1. Schnitt 2021'!K15</f>
        <v>44.435495615284765</v>
      </c>
    </row>
    <row r="258" spans="1:12" x14ac:dyDescent="0.3">
      <c r="A258" s="199" t="s">
        <v>9</v>
      </c>
      <c r="B258" s="200" t="s">
        <v>2</v>
      </c>
      <c r="C258" s="201" t="s">
        <v>116</v>
      </c>
      <c r="D258" s="202">
        <v>5</v>
      </c>
      <c r="E258" s="203">
        <v>44319</v>
      </c>
      <c r="F258" s="204">
        <f>'Bautzen 1. Schnitt 2021'!AL16</f>
        <v>1.0312880161127898</v>
      </c>
      <c r="G258" s="205">
        <f>IF('Bautzen 1. Schnitt 2021'!AM16=0,"",'Bautzen 1. Schnitt 2021'!AM16)</f>
        <v>31.207665103279901</v>
      </c>
      <c r="H258" s="205" t="str">
        <f>IF('Bautzen 1. Schnitt 2021'!AN16=0,"",'Bautzen 1. Schnitt 2021'!AN16)</f>
        <v/>
      </c>
      <c r="I258" s="204" t="str">
        <f>IF('Bautzen 1. Schnitt 2021'!S16=0,"",'Bautzen 1. Schnitt 2021'!S16)</f>
        <v/>
      </c>
      <c r="J258" s="204">
        <f>IF('Bautzen 1. Schnitt 2021'!AG16=0,"",'Bautzen 1. Schnitt 2021'!AG16)</f>
        <v>31.207665103279901</v>
      </c>
      <c r="K258" s="204"/>
      <c r="L258" s="206">
        <f>'Bautzen 1. Schnitt 2021'!K16</f>
        <v>43.389902173704115</v>
      </c>
    </row>
    <row r="259" spans="1:12" x14ac:dyDescent="0.3">
      <c r="A259" s="199" t="s">
        <v>9</v>
      </c>
      <c r="B259" s="200" t="s">
        <v>2</v>
      </c>
      <c r="C259" s="201" t="s">
        <v>117</v>
      </c>
      <c r="D259" s="202">
        <v>6</v>
      </c>
      <c r="E259" s="203">
        <v>44319</v>
      </c>
      <c r="F259" s="204">
        <f>'Bautzen 1. Schnitt 2021'!AL17</f>
        <v>3.9822979103656873</v>
      </c>
      <c r="G259" s="205">
        <f>IF('Bautzen 1. Schnitt 2021'!AM17=0,"",'Bautzen 1. Schnitt 2021'!AM17)</f>
        <v>4.203171463842506</v>
      </c>
      <c r="H259" s="205">
        <f>IF('Bautzen 1. Schnitt 2021'!AN17=0,"",'Bautzen 1. Schnitt 2021'!AN17)</f>
        <v>20.0994543288075</v>
      </c>
      <c r="I259" s="204">
        <f>IF('Bautzen 1. Schnitt 2021'!S17=0,"",'Bautzen 1. Schnitt 2021'!S17)</f>
        <v>4.203171463842506</v>
      </c>
      <c r="J259" s="204" t="str">
        <f>IF('Bautzen 1. Schnitt 2021'!AG17=0,"",'Bautzen 1. Schnitt 2021'!AG17)</f>
        <v/>
      </c>
      <c r="K259" s="204"/>
      <c r="L259" s="206">
        <f>'Bautzen 1. Schnitt 2021'!K17</f>
        <v>40.640788362880684</v>
      </c>
    </row>
    <row r="260" spans="1:12" x14ac:dyDescent="0.3">
      <c r="A260" s="199" t="s">
        <v>9</v>
      </c>
      <c r="B260" s="200" t="s">
        <v>2</v>
      </c>
      <c r="C260" s="201" t="s">
        <v>118</v>
      </c>
      <c r="D260" s="202">
        <v>7</v>
      </c>
      <c r="E260" s="203">
        <v>44319</v>
      </c>
      <c r="F260" s="204">
        <f>'Bautzen 1. Schnitt 2021'!AL18</f>
        <v>3.4910488749690933</v>
      </c>
      <c r="G260" s="205">
        <f>IF('Bautzen 1. Schnitt 2021'!AM18=0,"",'Bautzen 1. Schnitt 2021'!AM18)</f>
        <v>5.1227055905220285</v>
      </c>
      <c r="H260" s="205">
        <f>IF('Bautzen 1. Schnitt 2021'!AN18=0,"",'Bautzen 1. Schnitt 2021'!AN18)</f>
        <v>27.610758606398139</v>
      </c>
      <c r="I260" s="204">
        <f>IF('Bautzen 1. Schnitt 2021'!S18=0,"",'Bautzen 1. Schnitt 2021'!S18)</f>
        <v>5.1227055905220285</v>
      </c>
      <c r="J260" s="204" t="str">
        <f>IF('Bautzen 1. Schnitt 2021'!AG18=0,"",'Bautzen 1. Schnitt 2021'!AG18)</f>
        <v/>
      </c>
      <c r="K260" s="204"/>
      <c r="L260" s="206">
        <f>'Bautzen 1. Schnitt 2021'!K18</f>
        <v>44.625454274024612</v>
      </c>
    </row>
    <row r="261" spans="1:12" x14ac:dyDescent="0.3">
      <c r="A261" s="199" t="s">
        <v>9</v>
      </c>
      <c r="B261" s="200" t="s">
        <v>2</v>
      </c>
      <c r="C261" s="201" t="s">
        <v>119</v>
      </c>
      <c r="D261" s="202">
        <v>8</v>
      </c>
      <c r="E261" s="203">
        <v>44319</v>
      </c>
      <c r="F261" s="204">
        <f>'Bautzen 1. Schnitt 2021'!AL19</f>
        <v>1.8003781482795318</v>
      </c>
      <c r="G261" s="205">
        <f>IF('Bautzen 1. Schnitt 2021'!AM19=0,"",'Bautzen 1. Schnitt 2021'!AM19)</f>
        <v>7.7858980790874215</v>
      </c>
      <c r="H261" s="205">
        <f>IF('Bautzen 1. Schnitt 2021'!AN19=0,"",'Bautzen 1. Schnitt 2021'!AN19)</f>
        <v>19.529181168848414</v>
      </c>
      <c r="I261" s="204">
        <f>IF('Bautzen 1. Schnitt 2021'!S19=0,"",'Bautzen 1. Schnitt 2021'!S19)</f>
        <v>7.7858980790874215</v>
      </c>
      <c r="J261" s="204" t="str">
        <f>IF('Bautzen 1. Schnitt 2021'!AG19=0,"",'Bautzen 1. Schnitt 2021'!AG19)</f>
        <v/>
      </c>
      <c r="K261" s="204"/>
      <c r="L261" s="206">
        <f>'Bautzen 1. Schnitt 2021'!K19</f>
        <v>35.821417446856032</v>
      </c>
    </row>
    <row r="262" spans="1:12" x14ac:dyDescent="0.3">
      <c r="A262" s="199" t="s">
        <v>9</v>
      </c>
      <c r="B262" s="208" t="s">
        <v>2</v>
      </c>
      <c r="C262" s="201" t="s">
        <v>120</v>
      </c>
      <c r="D262" s="209">
        <v>9</v>
      </c>
      <c r="E262" s="203">
        <v>44319</v>
      </c>
      <c r="F262" s="204">
        <f>'Bautzen 1. Schnitt 2021'!AL20</f>
        <v>0.82611122144985105</v>
      </c>
      <c r="G262" s="205">
        <f>IF('Bautzen 1. Schnitt 2021'!AM20=0,"",'Bautzen 1. Schnitt 2021'!AM20)</f>
        <v>13.771323286892233</v>
      </c>
      <c r="H262" s="205" t="str">
        <f>IF('Bautzen 1. Schnitt 2021'!AN20=0,"",'Bautzen 1. Schnitt 2021'!AN20)</f>
        <v/>
      </c>
      <c r="I262" s="204">
        <f>IF('Bautzen 1. Schnitt 2021'!S20=0,"",'Bautzen 1. Schnitt 2021'!S20)</f>
        <v>13.771323286892233</v>
      </c>
      <c r="J262" s="204" t="str">
        <f>IF('Bautzen 1. Schnitt 2021'!AG20=0,"",'Bautzen 1. Schnitt 2021'!AG20)</f>
        <v/>
      </c>
      <c r="K262" s="204"/>
      <c r="L262" s="206">
        <f>'Bautzen 1. Schnitt 2021'!K20</f>
        <v>23.872007875515873</v>
      </c>
    </row>
    <row r="263" spans="1:12" x14ac:dyDescent="0.3">
      <c r="A263" s="199" t="s">
        <v>9</v>
      </c>
      <c r="B263" s="200" t="s">
        <v>9</v>
      </c>
      <c r="C263" s="201" t="s">
        <v>112</v>
      </c>
      <c r="D263" s="202">
        <v>1</v>
      </c>
      <c r="E263" s="203">
        <v>44319</v>
      </c>
      <c r="F263" s="204">
        <f>'Bautzen 1. Schnitt 2021'!AL21</f>
        <v>1.4155725992855641</v>
      </c>
      <c r="G263" s="205" t="str">
        <f>IF('Bautzen 1. Schnitt 2021'!AM21=0,"",'Bautzen 1. Schnitt 2021'!AM21)</f>
        <v/>
      </c>
      <c r="H263" s="205">
        <f>IF('Bautzen 1. Schnitt 2021'!AN21=0,"",'Bautzen 1. Schnitt 2021'!AN21)</f>
        <v>22.801240204958329</v>
      </c>
      <c r="I263" s="204" t="str">
        <f>IF('Bautzen 1. Schnitt 2021'!S21=0,"",'Bautzen 1. Schnitt 2021'!S21)</f>
        <v/>
      </c>
      <c r="J263" s="204" t="str">
        <f>IF('Bautzen 1. Schnitt 2021'!AG21=0,"",'Bautzen 1. Schnitt 2021'!AG21)</f>
        <v/>
      </c>
      <c r="K263" s="204"/>
      <c r="L263" s="206">
        <f>'Bautzen 1. Schnitt 2021'!K21</f>
        <v>55.766130104550847</v>
      </c>
    </row>
    <row r="264" spans="1:12" x14ac:dyDescent="0.3">
      <c r="A264" s="199" t="s">
        <v>9</v>
      </c>
      <c r="B264" s="200" t="s">
        <v>9</v>
      </c>
      <c r="C264" s="201" t="s">
        <v>113</v>
      </c>
      <c r="D264" s="202">
        <v>2</v>
      </c>
      <c r="E264" s="203">
        <v>44319</v>
      </c>
      <c r="F264" s="204">
        <f>'Bautzen 1. Schnitt 2021'!AL22</f>
        <v>0.74573039806996377</v>
      </c>
      <c r="G264" s="205">
        <f>IF('Bautzen 1. Schnitt 2021'!AM22=0,"",'Bautzen 1. Schnitt 2021'!AM22)</f>
        <v>11.2196755759903</v>
      </c>
      <c r="H264" s="205">
        <f>IF('Bautzen 1. Schnitt 2021'!AN22=0,"",'Bautzen 1. Schnitt 2021'!AN22)</f>
        <v>15.918165940184936</v>
      </c>
      <c r="I264" s="204" t="str">
        <f>IF('Bautzen 1. Schnitt 2021'!S22=0,"",'Bautzen 1. Schnitt 2021'!S22)</f>
        <v/>
      </c>
      <c r="J264" s="204">
        <f>IF('Bautzen 1. Schnitt 2021'!AG22=0,"",'Bautzen 1. Schnitt 2021'!AG22)</f>
        <v>11.2196755759903</v>
      </c>
      <c r="K264" s="204"/>
      <c r="L264" s="206">
        <f>'Bautzen 1. Schnitt 2021'!K22</f>
        <v>58.476195732685746</v>
      </c>
    </row>
    <row r="265" spans="1:12" x14ac:dyDescent="0.3">
      <c r="A265" s="199" t="s">
        <v>9</v>
      </c>
      <c r="B265" s="200" t="s">
        <v>9</v>
      </c>
      <c r="C265" s="201" t="s">
        <v>114</v>
      </c>
      <c r="D265" s="202">
        <v>3</v>
      </c>
      <c r="E265" s="203">
        <v>44319</v>
      </c>
      <c r="F265" s="204">
        <f>'Bautzen 1. Schnitt 2021'!AL23</f>
        <v>0</v>
      </c>
      <c r="G265" s="205">
        <f>IF('Bautzen 1. Schnitt 2021'!AM23=0,"",'Bautzen 1. Schnitt 2021'!AM23)</f>
        <v>37.85266650508968</v>
      </c>
      <c r="H265" s="205">
        <f>IF('Bautzen 1. Schnitt 2021'!AN23=0,"",'Bautzen 1. Schnitt 2021'!AN23)</f>
        <v>22.353658422123786</v>
      </c>
      <c r="I265" s="204" t="str">
        <f>IF('Bautzen 1. Schnitt 2021'!S23=0,"",'Bautzen 1. Schnitt 2021'!S23)</f>
        <v/>
      </c>
      <c r="J265" s="204">
        <f>IF('Bautzen 1. Schnitt 2021'!AG23=0,"",'Bautzen 1. Schnitt 2021'!AG23)</f>
        <v>37.85266650508968</v>
      </c>
      <c r="K265" s="204"/>
      <c r="L265" s="206">
        <f>'Bautzen 1. Schnitt 2021'!K23</f>
        <v>64.128915951111139</v>
      </c>
    </row>
    <row r="266" spans="1:12" x14ac:dyDescent="0.3">
      <c r="A266" s="199" t="s">
        <v>9</v>
      </c>
      <c r="B266" s="200" t="s">
        <v>9</v>
      </c>
      <c r="C266" s="201" t="s">
        <v>115</v>
      </c>
      <c r="D266" s="202">
        <v>4</v>
      </c>
      <c r="E266" s="203">
        <v>44319</v>
      </c>
      <c r="F266" s="204">
        <f>'Bautzen 1. Schnitt 2021'!AL24</f>
        <v>0.39797435897435862</v>
      </c>
      <c r="G266" s="205">
        <f>IF('Bautzen 1. Schnitt 2021'!AM24=0,"",'Bautzen 1. Schnitt 2021'!AM24)</f>
        <v>26.418405595382179</v>
      </c>
      <c r="H266" s="205">
        <f>IF('Bautzen 1. Schnitt 2021'!AN24=0,"",'Bautzen 1. Schnitt 2021'!AN24)</f>
        <v>3.3877015397595454</v>
      </c>
      <c r="I266" s="204" t="str">
        <f>IF('Bautzen 1. Schnitt 2021'!S24=0,"",'Bautzen 1. Schnitt 2021'!S24)</f>
        <v/>
      </c>
      <c r="J266" s="204">
        <f>IF('Bautzen 1. Schnitt 2021'!AG24=0,"",'Bautzen 1. Schnitt 2021'!AG24)</f>
        <v>26.418405595382179</v>
      </c>
      <c r="K266" s="204"/>
      <c r="L266" s="206">
        <f>'Bautzen 1. Schnitt 2021'!K24</f>
        <v>44.022884673291166</v>
      </c>
    </row>
    <row r="267" spans="1:12" x14ac:dyDescent="0.3">
      <c r="A267" s="199" t="s">
        <v>9</v>
      </c>
      <c r="B267" s="207" t="s">
        <v>9</v>
      </c>
      <c r="C267" s="201" t="s">
        <v>116</v>
      </c>
      <c r="D267" s="202">
        <v>5</v>
      </c>
      <c r="E267" s="203">
        <v>44319</v>
      </c>
      <c r="F267" s="204">
        <f>'Bautzen 1. Schnitt 2021'!AL25</f>
        <v>0</v>
      </c>
      <c r="G267" s="205">
        <f>IF('Bautzen 1. Schnitt 2021'!AM25=0,"",'Bautzen 1. Schnitt 2021'!AM25)</f>
        <v>31.703383293609001</v>
      </c>
      <c r="H267" s="205" t="str">
        <f>IF('Bautzen 1. Schnitt 2021'!AN25=0,"",'Bautzen 1. Schnitt 2021'!AN25)</f>
        <v/>
      </c>
      <c r="I267" s="204" t="str">
        <f>IF('Bautzen 1. Schnitt 2021'!S25=0,"",'Bautzen 1. Schnitt 2021'!S25)</f>
        <v/>
      </c>
      <c r="J267" s="204">
        <f>IF('Bautzen 1. Schnitt 2021'!AG25=0,"",'Bautzen 1. Schnitt 2021'!AG25)</f>
        <v>31.703383293609001</v>
      </c>
      <c r="K267" s="204"/>
      <c r="L267" s="206">
        <f>'Bautzen 1. Schnitt 2021'!K25</f>
        <v>44.583847119236687</v>
      </c>
    </row>
    <row r="268" spans="1:12" x14ac:dyDescent="0.3">
      <c r="A268" s="199" t="s">
        <v>9</v>
      </c>
      <c r="B268" s="200" t="s">
        <v>9</v>
      </c>
      <c r="C268" s="201" t="s">
        <v>117</v>
      </c>
      <c r="D268" s="202">
        <v>6</v>
      </c>
      <c r="E268" s="203">
        <v>44319</v>
      </c>
      <c r="F268" s="204">
        <f>'Bautzen 1. Schnitt 2021'!AL26</f>
        <v>2.5980493557294069</v>
      </c>
      <c r="G268" s="205">
        <f>IF('Bautzen 1. Schnitt 2021'!AM26=0,"",'Bautzen 1. Schnitt 2021'!AM26)</f>
        <v>9.0159822222222203</v>
      </c>
      <c r="H268" s="205">
        <f>IF('Bautzen 1. Schnitt 2021'!AN26=0,"",'Bautzen 1. Schnitt 2021'!AN26)</f>
        <v>17.806095857988165</v>
      </c>
      <c r="I268" s="204">
        <f>IF('Bautzen 1. Schnitt 2021'!S26=0,"",'Bautzen 1. Schnitt 2021'!S26)</f>
        <v>9.0159822222222203</v>
      </c>
      <c r="J268" s="204" t="str">
        <f>IF('Bautzen 1. Schnitt 2021'!AG26=0,"",'Bautzen 1. Schnitt 2021'!AG26)</f>
        <v/>
      </c>
      <c r="K268" s="204"/>
      <c r="L268" s="206">
        <f>'Bautzen 1. Schnitt 2021'!K26</f>
        <v>57.186806536211435</v>
      </c>
    </row>
    <row r="269" spans="1:12" x14ac:dyDescent="0.3">
      <c r="A269" s="199" t="s">
        <v>9</v>
      </c>
      <c r="B269" s="200" t="s">
        <v>9</v>
      </c>
      <c r="C269" s="201" t="s">
        <v>118</v>
      </c>
      <c r="D269" s="202">
        <v>7</v>
      </c>
      <c r="E269" s="203">
        <v>44319</v>
      </c>
      <c r="F269" s="204">
        <f>'Bautzen 1. Schnitt 2021'!AL27</f>
        <v>0.55961020881670542</v>
      </c>
      <c r="G269" s="205">
        <f>IF('Bautzen 1. Schnitt 2021'!AM27=0,"",'Bautzen 1. Schnitt 2021'!AM27)</f>
        <v>12.840410536331314</v>
      </c>
      <c r="H269" s="205">
        <f>IF('Bautzen 1. Schnitt 2021'!AN27=0,"",'Bautzen 1. Schnitt 2021'!AN27)</f>
        <v>20.215249135483869</v>
      </c>
      <c r="I269" s="204">
        <f>IF('Bautzen 1. Schnitt 2021'!S27=0,"",'Bautzen 1. Schnitt 2021'!S27)</f>
        <v>12.840410536331314</v>
      </c>
      <c r="J269" s="204" t="str">
        <f>IF('Bautzen 1. Schnitt 2021'!AG27=0,"",'Bautzen 1. Schnitt 2021'!AG27)</f>
        <v/>
      </c>
      <c r="K269" s="204"/>
      <c r="L269" s="206">
        <f>'Bautzen 1. Schnitt 2021'!K27</f>
        <v>44.440467790961584</v>
      </c>
    </row>
    <row r="270" spans="1:12" x14ac:dyDescent="0.3">
      <c r="A270" s="199" t="s">
        <v>9</v>
      </c>
      <c r="B270" s="200" t="s">
        <v>9</v>
      </c>
      <c r="C270" s="201" t="s">
        <v>119</v>
      </c>
      <c r="D270" s="202">
        <v>8</v>
      </c>
      <c r="E270" s="203">
        <v>44319</v>
      </c>
      <c r="F270" s="204">
        <f>'Bautzen 1. Schnitt 2021'!AL28</f>
        <v>0.32978571428571435</v>
      </c>
      <c r="G270" s="205">
        <f>IF('Bautzen 1. Schnitt 2021'!AM28=0,"",'Bautzen 1. Schnitt 2021'!AM28)</f>
        <v>13.551415128154067</v>
      </c>
      <c r="H270" s="205">
        <f>IF('Bautzen 1. Schnitt 2021'!AN28=0,"",'Bautzen 1. Schnitt 2021'!AN28)</f>
        <v>4.1869703449459417</v>
      </c>
      <c r="I270" s="204">
        <f>IF('Bautzen 1. Schnitt 2021'!S28=0,"",'Bautzen 1. Schnitt 2021'!S28)</f>
        <v>13.551415128154067</v>
      </c>
      <c r="J270" s="204" t="str">
        <f>IF('Bautzen 1. Schnitt 2021'!AG28=0,"",'Bautzen 1. Schnitt 2021'!AG28)</f>
        <v/>
      </c>
      <c r="K270" s="204"/>
      <c r="L270" s="206">
        <f>'Bautzen 1. Schnitt 2021'!K28</f>
        <v>24.128597551246813</v>
      </c>
    </row>
    <row r="271" spans="1:12" x14ac:dyDescent="0.3">
      <c r="A271" s="199" t="s">
        <v>9</v>
      </c>
      <c r="B271" s="208" t="s">
        <v>9</v>
      </c>
      <c r="C271" s="201" t="s">
        <v>120</v>
      </c>
      <c r="D271" s="209">
        <v>9</v>
      </c>
      <c r="E271" s="203">
        <v>44319</v>
      </c>
      <c r="F271" s="204">
        <f>'Bautzen 1. Schnitt 2021'!AL29</f>
        <v>2.7621007725321891</v>
      </c>
      <c r="G271" s="205">
        <f>IF('Bautzen 1. Schnitt 2021'!AM29=0,"",'Bautzen 1. Schnitt 2021'!AM29)</f>
        <v>15.263888</v>
      </c>
      <c r="H271" s="205" t="str">
        <f>IF('Bautzen 1. Schnitt 2021'!AN29=0,"",'Bautzen 1. Schnitt 2021'!AN29)</f>
        <v/>
      </c>
      <c r="I271" s="204">
        <f>IF('Bautzen 1. Schnitt 2021'!S29=0,"",'Bautzen 1. Schnitt 2021'!S29)</f>
        <v>15.263888</v>
      </c>
      <c r="J271" s="204" t="str">
        <f>IF('Bautzen 1. Schnitt 2021'!AG29=0,"",'Bautzen 1. Schnitt 2021'!AG29)</f>
        <v/>
      </c>
      <c r="K271" s="204"/>
      <c r="L271" s="206">
        <f>'Bautzen 1. Schnitt 2021'!K29</f>
        <v>18.136715643183052</v>
      </c>
    </row>
    <row r="272" spans="1:12" x14ac:dyDescent="0.3">
      <c r="A272" s="199" t="s">
        <v>9</v>
      </c>
      <c r="B272" s="200" t="s">
        <v>10</v>
      </c>
      <c r="C272" s="201" t="s">
        <v>112</v>
      </c>
      <c r="D272" s="202">
        <v>1</v>
      </c>
      <c r="E272" s="203">
        <v>44319</v>
      </c>
      <c r="F272" s="204">
        <f>'Bautzen 1. Schnitt 2021'!AL30</f>
        <v>7.5717247760102397</v>
      </c>
      <c r="G272" s="205" t="str">
        <f>IF('Bautzen 1. Schnitt 2021'!AM30=0,"",'Bautzen 1. Schnitt 2021'!AM30)</f>
        <v/>
      </c>
      <c r="H272" s="205">
        <f>IF('Bautzen 1. Schnitt 2021'!AN30=0,"",'Bautzen 1. Schnitt 2021'!AN30)</f>
        <v>23.505728779421069</v>
      </c>
      <c r="I272" s="204" t="str">
        <f>IF('Bautzen 1. Schnitt 2021'!S30=0,"",'Bautzen 1. Schnitt 2021'!S30)</f>
        <v/>
      </c>
      <c r="J272" s="204" t="str">
        <f>IF('Bautzen 1. Schnitt 2021'!AG30=0,"",'Bautzen 1. Schnitt 2021'!AG30)</f>
        <v/>
      </c>
      <c r="K272" s="204"/>
      <c r="L272" s="206">
        <f>'Bautzen 1. Schnitt 2021'!K30</f>
        <v>44.385244240645207</v>
      </c>
    </row>
    <row r="273" spans="1:12" x14ac:dyDescent="0.3">
      <c r="A273" s="199" t="s">
        <v>9</v>
      </c>
      <c r="B273" s="200" t="s">
        <v>10</v>
      </c>
      <c r="C273" s="201" t="s">
        <v>113</v>
      </c>
      <c r="D273" s="202">
        <v>2</v>
      </c>
      <c r="E273" s="203">
        <v>44319</v>
      </c>
      <c r="F273" s="204">
        <f>'Bautzen 1. Schnitt 2021'!AL31</f>
        <v>1.4798038156533735</v>
      </c>
      <c r="G273" s="205">
        <f>IF('Bautzen 1. Schnitt 2021'!AM31=0,"",'Bautzen 1. Schnitt 2021'!AM31)</f>
        <v>22.088491149129744</v>
      </c>
      <c r="H273" s="205">
        <f>IF('Bautzen 1. Schnitt 2021'!AN31=0,"",'Bautzen 1. Schnitt 2021'!AN31)</f>
        <v>17.456596065163488</v>
      </c>
      <c r="I273" s="204" t="str">
        <f>IF('Bautzen 1. Schnitt 2021'!S31=0,"",'Bautzen 1. Schnitt 2021'!S31)</f>
        <v/>
      </c>
      <c r="J273" s="204">
        <f>IF('Bautzen 1. Schnitt 2021'!AG31=0,"",'Bautzen 1. Schnitt 2021'!AG31)</f>
        <v>22.088491149129744</v>
      </c>
      <c r="K273" s="204"/>
      <c r="L273" s="206">
        <f>'Bautzen 1. Schnitt 2021'!K31</f>
        <v>59.466557103259866</v>
      </c>
    </row>
    <row r="274" spans="1:12" x14ac:dyDescent="0.3">
      <c r="A274" s="199" t="s">
        <v>9</v>
      </c>
      <c r="B274" s="200" t="s">
        <v>10</v>
      </c>
      <c r="C274" s="201" t="s">
        <v>114</v>
      </c>
      <c r="D274" s="202">
        <v>3</v>
      </c>
      <c r="E274" s="203">
        <v>44319</v>
      </c>
      <c r="F274" s="204">
        <f>'Bautzen 1. Schnitt 2021'!AL32</f>
        <v>0.88053317811408638</v>
      </c>
      <c r="G274" s="205">
        <f>IF('Bautzen 1. Schnitt 2021'!AM32=0,"",'Bautzen 1. Schnitt 2021'!AM32)</f>
        <v>22.347777458613649</v>
      </c>
      <c r="H274" s="205">
        <f>IF('Bautzen 1. Schnitt 2021'!AN32=0,"",'Bautzen 1. Schnitt 2021'!AN32)</f>
        <v>18.251593359330197</v>
      </c>
      <c r="I274" s="204" t="str">
        <f>IF('Bautzen 1. Schnitt 2021'!S32=0,"",'Bautzen 1. Schnitt 2021'!S32)</f>
        <v/>
      </c>
      <c r="J274" s="204">
        <f>IF('Bautzen 1. Schnitt 2021'!AG32=0,"",'Bautzen 1. Schnitt 2021'!AG32)</f>
        <v>22.347777458613649</v>
      </c>
      <c r="K274" s="204"/>
      <c r="L274" s="206">
        <f>'Bautzen 1. Schnitt 2021'!K32</f>
        <v>50.070495100769328</v>
      </c>
    </row>
    <row r="275" spans="1:12" x14ac:dyDescent="0.3">
      <c r="A275" s="199" t="s">
        <v>9</v>
      </c>
      <c r="B275" s="200" t="s">
        <v>10</v>
      </c>
      <c r="C275" s="201" t="s">
        <v>115</v>
      </c>
      <c r="D275" s="202">
        <v>4</v>
      </c>
      <c r="E275" s="203">
        <v>44319</v>
      </c>
      <c r="F275" s="204">
        <f>'Bautzen 1. Schnitt 2021'!AL33</f>
        <v>0.32700665557404329</v>
      </c>
      <c r="G275" s="205">
        <f>IF('Bautzen 1. Schnitt 2021'!AM33=0,"",'Bautzen 1. Schnitt 2021'!AM33)</f>
        <v>34.585923817698969</v>
      </c>
      <c r="H275" s="205">
        <f>IF('Bautzen 1. Schnitt 2021'!AN33=0,"",'Bautzen 1. Schnitt 2021'!AN33)</f>
        <v>1.7465076923076923</v>
      </c>
      <c r="I275" s="204" t="str">
        <f>IF('Bautzen 1. Schnitt 2021'!S33=0,"",'Bautzen 1. Schnitt 2021'!S33)</f>
        <v/>
      </c>
      <c r="J275" s="204">
        <f>IF('Bautzen 1. Schnitt 2021'!AG33=0,"",'Bautzen 1. Schnitt 2021'!AG33)</f>
        <v>34.585923817698969</v>
      </c>
      <c r="K275" s="204"/>
      <c r="L275" s="206">
        <f>'Bautzen 1. Schnitt 2021'!K33</f>
        <v>62.177290319299836</v>
      </c>
    </row>
    <row r="276" spans="1:12" x14ac:dyDescent="0.3">
      <c r="A276" s="199" t="s">
        <v>9</v>
      </c>
      <c r="B276" s="200" t="s">
        <v>10</v>
      </c>
      <c r="C276" s="201" t="s">
        <v>116</v>
      </c>
      <c r="D276" s="202">
        <v>5</v>
      </c>
      <c r="E276" s="203">
        <v>44319</v>
      </c>
      <c r="F276" s="204">
        <f>'Bautzen 1. Schnitt 2021'!AL34</f>
        <v>0</v>
      </c>
      <c r="G276" s="205">
        <f>IF('Bautzen 1. Schnitt 2021'!AM34=0,"",'Bautzen 1. Schnitt 2021'!AM34)</f>
        <v>29.160594833359081</v>
      </c>
      <c r="H276" s="205" t="str">
        <f>IF('Bautzen 1. Schnitt 2021'!AN34=0,"",'Bautzen 1. Schnitt 2021'!AN34)</f>
        <v/>
      </c>
      <c r="I276" s="204" t="str">
        <f>IF('Bautzen 1. Schnitt 2021'!S34=0,"",'Bautzen 1. Schnitt 2021'!S34)</f>
        <v/>
      </c>
      <c r="J276" s="204">
        <f>IF('Bautzen 1. Schnitt 2021'!AG34=0,"",'Bautzen 1. Schnitt 2021'!AG34)</f>
        <v>29.160594833359081</v>
      </c>
      <c r="K276" s="204"/>
      <c r="L276" s="206">
        <f>'Bautzen 1. Schnitt 2021'!K34</f>
        <v>51.472174562323261</v>
      </c>
    </row>
    <row r="277" spans="1:12" x14ac:dyDescent="0.3">
      <c r="A277" s="199" t="s">
        <v>9</v>
      </c>
      <c r="B277" s="200" t="s">
        <v>10</v>
      </c>
      <c r="C277" s="201" t="s">
        <v>117</v>
      </c>
      <c r="D277" s="202">
        <v>6</v>
      </c>
      <c r="E277" s="203">
        <v>44319</v>
      </c>
      <c r="F277" s="204">
        <f>'Bautzen 1. Schnitt 2021'!AL35</f>
        <v>0.34268941979522211</v>
      </c>
      <c r="G277" s="205">
        <f>IF('Bautzen 1. Schnitt 2021'!AM35=0,"",'Bautzen 1. Schnitt 2021'!AM35)</f>
        <v>10.672935289494371</v>
      </c>
      <c r="H277" s="205">
        <f>IF('Bautzen 1. Schnitt 2021'!AN35=0,"",'Bautzen 1. Schnitt 2021'!AN35)</f>
        <v>29.097607519823555</v>
      </c>
      <c r="I277" s="204">
        <f>IF('Bautzen 1. Schnitt 2021'!S35=0,"",'Bautzen 1. Schnitt 2021'!S35)</f>
        <v>10.672935289494371</v>
      </c>
      <c r="J277" s="204" t="str">
        <f>IF('Bautzen 1. Schnitt 2021'!AG35=0,"",'Bautzen 1. Schnitt 2021'!AG35)</f>
        <v/>
      </c>
      <c r="K277" s="204"/>
      <c r="L277" s="206">
        <f>'Bautzen 1. Schnitt 2021'!K35</f>
        <v>52.390145923206973</v>
      </c>
    </row>
    <row r="278" spans="1:12" x14ac:dyDescent="0.3">
      <c r="A278" s="199" t="s">
        <v>9</v>
      </c>
      <c r="B278" s="207" t="s">
        <v>10</v>
      </c>
      <c r="C278" s="201" t="s">
        <v>118</v>
      </c>
      <c r="D278" s="202">
        <v>7</v>
      </c>
      <c r="E278" s="203">
        <v>44319</v>
      </c>
      <c r="F278" s="204">
        <f>'Bautzen 1. Schnitt 2021'!AL36</f>
        <v>1.1600146074254409</v>
      </c>
      <c r="G278" s="205">
        <f>IF('Bautzen 1. Schnitt 2021'!AM36=0,"",'Bautzen 1. Schnitt 2021'!AM36)</f>
        <v>16.142320476448294</v>
      </c>
      <c r="H278" s="205">
        <f>IF('Bautzen 1. Schnitt 2021'!AN36=0,"",'Bautzen 1. Schnitt 2021'!AN36)</f>
        <v>22.845231405272134</v>
      </c>
      <c r="I278" s="204">
        <f>IF('Bautzen 1. Schnitt 2021'!S36=0,"",'Bautzen 1. Schnitt 2021'!S36)</f>
        <v>16.142320476448294</v>
      </c>
      <c r="J278" s="204" t="str">
        <f>IF('Bautzen 1. Schnitt 2021'!AG36=0,"",'Bautzen 1. Schnitt 2021'!AG36)</f>
        <v/>
      </c>
      <c r="K278" s="204"/>
      <c r="L278" s="206">
        <f>'Bautzen 1. Schnitt 2021'!K36</f>
        <v>56.687001273768921</v>
      </c>
    </row>
    <row r="279" spans="1:12" x14ac:dyDescent="0.3">
      <c r="A279" s="199" t="s">
        <v>9</v>
      </c>
      <c r="B279" s="200" t="s">
        <v>10</v>
      </c>
      <c r="C279" s="201" t="s">
        <v>119</v>
      </c>
      <c r="D279" s="202">
        <v>8</v>
      </c>
      <c r="E279" s="203">
        <v>44319</v>
      </c>
      <c r="F279" s="204">
        <f>'Bautzen 1. Schnitt 2021'!AL37</f>
        <v>0.53105187319884739</v>
      </c>
      <c r="G279" s="205">
        <f>IF('Bautzen 1. Schnitt 2021'!AM37=0,"",'Bautzen 1. Schnitt 2021'!AM37)</f>
        <v>14.718730153685497</v>
      </c>
      <c r="H279" s="205">
        <f>IF('Bautzen 1. Schnitt 2021'!AN37=0,"",'Bautzen 1. Schnitt 2021'!AN37)</f>
        <v>7.4258823505759839</v>
      </c>
      <c r="I279" s="204">
        <f>IF('Bautzen 1. Schnitt 2021'!S37=0,"",'Bautzen 1. Schnitt 2021'!S37)</f>
        <v>14.718730153685497</v>
      </c>
      <c r="J279" s="204" t="str">
        <f>IF('Bautzen 1. Schnitt 2021'!AG37=0,"",'Bautzen 1. Schnitt 2021'!AG37)</f>
        <v/>
      </c>
      <c r="K279" s="204"/>
      <c r="L279" s="206">
        <f>'Bautzen 1. Schnitt 2021'!K37</f>
        <v>30.619612838476822</v>
      </c>
    </row>
    <row r="280" spans="1:12" x14ac:dyDescent="0.3">
      <c r="A280" s="199" t="s">
        <v>9</v>
      </c>
      <c r="B280" s="208" t="s">
        <v>10</v>
      </c>
      <c r="C280" s="201" t="s">
        <v>120</v>
      </c>
      <c r="D280" s="209">
        <v>9</v>
      </c>
      <c r="E280" s="203">
        <v>44319</v>
      </c>
      <c r="F280" s="204">
        <f>'Bautzen 1. Schnitt 2021'!AL38</f>
        <v>1.1443474548440067</v>
      </c>
      <c r="G280" s="205">
        <f>IF('Bautzen 1. Schnitt 2021'!AM38=0,"",'Bautzen 1. Schnitt 2021'!AM38)</f>
        <v>15.581309401670079</v>
      </c>
      <c r="H280" s="205" t="str">
        <f>IF('Bautzen 1. Schnitt 2021'!AN38=0,"",'Bautzen 1. Schnitt 2021'!AN38)</f>
        <v/>
      </c>
      <c r="I280" s="204">
        <f>IF('Bautzen 1. Schnitt 2021'!S38=0,"",'Bautzen 1. Schnitt 2021'!S38)</f>
        <v>15.581309401670079</v>
      </c>
      <c r="J280" s="204" t="str">
        <f>IF('Bautzen 1. Schnitt 2021'!AG38=0,"",'Bautzen 1. Schnitt 2021'!AG38)</f>
        <v/>
      </c>
      <c r="K280" s="204"/>
      <c r="L280" s="206">
        <f>'Bautzen 1. Schnitt 2021'!K38</f>
        <v>21.427694566255983</v>
      </c>
    </row>
    <row r="281" spans="1:12" x14ac:dyDescent="0.3">
      <c r="A281" s="199" t="s">
        <v>9</v>
      </c>
      <c r="B281" s="200" t="s">
        <v>11</v>
      </c>
      <c r="C281" s="201" t="s">
        <v>112</v>
      </c>
      <c r="D281" s="202">
        <v>1</v>
      </c>
      <c r="E281" s="203">
        <v>44319</v>
      </c>
      <c r="F281" s="204">
        <f>'Bautzen 1. Schnitt 2021'!AL39</f>
        <v>2.3546016816303266</v>
      </c>
      <c r="G281" s="205" t="str">
        <f>IF('Bautzen 1. Schnitt 2021'!AM39=0,"",'Bautzen 1. Schnitt 2021'!AM39)</f>
        <v/>
      </c>
      <c r="H281" s="205">
        <f>IF('Bautzen 1. Schnitt 2021'!AN39=0,"",'Bautzen 1. Schnitt 2021'!AN39)</f>
        <v>30.738719344573095</v>
      </c>
      <c r="I281" s="204" t="str">
        <f>IF('Bautzen 1. Schnitt 2021'!S39=0,"",'Bautzen 1. Schnitt 2021'!S39)</f>
        <v/>
      </c>
      <c r="J281" s="204" t="str">
        <f>IF('Bautzen 1. Schnitt 2021'!AG39=0,"",'Bautzen 1. Schnitt 2021'!AG39)</f>
        <v/>
      </c>
      <c r="K281" s="204"/>
      <c r="L281" s="206">
        <f>'Bautzen 1. Schnitt 2021'!K39</f>
        <v>51.244040120256734</v>
      </c>
    </row>
    <row r="282" spans="1:12" x14ac:dyDescent="0.3">
      <c r="A282" s="199" t="s">
        <v>9</v>
      </c>
      <c r="B282" s="200" t="s">
        <v>11</v>
      </c>
      <c r="C282" s="201" t="s">
        <v>113</v>
      </c>
      <c r="D282" s="202">
        <v>2</v>
      </c>
      <c r="E282" s="203">
        <v>44319</v>
      </c>
      <c r="F282" s="204">
        <f>'Bautzen 1. Schnitt 2021'!AL40</f>
        <v>1.758568082970893</v>
      </c>
      <c r="G282" s="205">
        <f>IF('Bautzen 1. Schnitt 2021'!AM40=0,"",'Bautzen 1. Schnitt 2021'!AM40)</f>
        <v>11.111129435585928</v>
      </c>
      <c r="H282" s="205">
        <f>IF('Bautzen 1. Schnitt 2021'!AN40=0,"",'Bautzen 1. Schnitt 2021'!AN40)</f>
        <v>19.999923869908322</v>
      </c>
      <c r="I282" s="204" t="str">
        <f>IF('Bautzen 1. Schnitt 2021'!S40=0,"",'Bautzen 1. Schnitt 2021'!S40)</f>
        <v/>
      </c>
      <c r="J282" s="204">
        <f>IF('Bautzen 1. Schnitt 2021'!AG40=0,"",'Bautzen 1. Schnitt 2021'!AG40)</f>
        <v>11.111129435585928</v>
      </c>
      <c r="K282" s="204"/>
      <c r="L282" s="206">
        <f>'Bautzen 1. Schnitt 2021'!K40</f>
        <v>46.106985872818768</v>
      </c>
    </row>
    <row r="283" spans="1:12" x14ac:dyDescent="0.3">
      <c r="A283" s="199" t="s">
        <v>9</v>
      </c>
      <c r="B283" s="200" t="s">
        <v>11</v>
      </c>
      <c r="C283" s="201" t="s">
        <v>114</v>
      </c>
      <c r="D283" s="202">
        <v>3</v>
      </c>
      <c r="E283" s="203">
        <v>44319</v>
      </c>
      <c r="F283" s="204">
        <f>'Bautzen 1. Schnitt 2021'!AL41</f>
        <v>1.6292006406523003</v>
      </c>
      <c r="G283" s="205">
        <f>IF('Bautzen 1. Schnitt 2021'!AM41=0,"",'Bautzen 1. Schnitt 2021'!AM41)</f>
        <v>44.433869230151714</v>
      </c>
      <c r="H283" s="205">
        <f>IF('Bautzen 1. Schnitt 2021'!AN41=0,"",'Bautzen 1. Schnitt 2021'!AN41)</f>
        <v>5.9574403078355918</v>
      </c>
      <c r="I283" s="204" t="str">
        <f>IF('Bautzen 1. Schnitt 2021'!S41=0,"",'Bautzen 1. Schnitt 2021'!S41)</f>
        <v/>
      </c>
      <c r="J283" s="204">
        <f>IF('Bautzen 1. Schnitt 2021'!AG41=0,"",'Bautzen 1. Schnitt 2021'!AG41)</f>
        <v>44.433869230151714</v>
      </c>
      <c r="K283" s="204"/>
      <c r="L283" s="206">
        <f>'Bautzen 1. Schnitt 2021'!K41</f>
        <v>56.087464018341834</v>
      </c>
    </row>
    <row r="284" spans="1:12" x14ac:dyDescent="0.3">
      <c r="A284" s="199" t="s">
        <v>9</v>
      </c>
      <c r="B284" s="200" t="s">
        <v>11</v>
      </c>
      <c r="C284" s="201" t="s">
        <v>115</v>
      </c>
      <c r="D284" s="202">
        <v>4</v>
      </c>
      <c r="E284" s="203">
        <v>44319</v>
      </c>
      <c r="F284" s="204">
        <f>'Bautzen 1. Schnitt 2021'!AL42</f>
        <v>1.3299693654266957</v>
      </c>
      <c r="G284" s="205">
        <f>IF('Bautzen 1. Schnitt 2021'!AM42=0,"",'Bautzen 1. Schnitt 2021'!AM42)</f>
        <v>19.241818847209512</v>
      </c>
      <c r="H284" s="205">
        <f>IF('Bautzen 1. Schnitt 2021'!AN42=0,"",'Bautzen 1. Schnitt 2021'!AN42)</f>
        <v>10.519455794482807</v>
      </c>
      <c r="I284" s="204" t="str">
        <f>IF('Bautzen 1. Schnitt 2021'!S42=0,"",'Bautzen 1. Schnitt 2021'!S42)</f>
        <v/>
      </c>
      <c r="J284" s="204">
        <f>IF('Bautzen 1. Schnitt 2021'!AG42=0,"",'Bautzen 1. Schnitt 2021'!AG42)</f>
        <v>19.241818847209512</v>
      </c>
      <c r="K284" s="204"/>
      <c r="L284" s="206">
        <f>'Bautzen 1. Schnitt 2021'!K42</f>
        <v>40.012519216965806</v>
      </c>
    </row>
    <row r="285" spans="1:12" x14ac:dyDescent="0.3">
      <c r="A285" s="199" t="s">
        <v>9</v>
      </c>
      <c r="B285" s="200" t="s">
        <v>11</v>
      </c>
      <c r="C285" s="201" t="s">
        <v>116</v>
      </c>
      <c r="D285" s="202">
        <v>5</v>
      </c>
      <c r="E285" s="203">
        <v>44319</v>
      </c>
      <c r="F285" s="204">
        <f>'Bautzen 1. Schnitt 2021'!AL43</f>
        <v>0.65595755968169744</v>
      </c>
      <c r="G285" s="205">
        <f>IF('Bautzen 1. Schnitt 2021'!AM43=0,"",'Bautzen 1. Schnitt 2021'!AM43)</f>
        <v>25.560038519259635</v>
      </c>
      <c r="H285" s="205" t="str">
        <f>IF('Bautzen 1. Schnitt 2021'!AN43=0,"",'Bautzen 1. Schnitt 2021'!AN43)</f>
        <v/>
      </c>
      <c r="I285" s="204" t="str">
        <f>IF('Bautzen 1. Schnitt 2021'!S43=0,"",'Bautzen 1. Schnitt 2021'!S43)</f>
        <v/>
      </c>
      <c r="J285" s="204">
        <f>IF('Bautzen 1. Schnitt 2021'!AG43=0,"",'Bautzen 1. Schnitt 2021'!AG43)</f>
        <v>25.560038519259635</v>
      </c>
      <c r="K285" s="204"/>
      <c r="L285" s="206">
        <f>'Bautzen 1. Schnitt 2021'!K43</f>
        <v>24.886341814874719</v>
      </c>
    </row>
    <row r="286" spans="1:12" x14ac:dyDescent="0.3">
      <c r="A286" s="199" t="s">
        <v>9</v>
      </c>
      <c r="B286" s="200" t="s">
        <v>11</v>
      </c>
      <c r="C286" s="201" t="s">
        <v>117</v>
      </c>
      <c r="D286" s="202">
        <v>6</v>
      </c>
      <c r="E286" s="203">
        <v>44319</v>
      </c>
      <c r="F286" s="204">
        <f>'Bautzen 1. Schnitt 2021'!AL44</f>
        <v>4.1231617696724081</v>
      </c>
      <c r="G286" s="205">
        <f>IF('Bautzen 1. Schnitt 2021'!AM44=0,"",'Bautzen 1. Schnitt 2021'!AM44)</f>
        <v>16.496698309709188</v>
      </c>
      <c r="H286" s="205">
        <f>IF('Bautzen 1. Schnitt 2021'!AN44=0,"",'Bautzen 1. Schnitt 2021'!AN44)</f>
        <v>46.932365998352104</v>
      </c>
      <c r="I286" s="204">
        <f>IF('Bautzen 1. Schnitt 2021'!S44=0,"",'Bautzen 1. Schnitt 2021'!S44)</f>
        <v>16.496698309709188</v>
      </c>
      <c r="J286" s="204" t="str">
        <f>IF('Bautzen 1. Schnitt 2021'!AG44=0,"",'Bautzen 1. Schnitt 2021'!AG44)</f>
        <v/>
      </c>
      <c r="K286" s="204"/>
      <c r="L286" s="206">
        <f>'Bautzen 1. Schnitt 2021'!K44</f>
        <v>49.616437773488791</v>
      </c>
    </row>
    <row r="287" spans="1:12" x14ac:dyDescent="0.3">
      <c r="A287" s="199" t="s">
        <v>9</v>
      </c>
      <c r="B287" s="200" t="s">
        <v>11</v>
      </c>
      <c r="C287" s="201" t="s">
        <v>118</v>
      </c>
      <c r="D287" s="202">
        <v>7</v>
      </c>
      <c r="E287" s="203">
        <v>44319</v>
      </c>
      <c r="F287" s="204">
        <f>'Bautzen 1. Schnitt 2021'!AL45</f>
        <v>0.3227155555555557</v>
      </c>
      <c r="G287" s="205">
        <f>IF('Bautzen 1. Schnitt 2021'!AM45=0,"",'Bautzen 1. Schnitt 2021'!AM45)</f>
        <v>10.41634284705467</v>
      </c>
      <c r="H287" s="205">
        <f>IF('Bautzen 1. Schnitt 2021'!AN45=0,"",'Bautzen 1. Schnitt 2021'!AN45)</f>
        <v>22.024175589079491</v>
      </c>
      <c r="I287" s="204">
        <f>IF('Bautzen 1. Schnitt 2021'!S45=0,"",'Bautzen 1. Schnitt 2021'!S45)</f>
        <v>10.41634284705467</v>
      </c>
      <c r="J287" s="204" t="str">
        <f>IF('Bautzen 1. Schnitt 2021'!AG45=0,"",'Bautzen 1. Schnitt 2021'!AG45)</f>
        <v/>
      </c>
      <c r="K287" s="204"/>
      <c r="L287" s="206">
        <f>'Bautzen 1. Schnitt 2021'!K45</f>
        <v>62.407291521809647</v>
      </c>
    </row>
    <row r="288" spans="1:12" x14ac:dyDescent="0.3">
      <c r="A288" s="199" t="s">
        <v>9</v>
      </c>
      <c r="B288" s="200" t="s">
        <v>11</v>
      </c>
      <c r="C288" s="201" t="s">
        <v>119</v>
      </c>
      <c r="D288" s="202">
        <v>8</v>
      </c>
      <c r="E288" s="203">
        <v>44319</v>
      </c>
      <c r="F288" s="204">
        <f>'Bautzen 1. Schnitt 2021'!AL46</f>
        <v>1.8004796549245146</v>
      </c>
      <c r="G288" s="205">
        <f>IF('Bautzen 1. Schnitt 2021'!AM46=0,"",'Bautzen 1. Schnitt 2021'!AM46)</f>
        <v>18.626981689630171</v>
      </c>
      <c r="H288" s="205">
        <f>IF('Bautzen 1. Schnitt 2021'!AN46=0,"",'Bautzen 1. Schnitt 2021'!AN46)</f>
        <v>9.5821832973179113</v>
      </c>
      <c r="I288" s="204">
        <f>IF('Bautzen 1. Schnitt 2021'!S46=0,"",'Bautzen 1. Schnitt 2021'!S46)</f>
        <v>18.626981689630171</v>
      </c>
      <c r="J288" s="204" t="str">
        <f>IF('Bautzen 1. Schnitt 2021'!AG46=0,"",'Bautzen 1. Schnitt 2021'!AG46)</f>
        <v/>
      </c>
      <c r="K288" s="204"/>
      <c r="L288" s="206">
        <f>'Bautzen 1. Schnitt 2021'!K46</f>
        <v>33.80168886567423</v>
      </c>
    </row>
    <row r="289" spans="1:12" x14ac:dyDescent="0.3">
      <c r="A289" s="199" t="s">
        <v>9</v>
      </c>
      <c r="B289" s="200" t="s">
        <v>11</v>
      </c>
      <c r="C289" s="201" t="s">
        <v>120</v>
      </c>
      <c r="D289" s="202">
        <v>9</v>
      </c>
      <c r="E289" s="203">
        <v>44319</v>
      </c>
      <c r="F289" s="204">
        <f>'Bautzen 1. Schnitt 2021'!AL47</f>
        <v>0.43633018867924556</v>
      </c>
      <c r="G289" s="205">
        <f>IF('Bautzen 1. Schnitt 2021'!AM47=0,"",'Bautzen 1. Schnitt 2021'!AM47)</f>
        <v>7.6454672750375448</v>
      </c>
      <c r="H289" s="205" t="str">
        <f>IF('Bautzen 1. Schnitt 2021'!AN47=0,"",'Bautzen 1. Schnitt 2021'!AN47)</f>
        <v/>
      </c>
      <c r="I289" s="204">
        <f>IF('Bautzen 1. Schnitt 2021'!S47=0,"",'Bautzen 1. Schnitt 2021'!S47)</f>
        <v>7.6454672750375448</v>
      </c>
      <c r="J289" s="204" t="str">
        <f>IF('Bautzen 1. Schnitt 2021'!AG47=0,"",'Bautzen 1. Schnitt 2021'!AG47)</f>
        <v/>
      </c>
      <c r="K289" s="204"/>
      <c r="L289" s="206">
        <f>'Bautzen 1. Schnitt 2021'!K47</f>
        <v>20.857399954266594</v>
      </c>
    </row>
    <row r="290" spans="1:12" x14ac:dyDescent="0.3">
      <c r="A290" s="210" t="s">
        <v>111</v>
      </c>
      <c r="B290" s="211" t="s">
        <v>2</v>
      </c>
      <c r="C290" s="212" t="s">
        <v>112</v>
      </c>
      <c r="D290" s="213">
        <v>1</v>
      </c>
      <c r="E290" s="214">
        <v>44385</v>
      </c>
      <c r="F290" s="215">
        <f>'Struppen 2. Schnitt 2021'!AJ12</f>
        <v>0</v>
      </c>
      <c r="G290" s="215" t="str">
        <f>IF('Struppen 2. Schnitt 2021'!AK12=0,"",'Struppen 2. Schnitt 2021'!AK12)</f>
        <v/>
      </c>
      <c r="H290" s="215">
        <f>IF('Struppen 2. Schnitt 2021'!AL12=0,"",'Struppen 2. Schnitt 2021'!AL12)</f>
        <v>37.5667330952176</v>
      </c>
      <c r="I290" s="215" t="str">
        <f>IF('Struppen 2. Schnitt 2021'!R12=0,"",'Struppen 2. Schnitt 2021'!R12)</f>
        <v/>
      </c>
      <c r="J290" s="215" t="str">
        <f>IF('Struppen 2. Schnitt 2021'!AD12=0,"",'Struppen 2. Schnitt 2021'!AD12)</f>
        <v/>
      </c>
      <c r="K290" s="215"/>
      <c r="L290" s="220">
        <f>'Struppen 2. Schnitt 2021'!K12</f>
        <v>47.027231589826634</v>
      </c>
    </row>
    <row r="291" spans="1:12" x14ac:dyDescent="0.3">
      <c r="A291" s="210" t="s">
        <v>111</v>
      </c>
      <c r="B291" s="211" t="s">
        <v>2</v>
      </c>
      <c r="C291" s="212" t="s">
        <v>113</v>
      </c>
      <c r="D291" s="213">
        <v>2</v>
      </c>
      <c r="E291" s="214">
        <v>44385</v>
      </c>
      <c r="F291" s="215">
        <f>'Struppen 2. Schnitt 2021'!AJ13</f>
        <v>0</v>
      </c>
      <c r="G291" s="215">
        <f>IF('Struppen 2. Schnitt 2021'!AK13=0,"",'Struppen 2. Schnitt 2021'!AK13)</f>
        <v>11.874036513545347</v>
      </c>
      <c r="H291" s="215">
        <f>IF('Struppen 2. Schnitt 2021'!AL13=0,"",'Struppen 2. Schnitt 2021'!AL13)</f>
        <v>17.94479860218922</v>
      </c>
      <c r="I291" s="215" t="str">
        <f>IF('Struppen 2. Schnitt 2021'!R13=0,"",'Struppen 2. Schnitt 2021'!R13)</f>
        <v/>
      </c>
      <c r="J291" s="215">
        <f>IF('Struppen 2. Schnitt 2021'!AD13=0,"",'Struppen 2. Schnitt 2021'!AD13)</f>
        <v>11.874036513545347</v>
      </c>
      <c r="K291" s="215"/>
      <c r="L291" s="220">
        <f>'Struppen 2. Schnitt 2021'!K13</f>
        <v>35.589089687292955</v>
      </c>
    </row>
    <row r="292" spans="1:12" x14ac:dyDescent="0.3">
      <c r="A292" s="210" t="s">
        <v>111</v>
      </c>
      <c r="B292" s="216" t="s">
        <v>2</v>
      </c>
      <c r="C292" s="212" t="s">
        <v>114</v>
      </c>
      <c r="D292" s="213">
        <v>3</v>
      </c>
      <c r="E292" s="214">
        <v>44385</v>
      </c>
      <c r="F292" s="215">
        <f>'Struppen 2. Schnitt 2021'!AJ14</f>
        <v>0</v>
      </c>
      <c r="G292" s="215">
        <f>IF('Struppen 2. Schnitt 2021'!AK14=0,"",'Struppen 2. Schnitt 2021'!AK14)</f>
        <v>17.729951160035029</v>
      </c>
      <c r="H292" s="215">
        <f>IF('Struppen 2. Schnitt 2021'!AL14=0,"",'Struppen 2. Schnitt 2021'!AL14)</f>
        <v>4.8458140188228676</v>
      </c>
      <c r="I292" s="215" t="str">
        <f>IF('Struppen 2. Schnitt 2021'!R14=0,"",'Struppen 2. Schnitt 2021'!R14)</f>
        <v/>
      </c>
      <c r="J292" s="215">
        <f>IF('Struppen 2. Schnitt 2021'!AD14=0,"",'Struppen 2. Schnitt 2021'!AD14)</f>
        <v>17.729951160035029</v>
      </c>
      <c r="K292" s="215"/>
      <c r="L292" s="220">
        <f>'Struppen 2. Schnitt 2021'!K14</f>
        <v>24.278000312212495</v>
      </c>
    </row>
    <row r="293" spans="1:12" x14ac:dyDescent="0.3">
      <c r="A293" s="210" t="s">
        <v>111</v>
      </c>
      <c r="B293" s="211" t="s">
        <v>2</v>
      </c>
      <c r="C293" s="212" t="s">
        <v>115</v>
      </c>
      <c r="D293" s="213">
        <v>4</v>
      </c>
      <c r="E293" s="214">
        <v>44385</v>
      </c>
      <c r="F293" s="215">
        <f>'Struppen 2. Schnitt 2021'!AJ15</f>
        <v>0</v>
      </c>
      <c r="G293" s="215">
        <f>IF('Struppen 2. Schnitt 2021'!AK15=0,"",'Struppen 2. Schnitt 2021'!AK15)</f>
        <v>17.158831404705339</v>
      </c>
      <c r="H293" s="215">
        <f>IF('Struppen 2. Schnitt 2021'!AL15=0,"",'Struppen 2. Schnitt 2021'!AL15)</f>
        <v>2.3879062369192137</v>
      </c>
      <c r="I293" s="215" t="str">
        <f>IF('Struppen 2. Schnitt 2021'!R15=0,"",'Struppen 2. Schnitt 2021'!R15)</f>
        <v/>
      </c>
      <c r="J293" s="215">
        <f>IF('Struppen 2. Schnitt 2021'!AD15=0,"",'Struppen 2. Schnitt 2021'!AD15)</f>
        <v>17.158831404705339</v>
      </c>
      <c r="K293" s="215"/>
      <c r="L293" s="220">
        <f>'Struppen 2. Schnitt 2021'!K15</f>
        <v>27.869834673612058</v>
      </c>
    </row>
    <row r="294" spans="1:12" x14ac:dyDescent="0.3">
      <c r="A294" s="210" t="s">
        <v>111</v>
      </c>
      <c r="B294" s="211" t="s">
        <v>2</v>
      </c>
      <c r="C294" s="212" t="s">
        <v>116</v>
      </c>
      <c r="D294" s="213">
        <v>5</v>
      </c>
      <c r="E294" s="214">
        <v>44385</v>
      </c>
      <c r="F294" s="215">
        <f>'Struppen 2. Schnitt 2021'!AJ16</f>
        <v>0</v>
      </c>
      <c r="G294" s="215">
        <f>IF('Struppen 2. Schnitt 2021'!AK16=0,"",'Struppen 2. Schnitt 2021'!AK16)</f>
        <v>15.114256467292801</v>
      </c>
      <c r="H294" s="215" t="str">
        <f>IF('Struppen 2. Schnitt 2021'!AL16=0,"",'Struppen 2. Schnitt 2021'!AL16)</f>
        <v/>
      </c>
      <c r="I294" s="215" t="str">
        <f>IF('Struppen 2. Schnitt 2021'!R16=0,"",'Struppen 2. Schnitt 2021'!R16)</f>
        <v/>
      </c>
      <c r="J294" s="215">
        <f>IF('Struppen 2. Schnitt 2021'!AD16=0,"",'Struppen 2. Schnitt 2021'!AD16)</f>
        <v>15.114256467292801</v>
      </c>
      <c r="K294" s="215"/>
      <c r="L294" s="220">
        <f>'Struppen 2. Schnitt 2021'!K16</f>
        <v>42.233893101150279</v>
      </c>
    </row>
    <row r="295" spans="1:12" x14ac:dyDescent="0.3">
      <c r="A295" s="210" t="s">
        <v>111</v>
      </c>
      <c r="B295" s="211" t="s">
        <v>2</v>
      </c>
      <c r="C295" s="212" t="s">
        <v>117</v>
      </c>
      <c r="D295" s="213">
        <v>6</v>
      </c>
      <c r="E295" s="214">
        <v>44385</v>
      </c>
      <c r="F295" s="215">
        <f>'Struppen 2. Schnitt 2021'!AJ17</f>
        <v>0</v>
      </c>
      <c r="G295" s="215">
        <f>IF('Struppen 2. Schnitt 2021'!AK17=0,"",'Struppen 2. Schnitt 2021'!AK17)</f>
        <v>13.727483114386416</v>
      </c>
      <c r="H295" s="215">
        <f>IF('Struppen 2. Schnitt 2021'!AL17=0,"",'Struppen 2. Schnitt 2021'!AL17)</f>
        <v>23.52756731610059</v>
      </c>
      <c r="I295" s="215">
        <f>IF('Struppen 2. Schnitt 2021'!R17=0,"",'Struppen 2. Schnitt 2021'!R17)</f>
        <v>13.727483114386416</v>
      </c>
      <c r="J295" s="215" t="str">
        <f>IF('Struppen 2. Schnitt 2021'!AD17=0,"",'Struppen 2. Schnitt 2021'!AD17)</f>
        <v/>
      </c>
      <c r="K295" s="215"/>
      <c r="L295" s="220">
        <f>'Struppen 2. Schnitt 2021'!K17</f>
        <v>83.319366340539659</v>
      </c>
    </row>
    <row r="296" spans="1:12" x14ac:dyDescent="0.3">
      <c r="A296" s="210" t="s">
        <v>111</v>
      </c>
      <c r="B296" s="211" t="s">
        <v>2</v>
      </c>
      <c r="C296" s="212" t="s">
        <v>118</v>
      </c>
      <c r="D296" s="213">
        <v>7</v>
      </c>
      <c r="E296" s="214">
        <v>44385</v>
      </c>
      <c r="F296" s="215">
        <f>'Struppen 2. Schnitt 2021'!AJ18</f>
        <v>0</v>
      </c>
      <c r="G296" s="215">
        <f>IF('Struppen 2. Schnitt 2021'!AK18=0,"",'Struppen 2. Schnitt 2021'!AK18)</f>
        <v>19.68241826482344</v>
      </c>
      <c r="H296" s="215">
        <f>IF('Struppen 2. Schnitt 2021'!AL18=0,"",'Struppen 2. Schnitt 2021'!AL18)</f>
        <v>11.997706373070296</v>
      </c>
      <c r="I296" s="215">
        <f>IF('Struppen 2. Schnitt 2021'!R18=0,"",'Struppen 2. Schnitt 2021'!R18)</f>
        <v>19.68241826482344</v>
      </c>
      <c r="J296" s="215" t="str">
        <f>IF('Struppen 2. Schnitt 2021'!AD18=0,"",'Struppen 2. Schnitt 2021'!AD18)</f>
        <v/>
      </c>
      <c r="K296" s="215"/>
      <c r="L296" s="220">
        <f>'Struppen 2. Schnitt 2021'!K18</f>
        <v>60.37144813210417</v>
      </c>
    </row>
    <row r="297" spans="1:12" x14ac:dyDescent="0.3">
      <c r="A297" s="210" t="s">
        <v>111</v>
      </c>
      <c r="B297" s="211" t="s">
        <v>2</v>
      </c>
      <c r="C297" s="212" t="s">
        <v>119</v>
      </c>
      <c r="D297" s="213">
        <v>8</v>
      </c>
      <c r="E297" s="214">
        <v>44385</v>
      </c>
      <c r="F297" s="215">
        <f>'Struppen 2. Schnitt 2021'!AJ19</f>
        <v>0</v>
      </c>
      <c r="G297" s="215">
        <f>IF('Struppen 2. Schnitt 2021'!AK19=0,"",'Struppen 2. Schnitt 2021'!AK19)</f>
        <v>22.325194795356818</v>
      </c>
      <c r="H297" s="215">
        <f>IF('Struppen 2. Schnitt 2021'!AL19=0,"",'Struppen 2. Schnitt 2021'!AL19)</f>
        <v>7.8272955624596978</v>
      </c>
      <c r="I297" s="215">
        <f>IF('Struppen 2. Schnitt 2021'!R19=0,"",'Struppen 2. Schnitt 2021'!R19)</f>
        <v>22.325194795356818</v>
      </c>
      <c r="J297" s="215" t="str">
        <f>IF('Struppen 2. Schnitt 2021'!AD19=0,"",'Struppen 2. Schnitt 2021'!AD19)</f>
        <v/>
      </c>
      <c r="K297" s="215"/>
      <c r="L297" s="220">
        <f>'Struppen 2. Schnitt 2021'!K19</f>
        <v>61.643752893576739</v>
      </c>
    </row>
    <row r="298" spans="1:12" x14ac:dyDescent="0.3">
      <c r="A298" s="210" t="s">
        <v>111</v>
      </c>
      <c r="B298" s="217" t="s">
        <v>2</v>
      </c>
      <c r="C298" s="212" t="s">
        <v>120</v>
      </c>
      <c r="D298" s="218">
        <v>9</v>
      </c>
      <c r="E298" s="214">
        <v>44385</v>
      </c>
      <c r="F298" s="215">
        <f>'Struppen 2. Schnitt 2021'!AJ20</f>
        <v>0</v>
      </c>
      <c r="G298" s="215">
        <f>IF('Struppen 2. Schnitt 2021'!AK20=0,"",'Struppen 2. Schnitt 2021'!AK20)</f>
        <v>19.829480634761129</v>
      </c>
      <c r="H298" s="215" t="str">
        <f>IF('Struppen 2. Schnitt 2021'!AL20=0,"",'Struppen 2. Schnitt 2021'!AL20)</f>
        <v/>
      </c>
      <c r="I298" s="215">
        <f>IF('Struppen 2. Schnitt 2021'!R20=0,"",'Struppen 2. Schnitt 2021'!R20)</f>
        <v>19.829480634761129</v>
      </c>
      <c r="J298" s="215" t="str">
        <f>IF('Struppen 2. Schnitt 2021'!AD20=0,"",'Struppen 2. Schnitt 2021'!AD20)</f>
        <v/>
      </c>
      <c r="K298" s="215"/>
      <c r="L298" s="220">
        <f>'Struppen 2. Schnitt 2021'!K20</f>
        <v>40.982166609660638</v>
      </c>
    </row>
    <row r="299" spans="1:12" x14ac:dyDescent="0.3">
      <c r="A299" s="210" t="s">
        <v>111</v>
      </c>
      <c r="B299" s="211" t="s">
        <v>9</v>
      </c>
      <c r="C299" s="212" t="s">
        <v>112</v>
      </c>
      <c r="D299" s="213">
        <v>1</v>
      </c>
      <c r="E299" s="214">
        <v>44385</v>
      </c>
      <c r="F299" s="215">
        <f>'Struppen 2. Schnitt 2021'!AJ21</f>
        <v>0</v>
      </c>
      <c r="G299" s="215" t="str">
        <f>IF('Struppen 2. Schnitt 2021'!AK21=0,"",'Struppen 2. Schnitt 2021'!AK21)</f>
        <v/>
      </c>
      <c r="H299" s="215">
        <f>IF('Struppen 2. Schnitt 2021'!AL21=0,"",'Struppen 2. Schnitt 2021'!AL21)</f>
        <v>36.48318000295815</v>
      </c>
      <c r="I299" s="215" t="str">
        <f>IF('Struppen 2. Schnitt 2021'!R21=0,"",'Struppen 2. Schnitt 2021'!R21)</f>
        <v/>
      </c>
      <c r="J299" s="215" t="str">
        <f>IF('Struppen 2. Schnitt 2021'!AD21=0,"",'Struppen 2. Schnitt 2021'!AD21)</f>
        <v/>
      </c>
      <c r="K299" s="215"/>
      <c r="L299" s="220">
        <f>'Struppen 2. Schnitt 2021'!K21</f>
        <v>57.528400442229724</v>
      </c>
    </row>
    <row r="300" spans="1:12" x14ac:dyDescent="0.3">
      <c r="A300" s="210" t="s">
        <v>111</v>
      </c>
      <c r="B300" s="211" t="s">
        <v>9</v>
      </c>
      <c r="C300" s="212" t="s">
        <v>113</v>
      </c>
      <c r="D300" s="213">
        <v>2</v>
      </c>
      <c r="E300" s="214">
        <v>44385</v>
      </c>
      <c r="F300" s="215">
        <f>'Struppen 2. Schnitt 2021'!AJ22</f>
        <v>0</v>
      </c>
      <c r="G300" s="215">
        <f>IF('Struppen 2. Schnitt 2021'!AK22=0,"",'Struppen 2. Schnitt 2021'!AK22)</f>
        <v>11.872812881374154</v>
      </c>
      <c r="H300" s="215">
        <f>IF('Struppen 2. Schnitt 2021'!AL22=0,"",'Struppen 2. Schnitt 2021'!AL22)</f>
        <v>20.721607523400248</v>
      </c>
      <c r="I300" s="215" t="str">
        <f>IF('Struppen 2. Schnitt 2021'!R22=0,"",'Struppen 2. Schnitt 2021'!R22)</f>
        <v/>
      </c>
      <c r="J300" s="215">
        <f>IF('Struppen 2. Schnitt 2021'!AD22=0,"",'Struppen 2. Schnitt 2021'!AD22)</f>
        <v>11.872812881374154</v>
      </c>
      <c r="K300" s="215"/>
      <c r="L300" s="220">
        <f>'Struppen 2. Schnitt 2021'!K22</f>
        <v>61.442107545533389</v>
      </c>
    </row>
    <row r="301" spans="1:12" x14ac:dyDescent="0.3">
      <c r="A301" s="210" t="s">
        <v>111</v>
      </c>
      <c r="B301" s="211" t="s">
        <v>9</v>
      </c>
      <c r="C301" s="212" t="s">
        <v>114</v>
      </c>
      <c r="D301" s="213">
        <v>3</v>
      </c>
      <c r="E301" s="214">
        <v>44385</v>
      </c>
      <c r="F301" s="215">
        <f>'Struppen 2. Schnitt 2021'!AJ23</f>
        <v>0</v>
      </c>
      <c r="G301" s="215">
        <f>IF('Struppen 2. Schnitt 2021'!AK23=0,"",'Struppen 2. Schnitt 2021'!AK23)</f>
        <v>21.562335229048184</v>
      </c>
      <c r="H301" s="215">
        <f>IF('Struppen 2. Schnitt 2021'!AL23=0,"",'Struppen 2. Schnitt 2021'!AL23)</f>
        <v>9.1940414861555855</v>
      </c>
      <c r="I301" s="215" t="str">
        <f>IF('Struppen 2. Schnitt 2021'!R23=0,"",'Struppen 2. Schnitt 2021'!R23)</f>
        <v/>
      </c>
      <c r="J301" s="215">
        <f>IF('Struppen 2. Schnitt 2021'!AD23=0,"",'Struppen 2. Schnitt 2021'!AD23)</f>
        <v>21.562335229048184</v>
      </c>
      <c r="K301" s="215"/>
      <c r="L301" s="220">
        <f>'Struppen 2. Schnitt 2021'!K23</f>
        <v>63.488104310724339</v>
      </c>
    </row>
    <row r="302" spans="1:12" x14ac:dyDescent="0.3">
      <c r="A302" s="210" t="s">
        <v>111</v>
      </c>
      <c r="B302" s="211" t="s">
        <v>9</v>
      </c>
      <c r="C302" s="212" t="s">
        <v>115</v>
      </c>
      <c r="D302" s="213">
        <v>4</v>
      </c>
      <c r="E302" s="214">
        <v>44385</v>
      </c>
      <c r="F302" s="215">
        <f>'Struppen 2. Schnitt 2021'!AJ24</f>
        <v>0</v>
      </c>
      <c r="G302" s="215">
        <f>IF('Struppen 2. Schnitt 2021'!AK24=0,"",'Struppen 2. Schnitt 2021'!AK24)</f>
        <v>18.901760007328019</v>
      </c>
      <c r="H302" s="215">
        <f>IF('Struppen 2. Schnitt 2021'!AL24=0,"",'Struppen 2. Schnitt 2021'!AL24)</f>
        <v>2.5532827793324686</v>
      </c>
      <c r="I302" s="215" t="str">
        <f>IF('Struppen 2. Schnitt 2021'!R24=0,"",'Struppen 2. Schnitt 2021'!R24)</f>
        <v/>
      </c>
      <c r="J302" s="215">
        <f>IF('Struppen 2. Schnitt 2021'!AD24=0,"",'Struppen 2. Schnitt 2021'!AD24)</f>
        <v>18.901760007328019</v>
      </c>
      <c r="K302" s="215"/>
      <c r="L302" s="220">
        <f>'Struppen 2. Schnitt 2021'!K24</f>
        <v>41.961075824895168</v>
      </c>
    </row>
    <row r="303" spans="1:12" x14ac:dyDescent="0.3">
      <c r="A303" s="210" t="s">
        <v>111</v>
      </c>
      <c r="B303" s="216" t="s">
        <v>9</v>
      </c>
      <c r="C303" s="212" t="s">
        <v>116</v>
      </c>
      <c r="D303" s="213">
        <v>5</v>
      </c>
      <c r="E303" s="214">
        <v>44385</v>
      </c>
      <c r="F303" s="215">
        <f>'Struppen 2. Schnitt 2021'!AJ25</f>
        <v>0</v>
      </c>
      <c r="G303" s="215">
        <f>IF('Struppen 2. Schnitt 2021'!AK25=0,"",'Struppen 2. Schnitt 2021'!AK25)</f>
        <v>20.975239132833185</v>
      </c>
      <c r="H303" s="215" t="str">
        <f>IF('Struppen 2. Schnitt 2021'!AL25=0,"",'Struppen 2. Schnitt 2021'!AL25)</f>
        <v/>
      </c>
      <c r="I303" s="215" t="str">
        <f>IF('Struppen 2. Schnitt 2021'!R25=0,"",'Struppen 2. Schnitt 2021'!R25)</f>
        <v/>
      </c>
      <c r="J303" s="215">
        <f>IF('Struppen 2. Schnitt 2021'!AD25=0,"",'Struppen 2. Schnitt 2021'!AD25)</f>
        <v>20.975239132833185</v>
      </c>
      <c r="K303" s="215"/>
      <c r="L303" s="220">
        <f>'Struppen 2. Schnitt 2021'!K25</f>
        <v>31.060597860403028</v>
      </c>
    </row>
    <row r="304" spans="1:12" x14ac:dyDescent="0.3">
      <c r="A304" s="210" t="s">
        <v>111</v>
      </c>
      <c r="B304" s="211" t="s">
        <v>9</v>
      </c>
      <c r="C304" s="212" t="s">
        <v>117</v>
      </c>
      <c r="D304" s="213">
        <v>6</v>
      </c>
      <c r="E304" s="214">
        <v>44385</v>
      </c>
      <c r="F304" s="215">
        <f>'Struppen 2. Schnitt 2021'!AJ26</f>
        <v>0</v>
      </c>
      <c r="G304" s="215">
        <f>IF('Struppen 2. Schnitt 2021'!AK26=0,"",'Struppen 2. Schnitt 2021'!AK26)</f>
        <v>8.216931197850375</v>
      </c>
      <c r="H304" s="215">
        <f>IF('Struppen 2. Schnitt 2021'!AL26=0,"",'Struppen 2. Schnitt 2021'!AL26)</f>
        <v>32.253301613081831</v>
      </c>
      <c r="I304" s="215">
        <f>IF('Struppen 2. Schnitt 2021'!R26=0,"",'Struppen 2. Schnitt 2021'!R26)</f>
        <v>8.216931197850375</v>
      </c>
      <c r="J304" s="215" t="str">
        <f>IF('Struppen 2. Schnitt 2021'!AD26=0,"",'Struppen 2. Schnitt 2021'!AD26)</f>
        <v/>
      </c>
      <c r="K304" s="215"/>
      <c r="L304" s="220">
        <f>'Struppen 2. Schnitt 2021'!K26</f>
        <v>61.695964725195509</v>
      </c>
    </row>
    <row r="305" spans="1:12" x14ac:dyDescent="0.3">
      <c r="A305" s="210" t="s">
        <v>111</v>
      </c>
      <c r="B305" s="211" t="s">
        <v>9</v>
      </c>
      <c r="C305" s="212" t="s">
        <v>118</v>
      </c>
      <c r="D305" s="213">
        <v>7</v>
      </c>
      <c r="E305" s="214">
        <v>44385</v>
      </c>
      <c r="F305" s="215">
        <f>'Struppen 2. Schnitt 2021'!AJ27</f>
        <v>0</v>
      </c>
      <c r="G305" s="215">
        <f>IF('Struppen 2. Schnitt 2021'!AK27=0,"",'Struppen 2. Schnitt 2021'!AK27)</f>
        <v>19.512067244005245</v>
      </c>
      <c r="H305" s="215">
        <f>IF('Struppen 2. Schnitt 2021'!AL27=0,"",'Struppen 2. Schnitt 2021'!AL27)</f>
        <v>9.384340474711431</v>
      </c>
      <c r="I305" s="215">
        <f>IF('Struppen 2. Schnitt 2021'!R27=0,"",'Struppen 2. Schnitt 2021'!R27)</f>
        <v>19.512067244005245</v>
      </c>
      <c r="J305" s="215" t="str">
        <f>IF('Struppen 2. Schnitt 2021'!AD27=0,"",'Struppen 2. Schnitt 2021'!AD27)</f>
        <v/>
      </c>
      <c r="K305" s="215"/>
      <c r="L305" s="220">
        <f>'Struppen 2. Schnitt 2021'!K27</f>
        <v>68.289540968980845</v>
      </c>
    </row>
    <row r="306" spans="1:12" x14ac:dyDescent="0.3">
      <c r="A306" s="210" t="s">
        <v>111</v>
      </c>
      <c r="B306" s="211" t="s">
        <v>9</v>
      </c>
      <c r="C306" s="212" t="s">
        <v>119</v>
      </c>
      <c r="D306" s="213">
        <v>8</v>
      </c>
      <c r="E306" s="214">
        <v>44385</v>
      </c>
      <c r="F306" s="215">
        <f>'Struppen 2. Schnitt 2021'!AJ28</f>
        <v>0</v>
      </c>
      <c r="G306" s="215">
        <f>IF('Struppen 2. Schnitt 2021'!AK28=0,"",'Struppen 2. Schnitt 2021'!AK28)</f>
        <v>22.22806138000335</v>
      </c>
      <c r="H306" s="215">
        <f>IF('Struppen 2. Schnitt 2021'!AL28=0,"",'Struppen 2. Schnitt 2021'!AL28)</f>
        <v>6.3813663120375876</v>
      </c>
      <c r="I306" s="215">
        <f>IF('Struppen 2. Schnitt 2021'!R28=0,"",'Struppen 2. Schnitt 2021'!R28)</f>
        <v>22.22806138000335</v>
      </c>
      <c r="J306" s="215" t="str">
        <f>IF('Struppen 2. Schnitt 2021'!AD28=0,"",'Struppen 2. Schnitt 2021'!AD28)</f>
        <v/>
      </c>
      <c r="K306" s="215"/>
      <c r="L306" s="220">
        <f>'Struppen 2. Schnitt 2021'!K28</f>
        <v>67.189109928328875</v>
      </c>
    </row>
    <row r="307" spans="1:12" x14ac:dyDescent="0.3">
      <c r="A307" s="210" t="s">
        <v>111</v>
      </c>
      <c r="B307" s="217" t="s">
        <v>9</v>
      </c>
      <c r="C307" s="212" t="s">
        <v>120</v>
      </c>
      <c r="D307" s="218">
        <v>9</v>
      </c>
      <c r="E307" s="214">
        <v>44385</v>
      </c>
      <c r="F307" s="215">
        <f>'Struppen 2. Schnitt 2021'!AJ29</f>
        <v>0</v>
      </c>
      <c r="G307" s="215">
        <f>IF('Struppen 2. Schnitt 2021'!AK29=0,"",'Struppen 2. Schnitt 2021'!AK29)</f>
        <v>26.562881941500631</v>
      </c>
      <c r="H307" s="215" t="str">
        <f>IF('Struppen 2. Schnitt 2021'!AL29=0,"",'Struppen 2. Schnitt 2021'!AL29)</f>
        <v/>
      </c>
      <c r="I307" s="215">
        <f>IF('Struppen 2. Schnitt 2021'!R29=0,"",'Struppen 2. Schnitt 2021'!R29)</f>
        <v>26.562881941500631</v>
      </c>
      <c r="J307" s="215" t="str">
        <f>IF('Struppen 2. Schnitt 2021'!AD29=0,"",'Struppen 2. Schnitt 2021'!AD29)</f>
        <v/>
      </c>
      <c r="K307" s="215"/>
      <c r="L307" s="220">
        <f>'Struppen 2. Schnitt 2021'!K29</f>
        <v>55.252334790035263</v>
      </c>
    </row>
    <row r="308" spans="1:12" x14ac:dyDescent="0.3">
      <c r="A308" s="210" t="s">
        <v>111</v>
      </c>
      <c r="B308" s="211" t="s">
        <v>10</v>
      </c>
      <c r="C308" s="212" t="s">
        <v>112</v>
      </c>
      <c r="D308" s="213">
        <v>1</v>
      </c>
      <c r="E308" s="214">
        <v>44385</v>
      </c>
      <c r="F308" s="215">
        <f>'Struppen 2. Schnitt 2021'!AJ30</f>
        <v>0</v>
      </c>
      <c r="G308" s="215" t="str">
        <f>IF('Struppen 2. Schnitt 2021'!AK30=0,"",'Struppen 2. Schnitt 2021'!AK30)</f>
        <v/>
      </c>
      <c r="H308" s="215">
        <f>IF('Struppen 2. Schnitt 2021'!AL30=0,"",'Struppen 2. Schnitt 2021'!AL30)</f>
        <v>36.575146871764538</v>
      </c>
      <c r="I308" s="215" t="str">
        <f>IF('Struppen 2. Schnitt 2021'!R30=0,"",'Struppen 2. Schnitt 2021'!R30)</f>
        <v/>
      </c>
      <c r="J308" s="215" t="str">
        <f>IF('Struppen 2. Schnitt 2021'!AD30=0,"",'Struppen 2. Schnitt 2021'!AD30)</f>
        <v/>
      </c>
      <c r="K308" s="215"/>
      <c r="L308" s="220">
        <f>'Struppen 2. Schnitt 2021'!K30</f>
        <v>72.202971425365448</v>
      </c>
    </row>
    <row r="309" spans="1:12" x14ac:dyDescent="0.3">
      <c r="A309" s="210" t="s">
        <v>111</v>
      </c>
      <c r="B309" s="211" t="s">
        <v>10</v>
      </c>
      <c r="C309" s="212" t="s">
        <v>113</v>
      </c>
      <c r="D309" s="213">
        <v>2</v>
      </c>
      <c r="E309" s="214">
        <v>44385</v>
      </c>
      <c r="F309" s="215">
        <f>'Struppen 2. Schnitt 2021'!AJ31</f>
        <v>0</v>
      </c>
      <c r="G309" s="215">
        <f>IF('Struppen 2. Schnitt 2021'!AK31=0,"",'Struppen 2. Schnitt 2021'!AK31)</f>
        <v>17.988193626562783</v>
      </c>
      <c r="H309" s="215">
        <f>IF('Struppen 2. Schnitt 2021'!AL31=0,"",'Struppen 2. Schnitt 2021'!AL31)</f>
        <v>15.748538306180151</v>
      </c>
      <c r="I309" s="215" t="str">
        <f>IF('Struppen 2. Schnitt 2021'!R31=0,"",'Struppen 2. Schnitt 2021'!R31)</f>
        <v/>
      </c>
      <c r="J309" s="215">
        <f>IF('Struppen 2. Schnitt 2021'!AD31=0,"",'Struppen 2. Schnitt 2021'!AD31)</f>
        <v>17.988193626562783</v>
      </c>
      <c r="K309" s="215"/>
      <c r="L309" s="220">
        <f>'Struppen 2. Schnitt 2021'!K31</f>
        <v>58.15110490676517</v>
      </c>
    </row>
    <row r="310" spans="1:12" x14ac:dyDescent="0.3">
      <c r="A310" s="210" t="s">
        <v>111</v>
      </c>
      <c r="B310" s="211" t="s">
        <v>10</v>
      </c>
      <c r="C310" s="212" t="s">
        <v>114</v>
      </c>
      <c r="D310" s="213">
        <v>3</v>
      </c>
      <c r="E310" s="214">
        <v>44385</v>
      </c>
      <c r="F310" s="215">
        <f>'Struppen 2. Schnitt 2021'!AJ32</f>
        <v>0</v>
      </c>
      <c r="G310" s="215">
        <f>IF('Struppen 2. Schnitt 2021'!AK32=0,"",'Struppen 2. Schnitt 2021'!AK32)</f>
        <v>16.101260629692622</v>
      </c>
      <c r="H310" s="215">
        <f>IF('Struppen 2. Schnitt 2021'!AL32=0,"",'Struppen 2. Schnitt 2021'!AL32)</f>
        <v>15.355902777777779</v>
      </c>
      <c r="I310" s="215" t="str">
        <f>IF('Struppen 2. Schnitt 2021'!R32=0,"",'Struppen 2. Schnitt 2021'!R32)</f>
        <v/>
      </c>
      <c r="J310" s="215">
        <f>IF('Struppen 2. Schnitt 2021'!AD32=0,"",'Struppen 2. Schnitt 2021'!AD32)</f>
        <v>16.101260629692622</v>
      </c>
      <c r="K310" s="215"/>
      <c r="L310" s="220">
        <f>'Struppen 2. Schnitt 2021'!K32</f>
        <v>53.362631090097551</v>
      </c>
    </row>
    <row r="311" spans="1:12" x14ac:dyDescent="0.3">
      <c r="A311" s="210" t="s">
        <v>111</v>
      </c>
      <c r="B311" s="211" t="s">
        <v>10</v>
      </c>
      <c r="C311" s="212" t="s">
        <v>115</v>
      </c>
      <c r="D311" s="213">
        <v>4</v>
      </c>
      <c r="E311" s="214">
        <v>44385</v>
      </c>
      <c r="F311" s="215">
        <f>'Struppen 2. Schnitt 2021'!AJ33</f>
        <v>0</v>
      </c>
      <c r="G311" s="215">
        <f>IF('Struppen 2. Schnitt 2021'!AK33=0,"",'Struppen 2. Schnitt 2021'!AK33)</f>
        <v>19.428398606485203</v>
      </c>
      <c r="H311" s="215">
        <f>IF('Struppen 2. Schnitt 2021'!AL33=0,"",'Struppen 2. Schnitt 2021'!AL33)</f>
        <v>1.0149291635267523</v>
      </c>
      <c r="I311" s="215" t="str">
        <f>IF('Struppen 2. Schnitt 2021'!R33=0,"",'Struppen 2. Schnitt 2021'!R33)</f>
        <v/>
      </c>
      <c r="J311" s="215">
        <f>IF('Struppen 2. Schnitt 2021'!AD33=0,"",'Struppen 2. Schnitt 2021'!AD33)</f>
        <v>19.428398606485203</v>
      </c>
      <c r="K311" s="215"/>
      <c r="L311" s="220">
        <f>'Struppen 2. Schnitt 2021'!K33</f>
        <v>42.905508851069641</v>
      </c>
    </row>
    <row r="312" spans="1:12" x14ac:dyDescent="0.3">
      <c r="A312" s="210" t="s">
        <v>111</v>
      </c>
      <c r="B312" s="211" t="s">
        <v>10</v>
      </c>
      <c r="C312" s="212" t="s">
        <v>116</v>
      </c>
      <c r="D312" s="213">
        <v>5</v>
      </c>
      <c r="E312" s="214">
        <v>44385</v>
      </c>
      <c r="F312" s="215">
        <f>'Struppen 2. Schnitt 2021'!AJ34</f>
        <v>0</v>
      </c>
      <c r="G312" s="215">
        <f>IF('Struppen 2. Schnitt 2021'!AK34=0,"",'Struppen 2. Schnitt 2021'!AK34)</f>
        <v>20.091429195270432</v>
      </c>
      <c r="H312" s="215" t="str">
        <f>IF('Struppen 2. Schnitt 2021'!AL34=0,"",'Struppen 2. Schnitt 2021'!AL34)</f>
        <v/>
      </c>
      <c r="I312" s="215" t="str">
        <f>IF('Struppen 2. Schnitt 2021'!R34=0,"",'Struppen 2. Schnitt 2021'!R34)</f>
        <v/>
      </c>
      <c r="J312" s="215">
        <f>IF('Struppen 2. Schnitt 2021'!AD34=0,"",'Struppen 2. Schnitt 2021'!AD34)</f>
        <v>20.091429195270432</v>
      </c>
      <c r="K312" s="215"/>
      <c r="L312" s="220">
        <f>'Struppen 2. Schnitt 2021'!K34</f>
        <v>31.472971472971473</v>
      </c>
    </row>
    <row r="313" spans="1:12" x14ac:dyDescent="0.3">
      <c r="A313" s="210" t="s">
        <v>111</v>
      </c>
      <c r="B313" s="211" t="s">
        <v>10</v>
      </c>
      <c r="C313" s="212" t="s">
        <v>117</v>
      </c>
      <c r="D313" s="213">
        <v>6</v>
      </c>
      <c r="E313" s="214">
        <v>44385</v>
      </c>
      <c r="F313" s="215">
        <f>'Struppen 2. Schnitt 2021'!AJ35</f>
        <v>0</v>
      </c>
      <c r="G313" s="215">
        <f>IF('Struppen 2. Schnitt 2021'!AK35=0,"",'Struppen 2. Schnitt 2021'!AK35)</f>
        <v>13.762681699257737</v>
      </c>
      <c r="H313" s="215">
        <f>IF('Struppen 2. Schnitt 2021'!AL35=0,"",'Struppen 2. Schnitt 2021'!AL35)</f>
        <v>24.351613162764501</v>
      </c>
      <c r="I313" s="215">
        <f>IF('Struppen 2. Schnitt 2021'!R35=0,"",'Struppen 2. Schnitt 2021'!R35)</f>
        <v>13.762681699257737</v>
      </c>
      <c r="J313" s="215" t="str">
        <f>IF('Struppen 2. Schnitt 2021'!AD35=0,"",'Struppen 2. Schnitt 2021'!AD35)</f>
        <v/>
      </c>
      <c r="K313" s="215"/>
      <c r="L313" s="220">
        <f>'Struppen 2. Schnitt 2021'!K35</f>
        <v>89.162034724569708</v>
      </c>
    </row>
    <row r="314" spans="1:12" x14ac:dyDescent="0.3">
      <c r="A314" s="210" t="s">
        <v>111</v>
      </c>
      <c r="B314" s="216" t="s">
        <v>10</v>
      </c>
      <c r="C314" s="212" t="s">
        <v>118</v>
      </c>
      <c r="D314" s="213">
        <v>7</v>
      </c>
      <c r="E314" s="214">
        <v>44385</v>
      </c>
      <c r="F314" s="215">
        <f>'Struppen 2. Schnitt 2021'!AJ36</f>
        <v>0</v>
      </c>
      <c r="G314" s="215">
        <f>IF('Struppen 2. Schnitt 2021'!AK36=0,"",'Struppen 2. Schnitt 2021'!AK36)</f>
        <v>13.559905130562408</v>
      </c>
      <c r="H314" s="215">
        <f>IF('Struppen 2. Schnitt 2021'!AL36=0,"",'Struppen 2. Schnitt 2021'!AL36)</f>
        <v>16.965820497686721</v>
      </c>
      <c r="I314" s="215">
        <f>IF('Struppen 2. Schnitt 2021'!R36=0,"",'Struppen 2. Schnitt 2021'!R36)</f>
        <v>13.559905130562408</v>
      </c>
      <c r="J314" s="215" t="str">
        <f>IF('Struppen 2. Schnitt 2021'!AD36=0,"",'Struppen 2. Schnitt 2021'!AD36)</f>
        <v/>
      </c>
      <c r="K314" s="215"/>
      <c r="L314" s="220">
        <f>'Struppen 2. Schnitt 2021'!K36</f>
        <v>76.455244279322955</v>
      </c>
    </row>
    <row r="315" spans="1:12" x14ac:dyDescent="0.3">
      <c r="A315" s="210" t="s">
        <v>111</v>
      </c>
      <c r="B315" s="211" t="s">
        <v>10</v>
      </c>
      <c r="C315" s="212" t="s">
        <v>119</v>
      </c>
      <c r="D315" s="213">
        <v>8</v>
      </c>
      <c r="E315" s="214">
        <v>44385</v>
      </c>
      <c r="F315" s="215">
        <f>'Struppen 2. Schnitt 2021'!AJ37</f>
        <v>0</v>
      </c>
      <c r="G315" s="215">
        <f>IF('Struppen 2. Schnitt 2021'!AK37=0,"",'Struppen 2. Schnitt 2021'!AK37)</f>
        <v>22.444689302005326</v>
      </c>
      <c r="H315" s="215">
        <f>IF('Struppen 2. Schnitt 2021'!AL37=0,"",'Struppen 2. Schnitt 2021'!AL37)</f>
        <v>15.166345619380245</v>
      </c>
      <c r="I315" s="215">
        <f>IF('Struppen 2. Schnitt 2021'!R37=0,"",'Struppen 2. Schnitt 2021'!R37)</f>
        <v>22.444689302005326</v>
      </c>
      <c r="J315" s="215" t="str">
        <f>IF('Struppen 2. Schnitt 2021'!AD37=0,"",'Struppen 2. Schnitt 2021'!AD37)</f>
        <v/>
      </c>
      <c r="K315" s="215"/>
      <c r="L315" s="220">
        <f>'Struppen 2. Schnitt 2021'!K37</f>
        <v>58.893258255041758</v>
      </c>
    </row>
    <row r="316" spans="1:12" x14ac:dyDescent="0.3">
      <c r="A316" s="210" t="s">
        <v>111</v>
      </c>
      <c r="B316" s="217" t="s">
        <v>10</v>
      </c>
      <c r="C316" s="212" t="s">
        <v>120</v>
      </c>
      <c r="D316" s="218">
        <v>9</v>
      </c>
      <c r="E316" s="214">
        <v>44385</v>
      </c>
      <c r="F316" s="215">
        <f>'Struppen 2. Schnitt 2021'!AJ38</f>
        <v>0</v>
      </c>
      <c r="G316" s="215">
        <f>IF('Struppen 2. Schnitt 2021'!AK38=0,"",'Struppen 2. Schnitt 2021'!AK38)</f>
        <v>22.791945106669115</v>
      </c>
      <c r="H316" s="215" t="str">
        <f>IF('Struppen 2. Schnitt 2021'!AL38=0,"",'Struppen 2. Schnitt 2021'!AL38)</f>
        <v/>
      </c>
      <c r="I316" s="215">
        <f>IF('Struppen 2. Schnitt 2021'!R38=0,"",'Struppen 2. Schnitt 2021'!R38)</f>
        <v>22.791945106669115</v>
      </c>
      <c r="J316" s="215" t="str">
        <f>IF('Struppen 2. Schnitt 2021'!AD38=0,"",'Struppen 2. Schnitt 2021'!AD38)</f>
        <v/>
      </c>
      <c r="K316" s="215"/>
      <c r="L316" s="220">
        <f>'Struppen 2. Schnitt 2021'!K38</f>
        <v>31.944858563191037</v>
      </c>
    </row>
    <row r="317" spans="1:12" x14ac:dyDescent="0.3">
      <c r="A317" s="210" t="s">
        <v>111</v>
      </c>
      <c r="B317" s="211" t="s">
        <v>11</v>
      </c>
      <c r="C317" s="212" t="s">
        <v>112</v>
      </c>
      <c r="D317" s="213">
        <v>1</v>
      </c>
      <c r="E317" s="214">
        <v>44385</v>
      </c>
      <c r="F317" s="215">
        <f>'Struppen 2. Schnitt 2021'!AJ39</f>
        <v>0</v>
      </c>
      <c r="G317" s="215" t="str">
        <f>IF('Struppen 2. Schnitt 2021'!AK39=0,"",'Struppen 2. Schnitt 2021'!AK39)</f>
        <v/>
      </c>
      <c r="H317" s="215">
        <f>IF('Struppen 2. Schnitt 2021'!AL39=0,"",'Struppen 2. Schnitt 2021'!AL39)</f>
        <v>27.80775150017649</v>
      </c>
      <c r="I317" s="215" t="str">
        <f>IF('Struppen 2. Schnitt 2021'!R39=0,"",'Struppen 2. Schnitt 2021'!R39)</f>
        <v/>
      </c>
      <c r="J317" s="215" t="str">
        <f>IF('Struppen 2. Schnitt 2021'!AD39=0,"",'Struppen 2. Schnitt 2021'!AD39)</f>
        <v/>
      </c>
      <c r="K317" s="215"/>
      <c r="L317" s="220">
        <f>'Struppen 2. Schnitt 2021'!K39</f>
        <v>66.108558306883907</v>
      </c>
    </row>
    <row r="318" spans="1:12" x14ac:dyDescent="0.3">
      <c r="A318" s="210" t="s">
        <v>111</v>
      </c>
      <c r="B318" s="211" t="s">
        <v>11</v>
      </c>
      <c r="C318" s="212" t="s">
        <v>113</v>
      </c>
      <c r="D318" s="213">
        <v>2</v>
      </c>
      <c r="E318" s="214">
        <v>44385</v>
      </c>
      <c r="F318" s="215">
        <f>'Struppen 2. Schnitt 2021'!AJ40</f>
        <v>0</v>
      </c>
      <c r="G318" s="215">
        <f>IF('Struppen 2. Schnitt 2021'!AK40=0,"",'Struppen 2. Schnitt 2021'!AK40)</f>
        <v>19.511688761308275</v>
      </c>
      <c r="H318" s="215">
        <f>IF('Struppen 2. Schnitt 2021'!AL40=0,"",'Struppen 2. Schnitt 2021'!AL40)</f>
        <v>13.301716453845057</v>
      </c>
      <c r="I318" s="215" t="str">
        <f>IF('Struppen 2. Schnitt 2021'!R40=0,"",'Struppen 2. Schnitt 2021'!R40)</f>
        <v/>
      </c>
      <c r="J318" s="215">
        <f>IF('Struppen 2. Schnitt 2021'!AD40=0,"",'Struppen 2. Schnitt 2021'!AD40)</f>
        <v>19.511688761308275</v>
      </c>
      <c r="K318" s="215"/>
      <c r="L318" s="220">
        <f>'Struppen 2. Schnitt 2021'!K40</f>
        <v>74.754259133611328</v>
      </c>
    </row>
    <row r="319" spans="1:12" x14ac:dyDescent="0.3">
      <c r="A319" s="210" t="s">
        <v>111</v>
      </c>
      <c r="B319" s="211" t="s">
        <v>11</v>
      </c>
      <c r="C319" s="212" t="s">
        <v>114</v>
      </c>
      <c r="D319" s="213">
        <v>3</v>
      </c>
      <c r="E319" s="214">
        <v>44385</v>
      </c>
      <c r="F319" s="215">
        <f>'Struppen 2. Schnitt 2021'!AJ41</f>
        <v>0</v>
      </c>
      <c r="G319" s="215">
        <f>IF('Struppen 2. Schnitt 2021'!AK41=0,"",'Struppen 2. Schnitt 2021'!AK41)</f>
        <v>19.585478280294875</v>
      </c>
      <c r="H319" s="215">
        <f>IF('Struppen 2. Schnitt 2021'!AL41=0,"",'Struppen 2. Schnitt 2021'!AL41)</f>
        <v>3.5591961003351282</v>
      </c>
      <c r="I319" s="215" t="str">
        <f>IF('Struppen 2. Schnitt 2021'!R41=0,"",'Struppen 2. Schnitt 2021'!R41)</f>
        <v/>
      </c>
      <c r="J319" s="215">
        <f>IF('Struppen 2. Schnitt 2021'!AD41=0,"",'Struppen 2. Schnitt 2021'!AD41)</f>
        <v>19.585478280294875</v>
      </c>
      <c r="K319" s="215"/>
      <c r="L319" s="220">
        <f>'Struppen 2. Schnitt 2021'!K41</f>
        <v>49.243654615196277</v>
      </c>
    </row>
    <row r="320" spans="1:12" x14ac:dyDescent="0.3">
      <c r="A320" s="210" t="s">
        <v>111</v>
      </c>
      <c r="B320" s="211" t="s">
        <v>11</v>
      </c>
      <c r="C320" s="212" t="s">
        <v>115</v>
      </c>
      <c r="D320" s="213">
        <v>4</v>
      </c>
      <c r="E320" s="214">
        <v>44385</v>
      </c>
      <c r="F320" s="215">
        <f>'Struppen 2. Schnitt 2021'!AJ42</f>
        <v>0</v>
      </c>
      <c r="G320" s="215">
        <f>IF('Struppen 2. Schnitt 2021'!AK42=0,"",'Struppen 2. Schnitt 2021'!AK42)</f>
        <v>16.441796399389428</v>
      </c>
      <c r="H320" s="215">
        <f>IF('Struppen 2. Schnitt 2021'!AL42=0,"",'Struppen 2. Schnitt 2021'!AL42)</f>
        <v>3.4949913663149244</v>
      </c>
      <c r="I320" s="215" t="str">
        <f>IF('Struppen 2. Schnitt 2021'!R42=0,"",'Struppen 2. Schnitt 2021'!R42)</f>
        <v/>
      </c>
      <c r="J320" s="215">
        <f>IF('Struppen 2. Schnitt 2021'!AD42=0,"",'Struppen 2. Schnitt 2021'!AD42)</f>
        <v>16.441796399389428</v>
      </c>
      <c r="K320" s="215"/>
      <c r="L320" s="220">
        <f>'Struppen 2. Schnitt 2021'!K42</f>
        <v>42.469517035471981</v>
      </c>
    </row>
    <row r="321" spans="1:12" x14ac:dyDescent="0.3">
      <c r="A321" s="210" t="s">
        <v>111</v>
      </c>
      <c r="B321" s="211" t="s">
        <v>11</v>
      </c>
      <c r="C321" s="212" t="s">
        <v>116</v>
      </c>
      <c r="D321" s="213">
        <v>5</v>
      </c>
      <c r="E321" s="214">
        <v>44385</v>
      </c>
      <c r="F321" s="215">
        <f>'Struppen 2. Schnitt 2021'!AJ43</f>
        <v>0</v>
      </c>
      <c r="G321" s="215">
        <f>IF('Struppen 2. Schnitt 2021'!AK43=0,"",'Struppen 2. Schnitt 2021'!AK43)</f>
        <v>18.307155162881212</v>
      </c>
      <c r="H321" s="215" t="str">
        <f>IF('Struppen 2. Schnitt 2021'!AL43=0,"",'Struppen 2. Schnitt 2021'!AL43)</f>
        <v/>
      </c>
      <c r="I321" s="215" t="str">
        <f>IF('Struppen 2. Schnitt 2021'!R43=0,"",'Struppen 2. Schnitt 2021'!R43)</f>
        <v/>
      </c>
      <c r="J321" s="215">
        <f>IF('Struppen 2. Schnitt 2021'!AD43=0,"",'Struppen 2. Schnitt 2021'!AD43)</f>
        <v>18.307155162881212</v>
      </c>
      <c r="K321" s="215"/>
      <c r="L321" s="220">
        <f>'Struppen 2. Schnitt 2021'!K43</f>
        <v>30.030857708002372</v>
      </c>
    </row>
    <row r="322" spans="1:12" x14ac:dyDescent="0.3">
      <c r="A322" s="210" t="s">
        <v>111</v>
      </c>
      <c r="B322" s="211" t="s">
        <v>11</v>
      </c>
      <c r="C322" s="212" t="s">
        <v>117</v>
      </c>
      <c r="D322" s="213">
        <v>6</v>
      </c>
      <c r="E322" s="214">
        <v>44385</v>
      </c>
      <c r="F322" s="215">
        <f>'Struppen 2. Schnitt 2021'!AJ44</f>
        <v>0</v>
      </c>
      <c r="G322" s="215">
        <f>IF('Struppen 2. Schnitt 2021'!AK44=0,"",'Struppen 2. Schnitt 2021'!AK44)</f>
        <v>7.5596420331322554</v>
      </c>
      <c r="H322" s="215">
        <f>IF('Struppen 2. Schnitt 2021'!AL44=0,"",'Struppen 2. Schnitt 2021'!AL44)</f>
        <v>25.156643085826868</v>
      </c>
      <c r="I322" s="215">
        <f>IF('Struppen 2. Schnitt 2021'!R44=0,"",'Struppen 2. Schnitt 2021'!R44)</f>
        <v>7.5596420331322554</v>
      </c>
      <c r="J322" s="215" t="str">
        <f>IF('Struppen 2. Schnitt 2021'!AD44=0,"",'Struppen 2. Schnitt 2021'!AD44)</f>
        <v/>
      </c>
      <c r="K322" s="215"/>
      <c r="L322" s="220">
        <f>'Struppen 2. Schnitt 2021'!K44</f>
        <v>60.474137471764045</v>
      </c>
    </row>
    <row r="323" spans="1:12" x14ac:dyDescent="0.3">
      <c r="A323" s="210" t="s">
        <v>111</v>
      </c>
      <c r="B323" s="211" t="s">
        <v>11</v>
      </c>
      <c r="C323" s="212" t="s">
        <v>118</v>
      </c>
      <c r="D323" s="213">
        <v>7</v>
      </c>
      <c r="E323" s="214">
        <v>44385</v>
      </c>
      <c r="F323" s="215">
        <f>'Struppen 2. Schnitt 2021'!AJ45</f>
        <v>0</v>
      </c>
      <c r="G323" s="215">
        <f>IF('Struppen 2. Schnitt 2021'!AK45=0,"",'Struppen 2. Schnitt 2021'!AK45)</f>
        <v>26.744865945009742</v>
      </c>
      <c r="H323" s="215">
        <f>IF('Struppen 2. Schnitt 2021'!AL45=0,"",'Struppen 2. Schnitt 2021'!AL45)</f>
        <v>22.373607628465482</v>
      </c>
      <c r="I323" s="215">
        <f>IF('Struppen 2. Schnitt 2021'!R45=0,"",'Struppen 2. Schnitt 2021'!R45)</f>
        <v>26.744865945009742</v>
      </c>
      <c r="J323" s="215" t="str">
        <f>IF('Struppen 2. Schnitt 2021'!AD45=0,"",'Struppen 2. Schnitt 2021'!AD45)</f>
        <v/>
      </c>
      <c r="K323" s="215"/>
      <c r="L323" s="220">
        <f>'Struppen 2. Schnitt 2021'!K45</f>
        <v>84.54585967901194</v>
      </c>
    </row>
    <row r="324" spans="1:12" x14ac:dyDescent="0.3">
      <c r="A324" s="210" t="s">
        <v>111</v>
      </c>
      <c r="B324" s="211" t="s">
        <v>11</v>
      </c>
      <c r="C324" s="212" t="s">
        <v>119</v>
      </c>
      <c r="D324" s="213">
        <v>8</v>
      </c>
      <c r="E324" s="214">
        <v>44385</v>
      </c>
      <c r="F324" s="215">
        <f>'Struppen 2. Schnitt 2021'!AJ46</f>
        <v>0</v>
      </c>
      <c r="G324" s="215">
        <f>IF('Struppen 2. Schnitt 2021'!AK46=0,"",'Struppen 2. Schnitt 2021'!AK46)</f>
        <v>24.786918062246691</v>
      </c>
      <c r="H324" s="215">
        <f>IF('Struppen 2. Schnitt 2021'!AL46=0,"",'Struppen 2. Schnitt 2021'!AL46)</f>
        <v>15.222215373301463</v>
      </c>
      <c r="I324" s="215">
        <f>IF('Struppen 2. Schnitt 2021'!R46=0,"",'Struppen 2. Schnitt 2021'!R46)</f>
        <v>24.786918062246691</v>
      </c>
      <c r="J324" s="215" t="str">
        <f>IF('Struppen 2. Schnitt 2021'!AD46=0,"",'Struppen 2. Schnitt 2021'!AD46)</f>
        <v/>
      </c>
      <c r="K324" s="215"/>
      <c r="L324" s="220">
        <f>'Struppen 2. Schnitt 2021'!K46</f>
        <v>57.763920980047494</v>
      </c>
    </row>
    <row r="325" spans="1:12" x14ac:dyDescent="0.3">
      <c r="A325" s="210" t="s">
        <v>111</v>
      </c>
      <c r="B325" s="211" t="s">
        <v>11</v>
      </c>
      <c r="C325" s="212" t="s">
        <v>120</v>
      </c>
      <c r="D325" s="213">
        <v>9</v>
      </c>
      <c r="E325" s="214">
        <v>44385</v>
      </c>
      <c r="F325" s="215">
        <f>'Struppen 2. Schnitt 2021'!AJ47</f>
        <v>0</v>
      </c>
      <c r="G325" s="215">
        <f>IF('Struppen 2. Schnitt 2021'!AK47=0,"",'Struppen 2. Schnitt 2021'!AK47)</f>
        <v>22.111285169911785</v>
      </c>
      <c r="H325" s="215" t="str">
        <f>IF('Struppen 2. Schnitt 2021'!AL47=0,"",'Struppen 2. Schnitt 2021'!AL47)</f>
        <v/>
      </c>
      <c r="I325" s="215">
        <f>IF('Struppen 2. Schnitt 2021'!R47=0,"",'Struppen 2. Schnitt 2021'!R47)</f>
        <v>22.111285169911785</v>
      </c>
      <c r="J325" s="215" t="str">
        <f>IF('Struppen 2. Schnitt 2021'!AD47=0,"",'Struppen 2. Schnitt 2021'!AD47)</f>
        <v/>
      </c>
      <c r="K325" s="215"/>
      <c r="L325" s="220">
        <f>'Struppen 2. Schnitt 2021'!K47</f>
        <v>53.915700388875074</v>
      </c>
    </row>
    <row r="326" spans="1:12" x14ac:dyDescent="0.3">
      <c r="A326" s="245" t="s">
        <v>9</v>
      </c>
      <c r="B326" s="246" t="s">
        <v>2</v>
      </c>
      <c r="C326" s="247" t="s">
        <v>112</v>
      </c>
      <c r="D326" s="248">
        <v>1</v>
      </c>
      <c r="E326" s="249">
        <v>44383</v>
      </c>
      <c r="F326" s="250">
        <f>'Bautzen 2. Schnitt 2021'!AJ12</f>
        <v>0.60191765241128314</v>
      </c>
      <c r="G326" s="251" t="str">
        <f>IF('Bautzen 2. Schnitt 2021'!AK12=0,"",'Bautzen 2. Schnitt 2021'!AK12)</f>
        <v/>
      </c>
      <c r="H326" s="251">
        <f>IF('Bautzen 2. Schnitt 2021'!AL12=0,"",'Bautzen 2. Schnitt 2021'!AL12)</f>
        <v>32.423329664281781</v>
      </c>
      <c r="I326" s="250" t="str">
        <f>IF('Bautzen 2. Schnitt 2021'!R12=0,"",'Bautzen 2. Schnitt 2021'!R12)</f>
        <v/>
      </c>
      <c r="J326" s="250" t="str">
        <f>IF('Bautzen 2. Schnitt 2021'!AD12=0,"",'Bautzen 2. Schnitt 2021'!AD12)</f>
        <v/>
      </c>
      <c r="K326" s="250"/>
      <c r="L326" s="252">
        <f>'Bautzen 2. Schnitt 2021'!K12</f>
        <v>26.315520235677035</v>
      </c>
    </row>
    <row r="327" spans="1:12" x14ac:dyDescent="0.3">
      <c r="A327" s="245" t="s">
        <v>9</v>
      </c>
      <c r="B327" s="246" t="s">
        <v>2</v>
      </c>
      <c r="C327" s="247" t="s">
        <v>113</v>
      </c>
      <c r="D327" s="248">
        <v>2</v>
      </c>
      <c r="E327" s="249">
        <v>44383</v>
      </c>
      <c r="F327" s="250">
        <f>'Bautzen 2. Schnitt 2021'!AJ13</f>
        <v>7.1174496644295301E-2</v>
      </c>
      <c r="G327" s="251">
        <f>IF('Bautzen 2. Schnitt 2021'!AK13=0,"",'Bautzen 2. Schnitt 2021'!AK13)</f>
        <v>6.3055877647837599</v>
      </c>
      <c r="H327" s="251">
        <f>IF('Bautzen 2. Schnitt 2021'!AL13=0,"",'Bautzen 2. Schnitt 2021'!AL13)</f>
        <v>24.275171184532152</v>
      </c>
      <c r="I327" s="250" t="str">
        <f>IF('Bautzen 2. Schnitt 2021'!R13=0,"",'Bautzen 2. Schnitt 2021'!R13)</f>
        <v/>
      </c>
      <c r="J327" s="250">
        <f>IF('Bautzen 2. Schnitt 2021'!AD13=0,"",'Bautzen 2. Schnitt 2021'!AD13)</f>
        <v>6.3055877647837599</v>
      </c>
      <c r="K327" s="250"/>
      <c r="L327" s="252">
        <f>'Bautzen 2. Schnitt 2021'!K13</f>
        <v>27.093817616379461</v>
      </c>
    </row>
    <row r="328" spans="1:12" x14ac:dyDescent="0.3">
      <c r="A328" s="245" t="s">
        <v>9</v>
      </c>
      <c r="B328" s="253" t="s">
        <v>2</v>
      </c>
      <c r="C328" s="247" t="s">
        <v>114</v>
      </c>
      <c r="D328" s="248">
        <v>3</v>
      </c>
      <c r="E328" s="249">
        <v>44383</v>
      </c>
      <c r="F328" s="250">
        <f>'Bautzen 2. Schnitt 2021'!AJ14</f>
        <v>2.9823529411764738E-2</v>
      </c>
      <c r="G328" s="251">
        <f>IF('Bautzen 2. Schnitt 2021'!AK14=0,"",'Bautzen 2. Schnitt 2021'!AK14)</f>
        <v>9.6677411193457701</v>
      </c>
      <c r="H328" s="251">
        <f>IF('Bautzen 2. Schnitt 2021'!AL14=0,"",'Bautzen 2. Schnitt 2021'!AL14)</f>
        <v>12.978094587363655</v>
      </c>
      <c r="I328" s="250" t="str">
        <f>IF('Bautzen 2. Schnitt 2021'!R14=0,"",'Bautzen 2. Schnitt 2021'!R14)</f>
        <v/>
      </c>
      <c r="J328" s="250">
        <f>IF('Bautzen 2. Schnitt 2021'!AD14=0,"",'Bautzen 2. Schnitt 2021'!AD14)</f>
        <v>9.6677411193457701</v>
      </c>
      <c r="K328" s="250"/>
      <c r="L328" s="252">
        <f>'Bautzen 2. Schnitt 2021'!K14</f>
        <v>61.853857353336082</v>
      </c>
    </row>
    <row r="329" spans="1:12" x14ac:dyDescent="0.3">
      <c r="A329" s="245" t="s">
        <v>9</v>
      </c>
      <c r="B329" s="246" t="s">
        <v>2</v>
      </c>
      <c r="C329" s="247" t="s">
        <v>115</v>
      </c>
      <c r="D329" s="248">
        <v>4</v>
      </c>
      <c r="E329" s="249">
        <v>44383</v>
      </c>
      <c r="F329" s="250">
        <f>'Bautzen 2. Schnitt 2021'!AJ15</f>
        <v>0.16148275862068961</v>
      </c>
      <c r="G329" s="251">
        <f>IF('Bautzen 2. Schnitt 2021'!AK15=0,"",'Bautzen 2. Schnitt 2021'!AK15)</f>
        <v>6.8802406385600277</v>
      </c>
      <c r="H329" s="251">
        <f>IF('Bautzen 2. Schnitt 2021'!AL15=0,"",'Bautzen 2. Schnitt 2021'!AL15)</f>
        <v>10.184784497029895</v>
      </c>
      <c r="I329" s="250" t="str">
        <f>IF('Bautzen 2. Schnitt 2021'!R15=0,"",'Bautzen 2. Schnitt 2021'!R15)</f>
        <v/>
      </c>
      <c r="J329" s="250">
        <f>IF('Bautzen 2. Schnitt 2021'!AD15=0,"",'Bautzen 2. Schnitt 2021'!AD15)</f>
        <v>6.8802406385600277</v>
      </c>
      <c r="K329" s="250"/>
      <c r="L329" s="252">
        <f>'Bautzen 2. Schnitt 2021'!K15</f>
        <v>45.034214073029304</v>
      </c>
    </row>
    <row r="330" spans="1:12" x14ac:dyDescent="0.3">
      <c r="A330" s="245" t="s">
        <v>9</v>
      </c>
      <c r="B330" s="246" t="s">
        <v>2</v>
      </c>
      <c r="C330" s="247" t="s">
        <v>116</v>
      </c>
      <c r="D330" s="248">
        <v>5</v>
      </c>
      <c r="E330" s="249">
        <v>44383</v>
      </c>
      <c r="F330" s="250">
        <f>'Bautzen 2. Schnitt 2021'!AJ16</f>
        <v>0.2659999999999999</v>
      </c>
      <c r="G330" s="251">
        <f>IF('Bautzen 2. Schnitt 2021'!AK16=0,"",'Bautzen 2. Schnitt 2021'!AK16)</f>
        <v>13.37834407216495</v>
      </c>
      <c r="H330" s="251" t="str">
        <f>IF('Bautzen 2. Schnitt 2021'!AL16=0,"",'Bautzen 2. Schnitt 2021'!AL16)</f>
        <v/>
      </c>
      <c r="I330" s="250" t="str">
        <f>IF('Bautzen 2. Schnitt 2021'!R16=0,"",'Bautzen 2. Schnitt 2021'!R16)</f>
        <v/>
      </c>
      <c r="J330" s="250">
        <f>IF('Bautzen 2. Schnitt 2021'!AD16=0,"",'Bautzen 2. Schnitt 2021'!AD16)</f>
        <v>13.37834407216495</v>
      </c>
      <c r="K330" s="250"/>
      <c r="L330" s="252">
        <f>'Bautzen 2. Schnitt 2021'!K16</f>
        <v>50.625663028767228</v>
      </c>
    </row>
    <row r="331" spans="1:12" x14ac:dyDescent="0.3">
      <c r="A331" s="245" t="s">
        <v>9</v>
      </c>
      <c r="B331" s="246" t="s">
        <v>2</v>
      </c>
      <c r="C331" s="247" t="s">
        <v>117</v>
      </c>
      <c r="D331" s="248">
        <v>6</v>
      </c>
      <c r="E331" s="249">
        <v>44383</v>
      </c>
      <c r="F331" s="250">
        <f>'Bautzen 2. Schnitt 2021'!AJ17</f>
        <v>1.0990000000000002</v>
      </c>
      <c r="G331" s="251">
        <f>IF('Bautzen 2. Schnitt 2021'!AK17=0,"",'Bautzen 2. Schnitt 2021'!AK17)</f>
        <v>2.7289999999999996</v>
      </c>
      <c r="H331" s="251">
        <f>IF('Bautzen 2. Schnitt 2021'!AL17=0,"",'Bautzen 2. Schnitt 2021'!AL17)</f>
        <v>8.6979999999999968</v>
      </c>
      <c r="I331" s="250">
        <f>IF('Bautzen 2. Schnitt 2021'!R17=0,"",'Bautzen 2. Schnitt 2021'!R17)</f>
        <v>2.7289999999999996</v>
      </c>
      <c r="J331" s="250" t="str">
        <f>IF('Bautzen 2. Schnitt 2021'!AD17=0,"",'Bautzen 2. Schnitt 2021'!AD17)</f>
        <v/>
      </c>
      <c r="K331" s="250"/>
      <c r="L331" s="252">
        <f>'Bautzen 2. Schnitt 2021'!K17</f>
        <v>31.385441975308638</v>
      </c>
    </row>
    <row r="332" spans="1:12" x14ac:dyDescent="0.3">
      <c r="A332" s="245" t="s">
        <v>9</v>
      </c>
      <c r="B332" s="246" t="s">
        <v>2</v>
      </c>
      <c r="C332" s="247" t="s">
        <v>118</v>
      </c>
      <c r="D332" s="248">
        <v>7</v>
      </c>
      <c r="E332" s="249">
        <v>44383</v>
      </c>
      <c r="F332" s="250">
        <f>'Bautzen 2. Schnitt 2021'!AJ18</f>
        <v>1.2629999999999999</v>
      </c>
      <c r="G332" s="251">
        <f>IF('Bautzen 2. Schnitt 2021'!AK18=0,"",'Bautzen 2. Schnitt 2021'!AK18)</f>
        <v>4.3289999999999997</v>
      </c>
      <c r="H332" s="251">
        <f>IF('Bautzen 2. Schnitt 2021'!AL18=0,"",'Bautzen 2. Schnitt 2021'!AL18)</f>
        <v>9.468</v>
      </c>
      <c r="I332" s="250">
        <f>IF('Bautzen 2. Schnitt 2021'!R18=0,"",'Bautzen 2. Schnitt 2021'!R18)</f>
        <v>4.3289999999999997</v>
      </c>
      <c r="J332" s="250" t="str">
        <f>IF('Bautzen 2. Schnitt 2021'!AD18=0,"",'Bautzen 2. Schnitt 2021'!AD18)</f>
        <v/>
      </c>
      <c r="K332" s="250"/>
      <c r="L332" s="252">
        <f>'Bautzen 2. Schnitt 2021'!K18</f>
        <v>31.379902512282502</v>
      </c>
    </row>
    <row r="333" spans="1:12" x14ac:dyDescent="0.3">
      <c r="A333" s="245" t="s">
        <v>9</v>
      </c>
      <c r="B333" s="246" t="s">
        <v>2</v>
      </c>
      <c r="C333" s="247" t="s">
        <v>119</v>
      </c>
      <c r="D333" s="248">
        <v>8</v>
      </c>
      <c r="E333" s="249">
        <v>44383</v>
      </c>
      <c r="F333" s="250">
        <f>'Bautzen 2. Schnitt 2021'!AJ19</f>
        <v>0</v>
      </c>
      <c r="G333" s="251">
        <f>IF('Bautzen 2. Schnitt 2021'!AK19=0,"",'Bautzen 2. Schnitt 2021'!AK19)</f>
        <v>3.446898613518198</v>
      </c>
      <c r="H333" s="251">
        <f>IF('Bautzen 2. Schnitt 2021'!AL19=0,"",'Bautzen 2. Schnitt 2021'!AL19)</f>
        <v>3.5673157430730482</v>
      </c>
      <c r="I333" s="250">
        <f>IF('Bautzen 2. Schnitt 2021'!R19=0,"",'Bautzen 2. Schnitt 2021'!R19)</f>
        <v>3.446898613518198</v>
      </c>
      <c r="J333" s="250" t="str">
        <f>IF('Bautzen 2. Schnitt 2021'!AD19=0,"",'Bautzen 2. Schnitt 2021'!AD19)</f>
        <v/>
      </c>
      <c r="K333" s="250"/>
      <c r="L333" s="252">
        <f>'Bautzen 2. Schnitt 2021'!K19</f>
        <v>29.391122924460188</v>
      </c>
    </row>
    <row r="334" spans="1:12" x14ac:dyDescent="0.3">
      <c r="A334" s="245" t="s">
        <v>9</v>
      </c>
      <c r="B334" s="254" t="s">
        <v>2</v>
      </c>
      <c r="C334" s="247" t="s">
        <v>120</v>
      </c>
      <c r="D334" s="255">
        <v>9</v>
      </c>
      <c r="E334" s="249">
        <v>44383</v>
      </c>
      <c r="F334" s="250">
        <f>'Bautzen 2. Schnitt 2021'!AJ20</f>
        <v>0.64260893574297184</v>
      </c>
      <c r="G334" s="251">
        <f>IF('Bautzen 2. Schnitt 2021'!AK20=0,"",'Bautzen 2. Schnitt 2021'!AK20)</f>
        <v>11.450676391055643</v>
      </c>
      <c r="H334" s="251" t="str">
        <f>IF('Bautzen 2. Schnitt 2021'!AL20=0,"",'Bautzen 2. Schnitt 2021'!AL20)</f>
        <v/>
      </c>
      <c r="I334" s="250">
        <f>IF('Bautzen 2. Schnitt 2021'!R20=0,"",'Bautzen 2. Schnitt 2021'!R20)</f>
        <v>11.450676391055643</v>
      </c>
      <c r="J334" s="250" t="str">
        <f>IF('Bautzen 2. Schnitt 2021'!AD20=0,"",'Bautzen 2. Schnitt 2021'!AD20)</f>
        <v/>
      </c>
      <c r="K334" s="250"/>
      <c r="L334" s="252">
        <f>'Bautzen 2. Schnitt 2021'!K20</f>
        <v>33.000275577759389</v>
      </c>
    </row>
    <row r="335" spans="1:12" x14ac:dyDescent="0.3">
      <c r="A335" s="245" t="s">
        <v>9</v>
      </c>
      <c r="B335" s="246" t="s">
        <v>9</v>
      </c>
      <c r="C335" s="247" t="s">
        <v>112</v>
      </c>
      <c r="D335" s="248">
        <v>1</v>
      </c>
      <c r="E335" s="249">
        <v>44383</v>
      </c>
      <c r="F335" s="250">
        <f>'Bautzen 2. Schnitt 2021'!AJ21</f>
        <v>0.11672209026128262</v>
      </c>
      <c r="G335" s="251" t="str">
        <f>IF('Bautzen 2. Schnitt 2021'!AK21=0,"",'Bautzen 2. Schnitt 2021'!AK21)</f>
        <v/>
      </c>
      <c r="H335" s="251">
        <f>IF('Bautzen 2. Schnitt 2021'!AL21=0,"",'Bautzen 2. Schnitt 2021'!AL21)</f>
        <v>7.1923874139626358</v>
      </c>
      <c r="I335" s="250" t="str">
        <f>IF('Bautzen 2. Schnitt 2021'!R21=0,"",'Bautzen 2. Schnitt 2021'!R21)</f>
        <v/>
      </c>
      <c r="J335" s="250" t="str">
        <f>IF('Bautzen 2. Schnitt 2021'!AD21=0,"",'Bautzen 2. Schnitt 2021'!AD21)</f>
        <v/>
      </c>
      <c r="K335" s="250"/>
      <c r="L335" s="252">
        <f>'Bautzen 2. Schnitt 2021'!K21</f>
        <v>11.806438374921267</v>
      </c>
    </row>
    <row r="336" spans="1:12" x14ac:dyDescent="0.3">
      <c r="A336" s="245" t="s">
        <v>9</v>
      </c>
      <c r="B336" s="246" t="s">
        <v>9</v>
      </c>
      <c r="C336" s="247" t="s">
        <v>113</v>
      </c>
      <c r="D336" s="248">
        <v>2</v>
      </c>
      <c r="E336" s="249">
        <v>44383</v>
      </c>
      <c r="F336" s="250">
        <f>'Bautzen 2. Schnitt 2021'!AJ22</f>
        <v>-0.68661202185792347</v>
      </c>
      <c r="G336" s="251">
        <f>IF('Bautzen 2. Schnitt 2021'!AK22=0,"",'Bautzen 2. Schnitt 2021'!AK22)</f>
        <v>6.0023684317168717</v>
      </c>
      <c r="H336" s="251">
        <f>IF('Bautzen 2. Schnitt 2021'!AL22=0,"",'Bautzen 2. Schnitt 2021'!AL22)</f>
        <v>13.185270478778529</v>
      </c>
      <c r="I336" s="250" t="str">
        <f>IF('Bautzen 2. Schnitt 2021'!R22=0,"",'Bautzen 2. Schnitt 2021'!R22)</f>
        <v/>
      </c>
      <c r="J336" s="250">
        <f>IF('Bautzen 2. Schnitt 2021'!AD22=0,"",'Bautzen 2. Schnitt 2021'!AD22)</f>
        <v>6.0023684317168717</v>
      </c>
      <c r="K336" s="250"/>
      <c r="L336" s="252">
        <f>'Bautzen 2. Schnitt 2021'!K22</f>
        <v>41.645595716600674</v>
      </c>
    </row>
    <row r="337" spans="1:12" x14ac:dyDescent="0.3">
      <c r="A337" s="245" t="s">
        <v>9</v>
      </c>
      <c r="B337" s="246" t="s">
        <v>9</v>
      </c>
      <c r="C337" s="247" t="s">
        <v>114</v>
      </c>
      <c r="D337" s="248">
        <v>3</v>
      </c>
      <c r="E337" s="249">
        <v>44383</v>
      </c>
      <c r="F337" s="250">
        <f>'Bautzen 2. Schnitt 2021'!AJ23</f>
        <v>0</v>
      </c>
      <c r="G337" s="251">
        <f>IF('Bautzen 2. Schnitt 2021'!AK23=0,"",'Bautzen 2. Schnitt 2021'!AK23)</f>
        <v>4.5410000000000004</v>
      </c>
      <c r="H337" s="251">
        <f>IF('Bautzen 2. Schnitt 2021'!AL23=0,"",'Bautzen 2. Schnitt 2021'!AL23)</f>
        <v>4.7090000000000005</v>
      </c>
      <c r="I337" s="250" t="str">
        <f>IF('Bautzen 2. Schnitt 2021'!R23=0,"",'Bautzen 2. Schnitt 2021'!R23)</f>
        <v/>
      </c>
      <c r="J337" s="250">
        <f>IF('Bautzen 2. Schnitt 2021'!AD23=0,"",'Bautzen 2. Schnitt 2021'!AD23)</f>
        <v>4.5410000000000004</v>
      </c>
      <c r="K337" s="250"/>
      <c r="L337" s="252">
        <f>'Bautzen 2. Schnitt 2021'!K23</f>
        <v>32.164125870663455</v>
      </c>
    </row>
    <row r="338" spans="1:12" x14ac:dyDescent="0.3">
      <c r="A338" s="245" t="s">
        <v>9</v>
      </c>
      <c r="B338" s="246" t="s">
        <v>9</v>
      </c>
      <c r="C338" s="247" t="s">
        <v>115</v>
      </c>
      <c r="D338" s="248">
        <v>4</v>
      </c>
      <c r="E338" s="249">
        <v>44383</v>
      </c>
      <c r="F338" s="250">
        <f>'Bautzen 2. Schnitt 2021'!AJ24</f>
        <v>0</v>
      </c>
      <c r="G338" s="251">
        <f>IF('Bautzen 2. Schnitt 2021'!AK24=0,"",'Bautzen 2. Schnitt 2021'!AK24)</f>
        <v>10.374348931756895</v>
      </c>
      <c r="H338" s="251">
        <f>IF('Bautzen 2. Schnitt 2021'!AL24=0,"",'Bautzen 2. Schnitt 2021'!AL24)</f>
        <v>5.5023171237786244</v>
      </c>
      <c r="I338" s="250" t="str">
        <f>IF('Bautzen 2. Schnitt 2021'!R24=0,"",'Bautzen 2. Schnitt 2021'!R24)</f>
        <v/>
      </c>
      <c r="J338" s="250">
        <f>IF('Bautzen 2. Schnitt 2021'!AD24=0,"",'Bautzen 2. Schnitt 2021'!AD24)</f>
        <v>10.374348931756895</v>
      </c>
      <c r="K338" s="250"/>
      <c r="L338" s="252">
        <f>'Bautzen 2. Schnitt 2021'!K24</f>
        <v>53.44492885143687</v>
      </c>
    </row>
    <row r="339" spans="1:12" x14ac:dyDescent="0.3">
      <c r="A339" s="245" t="s">
        <v>9</v>
      </c>
      <c r="B339" s="253" t="s">
        <v>9</v>
      </c>
      <c r="C339" s="247" t="s">
        <v>116</v>
      </c>
      <c r="D339" s="248">
        <v>5</v>
      </c>
      <c r="E339" s="249">
        <v>44383</v>
      </c>
      <c r="F339" s="250">
        <f>'Bautzen 2. Schnitt 2021'!AJ25</f>
        <v>0</v>
      </c>
      <c r="G339" s="251">
        <f>IF('Bautzen 2. Schnitt 2021'!AK25=0,"",'Bautzen 2. Schnitt 2021'!AK25)</f>
        <v>12.289558596415619</v>
      </c>
      <c r="H339" s="251" t="str">
        <f>IF('Bautzen 2. Schnitt 2021'!AL25=0,"",'Bautzen 2. Schnitt 2021'!AL25)</f>
        <v/>
      </c>
      <c r="I339" s="250" t="str">
        <f>IF('Bautzen 2. Schnitt 2021'!R25=0,"",'Bautzen 2. Schnitt 2021'!R25)</f>
        <v/>
      </c>
      <c r="J339" s="250">
        <f>IF('Bautzen 2. Schnitt 2021'!AD25=0,"",'Bautzen 2. Schnitt 2021'!AD25)</f>
        <v>12.289558596415619</v>
      </c>
      <c r="K339" s="250"/>
      <c r="L339" s="252">
        <f>'Bautzen 2. Schnitt 2021'!K25</f>
        <v>43.686681162442028</v>
      </c>
    </row>
    <row r="340" spans="1:12" x14ac:dyDescent="0.3">
      <c r="A340" s="245" t="s">
        <v>9</v>
      </c>
      <c r="B340" s="246" t="s">
        <v>9</v>
      </c>
      <c r="C340" s="247" t="s">
        <v>117</v>
      </c>
      <c r="D340" s="248">
        <v>6</v>
      </c>
      <c r="E340" s="249">
        <v>44383</v>
      </c>
      <c r="F340" s="250">
        <f>'Bautzen 2. Schnitt 2021'!AJ26</f>
        <v>0.70214906832298141</v>
      </c>
      <c r="G340" s="251">
        <f>IF('Bautzen 2. Schnitt 2021'!AK26=0,"",'Bautzen 2. Schnitt 2021'!AK26)</f>
        <v>6.2929521909511941</v>
      </c>
      <c r="H340" s="251">
        <f>IF('Bautzen 2. Schnitt 2021'!AL26=0,"",'Bautzen 2. Schnitt 2021'!AL26)</f>
        <v>15.3928046262583</v>
      </c>
      <c r="I340" s="250">
        <f>IF('Bautzen 2. Schnitt 2021'!R26=0,"",'Bautzen 2. Schnitt 2021'!R26)</f>
        <v>6.2929521909511941</v>
      </c>
      <c r="J340" s="250" t="str">
        <f>IF('Bautzen 2. Schnitt 2021'!AD26=0,"",'Bautzen 2. Schnitt 2021'!AD26)</f>
        <v/>
      </c>
      <c r="K340" s="250"/>
      <c r="L340" s="252">
        <f>'Bautzen 2. Schnitt 2021'!K26</f>
        <v>28.893087597512871</v>
      </c>
    </row>
    <row r="341" spans="1:12" x14ac:dyDescent="0.3">
      <c r="A341" s="245" t="s">
        <v>9</v>
      </c>
      <c r="B341" s="246" t="s">
        <v>9</v>
      </c>
      <c r="C341" s="247" t="s">
        <v>118</v>
      </c>
      <c r="D341" s="248">
        <v>7</v>
      </c>
      <c r="E341" s="249">
        <v>44383</v>
      </c>
      <c r="F341" s="250">
        <f>'Bautzen 2. Schnitt 2021'!AJ27</f>
        <v>0</v>
      </c>
      <c r="G341" s="251">
        <f>IF('Bautzen 2. Schnitt 2021'!AK27=0,"",'Bautzen 2. Schnitt 2021'!AK27)</f>
        <v>9.5207247952047958</v>
      </c>
      <c r="H341" s="251">
        <f>IF('Bautzen 2. Schnitt 2021'!AL27=0,"",'Bautzen 2. Schnitt 2021'!AL27)</f>
        <v>9.7546135794743414</v>
      </c>
      <c r="I341" s="250">
        <f>IF('Bautzen 2. Schnitt 2021'!R27=0,"",'Bautzen 2. Schnitt 2021'!R27)</f>
        <v>9.5207247952047958</v>
      </c>
      <c r="J341" s="250" t="str">
        <f>IF('Bautzen 2. Schnitt 2021'!AD27=0,"",'Bautzen 2. Schnitt 2021'!AD27)</f>
        <v/>
      </c>
      <c r="K341" s="250"/>
      <c r="L341" s="252">
        <f>'Bautzen 2. Schnitt 2021'!K27</f>
        <v>16.426454012137853</v>
      </c>
    </row>
    <row r="342" spans="1:12" x14ac:dyDescent="0.3">
      <c r="A342" s="245" t="s">
        <v>9</v>
      </c>
      <c r="B342" s="246" t="s">
        <v>9</v>
      </c>
      <c r="C342" s="247" t="s">
        <v>119</v>
      </c>
      <c r="D342" s="248">
        <v>8</v>
      </c>
      <c r="E342" s="249">
        <v>44383</v>
      </c>
      <c r="F342" s="250">
        <f>'Bautzen 2. Schnitt 2021'!AJ28</f>
        <v>5.781434599156117E-2</v>
      </c>
      <c r="G342" s="251">
        <f>IF('Bautzen 2. Schnitt 2021'!AK28=0,"",'Bautzen 2. Schnitt 2021'!AK28)</f>
        <v>18.054777701778388</v>
      </c>
      <c r="H342" s="251">
        <f>IF('Bautzen 2. Schnitt 2021'!AL28=0,"",'Bautzen 2. Schnitt 2021'!AL28)</f>
        <v>1.4982202797202799</v>
      </c>
      <c r="I342" s="250">
        <f>IF('Bautzen 2. Schnitt 2021'!R28=0,"",'Bautzen 2. Schnitt 2021'!R28)</f>
        <v>18.054777701778388</v>
      </c>
      <c r="J342" s="250" t="str">
        <f>IF('Bautzen 2. Schnitt 2021'!AD28=0,"",'Bautzen 2. Schnitt 2021'!AD28)</f>
        <v/>
      </c>
      <c r="K342" s="250"/>
      <c r="L342" s="252">
        <f>'Bautzen 2. Schnitt 2021'!K28</f>
        <v>49.146490334494978</v>
      </c>
    </row>
    <row r="343" spans="1:12" x14ac:dyDescent="0.3">
      <c r="A343" s="245" t="s">
        <v>9</v>
      </c>
      <c r="B343" s="254" t="s">
        <v>9</v>
      </c>
      <c r="C343" s="247" t="s">
        <v>120</v>
      </c>
      <c r="D343" s="255">
        <v>9</v>
      </c>
      <c r="E343" s="249">
        <v>44383</v>
      </c>
      <c r="F343" s="250">
        <f>'Bautzen 2. Schnitt 2021'!AJ29</f>
        <v>0</v>
      </c>
      <c r="G343" s="251">
        <f>IF('Bautzen 2. Schnitt 2021'!AK29=0,"",'Bautzen 2. Schnitt 2021'!AK29)</f>
        <v>13.510770505385253</v>
      </c>
      <c r="H343" s="251" t="str">
        <f>IF('Bautzen 2. Schnitt 2021'!AL29=0,"",'Bautzen 2. Schnitt 2021'!AL29)</f>
        <v/>
      </c>
      <c r="I343" s="250">
        <f>IF('Bautzen 2. Schnitt 2021'!R29=0,"",'Bautzen 2. Schnitt 2021'!R29)</f>
        <v>13.510770505385253</v>
      </c>
      <c r="J343" s="250" t="str">
        <f>IF('Bautzen 2. Schnitt 2021'!AD29=0,"",'Bautzen 2. Schnitt 2021'!AD29)</f>
        <v/>
      </c>
      <c r="K343" s="250"/>
      <c r="L343" s="252">
        <f>'Bautzen 2. Schnitt 2021'!K29</f>
        <v>36.136230036621996</v>
      </c>
    </row>
    <row r="344" spans="1:12" x14ac:dyDescent="0.3">
      <c r="A344" s="245" t="s">
        <v>9</v>
      </c>
      <c r="B344" s="246" t="s">
        <v>10</v>
      </c>
      <c r="C344" s="247" t="s">
        <v>112</v>
      </c>
      <c r="D344" s="248">
        <v>1</v>
      </c>
      <c r="E344" s="249">
        <v>44383</v>
      </c>
      <c r="F344" s="250">
        <f>'Bautzen 2. Schnitt 2021'!AJ30</f>
        <v>0.51688888888888895</v>
      </c>
      <c r="G344" s="251" t="str">
        <f>IF('Bautzen 2. Schnitt 2021'!AK30=0,"",'Bautzen 2. Schnitt 2021'!AK30)</f>
        <v/>
      </c>
      <c r="H344" s="251">
        <f>IF('Bautzen 2. Schnitt 2021'!AL30=0,"",'Bautzen 2. Schnitt 2021'!AL30)</f>
        <v>18.016466498949118</v>
      </c>
      <c r="I344" s="250" t="str">
        <f>IF('Bautzen 2. Schnitt 2021'!R30=0,"",'Bautzen 2. Schnitt 2021'!R30)</f>
        <v/>
      </c>
      <c r="J344" s="250" t="str">
        <f>IF('Bautzen 2. Schnitt 2021'!AD30=0,"",'Bautzen 2. Schnitt 2021'!AD30)</f>
        <v/>
      </c>
      <c r="K344" s="250"/>
      <c r="L344" s="252">
        <f>'Bautzen 2. Schnitt 2021'!K30</f>
        <v>23.10421366192751</v>
      </c>
    </row>
    <row r="345" spans="1:12" x14ac:dyDescent="0.3">
      <c r="A345" s="245" t="s">
        <v>9</v>
      </c>
      <c r="B345" s="246" t="s">
        <v>10</v>
      </c>
      <c r="C345" s="247" t="s">
        <v>113</v>
      </c>
      <c r="D345" s="248">
        <v>2</v>
      </c>
      <c r="E345" s="249">
        <v>44383</v>
      </c>
      <c r="F345" s="250">
        <f>'Bautzen 2. Schnitt 2021'!AJ31</f>
        <v>0.1780000000000001</v>
      </c>
      <c r="G345" s="251">
        <f>IF('Bautzen 2. Schnitt 2021'!AK31=0,"",'Bautzen 2. Schnitt 2021'!AK31)</f>
        <v>4.8947660902633281</v>
      </c>
      <c r="H345" s="251">
        <f>IF('Bautzen 2. Schnitt 2021'!AL31=0,"",'Bautzen 2. Schnitt 2021'!AL31)</f>
        <v>13.30228934635096</v>
      </c>
      <c r="I345" s="250" t="str">
        <f>IF('Bautzen 2. Schnitt 2021'!R31=0,"",'Bautzen 2. Schnitt 2021'!R31)</f>
        <v/>
      </c>
      <c r="J345" s="250">
        <f>IF('Bautzen 2. Schnitt 2021'!AD31=0,"",'Bautzen 2. Schnitt 2021'!AD31)</f>
        <v>4.8947660902633281</v>
      </c>
      <c r="K345" s="250"/>
      <c r="L345" s="252">
        <f>'Bautzen 2. Schnitt 2021'!K31</f>
        <v>65.732023362892221</v>
      </c>
    </row>
    <row r="346" spans="1:12" x14ac:dyDescent="0.3">
      <c r="A346" s="245" t="s">
        <v>9</v>
      </c>
      <c r="B346" s="246" t="s">
        <v>10</v>
      </c>
      <c r="C346" s="247" t="s">
        <v>114</v>
      </c>
      <c r="D346" s="248">
        <v>3</v>
      </c>
      <c r="E346" s="249">
        <v>44383</v>
      </c>
      <c r="F346" s="250">
        <f>'Bautzen 2. Schnitt 2021'!AJ32</f>
        <v>0</v>
      </c>
      <c r="G346" s="251">
        <f>IF('Bautzen 2. Schnitt 2021'!AK32=0,"",'Bautzen 2. Schnitt 2021'!AK32)</f>
        <v>6.0803729726180311</v>
      </c>
      <c r="H346" s="251">
        <f>IF('Bautzen 2. Schnitt 2021'!AL32=0,"",'Bautzen 2. Schnitt 2021'!AL32)</f>
        <v>10.241602367288378</v>
      </c>
      <c r="I346" s="250" t="str">
        <f>IF('Bautzen 2. Schnitt 2021'!R32=0,"",'Bautzen 2. Schnitt 2021'!R32)</f>
        <v/>
      </c>
      <c r="J346" s="250">
        <f>IF('Bautzen 2. Schnitt 2021'!AD32=0,"",'Bautzen 2. Schnitt 2021'!AD32)</f>
        <v>6.0803729726180311</v>
      </c>
      <c r="K346" s="250"/>
      <c r="L346" s="252">
        <f>'Bautzen 2. Schnitt 2021'!K32</f>
        <v>48.722080811096163</v>
      </c>
    </row>
    <row r="347" spans="1:12" x14ac:dyDescent="0.3">
      <c r="A347" s="245" t="s">
        <v>9</v>
      </c>
      <c r="B347" s="246" t="s">
        <v>10</v>
      </c>
      <c r="C347" s="247" t="s">
        <v>115</v>
      </c>
      <c r="D347" s="248">
        <v>4</v>
      </c>
      <c r="E347" s="249">
        <v>44383</v>
      </c>
      <c r="F347" s="250">
        <f>'Bautzen 2. Schnitt 2021'!AJ33</f>
        <v>0</v>
      </c>
      <c r="G347" s="251">
        <f>IF('Bautzen 2. Schnitt 2021'!AK33=0,"",'Bautzen 2. Schnitt 2021'!AK33)</f>
        <v>11.072986190312609</v>
      </c>
      <c r="H347" s="251">
        <f>IF('Bautzen 2. Schnitt 2021'!AL33=0,"",'Bautzen 2. Schnitt 2021'!AL33)</f>
        <v>1.8929782833505695</v>
      </c>
      <c r="I347" s="250" t="str">
        <f>IF('Bautzen 2. Schnitt 2021'!R33=0,"",'Bautzen 2. Schnitt 2021'!R33)</f>
        <v/>
      </c>
      <c r="J347" s="250">
        <f>IF('Bautzen 2. Schnitt 2021'!AD33=0,"",'Bautzen 2. Schnitt 2021'!AD33)</f>
        <v>11.072986190312609</v>
      </c>
      <c r="K347" s="250"/>
      <c r="L347" s="252">
        <f>'Bautzen 2. Schnitt 2021'!K33</f>
        <v>52.430708974799266</v>
      </c>
    </row>
    <row r="348" spans="1:12" x14ac:dyDescent="0.3">
      <c r="A348" s="245" t="s">
        <v>9</v>
      </c>
      <c r="B348" s="246" t="s">
        <v>10</v>
      </c>
      <c r="C348" s="247" t="s">
        <v>116</v>
      </c>
      <c r="D348" s="248">
        <v>5</v>
      </c>
      <c r="E348" s="249">
        <v>44383</v>
      </c>
      <c r="F348" s="250">
        <f>'Bautzen 2. Schnitt 2021'!AJ34</f>
        <v>0</v>
      </c>
      <c r="G348" s="251">
        <f>IF('Bautzen 2. Schnitt 2021'!AK34=0,"",'Bautzen 2. Schnitt 2021'!AK34)</f>
        <v>14.942120563855662</v>
      </c>
      <c r="H348" s="251" t="str">
        <f>IF('Bautzen 2. Schnitt 2021'!AL34=0,"",'Bautzen 2. Schnitt 2021'!AL34)</f>
        <v/>
      </c>
      <c r="I348" s="250" t="str">
        <f>IF('Bautzen 2. Schnitt 2021'!R34=0,"",'Bautzen 2. Schnitt 2021'!R34)</f>
        <v/>
      </c>
      <c r="J348" s="250">
        <f>IF('Bautzen 2. Schnitt 2021'!AD34=0,"",'Bautzen 2. Schnitt 2021'!AD34)</f>
        <v>14.942120563855662</v>
      </c>
      <c r="K348" s="250"/>
      <c r="L348" s="252">
        <f>'Bautzen 2. Schnitt 2021'!K34</f>
        <v>49.142016589396654</v>
      </c>
    </row>
    <row r="349" spans="1:12" x14ac:dyDescent="0.3">
      <c r="A349" s="245" t="s">
        <v>9</v>
      </c>
      <c r="B349" s="246" t="s">
        <v>10</v>
      </c>
      <c r="C349" s="247" t="s">
        <v>117</v>
      </c>
      <c r="D349" s="248">
        <v>6</v>
      </c>
      <c r="E349" s="249">
        <v>44383</v>
      </c>
      <c r="F349" s="250">
        <f>'Bautzen 2. Schnitt 2021'!AJ35</f>
        <v>-0.71374308300395262</v>
      </c>
      <c r="G349" s="251">
        <f>IF('Bautzen 2. Schnitt 2021'!AK35=0,"",'Bautzen 2. Schnitt 2021'!AK35)</f>
        <v>5.0752962041070324</v>
      </c>
      <c r="H349" s="251">
        <f>IF('Bautzen 2. Schnitt 2021'!AL35=0,"",'Bautzen 2. Schnitt 2021'!AL35)</f>
        <v>8.4148251561629372</v>
      </c>
      <c r="I349" s="250">
        <f>IF('Bautzen 2. Schnitt 2021'!R35=0,"",'Bautzen 2. Schnitt 2021'!R35)</f>
        <v>5.0752962041070324</v>
      </c>
      <c r="J349" s="250" t="str">
        <f>IF('Bautzen 2. Schnitt 2021'!AD35=0,"",'Bautzen 2. Schnitt 2021'!AD35)</f>
        <v/>
      </c>
      <c r="K349" s="250"/>
      <c r="L349" s="252">
        <f>'Bautzen 2. Schnitt 2021'!K35</f>
        <v>33.115180147035709</v>
      </c>
    </row>
    <row r="350" spans="1:12" x14ac:dyDescent="0.3">
      <c r="A350" s="245" t="s">
        <v>9</v>
      </c>
      <c r="B350" s="253" t="s">
        <v>10</v>
      </c>
      <c r="C350" s="247" t="s">
        <v>118</v>
      </c>
      <c r="D350" s="248">
        <v>7</v>
      </c>
      <c r="E350" s="249">
        <v>44383</v>
      </c>
      <c r="F350" s="250">
        <f>'Bautzen 2. Schnitt 2021'!AJ36</f>
        <v>0</v>
      </c>
      <c r="G350" s="251">
        <f>IF('Bautzen 2. Schnitt 2021'!AK36=0,"",'Bautzen 2. Schnitt 2021'!AK36)</f>
        <v>9.5300000000000011</v>
      </c>
      <c r="H350" s="251">
        <f>IF('Bautzen 2. Schnitt 2021'!AL36=0,"",'Bautzen 2. Schnitt 2021'!AL36)</f>
        <v>10.821390769730785</v>
      </c>
      <c r="I350" s="250">
        <f>IF('Bautzen 2. Schnitt 2021'!R36=0,"",'Bautzen 2. Schnitt 2021'!R36)</f>
        <v>9.5300000000000011</v>
      </c>
      <c r="J350" s="250" t="str">
        <f>IF('Bautzen 2. Schnitt 2021'!AD36=0,"",'Bautzen 2. Schnitt 2021'!AD36)</f>
        <v/>
      </c>
      <c r="K350" s="250"/>
      <c r="L350" s="252">
        <f>'Bautzen 2. Schnitt 2021'!K36</f>
        <v>24.043753869689031</v>
      </c>
    </row>
    <row r="351" spans="1:12" x14ac:dyDescent="0.3">
      <c r="A351" s="245" t="s">
        <v>9</v>
      </c>
      <c r="B351" s="246" t="s">
        <v>10</v>
      </c>
      <c r="C351" s="247" t="s">
        <v>119</v>
      </c>
      <c r="D351" s="248">
        <v>8</v>
      </c>
      <c r="E351" s="249">
        <v>44383</v>
      </c>
      <c r="F351" s="250">
        <f>'Bautzen 2. Schnitt 2021'!AJ37</f>
        <v>0</v>
      </c>
      <c r="G351" s="251">
        <f>IF('Bautzen 2. Schnitt 2021'!AK37=0,"",'Bautzen 2. Schnitt 2021'!AK37)</f>
        <v>9.4813852382848793</v>
      </c>
      <c r="H351" s="251">
        <f>IF('Bautzen 2. Schnitt 2021'!AL37=0,"",'Bautzen 2. Schnitt 2021'!AL37)</f>
        <v>6.4167440071026931</v>
      </c>
      <c r="I351" s="250">
        <f>IF('Bautzen 2. Schnitt 2021'!R37=0,"",'Bautzen 2. Schnitt 2021'!R37)</f>
        <v>9.4813852382848793</v>
      </c>
      <c r="J351" s="250" t="str">
        <f>IF('Bautzen 2. Schnitt 2021'!AD37=0,"",'Bautzen 2. Schnitt 2021'!AD37)</f>
        <v/>
      </c>
      <c r="K351" s="250"/>
      <c r="L351" s="252">
        <f>'Bautzen 2. Schnitt 2021'!K37</f>
        <v>21.43839056699041</v>
      </c>
    </row>
    <row r="352" spans="1:12" x14ac:dyDescent="0.3">
      <c r="A352" s="245" t="s">
        <v>9</v>
      </c>
      <c r="B352" s="254" t="s">
        <v>10</v>
      </c>
      <c r="C352" s="247" t="s">
        <v>120</v>
      </c>
      <c r="D352" s="255">
        <v>9</v>
      </c>
      <c r="E352" s="249">
        <v>44383</v>
      </c>
      <c r="F352" s="250">
        <f>'Bautzen 2. Schnitt 2021'!AJ38</f>
        <v>0.10341463414634147</v>
      </c>
      <c r="G352" s="251">
        <f>IF('Bautzen 2. Schnitt 2021'!AK38=0,"",'Bautzen 2. Schnitt 2021'!AK38)</f>
        <v>14.202957861442707</v>
      </c>
      <c r="H352" s="251" t="str">
        <f>IF('Bautzen 2. Schnitt 2021'!AL38=0,"",'Bautzen 2. Schnitt 2021'!AL38)</f>
        <v/>
      </c>
      <c r="I352" s="250">
        <f>IF('Bautzen 2. Schnitt 2021'!R38=0,"",'Bautzen 2. Schnitt 2021'!R38)</f>
        <v>14.202957861442707</v>
      </c>
      <c r="J352" s="250" t="str">
        <f>IF('Bautzen 2. Schnitt 2021'!AD38=0,"",'Bautzen 2. Schnitt 2021'!AD38)</f>
        <v/>
      </c>
      <c r="K352" s="250"/>
      <c r="L352" s="252">
        <f>'Bautzen 2. Schnitt 2021'!K38</f>
        <v>16.902088213544527</v>
      </c>
    </row>
    <row r="353" spans="1:12" x14ac:dyDescent="0.3">
      <c r="A353" s="245" t="s">
        <v>9</v>
      </c>
      <c r="B353" s="246" t="s">
        <v>11</v>
      </c>
      <c r="C353" s="247" t="s">
        <v>112</v>
      </c>
      <c r="D353" s="248">
        <v>1</v>
      </c>
      <c r="E353" s="249">
        <v>44383</v>
      </c>
      <c r="F353" s="250">
        <f>'Bautzen 2. Schnitt 2021'!AJ39</f>
        <v>0.97276995305164315</v>
      </c>
      <c r="G353" s="251" t="str">
        <f>IF('Bautzen 2. Schnitt 2021'!AK39=0,"",'Bautzen 2. Schnitt 2021'!AK39)</f>
        <v/>
      </c>
      <c r="H353" s="251">
        <f>IF('Bautzen 2. Schnitt 2021'!AL39=0,"",'Bautzen 2. Schnitt 2021'!AL39)</f>
        <v>16.125980343837881</v>
      </c>
      <c r="I353" s="250" t="str">
        <f>IF('Bautzen 2. Schnitt 2021'!R39=0,"",'Bautzen 2. Schnitt 2021'!R39)</f>
        <v/>
      </c>
      <c r="J353" s="250" t="str">
        <f>IF('Bautzen 2. Schnitt 2021'!AD39=0,"",'Bautzen 2. Schnitt 2021'!AD39)</f>
        <v/>
      </c>
      <c r="K353" s="250"/>
      <c r="L353" s="252">
        <f>'Bautzen 2. Schnitt 2021'!K39</f>
        <v>31.093912205945031</v>
      </c>
    </row>
    <row r="354" spans="1:12" x14ac:dyDescent="0.3">
      <c r="A354" s="245" t="s">
        <v>9</v>
      </c>
      <c r="B354" s="246" t="s">
        <v>11</v>
      </c>
      <c r="C354" s="247" t="s">
        <v>113</v>
      </c>
      <c r="D354" s="248">
        <v>2</v>
      </c>
      <c r="E354" s="249">
        <v>44383</v>
      </c>
      <c r="F354" s="250">
        <f>'Bautzen 2. Schnitt 2021'!AJ40</f>
        <v>0.17513542926239431</v>
      </c>
      <c r="G354" s="251">
        <f>IF('Bautzen 2. Schnitt 2021'!AK40=0,"",'Bautzen 2. Schnitt 2021'!AK40)</f>
        <v>3.9971586322869954</v>
      </c>
      <c r="H354" s="251">
        <f>IF('Bautzen 2. Schnitt 2021'!AL40=0,"",'Bautzen 2. Schnitt 2021'!AL40)</f>
        <v>12.480030175275523</v>
      </c>
      <c r="I354" s="250" t="str">
        <f>IF('Bautzen 2. Schnitt 2021'!R40=0,"",'Bautzen 2. Schnitt 2021'!R40)</f>
        <v/>
      </c>
      <c r="J354" s="250">
        <f>IF('Bautzen 2. Schnitt 2021'!AD40=0,"",'Bautzen 2. Schnitt 2021'!AD40)</f>
        <v>3.9971586322869954</v>
      </c>
      <c r="K354" s="250"/>
      <c r="L354" s="252">
        <f>'Bautzen 2. Schnitt 2021'!K40</f>
        <v>47.533582247351688</v>
      </c>
    </row>
    <row r="355" spans="1:12" x14ac:dyDescent="0.3">
      <c r="A355" s="245" t="s">
        <v>9</v>
      </c>
      <c r="B355" s="246" t="s">
        <v>11</v>
      </c>
      <c r="C355" s="247" t="s">
        <v>114</v>
      </c>
      <c r="D355" s="248">
        <v>3</v>
      </c>
      <c r="E355" s="249">
        <v>44383</v>
      </c>
      <c r="F355" s="250">
        <f>'Bautzen 2. Schnitt 2021'!AJ41</f>
        <v>0</v>
      </c>
      <c r="G355" s="251">
        <f>IF('Bautzen 2. Schnitt 2021'!AK41=0,"",'Bautzen 2. Schnitt 2021'!AK41)</f>
        <v>7.3967954822278816</v>
      </c>
      <c r="H355" s="251">
        <f>IF('Bautzen 2. Schnitt 2021'!AL41=0,"",'Bautzen 2. Schnitt 2021'!AL41)</f>
        <v>8.5454747129538031</v>
      </c>
      <c r="I355" s="250" t="str">
        <f>IF('Bautzen 2. Schnitt 2021'!R41=0,"",'Bautzen 2. Schnitt 2021'!R41)</f>
        <v/>
      </c>
      <c r="J355" s="250">
        <f>IF('Bautzen 2. Schnitt 2021'!AD41=0,"",'Bautzen 2. Schnitt 2021'!AD41)</f>
        <v>7.3967954822278816</v>
      </c>
      <c r="K355" s="250"/>
      <c r="L355" s="252">
        <f>'Bautzen 2. Schnitt 2021'!K41</f>
        <v>60.128833205488803</v>
      </c>
    </row>
    <row r="356" spans="1:12" x14ac:dyDescent="0.3">
      <c r="A356" s="245" t="s">
        <v>9</v>
      </c>
      <c r="B356" s="246" t="s">
        <v>11</v>
      </c>
      <c r="C356" s="247" t="s">
        <v>115</v>
      </c>
      <c r="D356" s="248">
        <v>4</v>
      </c>
      <c r="E356" s="249">
        <v>44383</v>
      </c>
      <c r="F356" s="250">
        <f>'Bautzen 2. Schnitt 2021'!AJ42</f>
        <v>0</v>
      </c>
      <c r="G356" s="251">
        <f>IF('Bautzen 2. Schnitt 2021'!AK42=0,"",'Bautzen 2. Schnitt 2021'!AK42)</f>
        <v>6.20187582292849</v>
      </c>
      <c r="H356" s="251">
        <f>IF('Bautzen 2. Schnitt 2021'!AL42=0,"",'Bautzen 2. Schnitt 2021'!AL42)</f>
        <v>7.239909342912906</v>
      </c>
      <c r="I356" s="250" t="str">
        <f>IF('Bautzen 2. Schnitt 2021'!R42=0,"",'Bautzen 2. Schnitt 2021'!R42)</f>
        <v/>
      </c>
      <c r="J356" s="250">
        <f>IF('Bautzen 2. Schnitt 2021'!AD42=0,"",'Bautzen 2. Schnitt 2021'!AD42)</f>
        <v>6.20187582292849</v>
      </c>
      <c r="K356" s="250"/>
      <c r="L356" s="252">
        <f>'Bautzen 2. Schnitt 2021'!K42</f>
        <v>42.817030095910049</v>
      </c>
    </row>
    <row r="357" spans="1:12" x14ac:dyDescent="0.3">
      <c r="A357" s="245" t="s">
        <v>9</v>
      </c>
      <c r="B357" s="246" t="s">
        <v>11</v>
      </c>
      <c r="C357" s="247" t="s">
        <v>116</v>
      </c>
      <c r="D357" s="248">
        <v>5</v>
      </c>
      <c r="E357" s="249">
        <v>44383</v>
      </c>
      <c r="F357" s="250">
        <f>'Bautzen 2. Schnitt 2021'!AJ43</f>
        <v>0.87928664332166095</v>
      </c>
      <c r="G357" s="251">
        <f>IF('Bautzen 2. Schnitt 2021'!AK43=0,"",'Bautzen 2. Schnitt 2021'!AK43)</f>
        <v>8.9583160655737704</v>
      </c>
      <c r="H357" s="251" t="str">
        <f>IF('Bautzen 2. Schnitt 2021'!AL43=0,"",'Bautzen 2. Schnitt 2021'!AL43)</f>
        <v/>
      </c>
      <c r="I357" s="250" t="str">
        <f>IF('Bautzen 2. Schnitt 2021'!R43=0,"",'Bautzen 2. Schnitt 2021'!R43)</f>
        <v/>
      </c>
      <c r="J357" s="250">
        <f>IF('Bautzen 2. Schnitt 2021'!AD43=0,"",'Bautzen 2. Schnitt 2021'!AD43)</f>
        <v>8.9583160655737704</v>
      </c>
      <c r="K357" s="250"/>
      <c r="L357" s="252">
        <f>'Bautzen 2. Schnitt 2021'!K43</f>
        <v>39.466528729256218</v>
      </c>
    </row>
    <row r="358" spans="1:12" x14ac:dyDescent="0.3">
      <c r="A358" s="245" t="s">
        <v>9</v>
      </c>
      <c r="B358" s="246" t="s">
        <v>11</v>
      </c>
      <c r="C358" s="247" t="s">
        <v>117</v>
      </c>
      <c r="D358" s="248">
        <v>6</v>
      </c>
      <c r="E358" s="249">
        <v>44383</v>
      </c>
      <c r="F358" s="250">
        <f>'Bautzen 2. Schnitt 2021'!AJ44</f>
        <v>0.31500000000000006</v>
      </c>
      <c r="G358" s="251">
        <f>IF('Bautzen 2. Schnitt 2021'!AK44=0,"",'Bautzen 2. Schnitt 2021'!AK44)</f>
        <v>2.4790000000000001</v>
      </c>
      <c r="H358" s="251">
        <f>IF('Bautzen 2. Schnitt 2021'!AL44=0,"",'Bautzen 2. Schnitt 2021'!AL44)</f>
        <v>14.437304940047964</v>
      </c>
      <c r="I358" s="250">
        <f>IF('Bautzen 2. Schnitt 2021'!R44=0,"",'Bautzen 2. Schnitt 2021'!R44)</f>
        <v>2.4790000000000001</v>
      </c>
      <c r="J358" s="250" t="str">
        <f>IF('Bautzen 2. Schnitt 2021'!AD44=0,"",'Bautzen 2. Schnitt 2021'!AD44)</f>
        <v/>
      </c>
      <c r="K358" s="250"/>
      <c r="L358" s="252">
        <f>'Bautzen 2. Schnitt 2021'!K44</f>
        <v>20.615405195217637</v>
      </c>
    </row>
    <row r="359" spans="1:12" x14ac:dyDescent="0.3">
      <c r="A359" s="245" t="s">
        <v>9</v>
      </c>
      <c r="B359" s="246" t="s">
        <v>11</v>
      </c>
      <c r="C359" s="247" t="s">
        <v>118</v>
      </c>
      <c r="D359" s="248">
        <v>7</v>
      </c>
      <c r="E359" s="249">
        <v>44383</v>
      </c>
      <c r="F359" s="250">
        <f>'Bautzen 2. Schnitt 2021'!AJ45</f>
        <v>0</v>
      </c>
      <c r="G359" s="251">
        <f>IF('Bautzen 2. Schnitt 2021'!AK45=0,"",'Bautzen 2. Schnitt 2021'!AK45)</f>
        <v>5.1099498863573372</v>
      </c>
      <c r="H359" s="251">
        <f>IF('Bautzen 2. Schnitt 2021'!AL45=0,"",'Bautzen 2. Schnitt 2021'!AL45)</f>
        <v>4.428017126393855</v>
      </c>
      <c r="I359" s="250">
        <f>IF('Bautzen 2. Schnitt 2021'!R45=0,"",'Bautzen 2. Schnitt 2021'!R45)</f>
        <v>5.1099498863573372</v>
      </c>
      <c r="J359" s="250" t="str">
        <f>IF('Bautzen 2. Schnitt 2021'!AD45=0,"",'Bautzen 2. Schnitt 2021'!AD45)</f>
        <v/>
      </c>
      <c r="K359" s="250"/>
      <c r="L359" s="252">
        <f>'Bautzen 2. Schnitt 2021'!K45</f>
        <v>28.047352908810225</v>
      </c>
    </row>
    <row r="360" spans="1:12" x14ac:dyDescent="0.3">
      <c r="A360" s="245" t="s">
        <v>9</v>
      </c>
      <c r="B360" s="246" t="s">
        <v>11</v>
      </c>
      <c r="C360" s="247" t="s">
        <v>119</v>
      </c>
      <c r="D360" s="248">
        <v>8</v>
      </c>
      <c r="E360" s="249">
        <v>44383</v>
      </c>
      <c r="F360" s="250">
        <f>'Bautzen 2. Schnitt 2021'!AJ46</f>
        <v>0.63997942001870933</v>
      </c>
      <c r="G360" s="251">
        <f>IF('Bautzen 2. Schnitt 2021'!AK46=0,"",'Bautzen 2. Schnitt 2021'!AK46)</f>
        <v>11.359658288325715</v>
      </c>
      <c r="H360" s="251">
        <f>IF('Bautzen 2. Schnitt 2021'!AL46=0,"",'Bautzen 2. Schnitt 2021'!AL46)</f>
        <v>4.8310293735378211</v>
      </c>
      <c r="I360" s="250">
        <f>IF('Bautzen 2. Schnitt 2021'!R46=0,"",'Bautzen 2. Schnitt 2021'!R46)</f>
        <v>11.359658288325715</v>
      </c>
      <c r="J360" s="250" t="str">
        <f>IF('Bautzen 2. Schnitt 2021'!AD46=0,"",'Bautzen 2. Schnitt 2021'!AD46)</f>
        <v/>
      </c>
      <c r="K360" s="250"/>
      <c r="L360" s="252">
        <f>'Bautzen 2. Schnitt 2021'!K46</f>
        <v>22.172979068536883</v>
      </c>
    </row>
    <row r="361" spans="1:12" x14ac:dyDescent="0.3">
      <c r="A361" s="245" t="s">
        <v>9</v>
      </c>
      <c r="B361" s="246" t="s">
        <v>11</v>
      </c>
      <c r="C361" s="247" t="s">
        <v>120</v>
      </c>
      <c r="D361" s="248">
        <v>9</v>
      </c>
      <c r="E361" s="249">
        <v>44383</v>
      </c>
      <c r="F361" s="250">
        <f>'Bautzen 2. Schnitt 2021'!AJ47</f>
        <v>5.6216216216216251E-3</v>
      </c>
      <c r="G361" s="251">
        <f>IF('Bautzen 2. Schnitt 2021'!AK47=0,"",'Bautzen 2. Schnitt 2021'!AK47)</f>
        <v>17.187858893777499</v>
      </c>
      <c r="H361" s="251" t="str">
        <f>IF('Bautzen 2. Schnitt 2021'!AL47=0,"",'Bautzen 2. Schnitt 2021'!AL47)</f>
        <v/>
      </c>
      <c r="I361" s="250">
        <f>IF('Bautzen 2. Schnitt 2021'!R47=0,"",'Bautzen 2. Schnitt 2021'!R47)</f>
        <v>17.187858893777499</v>
      </c>
      <c r="J361" s="250" t="str">
        <f>IF('Bautzen 2. Schnitt 2021'!AD47=0,"",'Bautzen 2. Schnitt 2021'!AD47)</f>
        <v/>
      </c>
      <c r="K361" s="250"/>
      <c r="L361" s="252">
        <f>'Bautzen 2. Schnitt 2021'!K47</f>
        <v>19.992336389151195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2:AO64"/>
  <sheetViews>
    <sheetView tabSelected="1" topLeftCell="A5" zoomScale="68" zoomScaleNormal="58" workbookViewId="0">
      <selection activeCell="I33" sqref="I33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0.6640625" style="3" customWidth="1"/>
    <col min="6" max="6" width="10.08203125" style="3" customWidth="1"/>
    <col min="7" max="7" width="11.6640625" style="3" customWidth="1"/>
    <col min="8" max="8" width="9.9140625" style="3" customWidth="1"/>
    <col min="9" max="9" width="15.4140625" style="3" customWidth="1"/>
    <col min="10" max="10" width="11" style="3" customWidth="1"/>
    <col min="11" max="11" width="10.4140625" style="3" customWidth="1"/>
    <col min="12" max="12" width="9.58203125" style="3" customWidth="1"/>
    <col min="13" max="13" width="11" style="3"/>
    <col min="14" max="14" width="9.75" style="3" bestFit="1" customWidth="1"/>
    <col min="15" max="15" width="8.08203125" style="3" bestFit="1" customWidth="1"/>
    <col min="16" max="16" width="8.08203125" style="3" customWidth="1"/>
    <col min="17" max="17" width="12.4140625" style="3" bestFit="1" customWidth="1"/>
    <col min="18" max="18" width="11.6640625" style="3" bestFit="1" customWidth="1"/>
    <col min="19" max="19" width="9.9140625" style="3" customWidth="1"/>
    <col min="20" max="20" width="8.9140625" style="3" customWidth="1"/>
    <col min="21" max="21" width="8.08203125" style="3" bestFit="1" customWidth="1"/>
    <col min="22" max="22" width="8.08203125" style="3" customWidth="1"/>
    <col min="23" max="23" width="12.4140625" style="3" bestFit="1" customWidth="1"/>
    <col min="24" max="24" width="11.6640625" style="3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  <c r="N2" s="188">
        <v>44385</v>
      </c>
    </row>
    <row r="3" spans="2:41" x14ac:dyDescent="0.3">
      <c r="B3" s="1" t="s">
        <v>4</v>
      </c>
    </row>
    <row r="4" spans="2:41" ht="14.5" thickBot="1" x14ac:dyDescent="0.35"/>
    <row r="5" spans="2:41" x14ac:dyDescent="0.3">
      <c r="D5" s="25" t="s">
        <v>31</v>
      </c>
      <c r="E5" s="26">
        <v>2.44</v>
      </c>
      <c r="F5" s="27" t="s">
        <v>20</v>
      </c>
      <c r="M5" s="25" t="s">
        <v>21</v>
      </c>
      <c r="N5" s="26">
        <v>7.18</v>
      </c>
      <c r="O5" s="27" t="s">
        <v>22</v>
      </c>
      <c r="P5" s="35"/>
      <c r="Q5" s="34" t="s">
        <v>33</v>
      </c>
      <c r="R5" s="32"/>
      <c r="S5" s="32"/>
      <c r="W5" s="43"/>
      <c r="X5" s="43"/>
      <c r="Y5" s="44"/>
    </row>
    <row r="6" spans="2:41" x14ac:dyDescent="0.3">
      <c r="D6" s="29" t="s">
        <v>32</v>
      </c>
      <c r="E6" s="21">
        <v>7.18</v>
      </c>
      <c r="F6" s="30" t="s">
        <v>22</v>
      </c>
      <c r="M6" s="29"/>
      <c r="N6" s="20"/>
      <c r="O6" s="30"/>
      <c r="P6" s="35"/>
      <c r="Q6" s="35"/>
      <c r="R6" s="35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35"/>
      <c r="Q7" s="35"/>
      <c r="R7" s="35"/>
    </row>
    <row r="9" spans="2:41" x14ac:dyDescent="0.3">
      <c r="C9" s="6"/>
      <c r="D9" s="5" t="s">
        <v>5</v>
      </c>
      <c r="L9" s="6"/>
      <c r="M9" s="5" t="s">
        <v>13</v>
      </c>
      <c r="N9" s="49"/>
      <c r="O9" s="49"/>
      <c r="P9" s="49"/>
      <c r="Q9" s="49"/>
      <c r="R9" s="50"/>
      <c r="S9" s="5" t="s">
        <v>17</v>
      </c>
      <c r="T9" s="49"/>
      <c r="U9" s="49"/>
      <c r="V9" s="49"/>
      <c r="W9" s="49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6"/>
      <c r="D10" s="28" t="s">
        <v>30</v>
      </c>
      <c r="G10" s="28" t="s">
        <v>29</v>
      </c>
      <c r="L10" s="6"/>
      <c r="M10" s="28" t="s">
        <v>30</v>
      </c>
      <c r="N10" s="28"/>
      <c r="O10" s="45"/>
      <c r="P10" s="45" t="s">
        <v>29</v>
      </c>
      <c r="Q10" s="45"/>
      <c r="R10" s="46"/>
      <c r="S10" s="28" t="s">
        <v>30</v>
      </c>
      <c r="T10" s="28"/>
      <c r="U10" s="45"/>
      <c r="V10" s="45" t="s">
        <v>29</v>
      </c>
      <c r="W10" s="45"/>
      <c r="X10" s="46"/>
      <c r="Y10" s="47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3" t="s">
        <v>2</v>
      </c>
      <c r="C12" s="6">
        <v>1</v>
      </c>
      <c r="D12" s="7">
        <f>24.9-E5</f>
        <v>22.459999999999997</v>
      </c>
      <c r="E12" s="7">
        <v>671.21</v>
      </c>
      <c r="F12" s="7">
        <v>91.41</v>
      </c>
      <c r="G12" s="8">
        <f t="shared" ref="G12:G47" si="0">((F12-$E$6)/(E12-$E$6))*100</f>
        <v>12.684667861391802</v>
      </c>
      <c r="H12" s="3">
        <v>1</v>
      </c>
      <c r="I12" s="7">
        <f t="shared" ref="I12:I47" si="1">(D12-$E$5)*(G12/100)</f>
        <v>2.5394705058506384</v>
      </c>
      <c r="J12" s="7">
        <f t="shared" ref="J12:J47" si="2">I12/($E$7*H12)</f>
        <v>0.47027231589826635</v>
      </c>
      <c r="K12" s="7">
        <f t="shared" ref="K12:K47" si="3">J12*10000/100</f>
        <v>47.027231589826634</v>
      </c>
      <c r="L12" s="6"/>
      <c r="M12" s="31"/>
      <c r="N12" s="31"/>
      <c r="O12" s="37"/>
      <c r="P12" s="37" t="str">
        <f t="shared" ref="P12:P47" si="4">IF(M12&gt;0,((O12-$N$5)/(N12-$N$5))*100,"")</f>
        <v/>
      </c>
      <c r="Q12" s="37" t="str">
        <f t="shared" ref="Q12:Q47" si="5">IF(M12&gt;0,((P12/100)*M12)/$N$7/1000,"")</f>
        <v/>
      </c>
      <c r="R12" s="14">
        <f t="shared" ref="R12:R16" si="6">IF(N12&gt;0,Q12*10000/100,0)</f>
        <v>0</v>
      </c>
      <c r="S12" s="38">
        <f>3223.35-N5</f>
        <v>3216.17</v>
      </c>
      <c r="T12" s="38">
        <v>704.32</v>
      </c>
      <c r="U12" s="36">
        <v>88.61</v>
      </c>
      <c r="V12" s="36">
        <f t="shared" ref="V12:V47" si="7">IF(S12&gt;0,((U12-$N$5)/(T12-$N$5))*100,"")</f>
        <v>11.680580658117451</v>
      </c>
      <c r="W12" s="36">
        <f t="shared" ref="W12:W47" si="8">IF(S12&gt;0,((V12/100)*S12)/$N$7/1000,"")</f>
        <v>0.37566733095217603</v>
      </c>
      <c r="X12" s="14">
        <f t="shared" ref="X12:X16" si="9">IF(T12&gt;0,W12*10000/100,0)</f>
        <v>37.5667330952176</v>
      </c>
      <c r="Y12" s="31"/>
      <c r="Z12" s="31"/>
      <c r="AA12" s="31"/>
      <c r="AB12" s="31" t="str">
        <f t="shared" ref="AB12:AB47" si="10">IF(Y12&gt;0,((AA12-$N$5)/(Z12-$N$5))*100,"")</f>
        <v/>
      </c>
      <c r="AC12" s="31" t="str">
        <f t="shared" ref="AC12:AC47" si="11">IF(Y12&gt;0,((AB12/100)*Y12)/$N$7/1000,"")</f>
        <v/>
      </c>
      <c r="AD12" s="14">
        <f t="shared" ref="AD12:AD16" si="12">IF(Z12&gt;0,AC12*10000/100,0)</f>
        <v>0</v>
      </c>
      <c r="AE12" s="38"/>
      <c r="AF12" s="7"/>
      <c r="AG12" s="15"/>
      <c r="AH12" s="15" t="str">
        <f t="shared" ref="AH12:AH47" si="13">IF(AE12&gt;0,((AG12-$N$5)/(AF12-$N$5))*100,"")</f>
        <v/>
      </c>
      <c r="AI12" s="15" t="str">
        <f t="shared" ref="AI12:AI47" si="14">IF(AE12&gt;0,((AH12/100)*AE12)/$N$7/1000,"")</f>
        <v/>
      </c>
      <c r="AJ12" s="14">
        <f t="shared" ref="AJ12:AJ47" si="15">IF(AF12&gt;0,AI12*10000/100,0)</f>
        <v>0</v>
      </c>
      <c r="AK12" s="14"/>
      <c r="AL12" s="14">
        <f>X12</f>
        <v>37.5667330952176</v>
      </c>
      <c r="AM12" s="124">
        <f>IF((100/SUM(AJ12:AL12)*AL12),(100/SUM(AJ12:AL12)*AL12),"")</f>
        <v>100</v>
      </c>
      <c r="AN12" s="57" t="str">
        <f>IF((100/SUM(AJ12:AL12)*AK12),(100/SUM(AJ12:AL12)*AK12),"")</f>
        <v/>
      </c>
      <c r="AO12" s="57">
        <f>(100/SUM(AJ12:AL12)*AJ12)</f>
        <v>0</v>
      </c>
    </row>
    <row r="13" spans="2:41" x14ac:dyDescent="0.3">
      <c r="B13" s="3" t="s">
        <v>2</v>
      </c>
      <c r="C13" s="6">
        <v>2</v>
      </c>
      <c r="D13" s="7">
        <f>15.3-E5</f>
        <v>12.860000000000001</v>
      </c>
      <c r="E13" s="7">
        <v>517.54999999999995</v>
      </c>
      <c r="F13" s="7">
        <v>101.31</v>
      </c>
      <c r="G13" s="8">
        <f t="shared" si="0"/>
        <v>18.443482179595197</v>
      </c>
      <c r="H13" s="3">
        <v>1</v>
      </c>
      <c r="I13" s="7">
        <f t="shared" si="1"/>
        <v>1.9218108431138199</v>
      </c>
      <c r="J13" s="7">
        <f t="shared" si="2"/>
        <v>0.35589089687292957</v>
      </c>
      <c r="K13" s="7">
        <f t="shared" si="3"/>
        <v>35.589089687292955</v>
      </c>
      <c r="L13" s="6"/>
      <c r="M13" s="31"/>
      <c r="N13" s="31"/>
      <c r="O13" s="37"/>
      <c r="P13" s="37" t="str">
        <f t="shared" si="4"/>
        <v/>
      </c>
      <c r="Q13" s="37" t="str">
        <f t="shared" si="5"/>
        <v/>
      </c>
      <c r="R13" s="14">
        <f t="shared" si="6"/>
        <v>0</v>
      </c>
      <c r="S13" s="38">
        <v>1420.04</v>
      </c>
      <c r="T13" s="38">
        <v>590.95000000000005</v>
      </c>
      <c r="U13" s="36">
        <v>80.95</v>
      </c>
      <c r="V13" s="36">
        <f t="shared" si="7"/>
        <v>12.636826147284033</v>
      </c>
      <c r="W13" s="36">
        <f t="shared" si="8"/>
        <v>0.17944798602189219</v>
      </c>
      <c r="X13" s="14">
        <f t="shared" si="9"/>
        <v>17.94479860218922</v>
      </c>
      <c r="Y13" s="7">
        <v>389.23</v>
      </c>
      <c r="Z13" s="7">
        <f>Y13</f>
        <v>389.23</v>
      </c>
      <c r="AA13" s="15">
        <v>123.73</v>
      </c>
      <c r="AB13" s="15">
        <f t="shared" si="10"/>
        <v>30.506478209658422</v>
      </c>
      <c r="AC13" s="15">
        <f t="shared" si="11"/>
        <v>0.11874036513545348</v>
      </c>
      <c r="AD13" s="14">
        <f t="shared" si="12"/>
        <v>11.874036513545347</v>
      </c>
      <c r="AE13" s="15"/>
      <c r="AF13" s="7"/>
      <c r="AG13" s="15"/>
      <c r="AH13" s="15" t="str">
        <f t="shared" si="13"/>
        <v/>
      </c>
      <c r="AI13" s="15" t="str">
        <f t="shared" si="14"/>
        <v/>
      </c>
      <c r="AJ13" s="14">
        <f t="shared" si="15"/>
        <v>0</v>
      </c>
      <c r="AK13" s="14">
        <f t="shared" ref="AK13:AK47" si="16">R13+AD13</f>
        <v>11.874036513545347</v>
      </c>
      <c r="AL13" s="14">
        <f t="shared" ref="AL13:AL46" si="17">X13</f>
        <v>17.94479860218922</v>
      </c>
      <c r="AM13" s="124">
        <f t="shared" ref="AM13:AM47" si="18">IF((100/SUM(AJ13:AL13)*AL13),(100/SUM(AJ13:AL13)*AL13),"")</f>
        <v>60.179408526660559</v>
      </c>
      <c r="AN13" s="57">
        <f t="shared" ref="AN13:AN47" si="19">IF((100/SUM(AJ13:AL13)*AK13),(100/SUM(AJ13:AL13)*AK13),"")</f>
        <v>39.820591473339448</v>
      </c>
      <c r="AO13" s="57">
        <f t="shared" ref="AO13:AO47" si="20">(100/SUM(AJ13:AL13)*AJ13)</f>
        <v>0</v>
      </c>
    </row>
    <row r="14" spans="2:41" x14ac:dyDescent="0.3">
      <c r="B14" s="20" t="s">
        <v>2</v>
      </c>
      <c r="C14" s="6">
        <v>3</v>
      </c>
      <c r="D14" s="36">
        <f>10.3-E5</f>
        <v>7.8600000000000012</v>
      </c>
      <c r="E14" s="36">
        <v>453.22</v>
      </c>
      <c r="F14" s="36">
        <v>115.07</v>
      </c>
      <c r="G14" s="56">
        <f t="shared" si="0"/>
        <v>24.188413595193254</v>
      </c>
      <c r="H14" s="20">
        <v>1</v>
      </c>
      <c r="I14" s="36">
        <f t="shared" si="1"/>
        <v>1.3110120168594748</v>
      </c>
      <c r="J14" s="36">
        <f t="shared" si="2"/>
        <v>0.24278000312212494</v>
      </c>
      <c r="K14" s="36">
        <f t="shared" si="3"/>
        <v>24.278000312212495</v>
      </c>
      <c r="L14" s="6"/>
      <c r="M14" s="37"/>
      <c r="N14" s="37"/>
      <c r="O14" s="37"/>
      <c r="P14" s="37" t="str">
        <f t="shared" si="4"/>
        <v/>
      </c>
      <c r="Q14" s="37" t="str">
        <f t="shared" si="5"/>
        <v/>
      </c>
      <c r="R14" s="14">
        <f t="shared" si="6"/>
        <v>0</v>
      </c>
      <c r="S14" s="181">
        <v>363.13</v>
      </c>
      <c r="T14" s="15">
        <f>S14</f>
        <v>363.13</v>
      </c>
      <c r="U14" s="15">
        <v>54.68</v>
      </c>
      <c r="V14" s="15">
        <f t="shared" si="7"/>
        <v>13.34457086669476</v>
      </c>
      <c r="W14" s="15">
        <f t="shared" si="8"/>
        <v>4.8458140188228679E-2</v>
      </c>
      <c r="X14" s="14">
        <f t="shared" si="9"/>
        <v>4.8458140188228676</v>
      </c>
      <c r="Y14" s="181">
        <v>589.49</v>
      </c>
      <c r="Z14" s="7">
        <f t="shared" ref="Z14:Z16" si="21">Y14</f>
        <v>589.49</v>
      </c>
      <c r="AA14" s="36">
        <v>182.32</v>
      </c>
      <c r="AB14" s="36">
        <f t="shared" si="10"/>
        <v>30.076763236076999</v>
      </c>
      <c r="AC14" s="36">
        <f t="shared" si="11"/>
        <v>0.17729951160035029</v>
      </c>
      <c r="AD14" s="14">
        <f t="shared" si="12"/>
        <v>17.729951160035029</v>
      </c>
      <c r="AE14" s="15"/>
      <c r="AF14" s="36"/>
      <c r="AG14" s="15"/>
      <c r="AH14" s="15" t="str">
        <f t="shared" si="13"/>
        <v/>
      </c>
      <c r="AI14" s="15" t="str">
        <f t="shared" si="14"/>
        <v/>
      </c>
      <c r="AJ14" s="14">
        <f t="shared" si="15"/>
        <v>0</v>
      </c>
      <c r="AK14" s="14">
        <f t="shared" si="16"/>
        <v>17.729951160035029</v>
      </c>
      <c r="AL14" s="14">
        <f t="shared" si="17"/>
        <v>4.8458140188228676</v>
      </c>
      <c r="AM14" s="124">
        <f t="shared" si="18"/>
        <v>21.464672317556488</v>
      </c>
      <c r="AN14" s="57">
        <f t="shared" si="19"/>
        <v>78.535327682443508</v>
      </c>
      <c r="AO14" s="57">
        <f t="shared" si="20"/>
        <v>0</v>
      </c>
    </row>
    <row r="15" spans="2:41" x14ac:dyDescent="0.3">
      <c r="B15" s="3" t="s">
        <v>2</v>
      </c>
      <c r="C15" s="6">
        <v>4</v>
      </c>
      <c r="D15" s="7">
        <f>11.4-E5</f>
        <v>8.9600000000000009</v>
      </c>
      <c r="E15" s="7">
        <v>543</v>
      </c>
      <c r="F15" s="7">
        <v>130.86000000000001</v>
      </c>
      <c r="G15" s="8">
        <f>((F15-$E$6)/(E15-$E$6))*100</f>
        <v>23.082378410660294</v>
      </c>
      <c r="H15" s="3">
        <v>1</v>
      </c>
      <c r="I15" s="7">
        <f t="shared" si="1"/>
        <v>1.5049710723750513</v>
      </c>
      <c r="J15" s="7">
        <f t="shared" si="2"/>
        <v>0.27869834673612059</v>
      </c>
      <c r="K15" s="7">
        <f t="shared" si="3"/>
        <v>27.869834673612058</v>
      </c>
      <c r="L15" s="6"/>
      <c r="M15" s="31"/>
      <c r="N15" s="31"/>
      <c r="O15" s="37"/>
      <c r="P15" s="37" t="str">
        <f t="shared" si="4"/>
        <v/>
      </c>
      <c r="Q15" s="37" t="str">
        <f t="shared" si="5"/>
        <v/>
      </c>
      <c r="R15" s="14">
        <f t="shared" si="6"/>
        <v>0</v>
      </c>
      <c r="S15" s="179">
        <v>150.52000000000001</v>
      </c>
      <c r="T15" s="38">
        <f>S15</f>
        <v>150.52000000000001</v>
      </c>
      <c r="U15" s="36">
        <v>29.92</v>
      </c>
      <c r="V15" s="36">
        <f t="shared" si="7"/>
        <v>15.864378401004606</v>
      </c>
      <c r="W15" s="36">
        <f t="shared" si="8"/>
        <v>2.3879062369192135E-2</v>
      </c>
      <c r="X15" s="14">
        <f t="shared" si="9"/>
        <v>2.3879062369192137</v>
      </c>
      <c r="Y15" s="179">
        <v>529.14</v>
      </c>
      <c r="Z15" s="7">
        <f t="shared" si="21"/>
        <v>529.14</v>
      </c>
      <c r="AA15" s="7">
        <v>176.44</v>
      </c>
      <c r="AB15" s="7">
        <f t="shared" si="10"/>
        <v>32.427772243083758</v>
      </c>
      <c r="AC15" s="7">
        <f t="shared" si="11"/>
        <v>0.17158831404705338</v>
      </c>
      <c r="AD15" s="14">
        <f t="shared" si="12"/>
        <v>17.158831404705339</v>
      </c>
      <c r="AE15" s="38"/>
      <c r="AF15" s="7"/>
      <c r="AG15" s="15"/>
      <c r="AH15" s="15" t="str">
        <f t="shared" si="13"/>
        <v/>
      </c>
      <c r="AI15" s="15" t="str">
        <f t="shared" si="14"/>
        <v/>
      </c>
      <c r="AJ15" s="14">
        <f t="shared" si="15"/>
        <v>0</v>
      </c>
      <c r="AK15" s="14">
        <f t="shared" si="16"/>
        <v>17.158831404705339</v>
      </c>
      <c r="AL15" s="14">
        <f t="shared" si="17"/>
        <v>2.3879062369192137</v>
      </c>
      <c r="AM15" s="124">
        <f t="shared" si="18"/>
        <v>12.216392733661062</v>
      </c>
      <c r="AN15" s="57">
        <f t="shared" si="19"/>
        <v>87.783607266338933</v>
      </c>
      <c r="AO15" s="57">
        <f t="shared" si="20"/>
        <v>0</v>
      </c>
    </row>
    <row r="16" spans="2:41" x14ac:dyDescent="0.3">
      <c r="B16" s="3" t="s">
        <v>2</v>
      </c>
      <c r="C16" s="6">
        <v>5</v>
      </c>
      <c r="D16" s="7">
        <f>11.7-E5</f>
        <v>9.26</v>
      </c>
      <c r="E16" s="7">
        <v>331.19</v>
      </c>
      <c r="F16" s="7">
        <v>115.53</v>
      </c>
      <c r="G16" s="8">
        <f t="shared" si="0"/>
        <v>33.440325915866794</v>
      </c>
      <c r="H16" s="3">
        <v>1</v>
      </c>
      <c r="I16" s="7">
        <f t="shared" si="1"/>
        <v>2.2806302274621153</v>
      </c>
      <c r="J16" s="7">
        <f t="shared" si="2"/>
        <v>0.42233893101150283</v>
      </c>
      <c r="K16" s="7">
        <f t="shared" si="3"/>
        <v>42.233893101150279</v>
      </c>
      <c r="L16" s="6"/>
      <c r="M16" s="31"/>
      <c r="N16" s="31"/>
      <c r="O16" s="37"/>
      <c r="P16" s="37" t="str">
        <f t="shared" si="4"/>
        <v/>
      </c>
      <c r="Q16" s="37" t="str">
        <f t="shared" si="5"/>
        <v/>
      </c>
      <c r="R16" s="14">
        <f t="shared" si="6"/>
        <v>0</v>
      </c>
      <c r="S16" s="37"/>
      <c r="T16" s="37"/>
      <c r="U16" s="37"/>
      <c r="V16" s="37" t="str">
        <f t="shared" si="7"/>
        <v/>
      </c>
      <c r="W16" s="37" t="str">
        <f t="shared" si="8"/>
        <v/>
      </c>
      <c r="X16" s="14">
        <f t="shared" si="9"/>
        <v>0</v>
      </c>
      <c r="Y16" s="179">
        <v>492.7</v>
      </c>
      <c r="Z16" s="7">
        <f t="shared" si="21"/>
        <v>492.7</v>
      </c>
      <c r="AA16" s="7">
        <v>156.12</v>
      </c>
      <c r="AB16" s="7">
        <f t="shared" si="10"/>
        <v>30.676388202339762</v>
      </c>
      <c r="AC16" s="7">
        <f t="shared" si="11"/>
        <v>0.151142564672928</v>
      </c>
      <c r="AD16" s="14">
        <f t="shared" si="12"/>
        <v>15.114256467292801</v>
      </c>
      <c r="AE16" s="179">
        <v>10.32</v>
      </c>
      <c r="AF16" s="7"/>
      <c r="AG16" s="15">
        <v>8.01</v>
      </c>
      <c r="AH16" s="15">
        <f t="shared" si="13"/>
        <v>-11.559888579387188</v>
      </c>
      <c r="AI16" s="15">
        <f t="shared" si="14"/>
        <v>-1.192980501392758E-3</v>
      </c>
      <c r="AJ16" s="14">
        <f t="shared" si="15"/>
        <v>0</v>
      </c>
      <c r="AK16" s="14">
        <f t="shared" si="16"/>
        <v>15.114256467292801</v>
      </c>
      <c r="AL16" s="14"/>
      <c r="AM16" s="124" t="str">
        <f t="shared" si="18"/>
        <v/>
      </c>
      <c r="AN16" s="57">
        <f t="shared" si="19"/>
        <v>100</v>
      </c>
      <c r="AO16" s="57">
        <f t="shared" si="20"/>
        <v>0</v>
      </c>
    </row>
    <row r="17" spans="2:41" x14ac:dyDescent="0.3">
      <c r="B17" s="3" t="s">
        <v>2</v>
      </c>
      <c r="C17" s="6">
        <v>6</v>
      </c>
      <c r="D17" s="7">
        <f>34.95-E5</f>
        <v>32.510000000000005</v>
      </c>
      <c r="E17" s="7">
        <v>623.04999999999995</v>
      </c>
      <c r="F17" s="7">
        <v>99.33</v>
      </c>
      <c r="G17" s="8">
        <f t="shared" si="0"/>
        <v>14.962573270333026</v>
      </c>
      <c r="H17" s="3">
        <v>1</v>
      </c>
      <c r="I17" s="7">
        <f t="shared" si="1"/>
        <v>4.4992457823891421</v>
      </c>
      <c r="J17" s="7">
        <f t="shared" si="2"/>
        <v>0.83319366340539658</v>
      </c>
      <c r="K17" s="7">
        <f t="shared" si="3"/>
        <v>83.319366340539659</v>
      </c>
      <c r="L17" s="6"/>
      <c r="M17" s="7">
        <v>900.83</v>
      </c>
      <c r="N17" s="7">
        <v>475.33</v>
      </c>
      <c r="O17" s="36">
        <v>78.52</v>
      </c>
      <c r="P17" s="36">
        <f t="shared" si="4"/>
        <v>15.238705543095163</v>
      </c>
      <c r="Q17" s="36">
        <f t="shared" si="5"/>
        <v>0.13727483114386416</v>
      </c>
      <c r="R17" s="14">
        <f>IF(N17&gt;0,Q17*10000/100,0)</f>
        <v>13.727483114386416</v>
      </c>
      <c r="S17" s="38">
        <v>1651.03</v>
      </c>
      <c r="T17" s="38">
        <v>578.96</v>
      </c>
      <c r="U17" s="36">
        <v>88.66</v>
      </c>
      <c r="V17" s="36">
        <f t="shared" si="7"/>
        <v>14.250236104795547</v>
      </c>
      <c r="W17" s="36">
        <f t="shared" si="8"/>
        <v>0.23527567316100589</v>
      </c>
      <c r="X17" s="14">
        <f>IF(T17&gt;0,W17*10000/100,0)</f>
        <v>23.52756731610059</v>
      </c>
      <c r="Y17" s="31"/>
      <c r="Z17" s="31"/>
      <c r="AA17" s="31"/>
      <c r="AB17" s="31" t="str">
        <f t="shared" si="10"/>
        <v/>
      </c>
      <c r="AC17" s="31" t="str">
        <f t="shared" si="11"/>
        <v/>
      </c>
      <c r="AD17" s="14">
        <f>IF(Z17&gt;0,AC17*10000/100,0)</f>
        <v>0</v>
      </c>
      <c r="AE17" s="38"/>
      <c r="AF17" s="7"/>
      <c r="AG17" s="15"/>
      <c r="AH17" s="15" t="str">
        <f t="shared" si="13"/>
        <v/>
      </c>
      <c r="AI17" s="15" t="str">
        <f t="shared" si="14"/>
        <v/>
      </c>
      <c r="AJ17" s="14">
        <f t="shared" si="15"/>
        <v>0</v>
      </c>
      <c r="AK17" s="14">
        <f t="shared" si="16"/>
        <v>13.727483114386416</v>
      </c>
      <c r="AL17" s="14">
        <f t="shared" si="17"/>
        <v>23.52756731610059</v>
      </c>
      <c r="AM17" s="124">
        <f t="shared" si="18"/>
        <v>63.152692169884247</v>
      </c>
      <c r="AN17" s="57">
        <f t="shared" si="19"/>
        <v>36.847307830115774</v>
      </c>
      <c r="AO17" s="57">
        <f t="shared" si="20"/>
        <v>0</v>
      </c>
    </row>
    <row r="18" spans="2:41" x14ac:dyDescent="0.3">
      <c r="B18" s="3" t="s">
        <v>2</v>
      </c>
      <c r="C18" s="6">
        <v>7</v>
      </c>
      <c r="D18" s="7">
        <f>22.9-E5</f>
        <v>20.459999999999997</v>
      </c>
      <c r="E18" s="7">
        <v>612</v>
      </c>
      <c r="F18" s="7">
        <v>116.6</v>
      </c>
      <c r="G18" s="8">
        <f t="shared" si="0"/>
        <v>18.091332958566181</v>
      </c>
      <c r="H18" s="3">
        <v>1</v>
      </c>
      <c r="I18" s="7">
        <f t="shared" si="1"/>
        <v>3.260058199133625</v>
      </c>
      <c r="J18" s="7">
        <f t="shared" si="2"/>
        <v>0.60371448132104166</v>
      </c>
      <c r="K18" s="7">
        <f t="shared" si="3"/>
        <v>60.37144813210417</v>
      </c>
      <c r="L18" s="6"/>
      <c r="M18" s="7">
        <v>780.23</v>
      </c>
      <c r="N18" s="7">
        <v>552.6</v>
      </c>
      <c r="O18" s="36">
        <v>144.77000000000001</v>
      </c>
      <c r="P18" s="36">
        <f t="shared" si="4"/>
        <v>25.22643100729713</v>
      </c>
      <c r="Q18" s="36">
        <f t="shared" si="5"/>
        <v>0.1968241826482344</v>
      </c>
      <c r="R18" s="14">
        <f t="shared" ref="R18:R47" si="22">IF(N18&gt;0,Q18*10000/100,0)</f>
        <v>19.68241826482344</v>
      </c>
      <c r="S18" s="38">
        <v>780.23</v>
      </c>
      <c r="T18" s="38">
        <v>552.6</v>
      </c>
      <c r="U18" s="36">
        <v>91.05</v>
      </c>
      <c r="V18" s="36">
        <f t="shared" si="7"/>
        <v>15.377140552234975</v>
      </c>
      <c r="W18" s="36">
        <f t="shared" si="8"/>
        <v>0.11997706373070295</v>
      </c>
      <c r="X18" s="14">
        <f t="shared" ref="X18:X47" si="23">IF(T18&gt;0,W18*10000/100,0)</f>
        <v>11.997706373070296</v>
      </c>
      <c r="Y18" s="31"/>
      <c r="Z18" s="31"/>
      <c r="AA18" s="31"/>
      <c r="AB18" s="31" t="str">
        <f t="shared" si="10"/>
        <v/>
      </c>
      <c r="AC18" s="31" t="str">
        <f t="shared" si="11"/>
        <v/>
      </c>
      <c r="AD18" s="14">
        <f t="shared" ref="AD18:AD47" si="24">IF(Z18&gt;0,AC18*10000/100,0)</f>
        <v>0</v>
      </c>
      <c r="AE18" s="38"/>
      <c r="AF18" s="7"/>
      <c r="AG18" s="15"/>
      <c r="AH18" s="15" t="str">
        <f t="shared" si="13"/>
        <v/>
      </c>
      <c r="AI18" s="15" t="str">
        <f t="shared" si="14"/>
        <v/>
      </c>
      <c r="AJ18" s="14">
        <f t="shared" si="15"/>
        <v>0</v>
      </c>
      <c r="AK18" s="14">
        <f t="shared" si="16"/>
        <v>19.68241826482344</v>
      </c>
      <c r="AL18" s="14">
        <f t="shared" si="17"/>
        <v>11.997706373070296</v>
      </c>
      <c r="AM18" s="124">
        <f t="shared" si="18"/>
        <v>37.871398898220903</v>
      </c>
      <c r="AN18" s="57">
        <f t="shared" si="19"/>
        <v>62.128601101779104</v>
      </c>
      <c r="AO18" s="57">
        <f t="shared" si="20"/>
        <v>0</v>
      </c>
    </row>
    <row r="19" spans="2:41" x14ac:dyDescent="0.3">
      <c r="B19" s="3" t="s">
        <v>2</v>
      </c>
      <c r="C19" s="6">
        <v>8</v>
      </c>
      <c r="D19" s="38">
        <f>22.7-E5</f>
        <v>20.259999999999998</v>
      </c>
      <c r="E19" s="38">
        <v>503.97</v>
      </c>
      <c r="F19" s="38">
        <v>99.98</v>
      </c>
      <c r="G19" s="8">
        <f t="shared" si="0"/>
        <v>18.679925119265686</v>
      </c>
      <c r="H19" s="3">
        <v>1</v>
      </c>
      <c r="I19" s="7">
        <f t="shared" si="1"/>
        <v>3.3287626562531445</v>
      </c>
      <c r="J19" s="7">
        <f t="shared" si="2"/>
        <v>0.61643752893576742</v>
      </c>
      <c r="K19" s="7">
        <f t="shared" si="3"/>
        <v>61.643752893576739</v>
      </c>
      <c r="L19" s="6"/>
      <c r="M19" s="7">
        <f>1035-N5</f>
        <v>1027.82</v>
      </c>
      <c r="N19" s="7">
        <v>456.01</v>
      </c>
      <c r="O19" s="36">
        <v>104.67</v>
      </c>
      <c r="P19" s="36">
        <f t="shared" si="4"/>
        <v>21.720918833411318</v>
      </c>
      <c r="Q19" s="36">
        <f t="shared" si="5"/>
        <v>0.2232519479535682</v>
      </c>
      <c r="R19" s="14">
        <f t="shared" si="22"/>
        <v>22.325194795356818</v>
      </c>
      <c r="S19" s="38">
        <v>518.95000000000005</v>
      </c>
      <c r="T19" s="38">
        <f>S19</f>
        <v>518.95000000000005</v>
      </c>
      <c r="U19" s="36">
        <v>84.37</v>
      </c>
      <c r="V19" s="36">
        <f t="shared" si="7"/>
        <v>15.082947417785331</v>
      </c>
      <c r="W19" s="36">
        <f t="shared" si="8"/>
        <v>7.8272955624596977E-2</v>
      </c>
      <c r="X19" s="14">
        <f t="shared" si="23"/>
        <v>7.8272955624596978</v>
      </c>
      <c r="Y19" s="31"/>
      <c r="Z19" s="31"/>
      <c r="AA19" s="31"/>
      <c r="AB19" s="31" t="str">
        <f t="shared" si="10"/>
        <v/>
      </c>
      <c r="AC19" s="31" t="str">
        <f t="shared" si="11"/>
        <v/>
      </c>
      <c r="AD19" s="14">
        <f t="shared" si="24"/>
        <v>0</v>
      </c>
      <c r="AE19" s="38"/>
      <c r="AF19" s="7"/>
      <c r="AG19" s="15"/>
      <c r="AH19" s="15" t="str">
        <f t="shared" si="13"/>
        <v/>
      </c>
      <c r="AI19" s="15" t="str">
        <f t="shared" si="14"/>
        <v/>
      </c>
      <c r="AJ19" s="14">
        <f t="shared" si="15"/>
        <v>0</v>
      </c>
      <c r="AK19" s="14">
        <f t="shared" si="16"/>
        <v>22.325194795356818</v>
      </c>
      <c r="AL19" s="14">
        <f t="shared" si="17"/>
        <v>7.8272955624596978</v>
      </c>
      <c r="AM19" s="124">
        <f t="shared" si="18"/>
        <v>25.959035123049478</v>
      </c>
      <c r="AN19" s="57">
        <f t="shared" si="19"/>
        <v>74.040964876950511</v>
      </c>
      <c r="AO19" s="57">
        <f t="shared" si="20"/>
        <v>0</v>
      </c>
    </row>
    <row r="20" spans="2:41" x14ac:dyDescent="0.3">
      <c r="B20" s="16" t="s">
        <v>2</v>
      </c>
      <c r="C20" s="17">
        <v>9</v>
      </c>
      <c r="D20" s="41">
        <f>14.65-E5</f>
        <v>12.21</v>
      </c>
      <c r="E20" s="41">
        <v>358.02</v>
      </c>
      <c r="F20" s="41">
        <v>86.65</v>
      </c>
      <c r="G20" s="19">
        <f t="shared" si="0"/>
        <v>22.651351043210582</v>
      </c>
      <c r="H20" s="16">
        <v>1</v>
      </c>
      <c r="I20" s="18">
        <f t="shared" si="1"/>
        <v>2.2130369969216743</v>
      </c>
      <c r="J20" s="18">
        <f t="shared" si="2"/>
        <v>0.40982166609660631</v>
      </c>
      <c r="K20" s="18">
        <f t="shared" si="3"/>
        <v>40.982166609660638</v>
      </c>
      <c r="L20" s="17"/>
      <c r="M20" s="180">
        <v>967.69</v>
      </c>
      <c r="N20" s="18">
        <v>484.84</v>
      </c>
      <c r="O20" s="18">
        <v>105.06</v>
      </c>
      <c r="P20" s="18">
        <f t="shared" si="4"/>
        <v>20.491563036469458</v>
      </c>
      <c r="Q20" s="18">
        <f t="shared" si="5"/>
        <v>0.19829480634761129</v>
      </c>
      <c r="R20" s="14">
        <f t="shared" si="22"/>
        <v>19.829480634761129</v>
      </c>
      <c r="S20" s="33"/>
      <c r="T20" s="33"/>
      <c r="U20" s="33"/>
      <c r="V20" s="33" t="str">
        <f t="shared" si="7"/>
        <v/>
      </c>
      <c r="W20" s="33" t="str">
        <f t="shared" si="8"/>
        <v/>
      </c>
      <c r="X20" s="14">
        <f t="shared" si="23"/>
        <v>0</v>
      </c>
      <c r="Y20" s="33"/>
      <c r="Z20" s="33"/>
      <c r="AA20" s="33"/>
      <c r="AB20" s="33" t="str">
        <f t="shared" si="10"/>
        <v/>
      </c>
      <c r="AC20" s="33" t="str">
        <f t="shared" si="11"/>
        <v/>
      </c>
      <c r="AD20" s="14">
        <f t="shared" si="24"/>
        <v>0</v>
      </c>
      <c r="AE20" s="180">
        <v>13.11</v>
      </c>
      <c r="AF20" s="18"/>
      <c r="AG20" s="41">
        <v>8.41</v>
      </c>
      <c r="AH20" s="41">
        <f t="shared" si="13"/>
        <v>-17.130919220055716</v>
      </c>
      <c r="AI20" s="41">
        <f t="shared" si="14"/>
        <v>-2.2458635097493043E-3</v>
      </c>
      <c r="AJ20" s="14">
        <f t="shared" si="15"/>
        <v>0</v>
      </c>
      <c r="AK20" s="14">
        <f t="shared" si="16"/>
        <v>19.829480634761129</v>
      </c>
      <c r="AL20" s="14"/>
      <c r="AM20" s="124" t="str">
        <f t="shared" si="18"/>
        <v/>
      </c>
      <c r="AN20" s="57">
        <f t="shared" si="19"/>
        <v>100</v>
      </c>
      <c r="AO20" s="57">
        <f t="shared" si="20"/>
        <v>0</v>
      </c>
    </row>
    <row r="21" spans="2:41" x14ac:dyDescent="0.3">
      <c r="B21" s="3" t="s">
        <v>9</v>
      </c>
      <c r="C21" s="6">
        <v>1</v>
      </c>
      <c r="D21" s="38">
        <f>29.45-E5</f>
        <v>27.009999999999998</v>
      </c>
      <c r="E21" s="38">
        <v>631.29</v>
      </c>
      <c r="F21" s="38">
        <v>86.09</v>
      </c>
      <c r="G21" s="8">
        <f t="shared" si="0"/>
        <v>12.643604492797744</v>
      </c>
      <c r="H21" s="3">
        <v>1</v>
      </c>
      <c r="I21" s="7">
        <f t="shared" si="1"/>
        <v>3.1065336238804053</v>
      </c>
      <c r="J21" s="7">
        <f t="shared" si="2"/>
        <v>0.57528400442229721</v>
      </c>
      <c r="K21" s="7">
        <f t="shared" si="3"/>
        <v>57.528400442229724</v>
      </c>
      <c r="L21" s="6"/>
      <c r="M21" s="31"/>
      <c r="N21" s="31"/>
      <c r="O21" s="37"/>
      <c r="P21" s="37" t="str">
        <f t="shared" si="4"/>
        <v/>
      </c>
      <c r="Q21" s="37" t="str">
        <f t="shared" si="5"/>
        <v/>
      </c>
      <c r="R21" s="14">
        <f t="shared" si="22"/>
        <v>0</v>
      </c>
      <c r="S21" s="179">
        <f>2855.48-N5</f>
        <v>2848.3</v>
      </c>
      <c r="T21" s="38">
        <v>615.66999999999996</v>
      </c>
      <c r="U21" s="36">
        <v>85.12</v>
      </c>
      <c r="V21" s="36">
        <f t="shared" si="7"/>
        <v>12.808756101168466</v>
      </c>
      <c r="W21" s="36">
        <f t="shared" si="8"/>
        <v>0.36483180002958149</v>
      </c>
      <c r="X21" s="14">
        <f t="shared" si="23"/>
        <v>36.48318000295815</v>
      </c>
      <c r="Y21" s="31"/>
      <c r="Z21" s="31"/>
      <c r="AA21" s="31"/>
      <c r="AB21" s="31" t="str">
        <f t="shared" si="10"/>
        <v/>
      </c>
      <c r="AC21" s="31" t="str">
        <f t="shared" si="11"/>
        <v/>
      </c>
      <c r="AD21" s="14">
        <f t="shared" si="24"/>
        <v>0</v>
      </c>
      <c r="AE21" s="38"/>
      <c r="AF21" s="7"/>
      <c r="AG21" s="15"/>
      <c r="AH21" s="15" t="str">
        <f t="shared" si="13"/>
        <v/>
      </c>
      <c r="AI21" s="15" t="str">
        <f t="shared" si="14"/>
        <v/>
      </c>
      <c r="AJ21" s="14">
        <f t="shared" si="15"/>
        <v>0</v>
      </c>
      <c r="AK21" s="14"/>
      <c r="AL21" s="14">
        <f t="shared" si="17"/>
        <v>36.48318000295815</v>
      </c>
      <c r="AM21" s="124">
        <f t="shared" si="18"/>
        <v>100</v>
      </c>
      <c r="AN21" s="57" t="str">
        <f t="shared" si="19"/>
        <v/>
      </c>
      <c r="AO21" s="57">
        <f t="shared" si="20"/>
        <v>0</v>
      </c>
    </row>
    <row r="22" spans="2:41" x14ac:dyDescent="0.3">
      <c r="B22" s="3" t="s">
        <v>9</v>
      </c>
      <c r="C22" s="6">
        <v>2</v>
      </c>
      <c r="D22" s="172">
        <f>21.5-E5</f>
        <v>19.059999999999999</v>
      </c>
      <c r="E22" s="172">
        <v>468.38</v>
      </c>
      <c r="F22" s="172">
        <v>99.25</v>
      </c>
      <c r="G22" s="8">
        <f t="shared" si="0"/>
        <v>19.963139635732873</v>
      </c>
      <c r="H22" s="3">
        <v>1</v>
      </c>
      <c r="I22" s="7">
        <f t="shared" si="1"/>
        <v>3.317873807458803</v>
      </c>
      <c r="J22" s="7">
        <f t="shared" si="2"/>
        <v>0.61442107545533386</v>
      </c>
      <c r="K22" s="7">
        <f t="shared" si="3"/>
        <v>61.442107545533389</v>
      </c>
      <c r="L22" s="6"/>
      <c r="M22" s="31"/>
      <c r="N22" s="31"/>
      <c r="O22" s="37"/>
      <c r="P22" s="37" t="str">
        <f t="shared" si="4"/>
        <v/>
      </c>
      <c r="Q22" s="37" t="str">
        <f t="shared" si="5"/>
        <v/>
      </c>
      <c r="R22" s="14">
        <f t="shared" si="22"/>
        <v>0</v>
      </c>
      <c r="S22" s="38">
        <v>1382.01</v>
      </c>
      <c r="T22" s="38">
        <v>516.79</v>
      </c>
      <c r="U22" s="15">
        <v>83.59</v>
      </c>
      <c r="V22" s="15">
        <f t="shared" si="7"/>
        <v>14.993818802613765</v>
      </c>
      <c r="W22" s="15">
        <f t="shared" si="8"/>
        <v>0.20721607523400248</v>
      </c>
      <c r="X22" s="14">
        <f t="shared" si="23"/>
        <v>20.721607523400248</v>
      </c>
      <c r="Y22" s="38">
        <v>379.19</v>
      </c>
      <c r="Z22" s="38">
        <f>Y22</f>
        <v>379.19</v>
      </c>
      <c r="AA22" s="38">
        <v>123.66</v>
      </c>
      <c r="AB22" s="31">
        <f t="shared" si="10"/>
        <v>31.310986263810108</v>
      </c>
      <c r="AC22" s="31">
        <f t="shared" si="11"/>
        <v>0.11872812881374155</v>
      </c>
      <c r="AD22" s="14">
        <f t="shared" si="24"/>
        <v>11.872812881374154</v>
      </c>
      <c r="AE22" s="179">
        <v>18.059999999999999</v>
      </c>
      <c r="AF22" s="7"/>
      <c r="AG22" s="15">
        <v>8.83</v>
      </c>
      <c r="AH22" s="15">
        <f t="shared" si="13"/>
        <v>-22.980501392757667</v>
      </c>
      <c r="AI22" s="15">
        <f t="shared" si="14"/>
        <v>-4.1502785515320348E-3</v>
      </c>
      <c r="AJ22" s="14">
        <f t="shared" si="15"/>
        <v>0</v>
      </c>
      <c r="AK22" s="14">
        <f t="shared" si="16"/>
        <v>11.872812881374154</v>
      </c>
      <c r="AL22" s="14">
        <f t="shared" si="17"/>
        <v>20.721607523400248</v>
      </c>
      <c r="AM22" s="124">
        <f t="shared" si="18"/>
        <v>63.57409417338485</v>
      </c>
      <c r="AN22" s="57">
        <f t="shared" si="19"/>
        <v>36.425905826615136</v>
      </c>
      <c r="AO22" s="57">
        <f t="shared" si="20"/>
        <v>0</v>
      </c>
    </row>
    <row r="23" spans="2:41" x14ac:dyDescent="0.3">
      <c r="B23" s="3" t="s">
        <v>9</v>
      </c>
      <c r="C23" s="6">
        <v>3</v>
      </c>
      <c r="D23" s="38">
        <f>20.55-E5</f>
        <v>18.11</v>
      </c>
      <c r="E23" s="38">
        <v>564.12</v>
      </c>
      <c r="F23" s="38">
        <v>129.03</v>
      </c>
      <c r="G23" s="8">
        <f t="shared" si="0"/>
        <v>21.87847883075376</v>
      </c>
      <c r="H23" s="3">
        <v>1</v>
      </c>
      <c r="I23" s="7">
        <f t="shared" si="1"/>
        <v>3.4283576327791145</v>
      </c>
      <c r="J23" s="7">
        <f t="shared" si="2"/>
        <v>0.63488104310724336</v>
      </c>
      <c r="K23" s="7">
        <f t="shared" si="3"/>
        <v>63.488104310724339</v>
      </c>
      <c r="L23" s="6"/>
      <c r="M23" s="179"/>
      <c r="N23" s="31"/>
      <c r="O23" s="37"/>
      <c r="P23" s="37"/>
      <c r="Q23" s="37"/>
      <c r="R23" s="14">
        <f t="shared" si="22"/>
        <v>0</v>
      </c>
      <c r="S23" s="38">
        <v>618.45000000000005</v>
      </c>
      <c r="T23" s="38">
        <v>431.9</v>
      </c>
      <c r="U23" s="36">
        <v>70.319999999999993</v>
      </c>
      <c r="V23" s="36">
        <f t="shared" si="7"/>
        <v>14.86626483330194</v>
      </c>
      <c r="W23" s="36">
        <f t="shared" si="8"/>
        <v>9.1940414861555853E-2</v>
      </c>
      <c r="X23" s="14">
        <f t="shared" si="23"/>
        <v>9.1940414861555855</v>
      </c>
      <c r="Y23" s="179">
        <v>658.14</v>
      </c>
      <c r="Z23" s="7">
        <v>487.21</v>
      </c>
      <c r="AA23" s="7">
        <v>164.45</v>
      </c>
      <c r="AB23" s="7">
        <f t="shared" si="10"/>
        <v>32.762535674853652</v>
      </c>
      <c r="AC23" s="7">
        <f t="shared" si="11"/>
        <v>0.21562335229048185</v>
      </c>
      <c r="AD23" s="14">
        <f t="shared" si="24"/>
        <v>21.562335229048184</v>
      </c>
      <c r="AE23" s="38">
        <v>10.199999999999999</v>
      </c>
      <c r="AF23" s="7"/>
      <c r="AG23" s="15">
        <v>7.68</v>
      </c>
      <c r="AH23" s="15">
        <f t="shared" si="13"/>
        <v>-6.9637883008356551</v>
      </c>
      <c r="AI23" s="15">
        <f t="shared" si="14"/>
        <v>-7.1030640668523666E-4</v>
      </c>
      <c r="AJ23" s="14">
        <f t="shared" si="15"/>
        <v>0</v>
      </c>
      <c r="AK23" s="14">
        <f t="shared" si="16"/>
        <v>21.562335229048184</v>
      </c>
      <c r="AL23" s="14">
        <f t="shared" si="17"/>
        <v>9.1940414861555855</v>
      </c>
      <c r="AM23" s="124">
        <f t="shared" si="18"/>
        <v>29.89312288404474</v>
      </c>
      <c r="AN23" s="57">
        <f t="shared" si="19"/>
        <v>70.106877115955257</v>
      </c>
      <c r="AO23" s="57">
        <f t="shared" si="20"/>
        <v>0</v>
      </c>
    </row>
    <row r="24" spans="2:41" x14ac:dyDescent="0.3">
      <c r="B24" s="3" t="s">
        <v>9</v>
      </c>
      <c r="C24" s="6">
        <v>4</v>
      </c>
      <c r="D24" s="38">
        <f>13-E5</f>
        <v>10.56</v>
      </c>
      <c r="E24" s="38">
        <v>528.84</v>
      </c>
      <c r="F24" s="38">
        <v>152.75</v>
      </c>
      <c r="G24" s="8">
        <f t="shared" si="0"/>
        <v>27.90514894759038</v>
      </c>
      <c r="H24" s="3">
        <v>1</v>
      </c>
      <c r="I24" s="7">
        <f t="shared" si="1"/>
        <v>2.265898094544339</v>
      </c>
      <c r="J24" s="7">
        <f t="shared" si="2"/>
        <v>0.41961075824895167</v>
      </c>
      <c r="K24" s="7">
        <f t="shared" si="3"/>
        <v>41.961075824895168</v>
      </c>
      <c r="L24" s="6"/>
      <c r="M24" s="179"/>
      <c r="N24" s="31"/>
      <c r="O24" s="37"/>
      <c r="P24" s="37"/>
      <c r="Q24" s="37"/>
      <c r="R24" s="14">
        <f t="shared" si="22"/>
        <v>0</v>
      </c>
      <c r="S24" s="179">
        <v>153.69</v>
      </c>
      <c r="T24" s="38">
        <f>S24</f>
        <v>153.69</v>
      </c>
      <c r="U24" s="36">
        <v>31.52</v>
      </c>
      <c r="V24" s="36">
        <f>IF(S24&gt;0,((U24-$N$5)/(T24-$N$5))*100,"")</f>
        <v>16.613200464132142</v>
      </c>
      <c r="W24" s="36">
        <f t="shared" si="8"/>
        <v>2.5532827793324688E-2</v>
      </c>
      <c r="X24" s="14">
        <f t="shared" si="23"/>
        <v>2.5532827793324686</v>
      </c>
      <c r="Y24" s="38">
        <v>443.86</v>
      </c>
      <c r="Z24" s="38">
        <f>Y24</f>
        <v>443.86</v>
      </c>
      <c r="AA24" s="38">
        <v>193.14</v>
      </c>
      <c r="AB24" s="184">
        <f t="shared" si="10"/>
        <v>42.584959237885862</v>
      </c>
      <c r="AC24" s="184">
        <f t="shared" si="11"/>
        <v>0.1890176000732802</v>
      </c>
      <c r="AD24" s="14">
        <f t="shared" si="24"/>
        <v>18.901760007328019</v>
      </c>
      <c r="AE24" s="38"/>
      <c r="AF24" s="7"/>
      <c r="AG24" s="15"/>
      <c r="AH24" s="15" t="str">
        <f t="shared" si="13"/>
        <v/>
      </c>
      <c r="AI24" s="15" t="str">
        <f t="shared" si="14"/>
        <v/>
      </c>
      <c r="AJ24" s="14">
        <f t="shared" si="15"/>
        <v>0</v>
      </c>
      <c r="AK24" s="14">
        <f t="shared" si="16"/>
        <v>18.901760007328019</v>
      </c>
      <c r="AL24" s="14">
        <f t="shared" si="17"/>
        <v>2.5532827793324686</v>
      </c>
      <c r="AM24" s="124">
        <f t="shared" si="18"/>
        <v>11.900618445375242</v>
      </c>
      <c r="AN24" s="57">
        <f t="shared" si="19"/>
        <v>88.099381554624742</v>
      </c>
      <c r="AO24" s="57">
        <f t="shared" si="20"/>
        <v>0</v>
      </c>
    </row>
    <row r="25" spans="2:41" x14ac:dyDescent="0.3">
      <c r="B25" s="20" t="s">
        <v>9</v>
      </c>
      <c r="C25" s="6">
        <v>5</v>
      </c>
      <c r="D25" s="15">
        <f>10.6-E5</f>
        <v>8.16</v>
      </c>
      <c r="E25" s="15">
        <v>458.84</v>
      </c>
      <c r="F25" s="15">
        <v>139.62</v>
      </c>
      <c r="G25" s="56">
        <f t="shared" si="0"/>
        <v>29.322942036044815</v>
      </c>
      <c r="H25" s="20">
        <v>1</v>
      </c>
      <c r="I25" s="36">
        <f t="shared" si="1"/>
        <v>1.6772722844617636</v>
      </c>
      <c r="J25" s="36">
        <f t="shared" si="2"/>
        <v>0.31060597860403028</v>
      </c>
      <c r="K25" s="36">
        <f t="shared" si="3"/>
        <v>31.060597860403028</v>
      </c>
      <c r="L25" s="6"/>
      <c r="M25" s="37"/>
      <c r="N25" s="37"/>
      <c r="O25" s="37"/>
      <c r="P25" s="37" t="str">
        <f t="shared" si="4"/>
        <v/>
      </c>
      <c r="Q25" s="37" t="str">
        <f t="shared" si="5"/>
        <v/>
      </c>
      <c r="R25" s="14">
        <f t="shared" si="22"/>
        <v>0</v>
      </c>
      <c r="S25" s="37"/>
      <c r="T25" s="37"/>
      <c r="U25" s="37"/>
      <c r="V25" s="37" t="str">
        <f t="shared" si="7"/>
        <v/>
      </c>
      <c r="W25" s="37" t="str">
        <f t="shared" si="8"/>
        <v/>
      </c>
      <c r="X25" s="14">
        <f t="shared" si="23"/>
        <v>0</v>
      </c>
      <c r="Y25" s="181">
        <v>629.9</v>
      </c>
      <c r="Z25" s="36">
        <v>369.74</v>
      </c>
      <c r="AA25" s="36">
        <v>127.91</v>
      </c>
      <c r="AB25" s="36">
        <f t="shared" si="10"/>
        <v>33.299315975286845</v>
      </c>
      <c r="AC25" s="36">
        <f t="shared" si="11"/>
        <v>0.20975239132833184</v>
      </c>
      <c r="AD25" s="14">
        <f t="shared" si="24"/>
        <v>20.975239132833185</v>
      </c>
      <c r="AE25" s="15"/>
      <c r="AF25" s="36"/>
      <c r="AG25" s="15"/>
      <c r="AH25" s="15" t="str">
        <f t="shared" si="13"/>
        <v/>
      </c>
      <c r="AI25" s="15" t="str">
        <f t="shared" si="14"/>
        <v/>
      </c>
      <c r="AJ25" s="14">
        <f t="shared" si="15"/>
        <v>0</v>
      </c>
      <c r="AK25" s="14">
        <f t="shared" si="16"/>
        <v>20.975239132833185</v>
      </c>
      <c r="AL25" s="14"/>
      <c r="AM25" s="124" t="str">
        <f t="shared" si="18"/>
        <v/>
      </c>
      <c r="AN25" s="57">
        <f t="shared" si="19"/>
        <v>99.999999999999986</v>
      </c>
      <c r="AO25" s="57">
        <f t="shared" si="20"/>
        <v>0</v>
      </c>
    </row>
    <row r="26" spans="2:41" x14ac:dyDescent="0.3">
      <c r="B26" s="3" t="s">
        <v>9</v>
      </c>
      <c r="C26" s="6">
        <v>6</v>
      </c>
      <c r="D26" s="38">
        <f>27.4-E5</f>
        <v>24.959999999999997</v>
      </c>
      <c r="E26" s="38">
        <v>645.89</v>
      </c>
      <c r="F26" s="38">
        <v>101.67</v>
      </c>
      <c r="G26" s="8">
        <f t="shared" si="0"/>
        <v>14.793881417231608</v>
      </c>
      <c r="H26" s="3">
        <v>1</v>
      </c>
      <c r="I26" s="7">
        <f t="shared" si="1"/>
        <v>3.3315820951605577</v>
      </c>
      <c r="J26" s="7">
        <f t="shared" si="2"/>
        <v>0.61695964725195507</v>
      </c>
      <c r="K26" s="7">
        <f t="shared" si="3"/>
        <v>61.695964725195509</v>
      </c>
      <c r="L26" s="6"/>
      <c r="M26" s="179">
        <v>689.91</v>
      </c>
      <c r="N26" s="41">
        <v>431.44</v>
      </c>
      <c r="O26" s="36">
        <v>57.71</v>
      </c>
      <c r="P26" s="36">
        <f t="shared" si="4"/>
        <v>11.910149436666195</v>
      </c>
      <c r="Q26" s="36">
        <f t="shared" si="5"/>
        <v>8.2169311978503745E-2</v>
      </c>
      <c r="R26" s="14">
        <f t="shared" si="22"/>
        <v>8.216931197850375</v>
      </c>
      <c r="S26" s="179">
        <v>2691.02</v>
      </c>
      <c r="T26" s="38">
        <v>549</v>
      </c>
      <c r="U26" s="36">
        <v>72.12</v>
      </c>
      <c r="V26" s="36">
        <f t="shared" si="7"/>
        <v>11.985530249898488</v>
      </c>
      <c r="W26" s="36">
        <f t="shared" si="8"/>
        <v>0.32253301613081831</v>
      </c>
      <c r="X26" s="14">
        <f t="shared" si="23"/>
        <v>32.253301613081831</v>
      </c>
      <c r="Y26" s="31"/>
      <c r="Z26" s="31"/>
      <c r="AA26" s="31"/>
      <c r="AB26" s="31" t="str">
        <f t="shared" si="10"/>
        <v/>
      </c>
      <c r="AC26" s="31" t="str">
        <f t="shared" si="11"/>
        <v/>
      </c>
      <c r="AD26" s="14">
        <f t="shared" si="24"/>
        <v>0</v>
      </c>
      <c r="AE26" s="38"/>
      <c r="AF26" s="7"/>
      <c r="AG26" s="15"/>
      <c r="AH26" s="15" t="str">
        <f t="shared" si="13"/>
        <v/>
      </c>
      <c r="AI26" s="15" t="str">
        <f t="shared" si="14"/>
        <v/>
      </c>
      <c r="AJ26" s="14">
        <f t="shared" si="15"/>
        <v>0</v>
      </c>
      <c r="AK26" s="14">
        <f t="shared" si="16"/>
        <v>8.216931197850375</v>
      </c>
      <c r="AL26" s="14">
        <f t="shared" si="17"/>
        <v>32.253301613081831</v>
      </c>
      <c r="AM26" s="124">
        <f t="shared" si="18"/>
        <v>79.696357971949354</v>
      </c>
      <c r="AN26" s="57">
        <f t="shared" si="19"/>
        <v>20.30364202805065</v>
      </c>
      <c r="AO26" s="57">
        <f t="shared" si="20"/>
        <v>0</v>
      </c>
    </row>
    <row r="27" spans="2:41" x14ac:dyDescent="0.3">
      <c r="B27" s="3" t="s">
        <v>9</v>
      </c>
      <c r="C27" s="6">
        <v>7</v>
      </c>
      <c r="D27" s="38">
        <f>28.3-E5</f>
        <v>25.86</v>
      </c>
      <c r="E27" s="38">
        <v>619.91999999999996</v>
      </c>
      <c r="F27" s="38">
        <v>103.66</v>
      </c>
      <c r="G27" s="8">
        <f t="shared" si="0"/>
        <v>15.745667003949471</v>
      </c>
      <c r="H27" s="3">
        <v>1</v>
      </c>
      <c r="I27" s="7">
        <f t="shared" si="1"/>
        <v>3.6876352123249658</v>
      </c>
      <c r="J27" s="7">
        <f t="shared" si="2"/>
        <v>0.68289540968980844</v>
      </c>
      <c r="K27" s="7">
        <f t="shared" si="3"/>
        <v>68.289540968980845</v>
      </c>
      <c r="L27" s="6"/>
      <c r="M27" s="172">
        <f>1194.07</f>
        <v>1194.07</v>
      </c>
      <c r="N27" s="172">
        <v>571.84</v>
      </c>
      <c r="O27" s="182">
        <v>99.45</v>
      </c>
      <c r="P27" s="182">
        <f t="shared" si="4"/>
        <v>16.340806857223818</v>
      </c>
      <c r="Q27" s="182">
        <f t="shared" si="5"/>
        <v>0.19512067244005246</v>
      </c>
      <c r="R27" s="183">
        <f t="shared" si="22"/>
        <v>19.512067244005245</v>
      </c>
      <c r="S27" s="172">
        <v>699.39</v>
      </c>
      <c r="T27" s="172">
        <f>S27</f>
        <v>699.39</v>
      </c>
      <c r="U27" s="182">
        <v>100.06</v>
      </c>
      <c r="V27" s="182">
        <f t="shared" si="7"/>
        <v>13.417893413848397</v>
      </c>
      <c r="W27" s="182">
        <f t="shared" si="8"/>
        <v>9.3843404747114306E-2</v>
      </c>
      <c r="X27" s="14">
        <f t="shared" si="23"/>
        <v>9.384340474711431</v>
      </c>
      <c r="Y27" s="31"/>
      <c r="Z27" s="31"/>
      <c r="AA27" s="31"/>
      <c r="AB27" s="31" t="str">
        <f t="shared" si="10"/>
        <v/>
      </c>
      <c r="AC27" s="31" t="str">
        <f t="shared" si="11"/>
        <v/>
      </c>
      <c r="AD27" s="14">
        <f t="shared" si="24"/>
        <v>0</v>
      </c>
      <c r="AE27" s="38">
        <v>23.5</v>
      </c>
      <c r="AF27" s="7"/>
      <c r="AG27" s="15">
        <v>9.16</v>
      </c>
      <c r="AH27" s="15">
        <f t="shared" si="13"/>
        <v>-27.576601671309199</v>
      </c>
      <c r="AI27" s="15">
        <f t="shared" si="14"/>
        <v>-6.4805013927576611E-3</v>
      </c>
      <c r="AJ27" s="14">
        <f t="shared" si="15"/>
        <v>0</v>
      </c>
      <c r="AK27" s="14">
        <f t="shared" si="16"/>
        <v>19.512067244005245</v>
      </c>
      <c r="AL27" s="14">
        <f t="shared" si="17"/>
        <v>9.384340474711431</v>
      </c>
      <c r="AM27" s="124">
        <f t="shared" si="18"/>
        <v>32.475803103487635</v>
      </c>
      <c r="AN27" s="57">
        <f t="shared" si="19"/>
        <v>67.524196896512365</v>
      </c>
      <c r="AO27" s="57">
        <f t="shared" si="20"/>
        <v>0</v>
      </c>
    </row>
    <row r="28" spans="2:41" x14ac:dyDescent="0.3">
      <c r="B28" s="3" t="s">
        <v>9</v>
      </c>
      <c r="C28" s="6">
        <v>8</v>
      </c>
      <c r="D28" s="38">
        <f>27.6-E5</f>
        <v>25.16</v>
      </c>
      <c r="E28" s="38">
        <v>601.51</v>
      </c>
      <c r="F28" s="38">
        <v>102.09</v>
      </c>
      <c r="G28" s="8">
        <f t="shared" si="0"/>
        <v>15.969242676627463</v>
      </c>
      <c r="H28" s="3">
        <v>1</v>
      </c>
      <c r="I28" s="7">
        <f t="shared" si="1"/>
        <v>3.6282119361297593</v>
      </c>
      <c r="J28" s="7">
        <f t="shared" si="2"/>
        <v>0.67189109928328872</v>
      </c>
      <c r="K28" s="7">
        <f t="shared" si="3"/>
        <v>67.189109928328875</v>
      </c>
      <c r="L28" s="6"/>
      <c r="M28" s="7">
        <v>1058.1500000000001</v>
      </c>
      <c r="N28" s="7">
        <v>604.28</v>
      </c>
      <c r="O28" s="36">
        <v>132.61000000000001</v>
      </c>
      <c r="P28" s="36">
        <f t="shared" si="4"/>
        <v>21.006531569251383</v>
      </c>
      <c r="Q28" s="36">
        <f t="shared" si="5"/>
        <v>0.22228061380003353</v>
      </c>
      <c r="R28" s="14">
        <f t="shared" si="22"/>
        <v>22.22806138000335</v>
      </c>
      <c r="S28" s="38">
        <v>377.52</v>
      </c>
      <c r="T28" s="38">
        <f>S28</f>
        <v>377.52</v>
      </c>
      <c r="U28" s="36">
        <v>69.78</v>
      </c>
      <c r="V28" s="36">
        <f t="shared" si="7"/>
        <v>16.903386077658368</v>
      </c>
      <c r="W28" s="36">
        <f t="shared" si="8"/>
        <v>6.3813663120375869E-2</v>
      </c>
      <c r="X28" s="14">
        <f t="shared" si="23"/>
        <v>6.3813663120375876</v>
      </c>
      <c r="Y28" s="31"/>
      <c r="Z28" s="31"/>
      <c r="AA28" s="31"/>
      <c r="AB28" s="31" t="str">
        <f t="shared" si="10"/>
        <v/>
      </c>
      <c r="AC28" s="31" t="str">
        <f t="shared" si="11"/>
        <v/>
      </c>
      <c r="AD28" s="14">
        <f t="shared" si="24"/>
        <v>0</v>
      </c>
      <c r="AE28" s="38"/>
      <c r="AF28" s="7"/>
      <c r="AG28" s="15"/>
      <c r="AH28" s="15" t="str">
        <f t="shared" si="13"/>
        <v/>
      </c>
      <c r="AI28" s="15" t="str">
        <f t="shared" si="14"/>
        <v/>
      </c>
      <c r="AJ28" s="14">
        <f t="shared" si="15"/>
        <v>0</v>
      </c>
      <c r="AK28" s="14">
        <f t="shared" si="16"/>
        <v>22.22806138000335</v>
      </c>
      <c r="AL28" s="14">
        <f t="shared" si="17"/>
        <v>6.3813663120375876</v>
      </c>
      <c r="AM28" s="124">
        <f t="shared" si="18"/>
        <v>22.305116973076906</v>
      </c>
      <c r="AN28" s="57">
        <f t="shared" si="19"/>
        <v>77.694883026923094</v>
      </c>
      <c r="AO28" s="57">
        <f t="shared" si="20"/>
        <v>0</v>
      </c>
    </row>
    <row r="29" spans="2:41" x14ac:dyDescent="0.3">
      <c r="B29" s="16" t="s">
        <v>9</v>
      </c>
      <c r="C29" s="17">
        <v>9</v>
      </c>
      <c r="D29" s="221">
        <f>17.84-E5</f>
        <v>15.4</v>
      </c>
      <c r="E29" s="221">
        <v>457.97</v>
      </c>
      <c r="F29" s="221">
        <v>110.96</v>
      </c>
      <c r="G29" s="222">
        <f t="shared" si="0"/>
        <v>23.021806162514697</v>
      </c>
      <c r="H29" s="223">
        <v>1</v>
      </c>
      <c r="I29" s="221">
        <f>(D29-$E$5)*(G29/100)</f>
        <v>2.9836260786619047</v>
      </c>
      <c r="J29" s="221">
        <f>I29/($E$7*H29)</f>
        <v>0.55252334790035262</v>
      </c>
      <c r="K29" s="18">
        <f>J29*10000/100</f>
        <v>55.252334790035263</v>
      </c>
      <c r="L29" s="17"/>
      <c r="M29" s="180">
        <f>1164.37-N5</f>
        <v>1157.1899999999998</v>
      </c>
      <c r="N29" s="18">
        <v>526.16</v>
      </c>
      <c r="O29" s="18">
        <v>126.31</v>
      </c>
      <c r="P29" s="18">
        <f t="shared" si="4"/>
        <v>22.954641797371767</v>
      </c>
      <c r="Q29" s="18">
        <f t="shared" si="5"/>
        <v>0.26562881941500632</v>
      </c>
      <c r="R29" s="14">
        <f t="shared" si="22"/>
        <v>26.562881941500631</v>
      </c>
      <c r="S29" s="86"/>
      <c r="T29" s="86"/>
      <c r="U29" s="86"/>
      <c r="V29" s="33" t="str">
        <f t="shared" si="7"/>
        <v/>
      </c>
      <c r="W29" s="33" t="str">
        <f t="shared" si="8"/>
        <v/>
      </c>
      <c r="X29" s="14">
        <f t="shared" si="23"/>
        <v>0</v>
      </c>
      <c r="Y29" s="33"/>
      <c r="Z29" s="33"/>
      <c r="AA29" s="33"/>
      <c r="AB29" s="33" t="str">
        <f t="shared" si="10"/>
        <v/>
      </c>
      <c r="AC29" s="33" t="str">
        <f t="shared" si="11"/>
        <v/>
      </c>
      <c r="AD29" s="14">
        <f t="shared" si="24"/>
        <v>0</v>
      </c>
      <c r="AE29" s="41"/>
      <c r="AF29" s="18"/>
      <c r="AG29" s="41"/>
      <c r="AH29" s="41" t="str">
        <f t="shared" si="13"/>
        <v/>
      </c>
      <c r="AI29" s="41" t="str">
        <f t="shared" si="14"/>
        <v/>
      </c>
      <c r="AJ29" s="14">
        <f t="shared" ref="AJ29:AJ31" si="25">IF(AF29&gt;0,AI29*10000/100,0)</f>
        <v>0</v>
      </c>
      <c r="AK29" s="14">
        <f t="shared" ref="AK29:AK31" si="26">R29+AD29</f>
        <v>26.562881941500631</v>
      </c>
      <c r="AL29" s="14">
        <f t="shared" ref="AL29:AL31" si="27">X29</f>
        <v>0</v>
      </c>
      <c r="AM29" s="124"/>
      <c r="AN29" s="57"/>
      <c r="AO29" s="57"/>
    </row>
    <row r="30" spans="2:41" x14ac:dyDescent="0.3">
      <c r="B30" s="3" t="s">
        <v>10</v>
      </c>
      <c r="C30" s="6">
        <v>1</v>
      </c>
      <c r="D30" s="172">
        <f>36.8-E5</f>
        <v>34.36</v>
      </c>
      <c r="E30" s="172">
        <v>640.91999999999996</v>
      </c>
      <c r="F30" s="172">
        <v>84.59</v>
      </c>
      <c r="G30" s="8">
        <f t="shared" si="0"/>
        <v>12.214788399027992</v>
      </c>
      <c r="H30" s="3">
        <v>1</v>
      </c>
      <c r="I30" s="7">
        <f t="shared" si="1"/>
        <v>3.8989604569697347</v>
      </c>
      <c r="J30" s="7">
        <f t="shared" si="2"/>
        <v>0.72202971425365448</v>
      </c>
      <c r="K30" s="7">
        <f t="shared" si="3"/>
        <v>72.202971425365448</v>
      </c>
      <c r="L30" s="6"/>
      <c r="M30" s="31"/>
      <c r="N30" s="31"/>
      <c r="O30" s="37"/>
      <c r="P30" s="37" t="str">
        <f t="shared" si="4"/>
        <v/>
      </c>
      <c r="Q30" s="37" t="str">
        <f t="shared" si="5"/>
        <v/>
      </c>
      <c r="R30" s="14">
        <f t="shared" si="22"/>
        <v>0</v>
      </c>
      <c r="S30" s="179">
        <f>2855.48-N14</f>
        <v>2855.48</v>
      </c>
      <c r="T30" s="38">
        <v>615.66999999999996</v>
      </c>
      <c r="U30" s="36">
        <v>85.12</v>
      </c>
      <c r="V30" s="36">
        <f t="shared" ref="V30" si="28">IF(S30&gt;0,((U30-$N$5)/(T30-$N$5))*100,"")</f>
        <v>12.808756101168466</v>
      </c>
      <c r="W30" s="36">
        <f t="shared" ref="W30" si="29">IF(S30&gt;0,((V30/100)*S30)/$N$7/1000,"")</f>
        <v>0.36575146871764536</v>
      </c>
      <c r="X30" s="14">
        <f t="shared" si="23"/>
        <v>36.575146871764538</v>
      </c>
      <c r="Y30" s="31"/>
      <c r="Z30" s="31"/>
      <c r="AA30" s="31"/>
      <c r="AB30" s="31"/>
      <c r="AC30" s="31"/>
      <c r="AD30" s="14">
        <f t="shared" si="24"/>
        <v>0</v>
      </c>
      <c r="AE30" s="38"/>
      <c r="AF30" s="40"/>
      <c r="AG30" s="40"/>
      <c r="AH30" s="40" t="str">
        <f t="shared" si="13"/>
        <v/>
      </c>
      <c r="AI30" s="40" t="str">
        <f t="shared" si="14"/>
        <v/>
      </c>
      <c r="AJ30" s="14">
        <f t="shared" si="25"/>
        <v>0</v>
      </c>
      <c r="AK30" s="14">
        <f t="shared" si="26"/>
        <v>0</v>
      </c>
      <c r="AL30" s="14">
        <f t="shared" si="27"/>
        <v>36.575146871764538</v>
      </c>
      <c r="AM30" s="124"/>
      <c r="AN30" s="57"/>
      <c r="AO30" s="57"/>
    </row>
    <row r="31" spans="2:41" x14ac:dyDescent="0.3">
      <c r="B31" s="3" t="s">
        <v>10</v>
      </c>
      <c r="C31" s="6">
        <v>2</v>
      </c>
      <c r="D31" s="38">
        <f>20.6-E5</f>
        <v>18.16</v>
      </c>
      <c r="E31" s="38">
        <v>465.64</v>
      </c>
      <c r="F31" s="38">
        <v>98.76</v>
      </c>
      <c r="G31" s="8">
        <f t="shared" si="0"/>
        <v>19.975570387820095</v>
      </c>
      <c r="H31" s="3">
        <v>1</v>
      </c>
      <c r="I31" s="7">
        <f t="shared" si="1"/>
        <v>3.1401596649653194</v>
      </c>
      <c r="J31" s="7">
        <f t="shared" si="2"/>
        <v>0.58151104906765172</v>
      </c>
      <c r="K31" s="7">
        <f t="shared" si="3"/>
        <v>58.15110490676517</v>
      </c>
      <c r="L31" s="6"/>
      <c r="M31" s="31"/>
      <c r="N31" s="31"/>
      <c r="O31" s="37"/>
      <c r="P31" s="37" t="str">
        <f t="shared" si="4"/>
        <v/>
      </c>
      <c r="Q31" s="37" t="str">
        <f t="shared" si="5"/>
        <v/>
      </c>
      <c r="R31" s="14">
        <f t="shared" si="22"/>
        <v>0</v>
      </c>
      <c r="S31" s="179">
        <v>1131.3399999999999</v>
      </c>
      <c r="T31" s="38">
        <v>527.07000000000005</v>
      </c>
      <c r="U31" s="36">
        <v>79.55</v>
      </c>
      <c r="V31" s="36">
        <f t="shared" si="7"/>
        <v>13.920252361076379</v>
      </c>
      <c r="W31" s="36">
        <f t="shared" si="8"/>
        <v>0.15748538306180151</v>
      </c>
      <c r="X31" s="14">
        <f t="shared" si="23"/>
        <v>15.748538306180151</v>
      </c>
      <c r="Y31" s="179">
        <v>601.45000000000005</v>
      </c>
      <c r="Z31" s="7">
        <v>448.7</v>
      </c>
      <c r="AA31" s="38">
        <v>139.22999999999999</v>
      </c>
      <c r="AB31" s="184">
        <f t="shared" si="10"/>
        <v>29.908044935676752</v>
      </c>
      <c r="AC31" s="184">
        <f t="shared" si="11"/>
        <v>0.17988193626562785</v>
      </c>
      <c r="AD31" s="14">
        <f t="shared" si="24"/>
        <v>17.988193626562783</v>
      </c>
      <c r="AE31" s="38"/>
      <c r="AF31" s="40"/>
      <c r="AG31" s="40"/>
      <c r="AH31" s="40" t="str">
        <f t="shared" si="13"/>
        <v/>
      </c>
      <c r="AI31" s="40" t="str">
        <f t="shared" si="14"/>
        <v/>
      </c>
      <c r="AJ31" s="14">
        <f t="shared" si="25"/>
        <v>0</v>
      </c>
      <c r="AK31" s="14">
        <f t="shared" si="26"/>
        <v>17.988193626562783</v>
      </c>
      <c r="AL31" s="14">
        <f t="shared" si="27"/>
        <v>15.748538306180151</v>
      </c>
      <c r="AM31" s="124">
        <f t="shared" si="18"/>
        <v>46.680687203420327</v>
      </c>
      <c r="AN31" s="57">
        <f t="shared" si="19"/>
        <v>53.319312796579666</v>
      </c>
      <c r="AO31" s="57">
        <f t="shared" si="20"/>
        <v>0</v>
      </c>
    </row>
    <row r="32" spans="2:41" x14ac:dyDescent="0.3">
      <c r="B32" s="3" t="s">
        <v>10</v>
      </c>
      <c r="C32" s="6">
        <v>3</v>
      </c>
      <c r="D32" s="38">
        <f>18-E5</f>
        <v>15.56</v>
      </c>
      <c r="E32" s="38">
        <v>593.75</v>
      </c>
      <c r="F32" s="38">
        <v>136.01</v>
      </c>
      <c r="G32" s="8">
        <f t="shared" si="0"/>
        <v>21.963278040131609</v>
      </c>
      <c r="H32" s="3">
        <v>1</v>
      </c>
      <c r="I32" s="7">
        <f t="shared" si="1"/>
        <v>2.8815820788652675</v>
      </c>
      <c r="J32" s="7">
        <f t="shared" si="2"/>
        <v>0.53362631090097545</v>
      </c>
      <c r="K32" s="7">
        <f t="shared" si="3"/>
        <v>53.362631090097551</v>
      </c>
      <c r="L32" s="6"/>
      <c r="M32" s="31"/>
      <c r="N32" s="31"/>
      <c r="O32" s="37"/>
      <c r="P32" s="37" t="str">
        <f t="shared" si="4"/>
        <v/>
      </c>
      <c r="Q32" s="37" t="str">
        <f t="shared" si="5"/>
        <v/>
      </c>
      <c r="R32" s="14">
        <f t="shared" si="22"/>
        <v>0</v>
      </c>
      <c r="S32" s="38">
        <v>1037</v>
      </c>
      <c r="T32" s="38">
        <v>692.62</v>
      </c>
      <c r="U32" s="36">
        <v>108.68</v>
      </c>
      <c r="V32" s="36">
        <f t="shared" si="7"/>
        <v>14.808006535947712</v>
      </c>
      <c r="W32" s="36">
        <f t="shared" si="8"/>
        <v>0.15355902777777777</v>
      </c>
      <c r="X32" s="14">
        <f t="shared" si="23"/>
        <v>15.355902777777779</v>
      </c>
      <c r="Y32" s="179">
        <v>489.32</v>
      </c>
      <c r="Z32" s="7">
        <f>Y32</f>
        <v>489.32</v>
      </c>
      <c r="AA32" s="7">
        <v>165.83</v>
      </c>
      <c r="AB32" s="7">
        <f t="shared" si="10"/>
        <v>32.905380180030697</v>
      </c>
      <c r="AC32" s="7">
        <f t="shared" si="11"/>
        <v>0.16101260629692621</v>
      </c>
      <c r="AD32" s="14">
        <f t="shared" si="24"/>
        <v>16.101260629692622</v>
      </c>
      <c r="AE32" s="38"/>
      <c r="AF32" s="40"/>
      <c r="AG32" s="40"/>
      <c r="AH32" s="40" t="str">
        <f t="shared" si="13"/>
        <v/>
      </c>
      <c r="AI32" s="40" t="str">
        <f t="shared" si="14"/>
        <v/>
      </c>
      <c r="AJ32" s="14">
        <f t="shared" si="15"/>
        <v>0</v>
      </c>
      <c r="AK32" s="14">
        <f t="shared" si="16"/>
        <v>16.101260629692622</v>
      </c>
      <c r="AL32" s="14">
        <f t="shared" si="17"/>
        <v>15.355902777777779</v>
      </c>
      <c r="AM32" s="124">
        <f t="shared" si="18"/>
        <v>48.815281209147685</v>
      </c>
      <c r="AN32" s="57">
        <f t="shared" si="19"/>
        <v>51.184718790852322</v>
      </c>
      <c r="AO32" s="57">
        <f t="shared" si="20"/>
        <v>0</v>
      </c>
    </row>
    <row r="33" spans="2:41" x14ac:dyDescent="0.3">
      <c r="B33" s="3" t="s">
        <v>10</v>
      </c>
      <c r="C33" s="6">
        <v>4</v>
      </c>
      <c r="D33" s="38">
        <f>13.85-E5</f>
        <v>11.41</v>
      </c>
      <c r="E33" s="38">
        <v>494.88</v>
      </c>
      <c r="F33" s="38">
        <v>133.15</v>
      </c>
      <c r="G33" s="8">
        <f t="shared" si="0"/>
        <v>25.829403321714167</v>
      </c>
      <c r="H33" s="3">
        <v>1</v>
      </c>
      <c r="I33" s="7">
        <f t="shared" si="1"/>
        <v>2.3168974779577609</v>
      </c>
      <c r="J33" s="7">
        <f t="shared" si="2"/>
        <v>0.42905508851069646</v>
      </c>
      <c r="K33" s="7">
        <f t="shared" si="3"/>
        <v>42.905508851069641</v>
      </c>
      <c r="L33" s="6"/>
      <c r="M33" s="31"/>
      <c r="N33" s="31"/>
      <c r="O33" s="37"/>
      <c r="P33" s="37" t="str">
        <f t="shared" si="4"/>
        <v/>
      </c>
      <c r="Q33" s="37" t="str">
        <f t="shared" si="5"/>
        <v/>
      </c>
      <c r="R33" s="14">
        <f t="shared" si="22"/>
        <v>0</v>
      </c>
      <c r="S33" s="179">
        <v>60.26</v>
      </c>
      <c r="T33" s="38">
        <f>S33</f>
        <v>60.26</v>
      </c>
      <c r="U33" s="36">
        <v>16.12</v>
      </c>
      <c r="V33" s="36">
        <f t="shared" si="7"/>
        <v>16.84250188394876</v>
      </c>
      <c r="W33" s="36">
        <f t="shared" si="8"/>
        <v>1.0149291635267522E-2</v>
      </c>
      <c r="X33" s="14">
        <f t="shared" si="23"/>
        <v>1.0149291635267523</v>
      </c>
      <c r="Y33" s="179">
        <v>529.6</v>
      </c>
      <c r="Z33" s="7">
        <f t="shared" ref="Z33:Z34" si="30">Y33</f>
        <v>529.6</v>
      </c>
      <c r="AA33" s="7">
        <v>198.83</v>
      </c>
      <c r="AB33" s="7">
        <f t="shared" si="10"/>
        <v>36.685042685961484</v>
      </c>
      <c r="AC33" s="7">
        <f t="shared" si="11"/>
        <v>0.19428398606485203</v>
      </c>
      <c r="AD33" s="14">
        <f t="shared" si="24"/>
        <v>19.428398606485203</v>
      </c>
      <c r="AE33" s="38"/>
      <c r="AF33" s="40"/>
      <c r="AG33" s="40"/>
      <c r="AH33" s="40" t="str">
        <f t="shared" si="13"/>
        <v/>
      </c>
      <c r="AI33" s="40" t="str">
        <f t="shared" si="14"/>
        <v/>
      </c>
      <c r="AJ33" s="14">
        <f t="shared" si="15"/>
        <v>0</v>
      </c>
      <c r="AK33" s="14">
        <f t="shared" si="16"/>
        <v>19.428398606485203</v>
      </c>
      <c r="AL33" s="14">
        <f t="shared" si="17"/>
        <v>1.0149291635267523</v>
      </c>
      <c r="AM33" s="124">
        <f t="shared" si="18"/>
        <v>4.964598596396514</v>
      </c>
      <c r="AN33" s="57">
        <f t="shared" si="19"/>
        <v>95.035401403603487</v>
      </c>
      <c r="AO33" s="57">
        <f t="shared" si="20"/>
        <v>0</v>
      </c>
    </row>
    <row r="34" spans="2:41" x14ac:dyDescent="0.3">
      <c r="B34" s="3" t="s">
        <v>10</v>
      </c>
      <c r="C34" s="6">
        <v>5</v>
      </c>
      <c r="D34" s="38">
        <f>10.4-E5</f>
        <v>7.9600000000000009</v>
      </c>
      <c r="E34" s="38">
        <v>467.64</v>
      </c>
      <c r="F34" s="38">
        <v>148.94999999999999</v>
      </c>
      <c r="G34" s="8">
        <f t="shared" si="0"/>
        <v>30.78877644095035</v>
      </c>
      <c r="H34" s="3">
        <v>1</v>
      </c>
      <c r="I34" s="7">
        <f t="shared" si="1"/>
        <v>1.6995404595404597</v>
      </c>
      <c r="J34" s="7">
        <f t="shared" si="2"/>
        <v>0.31472971472971473</v>
      </c>
      <c r="K34" s="7">
        <f t="shared" si="3"/>
        <v>31.472971472971473</v>
      </c>
      <c r="L34" s="6"/>
      <c r="M34" s="31"/>
      <c r="N34" s="31"/>
      <c r="O34" s="37"/>
      <c r="P34" s="37" t="str">
        <f t="shared" si="4"/>
        <v/>
      </c>
      <c r="Q34" s="37" t="str">
        <f t="shared" si="5"/>
        <v/>
      </c>
      <c r="R34" s="14">
        <f t="shared" si="22"/>
        <v>0</v>
      </c>
      <c r="S34" s="37"/>
      <c r="T34" s="37"/>
      <c r="U34" s="37"/>
      <c r="V34" s="37" t="str">
        <f t="shared" si="7"/>
        <v/>
      </c>
      <c r="W34" s="37" t="str">
        <f t="shared" si="8"/>
        <v/>
      </c>
      <c r="X34" s="14">
        <f t="shared" si="23"/>
        <v>0</v>
      </c>
      <c r="Y34" s="179">
        <v>547.61</v>
      </c>
      <c r="Z34" s="7">
        <f t="shared" si="30"/>
        <v>547.61</v>
      </c>
      <c r="AA34" s="7">
        <v>205.46</v>
      </c>
      <c r="AB34" s="7">
        <f t="shared" si="10"/>
        <v>36.68930296245582</v>
      </c>
      <c r="AC34" s="7">
        <f t="shared" si="11"/>
        <v>0.20091429195270433</v>
      </c>
      <c r="AD34" s="14">
        <f t="shared" si="24"/>
        <v>20.091429195270432</v>
      </c>
      <c r="AE34" s="38"/>
      <c r="AF34" s="40"/>
      <c r="AG34" s="40"/>
      <c r="AH34" s="40" t="str">
        <f t="shared" si="13"/>
        <v/>
      </c>
      <c r="AI34" s="40" t="str">
        <f t="shared" si="14"/>
        <v/>
      </c>
      <c r="AJ34" s="14">
        <f t="shared" si="15"/>
        <v>0</v>
      </c>
      <c r="AK34" s="14">
        <f t="shared" si="16"/>
        <v>20.091429195270432</v>
      </c>
      <c r="AL34" s="14"/>
      <c r="AM34" s="124" t="str">
        <f t="shared" si="18"/>
        <v/>
      </c>
      <c r="AN34" s="57">
        <f t="shared" si="19"/>
        <v>100</v>
      </c>
      <c r="AO34" s="57">
        <f t="shared" si="20"/>
        <v>0</v>
      </c>
    </row>
    <row r="35" spans="2:41" x14ac:dyDescent="0.3">
      <c r="B35" s="3" t="s">
        <v>10</v>
      </c>
      <c r="C35" s="6">
        <v>6</v>
      </c>
      <c r="D35" s="38">
        <f>36.3-E5</f>
        <v>33.86</v>
      </c>
      <c r="E35" s="38">
        <v>667.85</v>
      </c>
      <c r="F35" s="38">
        <v>108.42</v>
      </c>
      <c r="G35" s="8">
        <f t="shared" si="0"/>
        <v>15.323837922109373</v>
      </c>
      <c r="H35" s="3">
        <v>1</v>
      </c>
      <c r="I35" s="7">
        <f t="shared" si="1"/>
        <v>4.8147498751267648</v>
      </c>
      <c r="J35" s="7">
        <f t="shared" si="2"/>
        <v>0.89162034724569716</v>
      </c>
      <c r="K35" s="7">
        <f t="shared" si="3"/>
        <v>89.162034724569708</v>
      </c>
      <c r="L35" s="6"/>
      <c r="M35" s="7">
        <v>970.27</v>
      </c>
      <c r="N35" s="7">
        <v>523.16999999999996</v>
      </c>
      <c r="O35" s="36">
        <v>80.37</v>
      </c>
      <c r="P35" s="36">
        <f t="shared" si="4"/>
        <v>14.1843834182833</v>
      </c>
      <c r="Q35" s="36">
        <f t="shared" si="5"/>
        <v>0.13762681699257737</v>
      </c>
      <c r="R35" s="14">
        <f t="shared" si="22"/>
        <v>13.762681699257737</v>
      </c>
      <c r="S35" s="38">
        <v>1748</v>
      </c>
      <c r="T35" s="38">
        <v>504.34</v>
      </c>
      <c r="U35" s="36">
        <v>76.44</v>
      </c>
      <c r="V35" s="36">
        <f t="shared" si="7"/>
        <v>13.931128811650172</v>
      </c>
      <c r="W35" s="36">
        <f t="shared" si="8"/>
        <v>0.24351613162764502</v>
      </c>
      <c r="X35" s="14">
        <f t="shared" si="23"/>
        <v>24.351613162764501</v>
      </c>
      <c r="Y35" s="31"/>
      <c r="Z35" s="31"/>
      <c r="AA35" s="31"/>
      <c r="AB35" s="31" t="str">
        <f t="shared" si="10"/>
        <v/>
      </c>
      <c r="AC35" s="31" t="str">
        <f t="shared" si="11"/>
        <v/>
      </c>
      <c r="AD35" s="14">
        <f t="shared" si="24"/>
        <v>0</v>
      </c>
      <c r="AE35" s="38">
        <v>20.45</v>
      </c>
      <c r="AF35" s="40"/>
      <c r="AG35" s="40">
        <v>8.8000000000000007</v>
      </c>
      <c r="AH35" s="40">
        <f t="shared" si="13"/>
        <v>-22.562674094707535</v>
      </c>
      <c r="AI35" s="40">
        <f t="shared" si="14"/>
        <v>-4.6140668523676903E-3</v>
      </c>
      <c r="AJ35" s="14">
        <f t="shared" si="15"/>
        <v>0</v>
      </c>
      <c r="AK35" s="14">
        <f t="shared" si="16"/>
        <v>13.762681699257737</v>
      </c>
      <c r="AL35" s="14">
        <f t="shared" si="17"/>
        <v>24.351613162764501</v>
      </c>
      <c r="AM35" s="124">
        <f t="shared" si="18"/>
        <v>63.891023698378547</v>
      </c>
      <c r="AN35" s="57">
        <f t="shared" si="19"/>
        <v>36.108976301621468</v>
      </c>
      <c r="AO35" s="57">
        <f t="shared" si="20"/>
        <v>0</v>
      </c>
    </row>
    <row r="36" spans="2:41" x14ac:dyDescent="0.3">
      <c r="B36" s="20" t="s">
        <v>10</v>
      </c>
      <c r="C36" s="6">
        <v>7</v>
      </c>
      <c r="D36" s="15">
        <f>30.45-E5</f>
        <v>28.009999999999998</v>
      </c>
      <c r="E36" s="15">
        <v>604.72</v>
      </c>
      <c r="F36" s="15">
        <v>103.66</v>
      </c>
      <c r="G36" s="56">
        <f t="shared" si="0"/>
        <v>16.146199417612205</v>
      </c>
      <c r="H36" s="20">
        <v>1</v>
      </c>
      <c r="I36" s="36">
        <f t="shared" si="1"/>
        <v>4.1285831910834405</v>
      </c>
      <c r="J36" s="36">
        <f t="shared" si="2"/>
        <v>0.76455244279322965</v>
      </c>
      <c r="K36" s="36">
        <f t="shared" si="3"/>
        <v>76.455244279322955</v>
      </c>
      <c r="L36" s="6"/>
      <c r="M36" s="179">
        <v>1018.57</v>
      </c>
      <c r="N36" s="7">
        <v>627.19000000000005</v>
      </c>
      <c r="O36" s="36">
        <v>89.72</v>
      </c>
      <c r="P36" s="36">
        <f t="shared" si="4"/>
        <v>13.312688505024109</v>
      </c>
      <c r="Q36" s="36">
        <f t="shared" si="5"/>
        <v>0.13559905130562408</v>
      </c>
      <c r="R36" s="14">
        <f t="shared" si="22"/>
        <v>13.559905130562408</v>
      </c>
      <c r="S36" s="181">
        <v>1301.82</v>
      </c>
      <c r="T36" s="15">
        <v>532.41</v>
      </c>
      <c r="U36" s="36">
        <v>75.63</v>
      </c>
      <c r="V36" s="36">
        <f t="shared" si="7"/>
        <v>13.032385811930009</v>
      </c>
      <c r="W36" s="36">
        <f t="shared" si="8"/>
        <v>0.16965820497686723</v>
      </c>
      <c r="X36" s="14">
        <f t="shared" si="23"/>
        <v>16.965820497686721</v>
      </c>
      <c r="Y36" s="37"/>
      <c r="Z36" s="37"/>
      <c r="AA36" s="37"/>
      <c r="AB36" s="37" t="str">
        <f t="shared" si="10"/>
        <v/>
      </c>
      <c r="AC36" s="37" t="str">
        <f t="shared" si="11"/>
        <v/>
      </c>
      <c r="AD36" s="14">
        <f t="shared" si="24"/>
        <v>0</v>
      </c>
      <c r="AE36" s="15"/>
      <c r="AF36" s="57"/>
      <c r="AG36" s="57"/>
      <c r="AH36" s="57" t="str">
        <f t="shared" si="13"/>
        <v/>
      </c>
      <c r="AI36" s="57" t="str">
        <f t="shared" si="14"/>
        <v/>
      </c>
      <c r="AJ36" s="14">
        <f t="shared" si="15"/>
        <v>0</v>
      </c>
      <c r="AK36" s="14">
        <f t="shared" si="16"/>
        <v>13.559905130562408</v>
      </c>
      <c r="AL36" s="14">
        <f t="shared" si="17"/>
        <v>16.965820497686721</v>
      </c>
      <c r="AM36" s="124">
        <f t="shared" si="18"/>
        <v>55.578762334108795</v>
      </c>
      <c r="AN36" s="57">
        <f t="shared" si="19"/>
        <v>44.421237665891205</v>
      </c>
      <c r="AO36" s="57">
        <f t="shared" si="20"/>
        <v>0</v>
      </c>
    </row>
    <row r="37" spans="2:41" x14ac:dyDescent="0.3">
      <c r="B37" s="3" t="s">
        <v>10</v>
      </c>
      <c r="C37" s="6">
        <v>8</v>
      </c>
      <c r="D37" s="38">
        <f>22.95-E5</f>
        <v>20.509999999999998</v>
      </c>
      <c r="E37" s="38">
        <v>660.72</v>
      </c>
      <c r="F37" s="38">
        <v>122.2</v>
      </c>
      <c r="G37" s="8">
        <f t="shared" si="0"/>
        <v>17.599534841019675</v>
      </c>
      <c r="H37" s="3">
        <v>1</v>
      </c>
      <c r="I37" s="7">
        <f t="shared" si="1"/>
        <v>3.1802359457722549</v>
      </c>
      <c r="J37" s="7">
        <f t="shared" si="2"/>
        <v>0.58893258255041758</v>
      </c>
      <c r="K37" s="7">
        <f t="shared" si="3"/>
        <v>58.893258255041758</v>
      </c>
      <c r="L37" s="6"/>
      <c r="M37" s="38">
        <v>1241.3399999999999</v>
      </c>
      <c r="N37" s="7">
        <v>704.32</v>
      </c>
      <c r="O37" s="36">
        <v>133.22999999999999</v>
      </c>
      <c r="P37" s="36">
        <f t="shared" si="4"/>
        <v>18.081016725478378</v>
      </c>
      <c r="Q37" s="36">
        <f t="shared" si="5"/>
        <v>0.22444689302005327</v>
      </c>
      <c r="R37" s="14">
        <f t="shared" si="22"/>
        <v>22.444689302005326</v>
      </c>
      <c r="S37" s="38">
        <v>1011.24</v>
      </c>
      <c r="T37" s="38">
        <v>545.46</v>
      </c>
      <c r="U37" s="36">
        <v>87.91</v>
      </c>
      <c r="V37" s="36">
        <f t="shared" si="7"/>
        <v>14.99777067697109</v>
      </c>
      <c r="W37" s="36">
        <f t="shared" si="8"/>
        <v>0.15166345619380245</v>
      </c>
      <c r="X37" s="14">
        <f t="shared" si="23"/>
        <v>15.166345619380245</v>
      </c>
      <c r="Y37" s="31"/>
      <c r="Z37" s="31"/>
      <c r="AA37" s="31"/>
      <c r="AB37" s="31" t="str">
        <f t="shared" si="10"/>
        <v/>
      </c>
      <c r="AC37" s="31" t="str">
        <f t="shared" si="11"/>
        <v/>
      </c>
      <c r="AD37" s="14">
        <f t="shared" si="24"/>
        <v>0</v>
      </c>
      <c r="AE37" s="38"/>
      <c r="AF37" s="40"/>
      <c r="AG37" s="40"/>
      <c r="AH37" s="40" t="str">
        <f t="shared" si="13"/>
        <v/>
      </c>
      <c r="AI37" s="40" t="str">
        <f t="shared" si="14"/>
        <v/>
      </c>
      <c r="AJ37" s="14">
        <f t="shared" si="15"/>
        <v>0</v>
      </c>
      <c r="AK37" s="14">
        <f t="shared" si="16"/>
        <v>22.444689302005326</v>
      </c>
      <c r="AL37" s="14">
        <f t="shared" si="17"/>
        <v>15.166345619380245</v>
      </c>
      <c r="AM37" s="124">
        <f t="shared" si="18"/>
        <v>40.324191161133633</v>
      </c>
      <c r="AN37" s="57">
        <f t="shared" si="19"/>
        <v>59.675808838866367</v>
      </c>
      <c r="AO37" s="57">
        <f t="shared" si="20"/>
        <v>0</v>
      </c>
    </row>
    <row r="38" spans="2:41" x14ac:dyDescent="0.3">
      <c r="B38" s="16" t="s">
        <v>10</v>
      </c>
      <c r="C38" s="17">
        <v>9</v>
      </c>
      <c r="D38" s="41">
        <f>12.4-E5</f>
        <v>9.9600000000000009</v>
      </c>
      <c r="E38" s="41">
        <v>432</v>
      </c>
      <c r="F38" s="41">
        <v>104.63</v>
      </c>
      <c r="G38" s="19">
        <f t="shared" si="0"/>
        <v>22.939127159738241</v>
      </c>
      <c r="H38" s="16">
        <v>1</v>
      </c>
      <c r="I38" s="18">
        <f t="shared" si="1"/>
        <v>1.725022362412316</v>
      </c>
      <c r="J38" s="18">
        <f t="shared" si="2"/>
        <v>0.31944858563191036</v>
      </c>
      <c r="K38" s="18">
        <f t="shared" si="3"/>
        <v>31.944858563191037</v>
      </c>
      <c r="L38" s="17"/>
      <c r="M38" s="38">
        <v>1118.8399999999999</v>
      </c>
      <c r="N38" s="38">
        <v>334.36</v>
      </c>
      <c r="O38" s="15">
        <v>73.83</v>
      </c>
      <c r="P38" s="15">
        <f t="shared" ref="P38" si="31">IF(M38&gt;0,((O38-$N$5)/(N38-$N$5))*100,"")</f>
        <v>20.371049575157407</v>
      </c>
      <c r="Q38" s="15">
        <f t="shared" ref="Q38" si="32">IF(M38&gt;0,((P38/100)*M38)/$N$7/1000,"")</f>
        <v>0.22791945106669112</v>
      </c>
      <c r="R38" s="14">
        <f t="shared" si="22"/>
        <v>22.791945106669115</v>
      </c>
      <c r="S38" s="33"/>
      <c r="T38" s="33"/>
      <c r="U38" s="33"/>
      <c r="V38" s="33" t="str">
        <f t="shared" si="7"/>
        <v/>
      </c>
      <c r="W38" s="33" t="str">
        <f t="shared" si="8"/>
        <v/>
      </c>
      <c r="X38" s="14">
        <f t="shared" si="23"/>
        <v>0</v>
      </c>
      <c r="Y38" s="33"/>
      <c r="Z38" s="33"/>
      <c r="AA38" s="33"/>
      <c r="AB38" s="33" t="str">
        <f t="shared" si="10"/>
        <v/>
      </c>
      <c r="AC38" s="33" t="str">
        <f t="shared" si="11"/>
        <v/>
      </c>
      <c r="AD38" s="14">
        <f t="shared" si="24"/>
        <v>0</v>
      </c>
      <c r="AE38" s="41"/>
      <c r="AF38" s="42"/>
      <c r="AG38" s="42"/>
      <c r="AH38" s="42" t="str">
        <f t="shared" si="13"/>
        <v/>
      </c>
      <c r="AI38" s="42" t="str">
        <f t="shared" si="14"/>
        <v/>
      </c>
      <c r="AJ38" s="14">
        <f t="shared" si="15"/>
        <v>0</v>
      </c>
      <c r="AK38" s="14">
        <f t="shared" si="16"/>
        <v>22.791945106669115</v>
      </c>
      <c r="AL38" s="14"/>
      <c r="AM38" s="124" t="str">
        <f t="shared" si="18"/>
        <v/>
      </c>
      <c r="AN38" s="57">
        <f t="shared" si="19"/>
        <v>100</v>
      </c>
      <c r="AO38" s="57">
        <f t="shared" si="20"/>
        <v>0</v>
      </c>
    </row>
    <row r="39" spans="2:41" x14ac:dyDescent="0.3">
      <c r="B39" s="3" t="s">
        <v>11</v>
      </c>
      <c r="C39" s="6">
        <v>1</v>
      </c>
      <c r="D39" s="38">
        <f>34.05-E5</f>
        <v>31.609999999999996</v>
      </c>
      <c r="E39" s="38">
        <v>760.89</v>
      </c>
      <c r="F39" s="38">
        <v>99.42</v>
      </c>
      <c r="G39" s="8">
        <f t="shared" si="0"/>
        <v>12.238128723248995</v>
      </c>
      <c r="H39" s="3">
        <v>1</v>
      </c>
      <c r="I39" s="7">
        <f t="shared" si="1"/>
        <v>3.569862148571731</v>
      </c>
      <c r="J39" s="7">
        <f t="shared" si="2"/>
        <v>0.66108558306883902</v>
      </c>
      <c r="K39" s="7">
        <f t="shared" si="3"/>
        <v>66.108558306883907</v>
      </c>
      <c r="L39" s="6"/>
      <c r="M39" s="31"/>
      <c r="N39" s="31"/>
      <c r="O39" s="37"/>
      <c r="P39" s="37" t="str">
        <f t="shared" si="4"/>
        <v/>
      </c>
      <c r="Q39" s="37" t="str">
        <f t="shared" si="5"/>
        <v/>
      </c>
      <c r="R39" s="14">
        <f t="shared" si="22"/>
        <v>0</v>
      </c>
      <c r="S39" s="179">
        <v>2317.04</v>
      </c>
      <c r="T39" s="38">
        <v>375.47</v>
      </c>
      <c r="U39" s="36">
        <v>51.38</v>
      </c>
      <c r="V39" s="36">
        <f t="shared" si="7"/>
        <v>12.00141193081539</v>
      </c>
      <c r="W39" s="36">
        <f t="shared" si="8"/>
        <v>0.27807751500176492</v>
      </c>
      <c r="X39" s="14">
        <f t="shared" si="23"/>
        <v>27.80775150017649</v>
      </c>
      <c r="Y39" s="31"/>
      <c r="Z39" s="31"/>
      <c r="AA39" s="31"/>
      <c r="AB39" s="31" t="str">
        <f t="shared" si="10"/>
        <v/>
      </c>
      <c r="AC39" s="31" t="str">
        <f t="shared" si="11"/>
        <v/>
      </c>
      <c r="AD39" s="14">
        <f t="shared" si="24"/>
        <v>0</v>
      </c>
      <c r="AE39" s="38"/>
      <c r="AF39" s="40"/>
      <c r="AG39" s="40"/>
      <c r="AH39" s="40" t="str">
        <f t="shared" si="13"/>
        <v/>
      </c>
      <c r="AI39" s="40" t="str">
        <f t="shared" si="14"/>
        <v/>
      </c>
      <c r="AJ39" s="14">
        <f t="shared" si="15"/>
        <v>0</v>
      </c>
      <c r="AK39" s="14"/>
      <c r="AL39" s="14">
        <f t="shared" si="17"/>
        <v>27.80775150017649</v>
      </c>
      <c r="AM39" s="124">
        <f t="shared" si="18"/>
        <v>100</v>
      </c>
      <c r="AN39" s="57" t="str">
        <f t="shared" si="19"/>
        <v/>
      </c>
      <c r="AO39" s="57">
        <f t="shared" si="20"/>
        <v>0</v>
      </c>
    </row>
    <row r="40" spans="2:41" x14ac:dyDescent="0.3">
      <c r="B40" s="3" t="s">
        <v>11</v>
      </c>
      <c r="C40" s="6">
        <v>2</v>
      </c>
      <c r="D40" s="38">
        <f>25.95-E5</f>
        <v>23.509999999999998</v>
      </c>
      <c r="E40" s="38">
        <v>567.24</v>
      </c>
      <c r="F40" s="38">
        <v>114.48</v>
      </c>
      <c r="G40" s="8">
        <f t="shared" si="0"/>
        <v>19.158661571974431</v>
      </c>
      <c r="H40" s="3">
        <v>1</v>
      </c>
      <c r="I40" s="7">
        <f t="shared" si="1"/>
        <v>4.0367299932150118</v>
      </c>
      <c r="J40" s="7">
        <f t="shared" si="2"/>
        <v>0.74754259133611323</v>
      </c>
      <c r="K40" s="7">
        <f t="shared" si="3"/>
        <v>74.754259133611328</v>
      </c>
      <c r="L40" s="6"/>
      <c r="M40" s="31"/>
      <c r="N40" s="31"/>
      <c r="O40" s="37"/>
      <c r="P40" s="37" t="str">
        <f t="shared" si="4"/>
        <v/>
      </c>
      <c r="Q40" s="37" t="str">
        <f t="shared" si="5"/>
        <v/>
      </c>
      <c r="R40" s="14">
        <f t="shared" si="22"/>
        <v>0</v>
      </c>
      <c r="S40" s="179">
        <v>975.61</v>
      </c>
      <c r="T40" s="38">
        <v>567.9</v>
      </c>
      <c r="U40" s="36">
        <v>83.63</v>
      </c>
      <c r="V40" s="36">
        <f t="shared" si="7"/>
        <v>13.634255956627191</v>
      </c>
      <c r="W40" s="36">
        <f t="shared" si="8"/>
        <v>0.13301716453845056</v>
      </c>
      <c r="X40" s="14">
        <f t="shared" si="23"/>
        <v>13.301716453845057</v>
      </c>
      <c r="Y40" s="179">
        <v>624.61</v>
      </c>
      <c r="Z40" s="7">
        <v>409.54</v>
      </c>
      <c r="AA40" s="7">
        <v>132.87</v>
      </c>
      <c r="AB40" s="7">
        <f t="shared" si="10"/>
        <v>31.238194651555816</v>
      </c>
      <c r="AC40" s="7">
        <f t="shared" si="11"/>
        <v>0.19511688761308277</v>
      </c>
      <c r="AD40" s="14">
        <f t="shared" si="24"/>
        <v>19.511688761308275</v>
      </c>
      <c r="AE40" s="38"/>
      <c r="AF40" s="40"/>
      <c r="AG40" s="40"/>
      <c r="AH40" s="40" t="str">
        <f t="shared" si="13"/>
        <v/>
      </c>
      <c r="AI40" s="40" t="str">
        <f t="shared" si="14"/>
        <v/>
      </c>
      <c r="AJ40" s="14">
        <f t="shared" si="15"/>
        <v>0</v>
      </c>
      <c r="AK40" s="14">
        <f t="shared" si="16"/>
        <v>19.511688761308275</v>
      </c>
      <c r="AL40" s="14">
        <f t="shared" si="17"/>
        <v>13.301716453845057</v>
      </c>
      <c r="AM40" s="124">
        <f t="shared" si="18"/>
        <v>40.537446103589041</v>
      </c>
      <c r="AN40" s="57">
        <f t="shared" si="19"/>
        <v>59.462553896410967</v>
      </c>
      <c r="AO40" s="57">
        <f t="shared" si="20"/>
        <v>0</v>
      </c>
    </row>
    <row r="41" spans="2:41" x14ac:dyDescent="0.3">
      <c r="B41" s="3" t="s">
        <v>11</v>
      </c>
      <c r="C41" s="6">
        <v>3</v>
      </c>
      <c r="D41" s="38">
        <f>17.65-E5</f>
        <v>15.209999999999999</v>
      </c>
      <c r="E41" s="38">
        <v>497.3</v>
      </c>
      <c r="F41" s="38">
        <v>109.24</v>
      </c>
      <c r="G41" s="8">
        <f t="shared" si="0"/>
        <v>20.823471802823796</v>
      </c>
      <c r="H41" s="3">
        <v>1</v>
      </c>
      <c r="I41" s="7">
        <f t="shared" si="1"/>
        <v>2.6591573492205987</v>
      </c>
      <c r="J41" s="7">
        <f t="shared" si="2"/>
        <v>0.4924365461519627</v>
      </c>
      <c r="K41" s="7">
        <f t="shared" si="3"/>
        <v>49.243654615196277</v>
      </c>
      <c r="L41" s="6"/>
      <c r="M41" s="31"/>
      <c r="N41" s="31"/>
      <c r="O41" s="37"/>
      <c r="P41" s="37" t="str">
        <f t="shared" si="4"/>
        <v/>
      </c>
      <c r="Q41" s="37" t="str">
        <f t="shared" si="5"/>
        <v/>
      </c>
      <c r="R41" s="14">
        <f t="shared" si="22"/>
        <v>0</v>
      </c>
      <c r="S41" s="38">
        <v>204.12</v>
      </c>
      <c r="T41" s="38">
        <f>S41</f>
        <v>204.12</v>
      </c>
      <c r="U41" s="36">
        <v>41.52</v>
      </c>
      <c r="V41" s="36">
        <f t="shared" si="7"/>
        <v>17.436782776480147</v>
      </c>
      <c r="W41" s="36">
        <f t="shared" si="8"/>
        <v>3.5591961003351283E-2</v>
      </c>
      <c r="X41" s="14">
        <f t="shared" si="23"/>
        <v>3.5591961003351282</v>
      </c>
      <c r="Y41" s="7">
        <v>499.59</v>
      </c>
      <c r="Z41" s="7">
        <f>Y41</f>
        <v>499.59</v>
      </c>
      <c r="AA41" s="7">
        <v>200.22</v>
      </c>
      <c r="AB41" s="7">
        <f t="shared" si="10"/>
        <v>39.203103105135966</v>
      </c>
      <c r="AC41" s="7">
        <f t="shared" si="11"/>
        <v>0.19585478280294877</v>
      </c>
      <c r="AD41" s="14">
        <f t="shared" si="24"/>
        <v>19.585478280294875</v>
      </c>
      <c r="AE41" s="38"/>
      <c r="AF41" s="40"/>
      <c r="AG41" s="40"/>
      <c r="AH41" s="40" t="str">
        <f t="shared" si="13"/>
        <v/>
      </c>
      <c r="AI41" s="40" t="str">
        <f t="shared" si="14"/>
        <v/>
      </c>
      <c r="AJ41" s="14">
        <f t="shared" si="15"/>
        <v>0</v>
      </c>
      <c r="AK41" s="14">
        <f t="shared" si="16"/>
        <v>19.585478280294875</v>
      </c>
      <c r="AL41" s="14">
        <f t="shared" si="17"/>
        <v>3.5591961003351282</v>
      </c>
      <c r="AM41" s="124">
        <f t="shared" si="18"/>
        <v>15.378034885268693</v>
      </c>
      <c r="AN41" s="57">
        <f t="shared" si="19"/>
        <v>84.621965114731296</v>
      </c>
      <c r="AO41" s="57">
        <f t="shared" si="20"/>
        <v>0</v>
      </c>
    </row>
    <row r="42" spans="2:41" x14ac:dyDescent="0.3">
      <c r="B42" s="3" t="s">
        <v>11</v>
      </c>
      <c r="C42" s="6">
        <v>4</v>
      </c>
      <c r="D42" s="38">
        <f>13.2-E5</f>
        <v>10.76</v>
      </c>
      <c r="E42" s="38">
        <v>499.41</v>
      </c>
      <c r="F42" s="38">
        <v>142.86000000000001</v>
      </c>
      <c r="G42" s="8">
        <f t="shared" si="0"/>
        <v>27.564349998984216</v>
      </c>
      <c r="H42" s="3">
        <v>1</v>
      </c>
      <c r="I42" s="7">
        <f t="shared" si="1"/>
        <v>2.2933539199154871</v>
      </c>
      <c r="J42" s="7">
        <f t="shared" si="2"/>
        <v>0.42469517035471982</v>
      </c>
      <c r="K42" s="7">
        <f t="shared" si="3"/>
        <v>42.469517035471981</v>
      </c>
      <c r="L42" s="6"/>
      <c r="M42" s="31"/>
      <c r="N42" s="31"/>
      <c r="O42" s="37"/>
      <c r="P42" s="37" t="str">
        <f t="shared" si="4"/>
        <v/>
      </c>
      <c r="Q42" s="37" t="str">
        <f t="shared" si="5"/>
        <v/>
      </c>
      <c r="R42" s="14">
        <f t="shared" si="22"/>
        <v>0</v>
      </c>
      <c r="S42" s="38">
        <v>226.09</v>
      </c>
      <c r="T42" s="38">
        <f>S42</f>
        <v>226.09</v>
      </c>
      <c r="U42" s="36">
        <v>41.02</v>
      </c>
      <c r="V42" s="36">
        <f t="shared" si="7"/>
        <v>15.45840756475264</v>
      </c>
      <c r="W42" s="36">
        <f t="shared" si="8"/>
        <v>3.4949913663149243E-2</v>
      </c>
      <c r="X42" s="14">
        <f t="shared" si="23"/>
        <v>3.4949913663149244</v>
      </c>
      <c r="Y42" s="7">
        <f>Z42</f>
        <v>452.66</v>
      </c>
      <c r="Z42" s="7">
        <v>452.66</v>
      </c>
      <c r="AA42" s="7">
        <v>168.99</v>
      </c>
      <c r="AB42" s="7">
        <f t="shared" si="10"/>
        <v>36.322618299362489</v>
      </c>
      <c r="AC42" s="7">
        <f t="shared" si="11"/>
        <v>0.16441796399389427</v>
      </c>
      <c r="AD42" s="14">
        <f t="shared" si="24"/>
        <v>16.441796399389428</v>
      </c>
      <c r="AE42" s="38"/>
      <c r="AF42" s="40"/>
      <c r="AG42" s="40"/>
      <c r="AH42" s="40" t="str">
        <f t="shared" si="13"/>
        <v/>
      </c>
      <c r="AI42" s="40" t="str">
        <f t="shared" si="14"/>
        <v/>
      </c>
      <c r="AJ42" s="14">
        <f t="shared" si="15"/>
        <v>0</v>
      </c>
      <c r="AK42" s="14">
        <f t="shared" si="16"/>
        <v>16.441796399389428</v>
      </c>
      <c r="AL42" s="14">
        <f t="shared" si="17"/>
        <v>3.4949913663149244</v>
      </c>
      <c r="AM42" s="124">
        <f t="shared" si="18"/>
        <v>17.530363503829218</v>
      </c>
      <c r="AN42" s="57">
        <f t="shared" si="19"/>
        <v>82.469636496170779</v>
      </c>
      <c r="AO42" s="57">
        <f t="shared" si="20"/>
        <v>0</v>
      </c>
    </row>
    <row r="43" spans="2:41" x14ac:dyDescent="0.3">
      <c r="B43" s="3" t="s">
        <v>11</v>
      </c>
      <c r="C43" s="6">
        <v>5</v>
      </c>
      <c r="D43" s="38">
        <f>10.15-E5</f>
        <v>7.7100000000000009</v>
      </c>
      <c r="E43" s="38">
        <v>482.78</v>
      </c>
      <c r="F43" s="38">
        <v>153.53</v>
      </c>
      <c r="G43" s="8">
        <f t="shared" si="0"/>
        <v>30.771656854499579</v>
      </c>
      <c r="H43" s="3">
        <v>1</v>
      </c>
      <c r="I43" s="7">
        <f t="shared" si="1"/>
        <v>1.6216663162321283</v>
      </c>
      <c r="J43" s="7">
        <f t="shared" si="2"/>
        <v>0.30030857708002373</v>
      </c>
      <c r="K43" s="7">
        <f t="shared" si="3"/>
        <v>30.030857708002372</v>
      </c>
      <c r="L43" s="6"/>
      <c r="M43" s="31"/>
      <c r="N43" s="31"/>
      <c r="O43" s="37"/>
      <c r="P43" s="37" t="str">
        <f t="shared" si="4"/>
        <v/>
      </c>
      <c r="Q43" s="37" t="str">
        <f t="shared" si="5"/>
        <v/>
      </c>
      <c r="R43" s="14">
        <f t="shared" si="22"/>
        <v>0</v>
      </c>
      <c r="S43" s="86"/>
      <c r="T43" s="86"/>
      <c r="U43" s="86"/>
      <c r="V43" s="87" t="str">
        <f t="shared" si="7"/>
        <v/>
      </c>
      <c r="W43" s="87" t="str">
        <f t="shared" si="8"/>
        <v/>
      </c>
      <c r="X43" s="14">
        <f t="shared" si="23"/>
        <v>0</v>
      </c>
      <c r="Y43" s="7">
        <v>459.35</v>
      </c>
      <c r="Z43" s="7">
        <f>Y43</f>
        <v>459.35</v>
      </c>
      <c r="AA43" s="7">
        <v>187.39</v>
      </c>
      <c r="AB43" s="7">
        <f t="shared" si="10"/>
        <v>39.854479509918825</v>
      </c>
      <c r="AC43" s="7">
        <f t="shared" si="11"/>
        <v>0.18307155162881214</v>
      </c>
      <c r="AD43" s="14">
        <f t="shared" si="24"/>
        <v>18.307155162881212</v>
      </c>
      <c r="AE43" s="38"/>
      <c r="AF43" s="40"/>
      <c r="AG43" s="40"/>
      <c r="AH43" s="40" t="str">
        <f t="shared" si="13"/>
        <v/>
      </c>
      <c r="AI43" s="40" t="str">
        <f t="shared" si="14"/>
        <v/>
      </c>
      <c r="AJ43" s="14">
        <f t="shared" ref="AJ43" si="33">IF(AF43&gt;0,AI43*10000/100,0)</f>
        <v>0</v>
      </c>
      <c r="AK43" s="14">
        <f t="shared" ref="AK43" si="34">R43+AD43</f>
        <v>18.307155162881212</v>
      </c>
      <c r="AL43" s="14">
        <f t="shared" ref="AL43" si="35">X43</f>
        <v>0</v>
      </c>
      <c r="AM43" s="124"/>
      <c r="AN43" s="57"/>
      <c r="AO43" s="57"/>
    </row>
    <row r="44" spans="2:41" x14ac:dyDescent="0.3">
      <c r="B44" s="3" t="s">
        <v>11</v>
      </c>
      <c r="C44" s="6">
        <v>6</v>
      </c>
      <c r="D44" s="38">
        <f>31.05-E5</f>
        <v>28.61</v>
      </c>
      <c r="E44" s="38">
        <v>702.38</v>
      </c>
      <c r="F44" s="38">
        <v>93.93</v>
      </c>
      <c r="G44" s="8">
        <f t="shared" si="0"/>
        <v>12.478423475258918</v>
      </c>
      <c r="H44" s="3">
        <v>1</v>
      </c>
      <c r="I44" s="7">
        <f t="shared" si="1"/>
        <v>3.2656034234752584</v>
      </c>
      <c r="J44" s="7">
        <f t="shared" si="2"/>
        <v>0.60474137471764045</v>
      </c>
      <c r="K44" s="7">
        <f t="shared" si="3"/>
        <v>60.474137471764045</v>
      </c>
      <c r="L44" s="6"/>
      <c r="M44" s="7">
        <v>555.89</v>
      </c>
      <c r="N44" s="7">
        <f>M44</f>
        <v>555.89</v>
      </c>
      <c r="O44" s="36">
        <v>81.8</v>
      </c>
      <c r="P44" s="36">
        <f t="shared" si="4"/>
        <v>13.599168959924185</v>
      </c>
      <c r="Q44" s="36">
        <f t="shared" si="5"/>
        <v>7.559642033132255E-2</v>
      </c>
      <c r="R44" s="14">
        <f t="shared" si="22"/>
        <v>7.5596420331322554</v>
      </c>
      <c r="S44" s="38">
        <v>1879.17</v>
      </c>
      <c r="T44" s="38">
        <v>494.44</v>
      </c>
      <c r="U44" s="36">
        <v>72.41</v>
      </c>
      <c r="V44" s="36">
        <f t="shared" si="7"/>
        <v>13.387103394491644</v>
      </c>
      <c r="W44" s="36">
        <f t="shared" si="8"/>
        <v>0.25156643085826869</v>
      </c>
      <c r="X44" s="14">
        <f t="shared" si="23"/>
        <v>25.156643085826868</v>
      </c>
      <c r="Y44" s="31"/>
      <c r="Z44" s="31"/>
      <c r="AA44" s="31"/>
      <c r="AB44" s="31" t="str">
        <f t="shared" si="10"/>
        <v/>
      </c>
      <c r="AC44" s="31" t="str">
        <f t="shared" si="11"/>
        <v/>
      </c>
      <c r="AD44" s="14">
        <f t="shared" si="24"/>
        <v>0</v>
      </c>
      <c r="AE44" s="38"/>
      <c r="AF44" s="40"/>
      <c r="AG44" s="40"/>
      <c r="AH44" s="40" t="str">
        <f t="shared" si="13"/>
        <v/>
      </c>
      <c r="AI44" s="40" t="str">
        <f t="shared" si="14"/>
        <v/>
      </c>
      <c r="AJ44" s="14">
        <f t="shared" si="15"/>
        <v>0</v>
      </c>
      <c r="AK44" s="14">
        <f t="shared" si="16"/>
        <v>7.5596420331322554</v>
      </c>
      <c r="AL44" s="14">
        <f t="shared" si="17"/>
        <v>25.156643085826868</v>
      </c>
      <c r="AM44" s="124">
        <f t="shared" si="18"/>
        <v>76.893336130172571</v>
      </c>
      <c r="AN44" s="57">
        <f t="shared" si="19"/>
        <v>23.106663869827429</v>
      </c>
      <c r="AO44" s="57">
        <f t="shared" si="20"/>
        <v>0</v>
      </c>
    </row>
    <row r="45" spans="2:41" x14ac:dyDescent="0.3">
      <c r="B45" s="3" t="s">
        <v>11</v>
      </c>
      <c r="C45" s="6">
        <v>7</v>
      </c>
      <c r="D45" s="38">
        <f>36.3-E5</f>
        <v>33.86</v>
      </c>
      <c r="E45" s="38">
        <v>673.71</v>
      </c>
      <c r="F45" s="38">
        <v>104.03</v>
      </c>
      <c r="G45" s="8">
        <f t="shared" si="0"/>
        <v>14.530478748143366</v>
      </c>
      <c r="H45" s="3">
        <v>1</v>
      </c>
      <c r="I45" s="7">
        <f t="shared" si="1"/>
        <v>4.5654764226666451</v>
      </c>
      <c r="J45" s="7">
        <f t="shared" si="2"/>
        <v>0.84545859679011937</v>
      </c>
      <c r="K45" s="7">
        <f t="shared" si="3"/>
        <v>84.54585967901194</v>
      </c>
      <c r="L45" s="6"/>
      <c r="M45" s="7">
        <v>1456.26</v>
      </c>
      <c r="N45" s="7">
        <v>561.46</v>
      </c>
      <c r="O45" s="36">
        <v>108.976</v>
      </c>
      <c r="P45" s="36">
        <f t="shared" si="4"/>
        <v>18.365447066464601</v>
      </c>
      <c r="Q45" s="36">
        <f t="shared" si="5"/>
        <v>0.26744865945009744</v>
      </c>
      <c r="R45" s="14">
        <f t="shared" si="22"/>
        <v>26.744865945009742</v>
      </c>
      <c r="S45" s="7">
        <v>1522.4</v>
      </c>
      <c r="T45" s="7">
        <v>460.22</v>
      </c>
      <c r="U45" s="36">
        <v>73.760000000000005</v>
      </c>
      <c r="V45" s="36">
        <f t="shared" si="7"/>
        <v>14.696274059685683</v>
      </c>
      <c r="W45" s="36">
        <f t="shared" si="8"/>
        <v>0.22373607628465483</v>
      </c>
      <c r="X45" s="14">
        <f t="shared" si="23"/>
        <v>22.373607628465482</v>
      </c>
      <c r="Y45" s="31"/>
      <c r="Z45" s="31"/>
      <c r="AA45" s="31"/>
      <c r="AB45" s="31" t="str">
        <f t="shared" si="10"/>
        <v/>
      </c>
      <c r="AC45" s="31" t="str">
        <f t="shared" si="11"/>
        <v/>
      </c>
      <c r="AD45" s="14">
        <f t="shared" si="24"/>
        <v>0</v>
      </c>
      <c r="AE45" s="38"/>
      <c r="AF45" s="40"/>
      <c r="AG45" s="40"/>
      <c r="AH45" s="40" t="str">
        <f t="shared" si="13"/>
        <v/>
      </c>
      <c r="AI45" s="40" t="str">
        <f t="shared" si="14"/>
        <v/>
      </c>
      <c r="AJ45" s="14">
        <f t="shared" si="15"/>
        <v>0</v>
      </c>
      <c r="AK45" s="14">
        <f t="shared" si="16"/>
        <v>26.744865945009742</v>
      </c>
      <c r="AL45" s="14">
        <f t="shared" si="17"/>
        <v>22.373607628465482</v>
      </c>
      <c r="AM45" s="124">
        <f t="shared" si="18"/>
        <v>45.550290961296476</v>
      </c>
      <c r="AN45" s="57">
        <f t="shared" si="19"/>
        <v>54.449709038703524</v>
      </c>
      <c r="AO45" s="57">
        <f t="shared" si="20"/>
        <v>0</v>
      </c>
    </row>
    <row r="46" spans="2:41" x14ac:dyDescent="0.3">
      <c r="B46" s="3" t="s">
        <v>11</v>
      </c>
      <c r="C46" s="6">
        <v>8</v>
      </c>
      <c r="D46" s="38">
        <f>23.65-E5</f>
        <v>21.209999999999997</v>
      </c>
      <c r="E46" s="38">
        <v>682.34</v>
      </c>
      <c r="F46" s="38">
        <v>119.38</v>
      </c>
      <c r="G46" s="8">
        <f t="shared" si="0"/>
        <v>16.618283073641798</v>
      </c>
      <c r="H46" s="3">
        <v>1</v>
      </c>
      <c r="I46" s="7">
        <f t="shared" si="1"/>
        <v>3.1192517329225651</v>
      </c>
      <c r="J46" s="7">
        <f t="shared" si="2"/>
        <v>0.57763920980047501</v>
      </c>
      <c r="K46" s="7">
        <f t="shared" si="3"/>
        <v>57.763920980047494</v>
      </c>
      <c r="L46" s="6"/>
      <c r="M46" s="7">
        <v>1397.45</v>
      </c>
      <c r="N46" s="7">
        <v>530.26</v>
      </c>
      <c r="O46" s="36">
        <v>99.96</v>
      </c>
      <c r="P46" s="36">
        <f t="shared" si="4"/>
        <v>17.737248604419971</v>
      </c>
      <c r="Q46" s="36">
        <f t="shared" si="5"/>
        <v>0.24786918062246691</v>
      </c>
      <c r="R46" s="14">
        <f t="shared" si="22"/>
        <v>24.786918062246691</v>
      </c>
      <c r="S46" s="38">
        <v>904.16</v>
      </c>
      <c r="T46" s="38">
        <v>605.49</v>
      </c>
      <c r="U46" s="36">
        <v>107.91</v>
      </c>
      <c r="V46" s="36">
        <f t="shared" si="7"/>
        <v>16.835754040547538</v>
      </c>
      <c r="W46" s="36">
        <f t="shared" si="8"/>
        <v>0.15222215373301462</v>
      </c>
      <c r="X46" s="14">
        <f t="shared" si="23"/>
        <v>15.222215373301463</v>
      </c>
      <c r="Y46" s="31"/>
      <c r="Z46" s="31"/>
      <c r="AA46" s="31"/>
      <c r="AB46" s="31" t="str">
        <f t="shared" si="10"/>
        <v/>
      </c>
      <c r="AC46" s="31" t="str">
        <f t="shared" si="11"/>
        <v/>
      </c>
      <c r="AD46" s="14">
        <f t="shared" si="24"/>
        <v>0</v>
      </c>
      <c r="AE46" s="38"/>
      <c r="AF46" s="40"/>
      <c r="AG46" s="40"/>
      <c r="AH46" s="40" t="str">
        <f t="shared" si="13"/>
        <v/>
      </c>
      <c r="AI46" s="40" t="str">
        <f t="shared" si="14"/>
        <v/>
      </c>
      <c r="AJ46" s="14">
        <f t="shared" si="15"/>
        <v>0</v>
      </c>
      <c r="AK46" s="14">
        <f t="shared" si="16"/>
        <v>24.786918062246691</v>
      </c>
      <c r="AL46" s="14">
        <f t="shared" si="17"/>
        <v>15.222215373301463</v>
      </c>
      <c r="AM46" s="124">
        <f t="shared" si="18"/>
        <v>38.046850971724652</v>
      </c>
      <c r="AN46" s="57">
        <f t="shared" si="19"/>
        <v>61.953149028275362</v>
      </c>
      <c r="AO46" s="57">
        <f t="shared" si="20"/>
        <v>0</v>
      </c>
    </row>
    <row r="47" spans="2:41" x14ac:dyDescent="0.3">
      <c r="B47" s="3" t="s">
        <v>11</v>
      </c>
      <c r="C47" s="6">
        <v>9</v>
      </c>
      <c r="D47" s="38">
        <f>17.95-E5</f>
        <v>15.51</v>
      </c>
      <c r="E47" s="38">
        <v>571.20000000000005</v>
      </c>
      <c r="F47" s="38">
        <v>132.82</v>
      </c>
      <c r="G47" s="8">
        <f t="shared" si="0"/>
        <v>22.275805822488557</v>
      </c>
      <c r="H47" s="3">
        <v>1</v>
      </c>
      <c r="I47" s="7">
        <f t="shared" si="1"/>
        <v>2.9114478209992543</v>
      </c>
      <c r="J47" s="7">
        <f t="shared" si="2"/>
        <v>0.53915700388875076</v>
      </c>
      <c r="K47" s="7">
        <f t="shared" si="3"/>
        <v>53.915700388875074</v>
      </c>
      <c r="L47" s="6"/>
      <c r="M47" s="179">
        <v>1329.94</v>
      </c>
      <c r="N47" s="7">
        <v>581.89</v>
      </c>
      <c r="O47" s="36">
        <v>102.73</v>
      </c>
      <c r="P47" s="36">
        <f t="shared" si="4"/>
        <v>16.625776478571801</v>
      </c>
      <c r="Q47" s="36">
        <f t="shared" si="5"/>
        <v>0.22111285169911785</v>
      </c>
      <c r="R47" s="14">
        <f t="shared" si="22"/>
        <v>22.111285169911785</v>
      </c>
      <c r="S47" s="31"/>
      <c r="T47" s="31"/>
      <c r="U47" s="37"/>
      <c r="V47" s="37" t="str">
        <f t="shared" si="7"/>
        <v/>
      </c>
      <c r="W47" s="37" t="str">
        <f t="shared" si="8"/>
        <v/>
      </c>
      <c r="X47" s="14">
        <f t="shared" si="23"/>
        <v>0</v>
      </c>
      <c r="Y47" s="31"/>
      <c r="Z47" s="31"/>
      <c r="AA47" s="31"/>
      <c r="AB47" s="31" t="str">
        <f t="shared" si="10"/>
        <v/>
      </c>
      <c r="AC47" s="31" t="str">
        <f t="shared" si="11"/>
        <v/>
      </c>
      <c r="AD47" s="14">
        <f t="shared" si="24"/>
        <v>0</v>
      </c>
      <c r="AE47" s="38"/>
      <c r="AF47" s="40"/>
      <c r="AG47" s="40"/>
      <c r="AH47" s="40" t="str">
        <f t="shared" si="13"/>
        <v/>
      </c>
      <c r="AI47" s="40" t="str">
        <f t="shared" si="14"/>
        <v/>
      </c>
      <c r="AJ47" s="14">
        <f t="shared" si="15"/>
        <v>0</v>
      </c>
      <c r="AK47" s="14">
        <f t="shared" si="16"/>
        <v>22.111285169911785</v>
      </c>
      <c r="AL47" s="14"/>
      <c r="AM47" s="124" t="str">
        <f t="shared" si="18"/>
        <v/>
      </c>
      <c r="AN47" s="57">
        <f t="shared" si="19"/>
        <v>100</v>
      </c>
      <c r="AO47" s="57">
        <f t="shared" si="20"/>
        <v>0</v>
      </c>
    </row>
    <row r="52" spans="4:30" x14ac:dyDescent="0.3">
      <c r="R52" s="3" t="s">
        <v>110</v>
      </c>
      <c r="U52" s="36">
        <v>107.42</v>
      </c>
    </row>
    <row r="53" spans="4:30" x14ac:dyDescent="0.3">
      <c r="D53" s="38">
        <v>36.799999999999997</v>
      </c>
      <c r="E53" s="38">
        <v>640.91999999999996</v>
      </c>
      <c r="F53" s="38">
        <v>84.59</v>
      </c>
    </row>
    <row r="55" spans="4:30" x14ac:dyDescent="0.3">
      <c r="V55" s="3" t="s">
        <v>108</v>
      </c>
      <c r="W55" s="179">
        <v>601.45000000000005</v>
      </c>
      <c r="X55" s="7">
        <v>448.7</v>
      </c>
    </row>
    <row r="57" spans="4:30" x14ac:dyDescent="0.3">
      <c r="L57" s="3" t="s">
        <v>109</v>
      </c>
      <c r="M57" s="179">
        <v>11.2</v>
      </c>
      <c r="N57" s="31"/>
      <c r="O57" s="37"/>
      <c r="P57" s="37">
        <f t="shared" ref="P57" si="36">IF(M57&gt;0,((O57-$N$5)/(N57-$N$5))*100,"")</f>
        <v>100</v>
      </c>
      <c r="Q57" s="37">
        <f t="shared" ref="Q57" si="37">IF(M57&gt;0,((P57/100)*M57)/$N$7/1000,"")</f>
        <v>1.12E-2</v>
      </c>
      <c r="R57" s="14">
        <f t="shared" ref="R57" si="38">IF(N57&gt;0,Q57*10000/100,0)</f>
        <v>0</v>
      </c>
      <c r="S57" s="38"/>
      <c r="T57" s="38"/>
      <c r="U57" s="36"/>
      <c r="V57" s="36" t="str">
        <f t="shared" ref="V57" si="39">IF(S57&gt;0,((U57-$N$5)/(T57-$N$5))*100,"")</f>
        <v/>
      </c>
      <c r="W57" s="36" t="str">
        <f t="shared" ref="W57" si="40">IF(S57&gt;0,((V57/100)*S57)/$N$7/1000,"")</f>
        <v/>
      </c>
      <c r="X57" s="14">
        <f t="shared" ref="X57" si="41">IF(T57&gt;0,W57*10000/100,0)</f>
        <v>0</v>
      </c>
      <c r="Y57" s="179">
        <v>553.25</v>
      </c>
      <c r="Z57" s="7"/>
      <c r="AA57" s="7"/>
      <c r="AB57" s="7">
        <f t="shared" ref="AB57" si="42">IF(Y57&gt;0,((AA57-$N$5)/(Z57-$N$5))*100,"")</f>
        <v>100</v>
      </c>
    </row>
    <row r="64" spans="4:30" x14ac:dyDescent="0.3">
      <c r="T64" s="38">
        <v>1382.01</v>
      </c>
      <c r="U64" s="38">
        <v>516.79</v>
      </c>
      <c r="V64" s="15">
        <v>83.59</v>
      </c>
      <c r="W64" s="15">
        <f t="shared" ref="W64" si="43">IF(T64&gt;0,((V64-$N$5)/(U64-$N$5))*100,"")</f>
        <v>14.993818802613765</v>
      </c>
      <c r="X64" s="15">
        <f t="shared" ref="X64" si="44">IF(T64&gt;0,((W64/100)*T64)/$N$7/1000,"")</f>
        <v>0.20721607523400248</v>
      </c>
      <c r="Y64" s="14">
        <f t="shared" ref="Y64" si="45">IF(U64&gt;0,X64*10000/100,0)</f>
        <v>20.721607523400248</v>
      </c>
      <c r="Z64" s="31">
        <v>379.19</v>
      </c>
      <c r="AA64" s="31">
        <f>Z64</f>
        <v>379.19</v>
      </c>
      <c r="AB64" s="31">
        <v>123.66</v>
      </c>
      <c r="AC64" s="31">
        <f t="shared" ref="AC64" si="46">IF(Z64&gt;0,((AB64-$N$5)/(AA64-$N$5))*100,"")</f>
        <v>31.310986263810108</v>
      </c>
      <c r="AD64" s="31">
        <f t="shared" ref="AD64" si="47">IF(Z64&gt;0,((AC64/100)*Z64)/$N$7/1000,"")</f>
        <v>0.11872812881374155</v>
      </c>
    </row>
  </sheetData>
  <autoFilter ref="B11:AK11" xr:uid="{00000000-0009-0000-0000-000000000000}">
    <sortState xmlns:xlrd2="http://schemas.microsoft.com/office/spreadsheetml/2017/richdata2" ref="B12:AJ47">
      <sortCondition ref="B11"/>
    </sortState>
  </autoFilter>
  <conditionalFormatting sqref="G12:G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P12:P37 P39:P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V12:W21 V31:W47 V23:W29">
    <cfRule type="colorScale" priority="36">
      <colorScale>
        <cfvo type="min"/>
        <cfvo type="max"/>
        <color rgb="FFFCFCFF"/>
        <color rgb="FF63BE7B"/>
      </colorScale>
    </cfRule>
  </conditionalFormatting>
  <conditionalFormatting sqref="AB12:AC21 AB23:AC47">
    <cfRule type="colorScale" priority="35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21 X23:X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13">
      <colorScale>
        <cfvo type="min"/>
        <cfvo type="max"/>
        <color rgb="FFFCFCFF"/>
        <color rgb="FF63BE7B"/>
      </colorScale>
    </cfRule>
  </conditionalFormatting>
  <conditionalFormatting sqref="V57:W5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B57">
    <cfRule type="colorScale" priority="11">
      <colorScale>
        <cfvo type="min"/>
        <cfvo type="max"/>
        <color rgb="FFFCFCFF"/>
        <color rgb="FF63BE7B"/>
      </colorScale>
    </cfRule>
  </conditionalFormatting>
  <conditionalFormatting sqref="R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8">
      <colorScale>
        <cfvo type="min"/>
        <cfvo type="max"/>
        <color rgb="FFFCFCFF"/>
        <color rgb="FF63BE7B"/>
      </colorScale>
    </cfRule>
  </conditionalFormatting>
  <conditionalFormatting sqref="W64:X64">
    <cfRule type="colorScale" priority="7">
      <colorScale>
        <cfvo type="min"/>
        <cfvo type="max"/>
        <color rgb="FFFCFCFF"/>
        <color rgb="FF63BE7B"/>
      </colorScale>
    </cfRule>
  </conditionalFormatting>
  <conditionalFormatting sqref="AC64:AD64">
    <cfRule type="colorScale" priority="6">
      <colorScale>
        <cfvo type="min"/>
        <cfvo type="max"/>
        <color rgb="FFFCFCFF"/>
        <color rgb="FF63BE7B"/>
      </colorScale>
    </cfRule>
  </conditionalFormatting>
  <conditionalFormatting sqref="Y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0:W30">
    <cfRule type="colorScale" priority="4">
      <colorScale>
        <cfvo type="min"/>
        <cfvo type="max"/>
        <color rgb="FFFCFCFF"/>
        <color rgb="FF63BE7B"/>
      </colorScale>
    </cfRule>
  </conditionalFormatting>
  <conditionalFormatting sqref="V22:W22">
    <cfRule type="colorScale" priority="3">
      <colorScale>
        <cfvo type="min"/>
        <cfvo type="max"/>
        <color rgb="FFFCFCFF"/>
        <color rgb="FF63BE7B"/>
      </colorScale>
    </cfRule>
  </conditionalFormatting>
  <conditionalFormatting sqref="AB22:AC22">
    <cfRule type="colorScale" priority="2">
      <colorScale>
        <cfvo type="min"/>
        <cfvo type="max"/>
        <color rgb="FFFCFCFF"/>
        <color rgb="FF63BE7B"/>
      </colorScale>
    </cfRule>
  </conditionalFormatting>
  <conditionalFormatting sqref="X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AO48"/>
  <sheetViews>
    <sheetView zoomScale="62" zoomScaleNormal="62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O2" sqref="O2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1" style="3"/>
    <col min="6" max="6" width="10.08203125" style="3" customWidth="1"/>
    <col min="7" max="7" width="11.6640625" style="3" customWidth="1"/>
    <col min="8" max="8" width="9.9140625" style="3" customWidth="1"/>
    <col min="9" max="9" width="15.4140625" style="3" customWidth="1"/>
    <col min="10" max="10" width="11" style="3" bestFit="1" customWidth="1"/>
    <col min="11" max="11" width="10.4140625" style="3" bestFit="1" customWidth="1"/>
    <col min="12" max="12" width="9.58203125" style="3" customWidth="1"/>
    <col min="13" max="13" width="11.6640625" style="3" customWidth="1"/>
    <col min="14" max="14" width="8.08203125" style="3" bestFit="1" customWidth="1"/>
    <col min="15" max="15" width="10.58203125" style="3" bestFit="1" customWidth="1"/>
    <col min="16" max="16" width="8.08203125" style="3" customWidth="1"/>
    <col min="17" max="17" width="12.4140625" style="3" bestFit="1" customWidth="1"/>
    <col min="18" max="18" width="11.6640625" style="3" bestFit="1" customWidth="1"/>
    <col min="19" max="19" width="9.9140625" style="3" customWidth="1"/>
    <col min="20" max="20" width="8.9140625" style="3" customWidth="1"/>
    <col min="21" max="21" width="8.08203125" style="3" bestFit="1" customWidth="1"/>
    <col min="22" max="22" width="8.08203125" style="3" customWidth="1"/>
    <col min="23" max="23" width="12.4140625" style="3" bestFit="1" customWidth="1"/>
    <col min="24" max="24" width="11.6640625" style="3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  <c r="O2" s="188">
        <v>44383</v>
      </c>
    </row>
    <row r="3" spans="2:41" x14ac:dyDescent="0.3">
      <c r="B3" s="1" t="s">
        <v>37</v>
      </c>
    </row>
    <row r="4" spans="2:41" ht="14.5" thickBot="1" x14ac:dyDescent="0.35"/>
    <row r="5" spans="2:41" x14ac:dyDescent="0.3">
      <c r="D5" s="25" t="s">
        <v>31</v>
      </c>
      <c r="E5" s="26">
        <v>2.1728800000000001</v>
      </c>
      <c r="F5" s="27" t="s">
        <v>20</v>
      </c>
      <c r="M5" s="25" t="s">
        <v>21</v>
      </c>
      <c r="N5" s="26">
        <v>7.18</v>
      </c>
      <c r="O5" s="27" t="s">
        <v>22</v>
      </c>
      <c r="P5" s="35"/>
      <c r="Q5" s="34" t="s">
        <v>33</v>
      </c>
      <c r="R5" s="32"/>
      <c r="S5" s="32"/>
      <c r="U5" s="165"/>
      <c r="V5" s="165"/>
      <c r="W5" s="12" t="s">
        <v>107</v>
      </c>
      <c r="X5" s="165"/>
      <c r="Y5" s="44"/>
    </row>
    <row r="6" spans="2:41" x14ac:dyDescent="0.3">
      <c r="D6" s="29" t="s">
        <v>32</v>
      </c>
      <c r="E6" s="21">
        <v>7.18</v>
      </c>
      <c r="F6" s="30" t="s">
        <v>22</v>
      </c>
      <c r="M6" s="29"/>
      <c r="N6" s="20"/>
      <c r="O6" s="30"/>
      <c r="P6" s="35"/>
      <c r="Q6" s="35"/>
      <c r="R6" s="35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35"/>
      <c r="Q7" s="35"/>
      <c r="R7" s="35"/>
    </row>
    <row r="9" spans="2:41" x14ac:dyDescent="0.3">
      <c r="C9" s="6"/>
      <c r="D9" s="5" t="s">
        <v>5</v>
      </c>
      <c r="L9" s="6"/>
      <c r="M9" s="5" t="s">
        <v>13</v>
      </c>
      <c r="N9" s="49"/>
      <c r="O9" s="49"/>
      <c r="P9" s="49"/>
      <c r="Q9" s="49"/>
      <c r="R9" s="50"/>
      <c r="S9" s="5" t="s">
        <v>17</v>
      </c>
      <c r="T9" s="49"/>
      <c r="U9" s="49"/>
      <c r="V9" s="49"/>
      <c r="W9" s="49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6"/>
      <c r="D10" s="28" t="s">
        <v>30</v>
      </c>
      <c r="G10" s="28" t="s">
        <v>29</v>
      </c>
      <c r="L10" s="6"/>
      <c r="M10" s="28" t="s">
        <v>30</v>
      </c>
      <c r="N10" s="28"/>
      <c r="O10" s="45"/>
      <c r="P10" s="45" t="s">
        <v>29</v>
      </c>
      <c r="Q10" s="45"/>
      <c r="R10" s="46"/>
      <c r="S10" s="28" t="s">
        <v>30</v>
      </c>
      <c r="T10" s="28"/>
      <c r="U10" s="45"/>
      <c r="V10" s="45" t="s">
        <v>29</v>
      </c>
      <c r="W10" s="45"/>
      <c r="X10" s="46"/>
      <c r="Y10" s="47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3" t="s">
        <v>2</v>
      </c>
      <c r="C12" s="6">
        <v>1</v>
      </c>
      <c r="D12" s="38">
        <v>11.98</v>
      </c>
      <c r="E12" s="164">
        <v>568.4</v>
      </c>
      <c r="F12" s="7">
        <v>88.5</v>
      </c>
      <c r="G12" s="8">
        <f>((F12-$E$6)/(E12-$E$6))*100</f>
        <v>14.48986137343644</v>
      </c>
      <c r="H12" s="3">
        <v>1</v>
      </c>
      <c r="I12" s="7">
        <f>(D12-$E$5)*(G12/100)</f>
        <v>1.42103809272656</v>
      </c>
      <c r="J12" s="7">
        <f>I12/($E$7*H12)</f>
        <v>0.26315520235677037</v>
      </c>
      <c r="K12" s="7">
        <f>J12*10000/100</f>
        <v>26.315520235677035</v>
      </c>
      <c r="L12" s="6"/>
      <c r="M12" s="31" t="str">
        <f>IF(N12&gt;0,N12-$N$5,"")</f>
        <v/>
      </c>
      <c r="N12" s="31"/>
      <c r="O12" s="37"/>
      <c r="P12" s="37" t="str">
        <f>IF(N12&gt;0,((O12-$N$5)/(N12-$N$5))*100,"")</f>
        <v/>
      </c>
      <c r="Q12" s="37" t="str">
        <f>IF(N12&gt;0,((P12/100)*M12)/$N$7/1000,"")</f>
        <v/>
      </c>
      <c r="R12" s="14">
        <f t="shared" ref="R12:R16" si="0">IF(N12&gt;0,Q12*10000/100,0)</f>
        <v>0</v>
      </c>
      <c r="S12" s="38">
        <v>1788.5</v>
      </c>
      <c r="T12" s="38">
        <v>552.28</v>
      </c>
      <c r="U12" s="15">
        <v>106</v>
      </c>
      <c r="V12" s="36">
        <f>IF(T12&gt;0,((U12-$N$5)/(T12-$N$5))*100,"")</f>
        <v>18.128783709411113</v>
      </c>
      <c r="W12" s="36">
        <f>IF(T12&gt;0,((V12/100)*S12)/$N$7/1000,"")</f>
        <v>0.3242332966428178</v>
      </c>
      <c r="X12" s="14">
        <f t="shared" ref="X12:X16" si="1">IF(T12&gt;0,W12*10000/100,0)</f>
        <v>32.423329664281781</v>
      </c>
      <c r="Y12" s="31" t="str">
        <f>IF(Z12&gt;0,Z12-$N$5,"")</f>
        <v/>
      </c>
      <c r="Z12" s="31"/>
      <c r="AA12" s="31"/>
      <c r="AB12" s="31" t="str">
        <f>IF(Z12&gt;0,((AA12-$N$5)/(Z12-$N$5))*100,"")</f>
        <v/>
      </c>
      <c r="AC12" s="31" t="str">
        <f>IF(Z12&gt;0,((AB12/100)*Y12)/$N$7/1000,"")</f>
        <v/>
      </c>
      <c r="AD12" s="14">
        <f t="shared" ref="AD12:AD16" si="2">IF(Z12&gt;0,AC12*10000/100,0)</f>
        <v>0</v>
      </c>
      <c r="AE12" s="38">
        <v>22.85</v>
      </c>
      <c r="AF12" s="7">
        <v>29.16</v>
      </c>
      <c r="AG12" s="15">
        <v>12.97</v>
      </c>
      <c r="AH12" s="15">
        <f>IF(AE12&gt;0,((AG12-$N$5)/(AF12-$N$5))*100,"")</f>
        <v>26.342129208371251</v>
      </c>
      <c r="AI12" s="15">
        <f>IF(AE12&gt;0,((AH12/100)*AE12)/$N$7/1000,"")</f>
        <v>6.0191765241128315E-3</v>
      </c>
      <c r="AJ12" s="14">
        <f t="shared" ref="AJ12:AJ47" si="3">IF(AF12&gt;0,AI12*10000/100,0)</f>
        <v>0.60191765241128314</v>
      </c>
      <c r="AK12" s="14"/>
      <c r="AL12" s="14">
        <f>X12</f>
        <v>32.423329664281781</v>
      </c>
      <c r="AM12" s="124">
        <f t="shared" ref="AM12:AM33" si="4">IF((100/SUM(AJ12:AL12)*AL12),(100/SUM(AJ12:AL12)*AL12),(100/SUM(AJ12:AL12)*AL12))</f>
        <v>98.177401529686563</v>
      </c>
      <c r="AN12" s="57" t="str">
        <f>IF((100/SUM(AJ12:AL12)*AK12),(100/SUM(AJ12:AL12)*AK12),"")</f>
        <v/>
      </c>
      <c r="AO12" s="57">
        <f>(100/SUM(AJ12:AL12)*AJ12)</f>
        <v>1.8225984703134552</v>
      </c>
    </row>
    <row r="13" spans="2:41" x14ac:dyDescent="0.3">
      <c r="B13" s="3" t="s">
        <v>2</v>
      </c>
      <c r="C13" s="6">
        <v>2</v>
      </c>
      <c r="D13" s="38">
        <v>10.48</v>
      </c>
      <c r="E13" s="164">
        <v>511.66</v>
      </c>
      <c r="F13" s="7">
        <v>96.03</v>
      </c>
      <c r="G13" s="8">
        <f t="shared" ref="G13:G47" si="5">((F13-$E$6)/(E13-$E$6))*100</f>
        <v>17.612194735172849</v>
      </c>
      <c r="H13" s="3">
        <v>1</v>
      </c>
      <c r="I13" s="7">
        <f>(D13-$E$5)*(G13/100)</f>
        <v>1.4630661512844909</v>
      </c>
      <c r="J13" s="7">
        <f t="shared" ref="J13:J47" si="6">I13/($E$7*H13)</f>
        <v>0.27093817616379462</v>
      </c>
      <c r="K13" s="7">
        <f t="shared" ref="K13:K47" si="7">J13*10000/100</f>
        <v>27.093817616379461</v>
      </c>
      <c r="L13" s="6"/>
      <c r="M13" s="31" t="str">
        <f t="shared" ref="M13:M16" si="8">IF(N13&gt;0,N13-$N$5,"")</f>
        <v/>
      </c>
      <c r="N13" s="31"/>
      <c r="O13" s="37"/>
      <c r="P13" s="37" t="str">
        <f t="shared" ref="P13:P47" si="9">IF(N13&gt;0,((O13-$N$5)/(N13-$N$5))*100,"")</f>
        <v/>
      </c>
      <c r="Q13" s="37" t="str">
        <f t="shared" ref="Q13:Q47" si="10">IF(N13&gt;0,((P13/100)*M13)/$N$7/1000,"")</f>
        <v/>
      </c>
      <c r="R13" s="14">
        <f t="shared" si="0"/>
        <v>0</v>
      </c>
      <c r="S13" s="38">
        <v>1339.42</v>
      </c>
      <c r="T13" s="38">
        <v>371.29</v>
      </c>
      <c r="U13" s="15">
        <v>73.17</v>
      </c>
      <c r="V13" s="36">
        <f t="shared" ref="V13:V47" si="11">IF(T13&gt;0,((U13-$N$5)/(T13-$N$5))*100,"")</f>
        <v>18.123643953750243</v>
      </c>
      <c r="W13" s="36">
        <f t="shared" ref="W13:W47" si="12">IF(T13&gt;0,((V13/100)*S13)/$N$7/1000,"")</f>
        <v>0.24275171184532152</v>
      </c>
      <c r="X13" s="14">
        <f t="shared" si="1"/>
        <v>24.275171184532152</v>
      </c>
      <c r="Y13" s="38">
        <v>186.93</v>
      </c>
      <c r="Z13" s="38">
        <v>188.46</v>
      </c>
      <c r="AA13" s="15">
        <v>68.33</v>
      </c>
      <c r="AB13" s="15">
        <f t="shared" ref="AB13:AB47" si="13">IF(Z13&gt;0,((AA13-$N$5)/(Z13-$N$5))*100,"")</f>
        <v>33.732347749338039</v>
      </c>
      <c r="AC13" s="15">
        <f t="shared" ref="AC13:AC47" si="14">IF(Z13&gt;0,((AB13/100)*Y13)/$N$7/1000,"")</f>
        <v>6.3055877647837599E-2</v>
      </c>
      <c r="AD13" s="14">
        <f t="shared" si="2"/>
        <v>6.3055877647837599</v>
      </c>
      <c r="AE13" s="15">
        <v>3.03</v>
      </c>
      <c r="AF13" s="7">
        <v>10.16</v>
      </c>
      <c r="AG13" s="15">
        <v>7.88</v>
      </c>
      <c r="AH13" s="15">
        <f t="shared" ref="AH13:AH47" si="15">IF(AE13&gt;0,((AG13-$N$5)/(AF13-$N$5))*100,"")</f>
        <v>23.489932885906043</v>
      </c>
      <c r="AI13" s="15">
        <f t="shared" ref="AI13:AI47" si="16">IF(AE13&gt;0,((AH13/100)*AE13)/$N$7/1000,"")</f>
        <v>7.1174496644295306E-4</v>
      </c>
      <c r="AJ13" s="14">
        <f t="shared" si="3"/>
        <v>7.1174496644295301E-2</v>
      </c>
      <c r="AK13" s="14">
        <f t="shared" ref="AK13:AK47" si="17">R13+AD13</f>
        <v>6.3055877647837599</v>
      </c>
      <c r="AL13" s="14">
        <f t="shared" ref="AL13:AL46" si="18">X13</f>
        <v>24.275171184532152</v>
      </c>
      <c r="AM13" s="124">
        <f t="shared" si="4"/>
        <v>79.196215231674117</v>
      </c>
      <c r="AN13" s="57">
        <f t="shared" ref="AN13:AN47" si="19">IF((100/SUM(AJ13:AL13)*AK13),(100/SUM(AJ13:AL13)*AK13),"")</f>
        <v>20.571582461186665</v>
      </c>
      <c r="AO13" s="57">
        <f t="shared" ref="AO13:AO47" si="20">(100/SUM(AJ13:AL13)*AJ13)</f>
        <v>0.23220230713921178</v>
      </c>
    </row>
    <row r="14" spans="2:41" x14ac:dyDescent="0.3">
      <c r="B14" s="3" t="s">
        <v>2</v>
      </c>
      <c r="C14" s="6">
        <v>3</v>
      </c>
      <c r="D14" s="38">
        <v>16.05</v>
      </c>
      <c r="E14" s="164">
        <v>415.42</v>
      </c>
      <c r="F14" s="7">
        <v>105.44</v>
      </c>
      <c r="G14" s="8">
        <f t="shared" si="5"/>
        <v>24.069174995100916</v>
      </c>
      <c r="H14" s="3">
        <v>1</v>
      </c>
      <c r="I14" s="7">
        <f t="shared" ref="I14:I47" si="21">(D14-$E$5)*(G14/100)</f>
        <v>3.3401082970801488</v>
      </c>
      <c r="J14" s="7">
        <f t="shared" si="6"/>
        <v>0.61853857353336084</v>
      </c>
      <c r="K14" s="7">
        <f t="shared" si="7"/>
        <v>61.853857353336082</v>
      </c>
      <c r="L14" s="6"/>
      <c r="M14" s="31" t="str">
        <f t="shared" si="8"/>
        <v/>
      </c>
      <c r="N14" s="31"/>
      <c r="O14" s="37"/>
      <c r="P14" s="37" t="str">
        <f t="shared" si="9"/>
        <v/>
      </c>
      <c r="Q14" s="37" t="str">
        <f t="shared" si="10"/>
        <v/>
      </c>
      <c r="R14" s="14">
        <f t="shared" si="0"/>
        <v>0</v>
      </c>
      <c r="S14" s="38">
        <v>741.54</v>
      </c>
      <c r="T14" s="38">
        <v>250.13</v>
      </c>
      <c r="U14" s="15">
        <v>49.7</v>
      </c>
      <c r="V14" s="15">
        <f t="shared" si="11"/>
        <v>17.501543527474791</v>
      </c>
      <c r="W14" s="15">
        <f t="shared" si="12"/>
        <v>0.12978094587363656</v>
      </c>
      <c r="X14" s="14">
        <f t="shared" si="1"/>
        <v>12.978094587363655</v>
      </c>
      <c r="Y14" s="38">
        <v>259.02</v>
      </c>
      <c r="Z14" s="38">
        <v>163.69999999999999</v>
      </c>
      <c r="AA14" s="38">
        <v>65.599999999999994</v>
      </c>
      <c r="AB14" s="7">
        <f t="shared" si="13"/>
        <v>37.324303603373373</v>
      </c>
      <c r="AC14" s="7">
        <f t="shared" si="14"/>
        <v>9.6677411193457699E-2</v>
      </c>
      <c r="AD14" s="14">
        <f t="shared" si="2"/>
        <v>9.6677411193457701</v>
      </c>
      <c r="AE14" s="38">
        <v>1.69</v>
      </c>
      <c r="AF14" s="7">
        <v>8.7100000000000009</v>
      </c>
      <c r="AG14" s="15">
        <v>7.45</v>
      </c>
      <c r="AH14" s="15">
        <f t="shared" si="15"/>
        <v>17.647058823529431</v>
      </c>
      <c r="AI14" s="15">
        <f t="shared" si="16"/>
        <v>2.9823529411764739E-4</v>
      </c>
      <c r="AJ14" s="14">
        <f t="shared" si="3"/>
        <v>2.9823529411764738E-2</v>
      </c>
      <c r="AK14" s="14">
        <f t="shared" si="17"/>
        <v>9.6677411193457701</v>
      </c>
      <c r="AL14" s="14">
        <f t="shared" si="18"/>
        <v>12.978094587363655</v>
      </c>
      <c r="AM14" s="124">
        <f t="shared" si="4"/>
        <v>57.233593309120643</v>
      </c>
      <c r="AN14" s="57">
        <f t="shared" si="19"/>
        <v>42.634884475356472</v>
      </c>
      <c r="AO14" s="57">
        <f t="shared" si="20"/>
        <v>0.13152221552287816</v>
      </c>
    </row>
    <row r="15" spans="2:41" x14ac:dyDescent="0.3">
      <c r="B15" s="3" t="s">
        <v>2</v>
      </c>
      <c r="C15" s="6">
        <v>4</v>
      </c>
      <c r="D15" s="38">
        <v>11.2</v>
      </c>
      <c r="E15" s="164">
        <v>432.58</v>
      </c>
      <c r="F15" s="7">
        <v>121.78</v>
      </c>
      <c r="G15" s="8">
        <f t="shared" si="5"/>
        <v>26.939351198871652</v>
      </c>
      <c r="H15" s="3">
        <v>1</v>
      </c>
      <c r="I15" s="7">
        <f t="shared" si="21"/>
        <v>2.4318475599435829</v>
      </c>
      <c r="J15" s="7">
        <f t="shared" si="6"/>
        <v>0.45034214073029311</v>
      </c>
      <c r="K15" s="7">
        <f t="shared" si="7"/>
        <v>45.034214073029304</v>
      </c>
      <c r="L15" s="6"/>
      <c r="M15" s="31" t="str">
        <f t="shared" si="8"/>
        <v/>
      </c>
      <c r="N15" s="31"/>
      <c r="O15" s="37"/>
      <c r="P15" s="37" t="str">
        <f t="shared" si="9"/>
        <v/>
      </c>
      <c r="Q15" s="37" t="str">
        <f t="shared" si="10"/>
        <v/>
      </c>
      <c r="R15" s="14">
        <f t="shared" si="0"/>
        <v>0</v>
      </c>
      <c r="S15" s="38">
        <v>565.44000000000005</v>
      </c>
      <c r="T15" s="38">
        <v>315.25</v>
      </c>
      <c r="U15" s="15">
        <v>62.67</v>
      </c>
      <c r="V15" s="36">
        <f t="shared" si="11"/>
        <v>18.012140098029668</v>
      </c>
      <c r="W15" s="36">
        <f t="shared" si="12"/>
        <v>0.10184784497029896</v>
      </c>
      <c r="X15" s="14">
        <f t="shared" si="1"/>
        <v>10.184784497029895</v>
      </c>
      <c r="Y15" s="38">
        <v>200.74</v>
      </c>
      <c r="Z15" s="38">
        <v>193.85</v>
      </c>
      <c r="AA15" s="38">
        <v>71.16</v>
      </c>
      <c r="AB15" s="7">
        <f t="shared" si="13"/>
        <v>34.274387957357902</v>
      </c>
      <c r="AC15" s="7">
        <f t="shared" si="14"/>
        <v>6.880240638560027E-2</v>
      </c>
      <c r="AD15" s="14">
        <f t="shared" si="2"/>
        <v>6.8802406385600277</v>
      </c>
      <c r="AE15" s="38">
        <v>2.23</v>
      </c>
      <c r="AF15" s="7">
        <v>9.5</v>
      </c>
      <c r="AG15" s="15">
        <v>8.86</v>
      </c>
      <c r="AH15" s="15">
        <f t="shared" si="15"/>
        <v>72.413793103448256</v>
      </c>
      <c r="AI15" s="15">
        <f t="shared" si="16"/>
        <v>1.6148275862068961E-3</v>
      </c>
      <c r="AJ15" s="14">
        <f t="shared" si="3"/>
        <v>0.16148275862068961</v>
      </c>
      <c r="AK15" s="14">
        <f t="shared" si="17"/>
        <v>6.8802406385600277</v>
      </c>
      <c r="AL15" s="14">
        <f t="shared" si="18"/>
        <v>10.184784497029895</v>
      </c>
      <c r="AM15" s="124">
        <f t="shared" si="4"/>
        <v>59.122745942331932</v>
      </c>
      <c r="AN15" s="57">
        <f t="shared" si="19"/>
        <v>39.939845503291473</v>
      </c>
      <c r="AO15" s="57">
        <f t="shared" si="20"/>
        <v>0.93740855437659432</v>
      </c>
    </row>
    <row r="16" spans="2:41" x14ac:dyDescent="0.3">
      <c r="B16" s="3" t="s">
        <v>2</v>
      </c>
      <c r="C16" s="6">
        <v>5</v>
      </c>
      <c r="D16" s="38">
        <v>9.1</v>
      </c>
      <c r="E16" s="164">
        <v>354.45</v>
      </c>
      <c r="F16" s="7">
        <v>144.22999999999999</v>
      </c>
      <c r="G16" s="8">
        <f t="shared" si="5"/>
        <v>39.464969620180263</v>
      </c>
      <c r="H16" s="3">
        <v>1</v>
      </c>
      <c r="I16" s="7">
        <f t="shared" si="21"/>
        <v>2.7337858035534306</v>
      </c>
      <c r="J16" s="7">
        <f t="shared" si="6"/>
        <v>0.50625663028767232</v>
      </c>
      <c r="K16" s="7">
        <f t="shared" si="7"/>
        <v>50.625663028767228</v>
      </c>
      <c r="L16" s="6"/>
      <c r="M16" s="31" t="str">
        <f t="shared" si="8"/>
        <v/>
      </c>
      <c r="N16" s="31"/>
      <c r="O16" s="37"/>
      <c r="P16" s="37" t="str">
        <f t="shared" si="9"/>
        <v/>
      </c>
      <c r="Q16" s="37" t="str">
        <f t="shared" si="10"/>
        <v/>
      </c>
      <c r="R16" s="14">
        <f t="shared" si="0"/>
        <v>0</v>
      </c>
      <c r="S16" s="31"/>
      <c r="T16" s="31"/>
      <c r="U16" s="37"/>
      <c r="V16" s="37" t="str">
        <f t="shared" si="11"/>
        <v/>
      </c>
      <c r="W16" s="37" t="str">
        <f t="shared" si="12"/>
        <v/>
      </c>
      <c r="X16" s="14">
        <f t="shared" si="1"/>
        <v>0</v>
      </c>
      <c r="Y16" s="38">
        <v>315.55</v>
      </c>
      <c r="Z16" s="38">
        <v>193.42</v>
      </c>
      <c r="AA16" s="38">
        <v>86.14</v>
      </c>
      <c r="AB16" s="7">
        <f t="shared" si="13"/>
        <v>42.396907216494853</v>
      </c>
      <c r="AC16" s="7">
        <f t="shared" si="14"/>
        <v>0.13378344072164949</v>
      </c>
      <c r="AD16" s="14">
        <f t="shared" si="2"/>
        <v>13.37834407216495</v>
      </c>
      <c r="AE16" s="38">
        <v>3.13</v>
      </c>
      <c r="AF16" s="7">
        <v>10.31</v>
      </c>
      <c r="AG16" s="15">
        <v>9.84</v>
      </c>
      <c r="AH16" s="15">
        <f t="shared" si="15"/>
        <v>84.984025559105419</v>
      </c>
      <c r="AI16" s="15">
        <f t="shared" si="16"/>
        <v>2.6599999999999992E-3</v>
      </c>
      <c r="AJ16" s="14">
        <f t="shared" si="3"/>
        <v>0.2659999999999999</v>
      </c>
      <c r="AK16" s="14">
        <f t="shared" si="17"/>
        <v>13.37834407216495</v>
      </c>
      <c r="AL16" s="14"/>
      <c r="AM16" s="124"/>
      <c r="AN16" s="57">
        <f t="shared" si="19"/>
        <v>98.050474258101914</v>
      </c>
      <c r="AO16" s="57">
        <f t="shared" si="20"/>
        <v>1.949525741898076</v>
      </c>
    </row>
    <row r="17" spans="2:41" x14ac:dyDescent="0.3">
      <c r="B17" s="3" t="s">
        <v>2</v>
      </c>
      <c r="C17" s="6">
        <v>6</v>
      </c>
      <c r="D17" s="38">
        <v>9.65</v>
      </c>
      <c r="E17" s="164">
        <v>440.68</v>
      </c>
      <c r="F17" s="7">
        <v>105.44</v>
      </c>
      <c r="G17" s="8">
        <f t="shared" si="5"/>
        <v>22.666666666666664</v>
      </c>
      <c r="H17" s="3">
        <v>1</v>
      </c>
      <c r="I17" s="7">
        <f t="shared" si="21"/>
        <v>1.6948138666666666</v>
      </c>
      <c r="J17" s="7">
        <f t="shared" si="6"/>
        <v>0.31385441975308637</v>
      </c>
      <c r="K17" s="7">
        <f t="shared" si="7"/>
        <v>31.385441975308638</v>
      </c>
      <c r="L17" s="6"/>
      <c r="M17" s="38">
        <f>N17-N5</f>
        <v>95.35</v>
      </c>
      <c r="N17" s="38">
        <v>102.53</v>
      </c>
      <c r="O17" s="15">
        <v>34.47</v>
      </c>
      <c r="P17" s="36">
        <f t="shared" si="9"/>
        <v>28.620870477189303</v>
      </c>
      <c r="Q17" s="36">
        <f t="shared" si="10"/>
        <v>2.7289999999999998E-2</v>
      </c>
      <c r="R17" s="14">
        <f>IF(N17&gt;0,Q17*10000/100,0)</f>
        <v>2.7289999999999996</v>
      </c>
      <c r="S17" s="38">
        <f>T17-N5</f>
        <v>358.53</v>
      </c>
      <c r="T17" s="38">
        <v>365.71</v>
      </c>
      <c r="U17" s="15">
        <v>94.16</v>
      </c>
      <c r="V17" s="36">
        <f t="shared" si="11"/>
        <v>24.260173486179674</v>
      </c>
      <c r="W17" s="36">
        <f t="shared" si="12"/>
        <v>8.6979999999999974E-2</v>
      </c>
      <c r="X17" s="14">
        <f>IF(T17&gt;0,W17*10000/100,0)</f>
        <v>8.6979999999999968</v>
      </c>
      <c r="Y17" s="31"/>
      <c r="Z17" s="31"/>
      <c r="AA17" s="31"/>
      <c r="AB17" s="31" t="str">
        <f t="shared" si="13"/>
        <v/>
      </c>
      <c r="AC17" s="31" t="str">
        <f t="shared" si="14"/>
        <v/>
      </c>
      <c r="AD17" s="14">
        <f>IF(Z17&gt;0,AC17*10000/100,0)</f>
        <v>0</v>
      </c>
      <c r="AE17" s="38">
        <f>AF17-N5</f>
        <v>32.479999999999997</v>
      </c>
      <c r="AF17" s="7">
        <v>39.659999999999997</v>
      </c>
      <c r="AG17" s="15">
        <v>18.170000000000002</v>
      </c>
      <c r="AH17" s="15">
        <f t="shared" si="15"/>
        <v>33.836206896551737</v>
      </c>
      <c r="AI17" s="15">
        <f t="shared" si="16"/>
        <v>1.0990000000000002E-2</v>
      </c>
      <c r="AJ17" s="14">
        <f t="shared" si="3"/>
        <v>1.0990000000000002</v>
      </c>
      <c r="AK17" s="14">
        <f t="shared" si="17"/>
        <v>2.7289999999999996</v>
      </c>
      <c r="AL17" s="14">
        <f t="shared" si="18"/>
        <v>8.6979999999999968</v>
      </c>
      <c r="AM17" s="124">
        <f t="shared" si="4"/>
        <v>69.439565703337053</v>
      </c>
      <c r="AN17" s="57">
        <f t="shared" si="19"/>
        <v>21.786683697908355</v>
      </c>
      <c r="AO17" s="57">
        <f t="shared" si="20"/>
        <v>8.7737505987545941</v>
      </c>
    </row>
    <row r="18" spans="2:41" x14ac:dyDescent="0.3">
      <c r="B18" s="3" t="s">
        <v>2</v>
      </c>
      <c r="C18" s="6">
        <v>7</v>
      </c>
      <c r="D18" s="38">
        <v>9.4</v>
      </c>
      <c r="E18" s="164">
        <v>525.08000000000004</v>
      </c>
      <c r="F18" s="7">
        <v>128.61000000000001</v>
      </c>
      <c r="G18" s="8">
        <f t="shared" si="5"/>
        <v>23.446611314925658</v>
      </c>
      <c r="H18" s="3">
        <v>1</v>
      </c>
      <c r="I18" s="7">
        <f t="shared" si="21"/>
        <v>1.6945147356632553</v>
      </c>
      <c r="J18" s="7">
        <f t="shared" si="6"/>
        <v>0.31379902512282504</v>
      </c>
      <c r="K18" s="7">
        <f t="shared" si="7"/>
        <v>31.379902512282502</v>
      </c>
      <c r="L18" s="6"/>
      <c r="M18" s="38">
        <f>N18-N5</f>
        <v>162.76</v>
      </c>
      <c r="N18" s="38">
        <v>169.94</v>
      </c>
      <c r="O18" s="15">
        <v>50.47</v>
      </c>
      <c r="P18" s="36">
        <f t="shared" si="9"/>
        <v>26.597444089456868</v>
      </c>
      <c r="Q18" s="36">
        <f t="shared" si="10"/>
        <v>4.3289999999999995E-2</v>
      </c>
      <c r="R18" s="14">
        <f t="shared" ref="R18:R47" si="22">IF(N18&gt;0,Q18*10000/100,0)</f>
        <v>4.3289999999999997</v>
      </c>
      <c r="S18" s="38">
        <f>T18-N5</f>
        <v>419.32</v>
      </c>
      <c r="T18" s="38">
        <v>426.5</v>
      </c>
      <c r="U18" s="15">
        <v>101.86</v>
      </c>
      <c r="V18" s="36">
        <f t="shared" si="11"/>
        <v>22.579414289802539</v>
      </c>
      <c r="W18" s="36">
        <f t="shared" si="12"/>
        <v>9.468E-2</v>
      </c>
      <c r="X18" s="14">
        <f t="shared" ref="X18:X47" si="23">IF(T18&gt;0,W18*10000/100,0)</f>
        <v>9.468</v>
      </c>
      <c r="Y18" s="31"/>
      <c r="Z18" s="31"/>
      <c r="AA18" s="31"/>
      <c r="AB18" s="31" t="str">
        <f t="shared" si="13"/>
        <v/>
      </c>
      <c r="AC18" s="31" t="str">
        <f t="shared" si="14"/>
        <v/>
      </c>
      <c r="AD18" s="14">
        <f t="shared" ref="AD18:AD47" si="24">IF(Z18&gt;0,AC18*10000/100,0)</f>
        <v>0</v>
      </c>
      <c r="AE18" s="38">
        <f>AF18-N5</f>
        <v>36.79</v>
      </c>
      <c r="AF18" s="7">
        <v>43.97</v>
      </c>
      <c r="AG18" s="15">
        <v>19.809999999999999</v>
      </c>
      <c r="AH18" s="15">
        <f t="shared" si="15"/>
        <v>34.329980973090514</v>
      </c>
      <c r="AI18" s="15">
        <f t="shared" si="16"/>
        <v>1.2629999999999999E-2</v>
      </c>
      <c r="AJ18" s="14">
        <f t="shared" si="3"/>
        <v>1.2629999999999999</v>
      </c>
      <c r="AK18" s="14">
        <f t="shared" si="17"/>
        <v>4.3289999999999997</v>
      </c>
      <c r="AL18" s="14">
        <f t="shared" si="18"/>
        <v>9.468</v>
      </c>
      <c r="AM18" s="124">
        <f t="shared" si="4"/>
        <v>62.868525896414347</v>
      </c>
      <c r="AN18" s="57">
        <f t="shared" si="19"/>
        <v>28.745019920318725</v>
      </c>
      <c r="AO18" s="57">
        <f t="shared" si="20"/>
        <v>8.3864541832669328</v>
      </c>
    </row>
    <row r="19" spans="2:41" x14ac:dyDescent="0.3">
      <c r="B19" s="3" t="s">
        <v>2</v>
      </c>
      <c r="C19" s="6">
        <v>8</v>
      </c>
      <c r="D19" s="38">
        <v>8.6</v>
      </c>
      <c r="E19" s="164">
        <v>481.22</v>
      </c>
      <c r="F19" s="7">
        <v>124.24</v>
      </c>
      <c r="G19" s="8">
        <f t="shared" si="5"/>
        <v>24.694118639777233</v>
      </c>
      <c r="H19" s="3">
        <v>1</v>
      </c>
      <c r="I19" s="7">
        <f t="shared" si="21"/>
        <v>1.5871206379208502</v>
      </c>
      <c r="J19" s="7">
        <f t="shared" si="6"/>
        <v>0.29391122924460189</v>
      </c>
      <c r="K19" s="7">
        <f t="shared" si="7"/>
        <v>29.391122924460188</v>
      </c>
      <c r="L19" s="6"/>
      <c r="M19" s="179">
        <v>122.58</v>
      </c>
      <c r="N19" s="38">
        <f>M19</f>
        <v>122.58</v>
      </c>
      <c r="O19" s="15">
        <v>39.630000000000003</v>
      </c>
      <c r="P19" s="36">
        <f t="shared" si="9"/>
        <v>28.119584055459274</v>
      </c>
      <c r="Q19" s="36">
        <f t="shared" si="10"/>
        <v>3.4468986135181977E-2</v>
      </c>
      <c r="R19" s="14">
        <f t="shared" si="22"/>
        <v>3.446898613518198</v>
      </c>
      <c r="S19" s="179">
        <v>165.98</v>
      </c>
      <c r="T19" s="38">
        <f>S19</f>
        <v>165.98</v>
      </c>
      <c r="U19" s="36">
        <v>41.31</v>
      </c>
      <c r="V19" s="36">
        <f t="shared" si="11"/>
        <v>21.492443324937032</v>
      </c>
      <c r="W19" s="36">
        <f t="shared" si="12"/>
        <v>3.5673157430730483E-2</v>
      </c>
      <c r="X19" s="14">
        <f t="shared" si="23"/>
        <v>3.5673157430730482</v>
      </c>
      <c r="Y19" s="179"/>
      <c r="Z19" s="31"/>
      <c r="AA19" s="31"/>
      <c r="AB19" s="31" t="str">
        <f t="shared" si="13"/>
        <v/>
      </c>
      <c r="AC19" s="31" t="str">
        <f t="shared" si="14"/>
        <v/>
      </c>
      <c r="AD19" s="14">
        <f t="shared" si="24"/>
        <v>0</v>
      </c>
      <c r="AE19" s="179">
        <v>8.02</v>
      </c>
      <c r="AF19" s="7"/>
      <c r="AG19" s="15">
        <v>8.66</v>
      </c>
      <c r="AH19" s="15">
        <f t="shared" si="15"/>
        <v>-20.612813370473546</v>
      </c>
      <c r="AI19" s="15">
        <f t="shared" si="16"/>
        <v>-1.6531476323119782E-3</v>
      </c>
      <c r="AJ19" s="14">
        <f t="shared" si="3"/>
        <v>0</v>
      </c>
      <c r="AK19" s="14">
        <f t="shared" si="17"/>
        <v>3.446898613518198</v>
      </c>
      <c r="AL19" s="14">
        <f t="shared" si="18"/>
        <v>3.5673157430730482</v>
      </c>
      <c r="AM19" s="124">
        <f t="shared" si="4"/>
        <v>50.858379309734772</v>
      </c>
      <c r="AN19" s="57">
        <f t="shared" si="19"/>
        <v>49.141620690265235</v>
      </c>
      <c r="AO19" s="57">
        <f t="shared" si="20"/>
        <v>0</v>
      </c>
    </row>
    <row r="20" spans="2:41" x14ac:dyDescent="0.3">
      <c r="B20" s="16" t="s">
        <v>2</v>
      </c>
      <c r="C20" s="17">
        <v>9</v>
      </c>
      <c r="D20" s="41">
        <v>7.8</v>
      </c>
      <c r="E20" s="164">
        <v>398.17</v>
      </c>
      <c r="F20" s="18">
        <v>131</v>
      </c>
      <c r="G20" s="19">
        <f t="shared" si="5"/>
        <v>31.668329113276549</v>
      </c>
      <c r="H20" s="16">
        <v>1</v>
      </c>
      <c r="I20" s="18">
        <f t="shared" si="21"/>
        <v>1.7820148811990073</v>
      </c>
      <c r="J20" s="18">
        <f t="shared" si="6"/>
        <v>0.33000275577759391</v>
      </c>
      <c r="K20" s="18">
        <f t="shared" si="7"/>
        <v>33.000275577759389</v>
      </c>
      <c r="L20" s="17"/>
      <c r="M20" s="41">
        <v>361.63</v>
      </c>
      <c r="N20" s="41">
        <v>199.48</v>
      </c>
      <c r="O20" s="41">
        <v>68.069999999999993</v>
      </c>
      <c r="P20" s="18">
        <f>IF(N20&gt;0,((O20-$N$5)/(N20-$N$5))*100,"")</f>
        <v>31.664066562662509</v>
      </c>
      <c r="Q20" s="18">
        <f>IF(N20&gt;0,((P20/100)*M20)/$N$7/1000,"")</f>
        <v>0.11450676391055643</v>
      </c>
      <c r="R20" s="14">
        <f t="shared" si="22"/>
        <v>11.450676391055643</v>
      </c>
      <c r="S20" s="33"/>
      <c r="T20" s="33"/>
      <c r="U20" s="33"/>
      <c r="V20" s="33" t="str">
        <f t="shared" si="11"/>
        <v/>
      </c>
      <c r="W20" s="33" t="str">
        <f t="shared" si="12"/>
        <v/>
      </c>
      <c r="X20" s="14">
        <f t="shared" si="23"/>
        <v>0</v>
      </c>
      <c r="Y20" s="33"/>
      <c r="Z20" s="33"/>
      <c r="AA20" s="33"/>
      <c r="AB20" s="33" t="str">
        <f t="shared" si="13"/>
        <v/>
      </c>
      <c r="AC20" s="33" t="str">
        <f t="shared" si="14"/>
        <v/>
      </c>
      <c r="AD20" s="14">
        <f t="shared" si="24"/>
        <v>0</v>
      </c>
      <c r="AE20" s="41">
        <v>19.97</v>
      </c>
      <c r="AF20" s="18">
        <v>27.1</v>
      </c>
      <c r="AG20" s="41">
        <v>13.59</v>
      </c>
      <c r="AH20" s="41">
        <f t="shared" si="15"/>
        <v>32.178714859437754</v>
      </c>
      <c r="AI20" s="41">
        <f t="shared" si="16"/>
        <v>6.4260893574297189E-3</v>
      </c>
      <c r="AJ20" s="14">
        <f t="shared" si="3"/>
        <v>0.64260893574297184</v>
      </c>
      <c r="AK20" s="14">
        <f t="shared" si="17"/>
        <v>11.450676391055643</v>
      </c>
      <c r="AL20" s="14"/>
      <c r="AM20" s="124"/>
      <c r="AN20" s="57">
        <f t="shared" si="19"/>
        <v>94.686233571956194</v>
      </c>
      <c r="AO20" s="57">
        <f t="shared" si="20"/>
        <v>5.3137664280438006</v>
      </c>
    </row>
    <row r="21" spans="2:41" x14ac:dyDescent="0.3">
      <c r="B21" s="3" t="s">
        <v>9</v>
      </c>
      <c r="C21" s="6">
        <v>1</v>
      </c>
      <c r="D21" s="38">
        <v>7.6</v>
      </c>
      <c r="E21" s="164">
        <v>453.49</v>
      </c>
      <c r="F21" s="7">
        <v>112.04</v>
      </c>
      <c r="G21" s="8">
        <f t="shared" si="5"/>
        <v>23.494880240191797</v>
      </c>
      <c r="H21" s="3">
        <v>2</v>
      </c>
      <c r="I21" s="7">
        <f t="shared" si="21"/>
        <v>1.275095344491497</v>
      </c>
      <c r="J21" s="7">
        <f t="shared" si="6"/>
        <v>0.11806438374921267</v>
      </c>
      <c r="K21" s="7">
        <f t="shared" si="7"/>
        <v>11.806438374921267</v>
      </c>
      <c r="L21" s="6"/>
      <c r="M21" s="31"/>
      <c r="N21" s="31"/>
      <c r="O21" s="37"/>
      <c r="P21" s="37" t="str">
        <f t="shared" si="9"/>
        <v/>
      </c>
      <c r="Q21" s="37" t="str">
        <f t="shared" si="10"/>
        <v/>
      </c>
      <c r="R21" s="14">
        <f t="shared" si="22"/>
        <v>0</v>
      </c>
      <c r="S21" s="7">
        <v>307.52999999999997</v>
      </c>
      <c r="T21" s="38">
        <v>281.77</v>
      </c>
      <c r="U21" s="36">
        <v>71.400000000000006</v>
      </c>
      <c r="V21" s="36">
        <f t="shared" si="11"/>
        <v>23.387596052296153</v>
      </c>
      <c r="W21" s="36">
        <f t="shared" si="12"/>
        <v>7.1923874139626351E-2</v>
      </c>
      <c r="X21" s="14">
        <f t="shared" si="23"/>
        <v>7.1923874139626358</v>
      </c>
      <c r="Y21" s="31"/>
      <c r="Z21" s="31"/>
      <c r="AA21" s="31"/>
      <c r="AB21" s="31" t="str">
        <f t="shared" si="13"/>
        <v/>
      </c>
      <c r="AC21" s="31" t="str">
        <f t="shared" si="14"/>
        <v/>
      </c>
      <c r="AD21" s="14">
        <f t="shared" si="24"/>
        <v>0</v>
      </c>
      <c r="AE21" s="38">
        <v>4.2</v>
      </c>
      <c r="AF21" s="7">
        <v>11.39</v>
      </c>
      <c r="AG21" s="15">
        <v>8.35</v>
      </c>
      <c r="AH21" s="15">
        <f t="shared" si="15"/>
        <v>27.790973871733961</v>
      </c>
      <c r="AI21" s="15">
        <f t="shared" si="16"/>
        <v>1.1672209026128263E-3</v>
      </c>
      <c r="AJ21" s="14">
        <f t="shared" si="3"/>
        <v>0.11672209026128262</v>
      </c>
      <c r="AK21" s="14"/>
      <c r="AL21" s="14">
        <f t="shared" si="18"/>
        <v>7.1923874139626358</v>
      </c>
      <c r="AM21" s="124">
        <f t="shared" si="4"/>
        <v>98.403060041803599</v>
      </c>
      <c r="AN21" s="57" t="str">
        <f t="shared" si="19"/>
        <v/>
      </c>
      <c r="AO21" s="57">
        <f t="shared" si="20"/>
        <v>1.5969399581964012</v>
      </c>
    </row>
    <row r="22" spans="2:41" x14ac:dyDescent="0.3">
      <c r="B22" s="3" t="s">
        <v>9</v>
      </c>
      <c r="C22" s="6">
        <v>2</v>
      </c>
      <c r="D22" s="38">
        <v>12.6</v>
      </c>
      <c r="E22" s="164">
        <v>450.58</v>
      </c>
      <c r="F22" s="7">
        <v>102.81</v>
      </c>
      <c r="G22" s="8">
        <f t="shared" si="5"/>
        <v>21.56743346865133</v>
      </c>
      <c r="H22" s="3">
        <v>1</v>
      </c>
      <c r="I22" s="7">
        <f t="shared" si="21"/>
        <v>2.2488621686964363</v>
      </c>
      <c r="J22" s="7">
        <f t="shared" si="6"/>
        <v>0.4164559571660067</v>
      </c>
      <c r="K22" s="7">
        <f t="shared" si="7"/>
        <v>41.645595716600674</v>
      </c>
      <c r="L22" s="6"/>
      <c r="M22" s="31"/>
      <c r="N22" s="31"/>
      <c r="O22" s="37"/>
      <c r="P22" s="37" t="str">
        <f t="shared" si="9"/>
        <v/>
      </c>
      <c r="Q22" s="37" t="str">
        <f t="shared" si="10"/>
        <v/>
      </c>
      <c r="R22" s="14">
        <f t="shared" si="22"/>
        <v>0</v>
      </c>
      <c r="S22" s="7">
        <v>640</v>
      </c>
      <c r="T22" s="7">
        <v>441.41</v>
      </c>
      <c r="U22" s="36">
        <v>96.64</v>
      </c>
      <c r="V22" s="36">
        <f t="shared" si="11"/>
        <v>20.601985123091453</v>
      </c>
      <c r="W22" s="36">
        <f t="shared" si="12"/>
        <v>0.1318527047877853</v>
      </c>
      <c r="X22" s="14">
        <f t="shared" si="23"/>
        <v>13.185270478778529</v>
      </c>
      <c r="Y22" s="7">
        <v>168.03</v>
      </c>
      <c r="Z22" s="7">
        <v>155.24</v>
      </c>
      <c r="AA22" s="7">
        <v>60.07</v>
      </c>
      <c r="AB22" s="7">
        <f t="shared" si="13"/>
        <v>35.722004592732674</v>
      </c>
      <c r="AC22" s="7">
        <f t="shared" si="14"/>
        <v>6.0023684317168716E-2</v>
      </c>
      <c r="AD22" s="14">
        <f t="shared" si="24"/>
        <v>6.0023684317168717</v>
      </c>
      <c r="AE22" s="38">
        <v>7</v>
      </c>
      <c r="AF22" s="7">
        <v>14.5</v>
      </c>
      <c r="AG22" s="15"/>
      <c r="AH22" s="15">
        <f t="shared" si="15"/>
        <v>-98.08743169398906</v>
      </c>
      <c r="AI22" s="15">
        <f t="shared" si="16"/>
        <v>-6.8661202185792344E-3</v>
      </c>
      <c r="AJ22" s="14">
        <f t="shared" si="3"/>
        <v>-0.68661202185792347</v>
      </c>
      <c r="AK22" s="14">
        <f t="shared" si="17"/>
        <v>6.0023684317168717</v>
      </c>
      <c r="AL22" s="14">
        <f t="shared" si="18"/>
        <v>13.185270478778529</v>
      </c>
      <c r="AM22" s="124">
        <f t="shared" si="4"/>
        <v>71.267776422055505</v>
      </c>
      <c r="AN22" s="57">
        <f t="shared" si="19"/>
        <v>32.44343391232659</v>
      </c>
      <c r="AO22" s="57">
        <f t="shared" si="20"/>
        <v>-3.7112103343820912</v>
      </c>
    </row>
    <row r="23" spans="2:41" x14ac:dyDescent="0.3">
      <c r="B23" s="3" t="s">
        <v>9</v>
      </c>
      <c r="C23" s="6">
        <v>3</v>
      </c>
      <c r="D23" s="38">
        <v>7.8</v>
      </c>
      <c r="E23" s="164">
        <v>470.96</v>
      </c>
      <c r="F23" s="7">
        <v>150.33000000000001</v>
      </c>
      <c r="G23" s="8">
        <f t="shared" si="5"/>
        <v>30.865927810599857</v>
      </c>
      <c r="H23" s="3">
        <v>1</v>
      </c>
      <c r="I23" s="7">
        <f t="shared" si="21"/>
        <v>1.7368627970158266</v>
      </c>
      <c r="J23" s="7">
        <f t="shared" si="6"/>
        <v>0.32164125870663451</v>
      </c>
      <c r="K23" s="7">
        <f t="shared" si="7"/>
        <v>32.164125870663455</v>
      </c>
      <c r="L23" s="6"/>
      <c r="M23" s="31"/>
      <c r="N23" s="31"/>
      <c r="O23" s="37"/>
      <c r="P23" s="37" t="str">
        <f t="shared" si="9"/>
        <v/>
      </c>
      <c r="Q23" s="37" t="str">
        <f t="shared" si="10"/>
        <v/>
      </c>
      <c r="R23" s="14">
        <f t="shared" si="22"/>
        <v>0</v>
      </c>
      <c r="S23" s="7">
        <f>T23-N5</f>
        <v>198.41</v>
      </c>
      <c r="T23" s="7">
        <v>205.59</v>
      </c>
      <c r="U23" s="36">
        <v>54.27</v>
      </c>
      <c r="V23" s="36">
        <f t="shared" si="11"/>
        <v>23.733682778085786</v>
      </c>
      <c r="W23" s="36">
        <f t="shared" si="12"/>
        <v>4.7090000000000007E-2</v>
      </c>
      <c r="X23" s="14">
        <f t="shared" si="23"/>
        <v>4.7090000000000005</v>
      </c>
      <c r="Y23" s="7">
        <f>Z23-N5</f>
        <v>116.02000000000001</v>
      </c>
      <c r="Z23" s="7">
        <v>123.2</v>
      </c>
      <c r="AA23" s="7">
        <v>52.59</v>
      </c>
      <c r="AB23" s="7">
        <f t="shared" si="13"/>
        <v>39.13980348215825</v>
      </c>
      <c r="AC23" s="7">
        <f t="shared" si="14"/>
        <v>4.5410000000000006E-2</v>
      </c>
      <c r="AD23" s="14">
        <f t="shared" si="24"/>
        <v>4.5410000000000004</v>
      </c>
      <c r="AE23" s="38"/>
      <c r="AF23" s="7"/>
      <c r="AG23" s="15"/>
      <c r="AH23" s="15" t="str">
        <f t="shared" si="15"/>
        <v/>
      </c>
      <c r="AI23" s="15" t="str">
        <f t="shared" si="16"/>
        <v/>
      </c>
      <c r="AJ23" s="14">
        <f t="shared" si="3"/>
        <v>0</v>
      </c>
      <c r="AK23" s="14">
        <f t="shared" si="17"/>
        <v>4.5410000000000004</v>
      </c>
      <c r="AL23" s="14">
        <f t="shared" si="18"/>
        <v>4.7090000000000005</v>
      </c>
      <c r="AM23" s="124">
        <f t="shared" si="4"/>
        <v>50.908108108108109</v>
      </c>
      <c r="AN23" s="57">
        <f t="shared" si="19"/>
        <v>49.091891891891898</v>
      </c>
      <c r="AO23" s="57">
        <f t="shared" si="20"/>
        <v>0</v>
      </c>
    </row>
    <row r="24" spans="2:41" x14ac:dyDescent="0.3">
      <c r="B24" s="3" t="s">
        <v>9</v>
      </c>
      <c r="C24" s="6">
        <v>4</v>
      </c>
      <c r="D24" s="38">
        <v>11.8</v>
      </c>
      <c r="E24" s="164">
        <v>331.15</v>
      </c>
      <c r="F24" s="7">
        <v>104.3</v>
      </c>
      <c r="G24" s="8">
        <f t="shared" si="5"/>
        <v>29.97808439052999</v>
      </c>
      <c r="H24" s="3">
        <v>1</v>
      </c>
      <c r="I24" s="7">
        <f t="shared" si="21"/>
        <v>2.8860261579775912</v>
      </c>
      <c r="J24" s="7">
        <f t="shared" si="6"/>
        <v>0.53444928851436868</v>
      </c>
      <c r="K24" s="7">
        <f t="shared" si="7"/>
        <v>53.44492885143687</v>
      </c>
      <c r="L24" s="6"/>
      <c r="M24" s="31"/>
      <c r="N24" s="31"/>
      <c r="O24" s="37"/>
      <c r="P24" s="37" t="str">
        <f t="shared" si="9"/>
        <v/>
      </c>
      <c r="Q24" s="37" t="str">
        <f t="shared" si="10"/>
        <v/>
      </c>
      <c r="R24" s="14">
        <f t="shared" si="22"/>
        <v>0</v>
      </c>
      <c r="S24" s="7">
        <v>266.88</v>
      </c>
      <c r="T24" s="38">
        <v>272.25</v>
      </c>
      <c r="U24" s="36">
        <v>61.83</v>
      </c>
      <c r="V24" s="36">
        <f t="shared" si="11"/>
        <v>20.6171954578036</v>
      </c>
      <c r="W24" s="36">
        <f t="shared" si="12"/>
        <v>5.5023171237786245E-2</v>
      </c>
      <c r="X24" s="14">
        <f t="shared" si="23"/>
        <v>5.5023171237786244</v>
      </c>
      <c r="Y24" s="7">
        <v>261.01</v>
      </c>
      <c r="Z24" s="7">
        <v>248.23</v>
      </c>
      <c r="AA24" s="7">
        <v>102.99</v>
      </c>
      <c r="AB24" s="7">
        <f t="shared" si="13"/>
        <v>39.746940468782412</v>
      </c>
      <c r="AC24" s="7">
        <f t="shared" si="14"/>
        <v>0.10374348931756895</v>
      </c>
      <c r="AD24" s="14">
        <f t="shared" si="24"/>
        <v>10.374348931756895</v>
      </c>
      <c r="AE24" s="38"/>
      <c r="AF24" s="7"/>
      <c r="AG24" s="15"/>
      <c r="AH24" s="15" t="str">
        <f t="shared" si="15"/>
        <v/>
      </c>
      <c r="AI24" s="15" t="str">
        <f t="shared" si="16"/>
        <v/>
      </c>
      <c r="AJ24" s="14">
        <f t="shared" si="3"/>
        <v>0</v>
      </c>
      <c r="AK24" s="14">
        <f t="shared" si="17"/>
        <v>10.374348931756895</v>
      </c>
      <c r="AL24" s="14">
        <f t="shared" si="18"/>
        <v>5.5023171237786244</v>
      </c>
      <c r="AM24" s="124">
        <f t="shared" si="4"/>
        <v>34.656628189645645</v>
      </c>
      <c r="AN24" s="57">
        <f t="shared" si="19"/>
        <v>65.343371810354355</v>
      </c>
      <c r="AO24" s="57">
        <f t="shared" si="20"/>
        <v>0</v>
      </c>
    </row>
    <row r="25" spans="2:41" x14ac:dyDescent="0.3">
      <c r="B25" s="3" t="s">
        <v>9</v>
      </c>
      <c r="C25" s="6">
        <v>5</v>
      </c>
      <c r="D25" s="38">
        <v>9</v>
      </c>
      <c r="E25" s="164">
        <v>342.91</v>
      </c>
      <c r="F25" s="7">
        <v>123.19</v>
      </c>
      <c r="G25" s="8">
        <f t="shared" si="5"/>
        <v>34.55455276561522</v>
      </c>
      <c r="H25" s="3">
        <v>1</v>
      </c>
      <c r="I25" s="7">
        <f t="shared" si="21"/>
        <v>2.3590807827718696</v>
      </c>
      <c r="J25" s="7">
        <f t="shared" si="6"/>
        <v>0.43686681162442026</v>
      </c>
      <c r="K25" s="7">
        <f t="shared" si="7"/>
        <v>43.686681162442028</v>
      </c>
      <c r="L25" s="6"/>
      <c r="M25" s="31"/>
      <c r="N25" s="31"/>
      <c r="O25" s="37"/>
      <c r="P25" s="37" t="str">
        <f t="shared" si="9"/>
        <v/>
      </c>
      <c r="Q25" s="37" t="str">
        <f t="shared" si="10"/>
        <v/>
      </c>
      <c r="R25" s="14">
        <f t="shared" si="22"/>
        <v>0</v>
      </c>
      <c r="S25" s="31"/>
      <c r="T25" s="31"/>
      <c r="U25" s="37"/>
      <c r="V25" s="37" t="str">
        <f t="shared" si="11"/>
        <v/>
      </c>
      <c r="W25" s="37" t="str">
        <f t="shared" si="12"/>
        <v/>
      </c>
      <c r="X25" s="14">
        <f t="shared" si="23"/>
        <v>0</v>
      </c>
      <c r="Y25" s="7">
        <f>285.6-N5</f>
        <v>278.42</v>
      </c>
      <c r="Z25" s="7">
        <v>285.61</v>
      </c>
      <c r="AA25" s="7">
        <v>130.08000000000001</v>
      </c>
      <c r="AB25" s="7">
        <f t="shared" si="13"/>
        <v>44.14035843838667</v>
      </c>
      <c r="AC25" s="7">
        <f t="shared" si="14"/>
        <v>0.12289558596415617</v>
      </c>
      <c r="AD25" s="14">
        <f t="shared" si="24"/>
        <v>12.289558596415619</v>
      </c>
      <c r="AE25" s="38"/>
      <c r="AF25" s="7"/>
      <c r="AG25" s="15"/>
      <c r="AH25" s="15" t="str">
        <f t="shared" si="15"/>
        <v/>
      </c>
      <c r="AI25" s="15" t="str">
        <f t="shared" si="16"/>
        <v/>
      </c>
      <c r="AJ25" s="14">
        <f t="shared" si="3"/>
        <v>0</v>
      </c>
      <c r="AK25" s="14">
        <f t="shared" si="17"/>
        <v>12.289558596415619</v>
      </c>
      <c r="AL25" s="14"/>
      <c r="AM25" s="124"/>
      <c r="AN25" s="57">
        <f t="shared" si="19"/>
        <v>100</v>
      </c>
      <c r="AO25" s="57">
        <f t="shared" si="20"/>
        <v>0</v>
      </c>
    </row>
    <row r="26" spans="2:41" x14ac:dyDescent="0.3">
      <c r="B26" s="3" t="s">
        <v>9</v>
      </c>
      <c r="C26" s="6">
        <v>6</v>
      </c>
      <c r="D26" s="38">
        <v>19.55</v>
      </c>
      <c r="E26" s="164">
        <v>499.85</v>
      </c>
      <c r="F26" s="7">
        <v>95.65</v>
      </c>
      <c r="G26" s="8">
        <f t="shared" si="5"/>
        <v>17.957253333874601</v>
      </c>
      <c r="H26" s="43">
        <v>2</v>
      </c>
      <c r="I26" s="7">
        <f t="shared" si="21"/>
        <v>3.1204534605313903</v>
      </c>
      <c r="J26" s="7">
        <f t="shared" si="6"/>
        <v>0.28893087597512873</v>
      </c>
      <c r="K26" s="7">
        <f t="shared" si="7"/>
        <v>28.893087597512871</v>
      </c>
      <c r="L26" s="6"/>
      <c r="M26" s="179">
        <v>287.88</v>
      </c>
      <c r="N26" s="38">
        <f>M26</f>
        <v>287.88</v>
      </c>
      <c r="O26" s="36">
        <v>68.540000000000006</v>
      </c>
      <c r="P26" s="36">
        <f t="shared" si="9"/>
        <v>21.859636622728896</v>
      </c>
      <c r="Q26" s="36">
        <f t="shared" si="10"/>
        <v>6.292952190951194E-2</v>
      </c>
      <c r="R26" s="14">
        <f t="shared" si="22"/>
        <v>6.2929521909511941</v>
      </c>
      <c r="S26" s="179">
        <v>845.12</v>
      </c>
      <c r="T26" s="7">
        <v>474.08</v>
      </c>
      <c r="U26" s="36">
        <v>92.22</v>
      </c>
      <c r="V26" s="36">
        <f t="shared" si="11"/>
        <v>18.213750267723281</v>
      </c>
      <c r="W26" s="36">
        <f t="shared" si="12"/>
        <v>0.153928046262583</v>
      </c>
      <c r="X26" s="14">
        <f t="shared" si="23"/>
        <v>15.3928046262583</v>
      </c>
      <c r="Y26" s="179"/>
      <c r="Z26" s="31"/>
      <c r="AA26" s="31"/>
      <c r="AB26" s="31" t="str">
        <f t="shared" si="13"/>
        <v/>
      </c>
      <c r="AC26" s="31" t="str">
        <f t="shared" si="14"/>
        <v/>
      </c>
      <c r="AD26" s="14">
        <f t="shared" si="24"/>
        <v>0</v>
      </c>
      <c r="AE26" s="179">
        <v>13.62</v>
      </c>
      <c r="AF26" s="179">
        <v>13.62</v>
      </c>
      <c r="AG26" s="179">
        <v>10.5</v>
      </c>
      <c r="AH26" s="15">
        <f t="shared" si="15"/>
        <v>51.552795031055908</v>
      </c>
      <c r="AI26" s="15">
        <f t="shared" si="16"/>
        <v>7.0214906832298139E-3</v>
      </c>
      <c r="AJ26" s="14">
        <f>IF(AG26&gt;0,AI26*10000/100,0)</f>
        <v>0.70214906832298141</v>
      </c>
      <c r="AK26" s="14">
        <f t="shared" si="17"/>
        <v>6.2929521909511941</v>
      </c>
      <c r="AL26" s="14">
        <f t="shared" si="18"/>
        <v>15.3928046262583</v>
      </c>
      <c r="AM26" s="124">
        <f t="shared" si="4"/>
        <v>68.754999708147992</v>
      </c>
      <c r="AN26" s="57">
        <f t="shared" si="19"/>
        <v>28.108712905648886</v>
      </c>
      <c r="AO26" s="57">
        <f t="shared" si="20"/>
        <v>3.1362873862031218</v>
      </c>
    </row>
    <row r="27" spans="2:41" x14ac:dyDescent="0.3">
      <c r="B27" s="3" t="s">
        <v>9</v>
      </c>
      <c r="C27" s="6">
        <v>7</v>
      </c>
      <c r="D27" s="38">
        <v>16.100000000000001</v>
      </c>
      <c r="E27" s="164">
        <v>512.12</v>
      </c>
      <c r="F27" s="7">
        <v>103.66</v>
      </c>
      <c r="G27" s="8">
        <f t="shared" si="5"/>
        <v>19.10722065988038</v>
      </c>
      <c r="H27" s="43">
        <v>3</v>
      </c>
      <c r="I27" s="7">
        <f t="shared" si="21"/>
        <v>2.6610855499663328</v>
      </c>
      <c r="J27" s="7">
        <f t="shared" si="6"/>
        <v>0.16426454012137853</v>
      </c>
      <c r="K27" s="7">
        <f t="shared" si="7"/>
        <v>16.426454012137853</v>
      </c>
      <c r="L27" s="6"/>
      <c r="M27" s="7">
        <v>376.63</v>
      </c>
      <c r="N27" s="7">
        <v>257.43</v>
      </c>
      <c r="O27" s="36">
        <v>70.44</v>
      </c>
      <c r="P27" s="36">
        <f t="shared" si="9"/>
        <v>25.278721278721278</v>
      </c>
      <c r="Q27" s="36">
        <f t="shared" si="10"/>
        <v>9.5207247952047949E-2</v>
      </c>
      <c r="R27" s="14">
        <f t="shared" si="22"/>
        <v>9.5207247952047958</v>
      </c>
      <c r="S27" s="7">
        <v>518.29999999999995</v>
      </c>
      <c r="T27" s="7">
        <v>262.86</v>
      </c>
      <c r="U27" s="36">
        <v>55.3</v>
      </c>
      <c r="V27" s="36">
        <f t="shared" si="11"/>
        <v>18.82040050062578</v>
      </c>
      <c r="W27" s="36">
        <f t="shared" si="12"/>
        <v>9.7546135794743402E-2</v>
      </c>
      <c r="X27" s="14">
        <f t="shared" si="23"/>
        <v>9.7546135794743414</v>
      </c>
      <c r="Y27" s="31"/>
      <c r="Z27" s="31"/>
      <c r="AA27" s="31"/>
      <c r="AB27" s="31" t="str">
        <f t="shared" si="13"/>
        <v/>
      </c>
      <c r="AC27" s="31" t="str">
        <f t="shared" si="14"/>
        <v/>
      </c>
      <c r="AD27" s="14">
        <f t="shared" si="24"/>
        <v>0</v>
      </c>
      <c r="AE27" s="38"/>
      <c r="AF27" s="7"/>
      <c r="AG27" s="15"/>
      <c r="AH27" s="15" t="str">
        <f t="shared" si="15"/>
        <v/>
      </c>
      <c r="AI27" s="15" t="str">
        <f t="shared" si="16"/>
        <v/>
      </c>
      <c r="AJ27" s="14">
        <f t="shared" si="3"/>
        <v>0</v>
      </c>
      <c r="AK27" s="14">
        <f t="shared" si="17"/>
        <v>9.5207247952047958</v>
      </c>
      <c r="AL27" s="14">
        <f t="shared" si="18"/>
        <v>9.7546135794743414</v>
      </c>
      <c r="AM27" s="124">
        <f t="shared" si="4"/>
        <v>50.606704742928898</v>
      </c>
      <c r="AN27" s="57">
        <f t="shared" si="19"/>
        <v>49.393295257071095</v>
      </c>
      <c r="AO27" s="57">
        <f t="shared" si="20"/>
        <v>0</v>
      </c>
    </row>
    <row r="28" spans="2:41" x14ac:dyDescent="0.3">
      <c r="B28" s="3" t="s">
        <v>9</v>
      </c>
      <c r="C28" s="6">
        <v>8</v>
      </c>
      <c r="D28" s="38">
        <v>13.1</v>
      </c>
      <c r="E28" s="164">
        <v>454.82</v>
      </c>
      <c r="F28" s="7">
        <v>115.9</v>
      </c>
      <c r="G28" s="8">
        <f t="shared" si="5"/>
        <v>24.287373782503799</v>
      </c>
      <c r="H28" s="43">
        <v>1</v>
      </c>
      <c r="I28" s="7">
        <f t="shared" si="21"/>
        <v>2.6539104780627287</v>
      </c>
      <c r="J28" s="7">
        <f t="shared" si="6"/>
        <v>0.49146490334494974</v>
      </c>
      <c r="K28" s="7">
        <f t="shared" si="7"/>
        <v>49.146490334494978</v>
      </c>
      <c r="L28" s="6"/>
      <c r="M28" s="7">
        <v>618.9</v>
      </c>
      <c r="N28" s="7">
        <v>241.1</v>
      </c>
      <c r="O28" s="36">
        <v>75.42</v>
      </c>
      <c r="P28" s="36">
        <f t="shared" si="9"/>
        <v>29.172366621067034</v>
      </c>
      <c r="Q28" s="36">
        <f t="shared" si="10"/>
        <v>0.18054777701778388</v>
      </c>
      <c r="R28" s="14">
        <f t="shared" si="22"/>
        <v>18.054777701778388</v>
      </c>
      <c r="S28" s="7">
        <v>66.010000000000005</v>
      </c>
      <c r="T28" s="7">
        <v>72.959999999999994</v>
      </c>
      <c r="U28" s="36">
        <v>22.11</v>
      </c>
      <c r="V28" s="36">
        <f t="shared" si="11"/>
        <v>22.696868349042262</v>
      </c>
      <c r="W28" s="36">
        <f t="shared" si="12"/>
        <v>1.4982202797202799E-2</v>
      </c>
      <c r="X28" s="14">
        <f t="shared" si="23"/>
        <v>1.4982202797202799</v>
      </c>
      <c r="Y28" s="31"/>
      <c r="Z28" s="31"/>
      <c r="AA28" s="31"/>
      <c r="AB28" s="31" t="str">
        <f t="shared" si="13"/>
        <v/>
      </c>
      <c r="AC28" s="31" t="str">
        <f t="shared" si="14"/>
        <v/>
      </c>
      <c r="AD28" s="14">
        <f t="shared" si="24"/>
        <v>0</v>
      </c>
      <c r="AE28" s="38">
        <v>2.21</v>
      </c>
      <c r="AF28" s="7">
        <v>9.5500000000000007</v>
      </c>
      <c r="AG28" s="15">
        <v>7.8</v>
      </c>
      <c r="AH28" s="15">
        <f t="shared" si="15"/>
        <v>26.160337552742607</v>
      </c>
      <c r="AI28" s="15">
        <f t="shared" si="16"/>
        <v>5.7814345991561171E-4</v>
      </c>
      <c r="AJ28" s="14">
        <f t="shared" si="3"/>
        <v>5.781434599156117E-2</v>
      </c>
      <c r="AK28" s="14">
        <f t="shared" si="17"/>
        <v>18.054777701778388</v>
      </c>
      <c r="AL28" s="14">
        <f t="shared" si="18"/>
        <v>1.4982202797202799</v>
      </c>
      <c r="AM28" s="124">
        <f t="shared" si="4"/>
        <v>7.639766546641674</v>
      </c>
      <c r="AN28" s="57">
        <f t="shared" si="19"/>
        <v>92.065424931273213</v>
      </c>
      <c r="AO28" s="57">
        <f t="shared" si="20"/>
        <v>0.29480852208512359</v>
      </c>
    </row>
    <row r="29" spans="2:41" x14ac:dyDescent="0.3">
      <c r="B29" s="16" t="s">
        <v>9</v>
      </c>
      <c r="C29" s="17">
        <v>9</v>
      </c>
      <c r="D29" s="41">
        <v>8.25</v>
      </c>
      <c r="E29" s="164">
        <v>412.32</v>
      </c>
      <c r="F29" s="18">
        <v>137.27000000000001</v>
      </c>
      <c r="G29" s="19">
        <f t="shared" si="5"/>
        <v>32.109887939971372</v>
      </c>
      <c r="H29" s="88">
        <v>1</v>
      </c>
      <c r="I29" s="18">
        <f t="shared" si="21"/>
        <v>1.9513564219775881</v>
      </c>
      <c r="J29" s="18">
        <f t="shared" si="6"/>
        <v>0.36136230036621997</v>
      </c>
      <c r="K29" s="18">
        <f t="shared" si="7"/>
        <v>36.136230036621996</v>
      </c>
      <c r="L29" s="17"/>
      <c r="M29" s="18">
        <v>474.4</v>
      </c>
      <c r="N29" s="18">
        <v>200.3</v>
      </c>
      <c r="O29" s="18">
        <v>62.18</v>
      </c>
      <c r="P29" s="18">
        <f t="shared" si="9"/>
        <v>28.479701739850871</v>
      </c>
      <c r="Q29" s="18">
        <f t="shared" si="10"/>
        <v>0.13510770505385253</v>
      </c>
      <c r="R29" s="14">
        <f t="shared" si="22"/>
        <v>13.510770505385253</v>
      </c>
      <c r="S29" s="33"/>
      <c r="T29" s="33"/>
      <c r="U29" s="33"/>
      <c r="V29" s="33" t="str">
        <f t="shared" si="11"/>
        <v/>
      </c>
      <c r="W29" s="33" t="str">
        <f t="shared" si="12"/>
        <v/>
      </c>
      <c r="X29" s="14">
        <f t="shared" si="23"/>
        <v>0</v>
      </c>
      <c r="Y29" s="33"/>
      <c r="Z29" s="33"/>
      <c r="AA29" s="33"/>
      <c r="AB29" s="33" t="str">
        <f t="shared" si="13"/>
        <v/>
      </c>
      <c r="AC29" s="33" t="str">
        <f t="shared" si="14"/>
        <v/>
      </c>
      <c r="AD29" s="14">
        <f t="shared" si="24"/>
        <v>0</v>
      </c>
      <c r="AE29" s="41"/>
      <c r="AF29" s="18"/>
      <c r="AG29" s="41"/>
      <c r="AH29" s="41" t="str">
        <f t="shared" si="15"/>
        <v/>
      </c>
      <c r="AI29" s="41" t="str">
        <f t="shared" si="16"/>
        <v/>
      </c>
      <c r="AJ29" s="14">
        <f t="shared" si="3"/>
        <v>0</v>
      </c>
      <c r="AK29" s="14">
        <f t="shared" si="17"/>
        <v>13.510770505385253</v>
      </c>
      <c r="AL29" s="14"/>
      <c r="AM29" s="124"/>
      <c r="AN29" s="57">
        <f t="shared" si="19"/>
        <v>100</v>
      </c>
      <c r="AO29" s="57">
        <f t="shared" si="20"/>
        <v>0</v>
      </c>
    </row>
    <row r="30" spans="2:41" x14ac:dyDescent="0.3">
      <c r="B30" s="3" t="s">
        <v>10</v>
      </c>
      <c r="C30" s="6">
        <v>1</v>
      </c>
      <c r="D30" s="38">
        <v>14.8</v>
      </c>
      <c r="E30" s="164">
        <v>476.79</v>
      </c>
      <c r="F30" s="7">
        <v>99.98</v>
      </c>
      <c r="G30" s="8">
        <f t="shared" si="5"/>
        <v>19.761078341602609</v>
      </c>
      <c r="H30" s="43">
        <v>2</v>
      </c>
      <c r="I30" s="7">
        <f t="shared" si="21"/>
        <v>2.4952550754881715</v>
      </c>
      <c r="J30" s="7">
        <f t="shared" si="6"/>
        <v>0.23104213661927511</v>
      </c>
      <c r="K30" s="7">
        <f t="shared" si="7"/>
        <v>23.10421366192751</v>
      </c>
      <c r="L30" s="6"/>
      <c r="M30" s="31"/>
      <c r="N30" s="31"/>
      <c r="O30" s="37"/>
      <c r="P30" s="37" t="str">
        <f t="shared" si="9"/>
        <v/>
      </c>
      <c r="Q30" s="37" t="str">
        <f t="shared" si="10"/>
        <v/>
      </c>
      <c r="R30" s="14">
        <f t="shared" si="22"/>
        <v>0</v>
      </c>
      <c r="S30" s="7">
        <v>953.57</v>
      </c>
      <c r="T30" s="7">
        <v>321.2</v>
      </c>
      <c r="U30" s="36">
        <v>66.510000000000005</v>
      </c>
      <c r="V30" s="36">
        <f t="shared" si="11"/>
        <v>18.893701038150439</v>
      </c>
      <c r="W30" s="36">
        <f t="shared" si="12"/>
        <v>0.18016466498949119</v>
      </c>
      <c r="X30" s="14">
        <f t="shared" si="23"/>
        <v>18.016466498949118</v>
      </c>
      <c r="Y30" s="31"/>
      <c r="Z30" s="31"/>
      <c r="AA30" s="31"/>
      <c r="AB30" s="31" t="str">
        <f t="shared" si="13"/>
        <v/>
      </c>
      <c r="AC30" s="31" t="str">
        <f t="shared" si="14"/>
        <v/>
      </c>
      <c r="AD30" s="14">
        <f t="shared" si="24"/>
        <v>0</v>
      </c>
      <c r="AE30" s="38">
        <v>23.26</v>
      </c>
      <c r="AF30" s="38">
        <v>29.77</v>
      </c>
      <c r="AG30" s="38">
        <v>12.2</v>
      </c>
      <c r="AH30" s="40">
        <f t="shared" si="15"/>
        <v>22.222222222222221</v>
      </c>
      <c r="AI30" s="40">
        <f t="shared" si="16"/>
        <v>5.1688888888888887E-3</v>
      </c>
      <c r="AJ30" s="14">
        <f t="shared" si="3"/>
        <v>0.51688888888888895</v>
      </c>
      <c r="AK30" s="14">
        <f t="shared" si="17"/>
        <v>0</v>
      </c>
      <c r="AL30" s="14">
        <f t="shared" ref="AL30" si="25">X30</f>
        <v>18.016466498949118</v>
      </c>
      <c r="AM30" s="124">
        <f t="shared" si="4"/>
        <v>97.211034493904521</v>
      </c>
      <c r="AN30" s="57" t="str">
        <f t="shared" si="19"/>
        <v/>
      </c>
      <c r="AO30" s="57">
        <f t="shared" si="20"/>
        <v>2.7889655060954732</v>
      </c>
    </row>
    <row r="31" spans="2:41" x14ac:dyDescent="0.3">
      <c r="B31" s="3" t="s">
        <v>10</v>
      </c>
      <c r="C31" s="6">
        <v>2</v>
      </c>
      <c r="D31" s="38">
        <v>17.2</v>
      </c>
      <c r="E31" s="164">
        <v>476.3</v>
      </c>
      <c r="F31" s="7">
        <v>117.99</v>
      </c>
      <c r="G31" s="8">
        <f t="shared" si="5"/>
        <v>23.62082196452933</v>
      </c>
      <c r="H31" s="43">
        <v>1</v>
      </c>
      <c r="I31" s="7">
        <f t="shared" si="21"/>
        <v>3.54952926159618</v>
      </c>
      <c r="J31" s="7">
        <f t="shared" si="6"/>
        <v>0.65732023362892222</v>
      </c>
      <c r="K31" s="7">
        <f t="shared" si="7"/>
        <v>65.732023362892221</v>
      </c>
      <c r="L31" s="6"/>
      <c r="M31" s="31"/>
      <c r="N31" s="31"/>
      <c r="O31" s="37"/>
      <c r="P31" s="37" t="str">
        <f t="shared" si="9"/>
        <v/>
      </c>
      <c r="Q31" s="37" t="str">
        <f t="shared" si="10"/>
        <v/>
      </c>
      <c r="R31" s="14">
        <f t="shared" si="22"/>
        <v>0</v>
      </c>
      <c r="S31" s="7">
        <v>773.06</v>
      </c>
      <c r="T31" s="7">
        <v>356.45</v>
      </c>
      <c r="U31" s="36">
        <v>67.28</v>
      </c>
      <c r="V31" s="36">
        <f t="shared" si="11"/>
        <v>17.207318120651646</v>
      </c>
      <c r="W31" s="36">
        <f t="shared" si="12"/>
        <v>0.13302289346350959</v>
      </c>
      <c r="X31" s="14">
        <f t="shared" si="23"/>
        <v>13.30228934635096</v>
      </c>
      <c r="Y31" s="7">
        <v>140.05000000000001</v>
      </c>
      <c r="Z31" s="7">
        <v>146.55000000000001</v>
      </c>
      <c r="AA31" s="7">
        <v>55.89</v>
      </c>
      <c r="AB31" s="7">
        <f t="shared" si="13"/>
        <v>34.950132740187989</v>
      </c>
      <c r="AC31" s="7">
        <f t="shared" si="14"/>
        <v>4.8947660902633278E-2</v>
      </c>
      <c r="AD31" s="14">
        <f t="shared" si="24"/>
        <v>4.8947660902633281</v>
      </c>
      <c r="AE31" s="38">
        <v>3.29</v>
      </c>
      <c r="AF31" s="54">
        <v>10.47</v>
      </c>
      <c r="AG31" s="54">
        <v>8.9600000000000009</v>
      </c>
      <c r="AH31" s="54">
        <f t="shared" si="15"/>
        <v>54.103343465045619</v>
      </c>
      <c r="AI31" s="54">
        <f t="shared" si="16"/>
        <v>1.780000000000001E-3</v>
      </c>
      <c r="AJ31" s="14">
        <f t="shared" si="3"/>
        <v>0.1780000000000001</v>
      </c>
      <c r="AK31" s="14">
        <f t="shared" si="17"/>
        <v>4.8947660902633281</v>
      </c>
      <c r="AL31" s="14">
        <f t="shared" si="18"/>
        <v>13.30228934635096</v>
      </c>
      <c r="AM31" s="124">
        <f t="shared" si="4"/>
        <v>72.393193001446448</v>
      </c>
      <c r="AN31" s="57">
        <f t="shared" si="19"/>
        <v>26.638102438101907</v>
      </c>
      <c r="AO31" s="57">
        <f t="shared" si="20"/>
        <v>0.96870456045164255</v>
      </c>
    </row>
    <row r="32" spans="2:41" x14ac:dyDescent="0.3">
      <c r="B32" s="3" t="s">
        <v>10</v>
      </c>
      <c r="C32" s="6">
        <v>3</v>
      </c>
      <c r="D32" s="38">
        <v>12.35</v>
      </c>
      <c r="E32" s="164">
        <v>409.16</v>
      </c>
      <c r="F32" s="7">
        <v>111.1</v>
      </c>
      <c r="G32" s="8">
        <f t="shared" si="5"/>
        <v>25.852032439424843</v>
      </c>
      <c r="H32" s="43">
        <v>1</v>
      </c>
      <c r="I32" s="7">
        <f t="shared" si="21"/>
        <v>2.6309923637991934</v>
      </c>
      <c r="J32" s="7">
        <f t="shared" si="6"/>
        <v>0.48722080811096169</v>
      </c>
      <c r="K32" s="7">
        <f t="shared" si="7"/>
        <v>48.722080811096163</v>
      </c>
      <c r="L32" s="6"/>
      <c r="M32" s="31"/>
      <c r="N32" s="31"/>
      <c r="O32" s="37"/>
      <c r="P32" s="37" t="str">
        <f t="shared" si="9"/>
        <v/>
      </c>
      <c r="Q32" s="37" t="str">
        <f t="shared" si="10"/>
        <v/>
      </c>
      <c r="R32" s="14">
        <f t="shared" si="22"/>
        <v>0</v>
      </c>
      <c r="S32" s="7">
        <v>516.62</v>
      </c>
      <c r="T32" s="7">
        <v>285.98</v>
      </c>
      <c r="U32" s="36">
        <v>62.45</v>
      </c>
      <c r="V32" s="36">
        <f t="shared" si="11"/>
        <v>19.824246771879483</v>
      </c>
      <c r="W32" s="36">
        <f t="shared" si="12"/>
        <v>0.10241602367288379</v>
      </c>
      <c r="X32" s="14">
        <f t="shared" si="23"/>
        <v>10.241602367288378</v>
      </c>
      <c r="Y32" s="7">
        <v>172.5</v>
      </c>
      <c r="Z32" s="7">
        <v>159.47</v>
      </c>
      <c r="AA32" s="7">
        <v>60.86</v>
      </c>
      <c r="AB32" s="7">
        <f t="shared" si="13"/>
        <v>35.248538971698736</v>
      </c>
      <c r="AC32" s="7">
        <f t="shared" si="14"/>
        <v>6.0803729726180318E-2</v>
      </c>
      <c r="AD32" s="14">
        <f t="shared" si="24"/>
        <v>6.0803729726180311</v>
      </c>
      <c r="AE32" s="38"/>
      <c r="AF32" s="54"/>
      <c r="AG32" s="54"/>
      <c r="AH32" s="54" t="str">
        <f t="shared" si="15"/>
        <v/>
      </c>
      <c r="AI32" s="54" t="str">
        <f t="shared" si="16"/>
        <v/>
      </c>
      <c r="AJ32" s="14">
        <f t="shared" si="3"/>
        <v>0</v>
      </c>
      <c r="AK32" s="14">
        <f t="shared" si="17"/>
        <v>6.0803729726180311</v>
      </c>
      <c r="AL32" s="14">
        <f t="shared" si="18"/>
        <v>10.241602367288378</v>
      </c>
      <c r="AM32" s="124">
        <f t="shared" si="4"/>
        <v>62.747321656884111</v>
      </c>
      <c r="AN32" s="57">
        <f t="shared" si="19"/>
        <v>37.252678343115889</v>
      </c>
      <c r="AO32" s="57">
        <f t="shared" si="20"/>
        <v>0</v>
      </c>
    </row>
    <row r="33" spans="2:41" x14ac:dyDescent="0.3">
      <c r="B33" s="3" t="s">
        <v>10</v>
      </c>
      <c r="C33" s="6">
        <v>4</v>
      </c>
      <c r="D33" s="38">
        <v>12.65</v>
      </c>
      <c r="E33" s="164">
        <v>379.23</v>
      </c>
      <c r="F33" s="7">
        <v>107.72</v>
      </c>
      <c r="G33" s="8">
        <f t="shared" si="5"/>
        <v>27.023249563230745</v>
      </c>
      <c r="H33" s="43">
        <v>1</v>
      </c>
      <c r="I33" s="7">
        <f t="shared" si="21"/>
        <v>2.8312582846391607</v>
      </c>
      <c r="J33" s="7">
        <f t="shared" si="6"/>
        <v>0.52430708974799267</v>
      </c>
      <c r="K33" s="7">
        <f t="shared" si="7"/>
        <v>52.430708974799266</v>
      </c>
      <c r="L33" s="6"/>
      <c r="M33" s="31"/>
      <c r="N33" s="31"/>
      <c r="O33" s="37"/>
      <c r="P33" s="37" t="str">
        <f t="shared" si="9"/>
        <v/>
      </c>
      <c r="Q33" s="37" t="str">
        <f t="shared" si="10"/>
        <v/>
      </c>
      <c r="R33" s="14">
        <f t="shared" si="22"/>
        <v>0</v>
      </c>
      <c r="S33" s="38">
        <v>96.75</v>
      </c>
      <c r="T33" s="7">
        <v>103.88</v>
      </c>
      <c r="U33" s="36">
        <v>26.1</v>
      </c>
      <c r="V33" s="36">
        <f t="shared" si="11"/>
        <v>19.565667011375393</v>
      </c>
      <c r="W33" s="36">
        <f t="shared" si="12"/>
        <v>1.8929782833505694E-2</v>
      </c>
      <c r="X33" s="14">
        <f t="shared" si="23"/>
        <v>1.8929782833505695</v>
      </c>
      <c r="Y33" s="7">
        <v>306.45999999999998</v>
      </c>
      <c r="Z33" s="7">
        <v>152.72999999999999</v>
      </c>
      <c r="AA33" s="7">
        <v>59.77</v>
      </c>
      <c r="AB33" s="7">
        <f t="shared" si="13"/>
        <v>36.131913431810382</v>
      </c>
      <c r="AC33" s="7">
        <f t="shared" si="14"/>
        <v>0.11072986190312607</v>
      </c>
      <c r="AD33" s="14">
        <f t="shared" si="24"/>
        <v>11.072986190312609</v>
      </c>
      <c r="AE33" s="38"/>
      <c r="AF33" s="54"/>
      <c r="AG33" s="54"/>
      <c r="AH33" s="54" t="str">
        <f t="shared" si="15"/>
        <v/>
      </c>
      <c r="AI33" s="54" t="str">
        <f t="shared" si="16"/>
        <v/>
      </c>
      <c r="AJ33" s="14">
        <f t="shared" si="3"/>
        <v>0</v>
      </c>
      <c r="AK33" s="14">
        <f t="shared" si="17"/>
        <v>11.072986190312609</v>
      </c>
      <c r="AL33" s="14">
        <f t="shared" si="18"/>
        <v>1.8929782833505695</v>
      </c>
      <c r="AM33" s="124">
        <f t="shared" si="4"/>
        <v>14.599594863888752</v>
      </c>
      <c r="AN33" s="57">
        <f t="shared" si="19"/>
        <v>85.40040513611126</v>
      </c>
      <c r="AO33" s="57">
        <f t="shared" si="20"/>
        <v>0</v>
      </c>
    </row>
    <row r="34" spans="2:41" x14ac:dyDescent="0.3">
      <c r="B34" s="3" t="s">
        <v>10</v>
      </c>
      <c r="C34" s="6">
        <v>5</v>
      </c>
      <c r="D34" s="38">
        <v>9.25</v>
      </c>
      <c r="E34" s="164">
        <v>324.25</v>
      </c>
      <c r="F34" s="7">
        <v>126.07</v>
      </c>
      <c r="G34" s="8">
        <f t="shared" si="5"/>
        <v>37.496451887595796</v>
      </c>
      <c r="H34" s="43">
        <v>1</v>
      </c>
      <c r="I34" s="7">
        <f t="shared" si="21"/>
        <v>2.6536688958274195</v>
      </c>
      <c r="J34" s="7">
        <f t="shared" si="6"/>
        <v>0.49142016589396653</v>
      </c>
      <c r="K34" s="7">
        <f t="shared" si="7"/>
        <v>49.142016589396654</v>
      </c>
      <c r="L34" s="6"/>
      <c r="M34" s="31"/>
      <c r="N34" s="31"/>
      <c r="O34" s="37"/>
      <c r="P34" s="37" t="str">
        <f t="shared" si="9"/>
        <v/>
      </c>
      <c r="Q34" s="37" t="str">
        <f t="shared" si="10"/>
        <v/>
      </c>
      <c r="R34" s="14">
        <f t="shared" si="22"/>
        <v>0</v>
      </c>
      <c r="S34" s="31"/>
      <c r="T34" s="31"/>
      <c r="U34" s="37"/>
      <c r="V34" s="37" t="str">
        <f t="shared" si="11"/>
        <v/>
      </c>
      <c r="W34" s="37" t="str">
        <f t="shared" si="12"/>
        <v/>
      </c>
      <c r="X34" s="14">
        <f t="shared" si="23"/>
        <v>0</v>
      </c>
      <c r="Y34" s="7">
        <v>381.69</v>
      </c>
      <c r="Z34" s="7">
        <v>208.65</v>
      </c>
      <c r="AA34" s="7">
        <v>86.05</v>
      </c>
      <c r="AB34" s="7">
        <f t="shared" si="13"/>
        <v>39.147267583263016</v>
      </c>
      <c r="AC34" s="7">
        <f t="shared" si="14"/>
        <v>0.14942120563855663</v>
      </c>
      <c r="AD34" s="14">
        <f t="shared" si="24"/>
        <v>14.942120563855662</v>
      </c>
      <c r="AE34" s="38"/>
      <c r="AF34" s="54"/>
      <c r="AG34" s="54"/>
      <c r="AH34" s="54" t="str">
        <f t="shared" si="15"/>
        <v/>
      </c>
      <c r="AI34" s="54" t="str">
        <f t="shared" si="16"/>
        <v/>
      </c>
      <c r="AJ34" s="14">
        <f t="shared" si="3"/>
        <v>0</v>
      </c>
      <c r="AK34" s="14">
        <f t="shared" si="17"/>
        <v>14.942120563855662</v>
      </c>
      <c r="AL34" s="14"/>
      <c r="AM34" s="124"/>
      <c r="AN34" s="57">
        <f t="shared" si="19"/>
        <v>100</v>
      </c>
      <c r="AO34" s="57">
        <f t="shared" si="20"/>
        <v>0</v>
      </c>
    </row>
    <row r="35" spans="2:41" x14ac:dyDescent="0.3">
      <c r="B35" s="3" t="s">
        <v>10</v>
      </c>
      <c r="C35" s="6">
        <v>6</v>
      </c>
      <c r="D35" s="38">
        <v>11.05</v>
      </c>
      <c r="E35" s="164">
        <v>537.21</v>
      </c>
      <c r="F35" s="7">
        <v>113.95</v>
      </c>
      <c r="G35" s="8">
        <f t="shared" si="5"/>
        <v>20.144142784370693</v>
      </c>
      <c r="H35" s="43">
        <v>1</v>
      </c>
      <c r="I35" s="7">
        <f t="shared" si="21"/>
        <v>1.7882197279399281</v>
      </c>
      <c r="J35" s="7">
        <f t="shared" si="6"/>
        <v>0.33115180147035705</v>
      </c>
      <c r="K35" s="7">
        <f t="shared" si="7"/>
        <v>33.115180147035709</v>
      </c>
      <c r="L35" s="6"/>
      <c r="M35" s="7">
        <v>171.85</v>
      </c>
      <c r="N35" s="7">
        <v>167.88</v>
      </c>
      <c r="O35" s="36">
        <v>54.64</v>
      </c>
      <c r="P35" s="36">
        <f t="shared" si="9"/>
        <v>29.533291848164282</v>
      </c>
      <c r="Q35" s="36">
        <f t="shared" si="10"/>
        <v>5.0752962041070319E-2</v>
      </c>
      <c r="R35" s="14">
        <f t="shared" si="22"/>
        <v>5.0752962041070324</v>
      </c>
      <c r="S35" s="7">
        <v>362.89</v>
      </c>
      <c r="T35" s="7">
        <v>348.17</v>
      </c>
      <c r="U35" s="36">
        <v>86.25</v>
      </c>
      <c r="V35" s="36">
        <f t="shared" si="11"/>
        <v>23.188363295111291</v>
      </c>
      <c r="W35" s="36">
        <f t="shared" si="12"/>
        <v>8.4148251561629361E-2</v>
      </c>
      <c r="X35" s="14">
        <f t="shared" si="23"/>
        <v>8.4148251561629372</v>
      </c>
      <c r="Y35" s="31"/>
      <c r="Z35" s="31"/>
      <c r="AA35" s="31"/>
      <c r="AB35" s="31" t="str">
        <f t="shared" si="13"/>
        <v/>
      </c>
      <c r="AC35" s="31" t="str">
        <f t="shared" si="14"/>
        <v/>
      </c>
      <c r="AD35" s="14">
        <f t="shared" si="24"/>
        <v>0</v>
      </c>
      <c r="AE35" s="38">
        <v>5.03</v>
      </c>
      <c r="AF35" s="54">
        <v>12.24</v>
      </c>
      <c r="AG35" s="54"/>
      <c r="AH35" s="54">
        <f t="shared" si="15"/>
        <v>-141.897233201581</v>
      </c>
      <c r="AI35" s="54">
        <f t="shared" si="16"/>
        <v>-7.1374308300395251E-3</v>
      </c>
      <c r="AJ35" s="14">
        <f t="shared" si="3"/>
        <v>-0.71374308300395262</v>
      </c>
      <c r="AK35" s="14">
        <f t="shared" si="17"/>
        <v>5.0752962041070324</v>
      </c>
      <c r="AL35" s="14">
        <f t="shared" si="18"/>
        <v>8.4148251561629372</v>
      </c>
      <c r="AM35" s="124">
        <f>IF((100/SUM(AJ35:AL35)*AL35),(100/SUM(AJ35:AL35)*AL35),(100/SUM(AJ35:AL35)*AL35))</f>
        <v>65.862367046035857</v>
      </c>
      <c r="AN35" s="57">
        <f t="shared" si="19"/>
        <v>39.724060245914082</v>
      </c>
      <c r="AO35" s="57">
        <f t="shared" si="20"/>
        <v>-5.586427291949942</v>
      </c>
    </row>
    <row r="36" spans="2:41" x14ac:dyDescent="0.3">
      <c r="B36" s="3" t="s">
        <v>10</v>
      </c>
      <c r="C36" s="6">
        <v>7</v>
      </c>
      <c r="D36" s="38">
        <v>14.55</v>
      </c>
      <c r="E36" s="164">
        <v>437.16</v>
      </c>
      <c r="F36" s="7">
        <v>97.39</v>
      </c>
      <c r="G36" s="8">
        <f t="shared" si="5"/>
        <v>20.980045583515512</v>
      </c>
      <c r="H36" s="43">
        <v>2</v>
      </c>
      <c r="I36" s="7">
        <f t="shared" si="21"/>
        <v>2.5967254179264154</v>
      </c>
      <c r="J36" s="7">
        <f t="shared" si="6"/>
        <v>0.2404375386968903</v>
      </c>
      <c r="K36" s="7">
        <f t="shared" si="7"/>
        <v>24.043753869689031</v>
      </c>
      <c r="L36" s="6"/>
      <c r="M36" s="7">
        <f>N36-N5</f>
        <v>344.11</v>
      </c>
      <c r="N36" s="38">
        <f>351.29</f>
        <v>351.29</v>
      </c>
      <c r="O36" s="36">
        <v>102.48</v>
      </c>
      <c r="P36" s="36">
        <f t="shared" si="9"/>
        <v>27.69463253029555</v>
      </c>
      <c r="Q36" s="36">
        <f t="shared" si="10"/>
        <v>9.530000000000001E-2</v>
      </c>
      <c r="R36" s="14">
        <f t="shared" si="22"/>
        <v>9.5300000000000011</v>
      </c>
      <c r="S36" s="38">
        <f>561.03-N5</f>
        <v>553.85</v>
      </c>
      <c r="T36" s="7">
        <v>561.01</v>
      </c>
      <c r="U36" s="36">
        <v>115.39</v>
      </c>
      <c r="V36" s="36">
        <f t="shared" si="11"/>
        <v>19.538486539190728</v>
      </c>
      <c r="W36" s="36">
        <f t="shared" si="12"/>
        <v>0.10821390769730785</v>
      </c>
      <c r="X36" s="14">
        <f t="shared" si="23"/>
        <v>10.821390769730785</v>
      </c>
      <c r="Y36" s="31"/>
      <c r="Z36" s="31"/>
      <c r="AA36" s="31"/>
      <c r="AB36" s="31" t="str">
        <f t="shared" si="13"/>
        <v/>
      </c>
      <c r="AC36" s="31" t="str">
        <f t="shared" si="14"/>
        <v/>
      </c>
      <c r="AD36" s="14">
        <f t="shared" si="24"/>
        <v>0</v>
      </c>
      <c r="AE36" s="38"/>
      <c r="AF36" s="54"/>
      <c r="AG36" s="54"/>
      <c r="AH36" s="54" t="str">
        <f t="shared" si="15"/>
        <v/>
      </c>
      <c r="AI36" s="54" t="str">
        <f t="shared" si="16"/>
        <v/>
      </c>
      <c r="AJ36" s="14">
        <f t="shared" si="3"/>
        <v>0</v>
      </c>
      <c r="AK36" s="14">
        <f t="shared" si="17"/>
        <v>9.5300000000000011</v>
      </c>
      <c r="AL36" s="14">
        <f t="shared" si="18"/>
        <v>10.821390769730785</v>
      </c>
      <c r="AM36" s="124">
        <f t="shared" ref="AM36:AM46" si="26">IF((100/SUM(AJ36:AL36)*AL36),(100/SUM(AJ36:AL36)*AL36),(100/SUM(AJ36:AL36)*AL36))</f>
        <v>53.172733461664713</v>
      </c>
      <c r="AN36" s="57">
        <f t="shared" si="19"/>
        <v>46.827266538335287</v>
      </c>
      <c r="AO36" s="57">
        <f t="shared" si="20"/>
        <v>0</v>
      </c>
    </row>
    <row r="37" spans="2:41" x14ac:dyDescent="0.3">
      <c r="B37" s="3" t="s">
        <v>10</v>
      </c>
      <c r="C37" s="6">
        <v>8</v>
      </c>
      <c r="D37" s="38">
        <v>12.8</v>
      </c>
      <c r="E37" s="164">
        <v>443.63</v>
      </c>
      <c r="F37" s="7">
        <v>102.27</v>
      </c>
      <c r="G37" s="8">
        <f t="shared" si="5"/>
        <v>21.787146293962657</v>
      </c>
      <c r="H37" s="43">
        <v>2</v>
      </c>
      <c r="I37" s="7">
        <f t="shared" si="21"/>
        <v>2.3153461812349647</v>
      </c>
      <c r="J37" s="7">
        <f t="shared" si="6"/>
        <v>0.21438390566990412</v>
      </c>
      <c r="K37" s="7">
        <f t="shared" si="7"/>
        <v>21.43839056699041</v>
      </c>
      <c r="L37" s="6"/>
      <c r="M37" s="7">
        <v>337.3</v>
      </c>
      <c r="N37" s="7">
        <v>308.5</v>
      </c>
      <c r="O37" s="36">
        <v>91.88</v>
      </c>
      <c r="P37" s="36">
        <f t="shared" si="9"/>
        <v>28.109650869507497</v>
      </c>
      <c r="Q37" s="36">
        <f t="shared" si="10"/>
        <v>9.4813852382848798E-2</v>
      </c>
      <c r="R37" s="14">
        <f t="shared" si="22"/>
        <v>9.4813852382848793</v>
      </c>
      <c r="S37" s="7">
        <v>338.15</v>
      </c>
      <c r="T37" s="7">
        <v>345.08</v>
      </c>
      <c r="U37" s="36">
        <v>71.3</v>
      </c>
      <c r="V37" s="36">
        <f t="shared" si="11"/>
        <v>18.976028410772418</v>
      </c>
      <c r="W37" s="36">
        <f t="shared" si="12"/>
        <v>6.4167440071026927E-2</v>
      </c>
      <c r="X37" s="14">
        <f t="shared" si="23"/>
        <v>6.4167440071026931</v>
      </c>
      <c r="Y37" s="31"/>
      <c r="Z37" s="31"/>
      <c r="AA37" s="31"/>
      <c r="AB37" s="31" t="str">
        <f t="shared" si="13"/>
        <v/>
      </c>
      <c r="AC37" s="31" t="str">
        <f t="shared" si="14"/>
        <v/>
      </c>
      <c r="AD37" s="14">
        <f t="shared" si="24"/>
        <v>0</v>
      </c>
      <c r="AE37" s="38"/>
      <c r="AF37" s="54"/>
      <c r="AG37" s="54"/>
      <c r="AH37" s="54" t="str">
        <f t="shared" si="15"/>
        <v/>
      </c>
      <c r="AI37" s="54" t="str">
        <f t="shared" si="16"/>
        <v/>
      </c>
      <c r="AJ37" s="14">
        <f t="shared" si="3"/>
        <v>0</v>
      </c>
      <c r="AK37" s="14">
        <f t="shared" si="17"/>
        <v>9.4813852382848793</v>
      </c>
      <c r="AL37" s="14">
        <f t="shared" si="18"/>
        <v>6.4167440071026931</v>
      </c>
      <c r="AM37" s="124">
        <f t="shared" si="26"/>
        <v>40.361629397146487</v>
      </c>
      <c r="AN37" s="57">
        <f t="shared" si="19"/>
        <v>59.63837060285352</v>
      </c>
      <c r="AO37" s="57">
        <f t="shared" si="20"/>
        <v>0</v>
      </c>
    </row>
    <row r="38" spans="2:41" x14ac:dyDescent="0.3">
      <c r="B38" s="16" t="s">
        <v>10</v>
      </c>
      <c r="C38" s="17">
        <v>9</v>
      </c>
      <c r="D38" s="41">
        <v>7.75</v>
      </c>
      <c r="E38" s="164">
        <v>426.39</v>
      </c>
      <c r="F38" s="18">
        <v>144.38999999999999</v>
      </c>
      <c r="G38" s="19">
        <f t="shared" si="5"/>
        <v>32.73061234226283</v>
      </c>
      <c r="H38" s="88">
        <v>2</v>
      </c>
      <c r="I38" s="18">
        <f t="shared" si="21"/>
        <v>1.8254255270628088</v>
      </c>
      <c r="J38" s="18">
        <f t="shared" si="6"/>
        <v>0.16902088213544525</v>
      </c>
      <c r="K38" s="18">
        <f t="shared" si="7"/>
        <v>16.902088213544527</v>
      </c>
      <c r="L38" s="17"/>
      <c r="M38" s="18">
        <v>437.7</v>
      </c>
      <c r="N38" s="18">
        <v>301.20999999999998</v>
      </c>
      <c r="O38" s="18">
        <v>102.59</v>
      </c>
      <c r="P38" s="18">
        <f t="shared" si="9"/>
        <v>32.449069822807196</v>
      </c>
      <c r="Q38" s="18">
        <f t="shared" si="10"/>
        <v>0.14202957861442708</v>
      </c>
      <c r="R38" s="14">
        <f t="shared" si="22"/>
        <v>14.202957861442707</v>
      </c>
      <c r="S38" s="33"/>
      <c r="T38" s="33"/>
      <c r="U38" s="33"/>
      <c r="V38" s="33" t="str">
        <f t="shared" si="11"/>
        <v/>
      </c>
      <c r="W38" s="33" t="str">
        <f t="shared" si="12"/>
        <v/>
      </c>
      <c r="X38" s="14">
        <f t="shared" si="23"/>
        <v>0</v>
      </c>
      <c r="Y38" s="33"/>
      <c r="Z38" s="33"/>
      <c r="AA38" s="33"/>
      <c r="AB38" s="33" t="str">
        <f t="shared" si="13"/>
        <v/>
      </c>
      <c r="AC38" s="33" t="str">
        <f t="shared" si="14"/>
        <v/>
      </c>
      <c r="AD38" s="14">
        <f t="shared" si="24"/>
        <v>0</v>
      </c>
      <c r="AE38" s="41">
        <v>2.4</v>
      </c>
      <c r="AF38" s="55">
        <v>9.64</v>
      </c>
      <c r="AG38" s="55">
        <v>8.24</v>
      </c>
      <c r="AH38" s="55">
        <f t="shared" si="15"/>
        <v>43.089430894308947</v>
      </c>
      <c r="AI38" s="55">
        <f t="shared" si="16"/>
        <v>1.0341463414634147E-3</v>
      </c>
      <c r="AJ38" s="14">
        <f t="shared" si="3"/>
        <v>0.10341463414634147</v>
      </c>
      <c r="AK38" s="14">
        <f t="shared" si="17"/>
        <v>14.202957861442707</v>
      </c>
      <c r="AL38" s="14"/>
      <c r="AM38" s="124"/>
      <c r="AN38" s="57">
        <f t="shared" si="19"/>
        <v>99.277142866381908</v>
      </c>
      <c r="AO38" s="57">
        <f t="shared" si="20"/>
        <v>0.72285713361808768</v>
      </c>
    </row>
    <row r="39" spans="2:41" x14ac:dyDescent="0.3">
      <c r="B39" s="3" t="s">
        <v>11</v>
      </c>
      <c r="C39" s="6">
        <v>1</v>
      </c>
      <c r="D39" s="38">
        <v>19.5</v>
      </c>
      <c r="E39" s="164">
        <v>425.17</v>
      </c>
      <c r="F39" s="7">
        <v>88.19</v>
      </c>
      <c r="G39" s="8">
        <f t="shared" si="5"/>
        <v>19.380846431732817</v>
      </c>
      <c r="H39" s="43">
        <v>2</v>
      </c>
      <c r="I39" s="7">
        <f t="shared" si="21"/>
        <v>3.3581425182420634</v>
      </c>
      <c r="J39" s="7">
        <f t="shared" si="6"/>
        <v>0.31093912205945029</v>
      </c>
      <c r="K39" s="7">
        <f t="shared" si="7"/>
        <v>31.093912205945031</v>
      </c>
      <c r="L39" s="6"/>
      <c r="M39" s="31"/>
      <c r="N39" s="31"/>
      <c r="O39" s="37"/>
      <c r="P39" s="37" t="str">
        <f t="shared" si="9"/>
        <v/>
      </c>
      <c r="Q39" s="37" t="str">
        <f t="shared" si="10"/>
        <v/>
      </c>
      <c r="R39" s="14">
        <f t="shared" si="22"/>
        <v>0</v>
      </c>
      <c r="S39" s="179">
        <v>882.35</v>
      </c>
      <c r="T39" s="7">
        <v>352.11</v>
      </c>
      <c r="U39" s="36">
        <v>70.22</v>
      </c>
      <c r="V39" s="36">
        <f t="shared" si="11"/>
        <v>18.276171976922853</v>
      </c>
      <c r="W39" s="36">
        <f t="shared" si="12"/>
        <v>0.16125980343837881</v>
      </c>
      <c r="X39" s="14">
        <f t="shared" si="23"/>
        <v>16.125980343837881</v>
      </c>
      <c r="Y39" s="31"/>
      <c r="Z39" s="31"/>
      <c r="AA39" s="31"/>
      <c r="AB39" s="31" t="str">
        <f t="shared" si="13"/>
        <v/>
      </c>
      <c r="AC39" s="31" t="str">
        <f t="shared" si="14"/>
        <v/>
      </c>
      <c r="AD39" s="14">
        <f t="shared" si="24"/>
        <v>0</v>
      </c>
      <c r="AE39" s="179">
        <v>37</v>
      </c>
      <c r="AF39" s="179">
        <f>AE39</f>
        <v>37</v>
      </c>
      <c r="AG39" s="179">
        <v>15.02</v>
      </c>
      <c r="AH39" s="54">
        <f t="shared" si="15"/>
        <v>26.291079812206576</v>
      </c>
      <c r="AI39" s="54">
        <f t="shared" si="16"/>
        <v>9.7276995305164322E-3</v>
      </c>
      <c r="AJ39" s="14">
        <f t="shared" si="3"/>
        <v>0.97276995305164315</v>
      </c>
      <c r="AK39" s="14"/>
      <c r="AL39" s="14">
        <f t="shared" si="18"/>
        <v>16.125980343837881</v>
      </c>
      <c r="AM39" s="124">
        <f t="shared" si="26"/>
        <v>94.310871051034638</v>
      </c>
      <c r="AN39" s="57" t="str">
        <f t="shared" si="19"/>
        <v/>
      </c>
      <c r="AO39" s="57">
        <f t="shared" si="20"/>
        <v>5.6891289489653651</v>
      </c>
    </row>
    <row r="40" spans="2:41" x14ac:dyDescent="0.3">
      <c r="B40" s="3" t="s">
        <v>11</v>
      </c>
      <c r="C40" s="6">
        <v>2</v>
      </c>
      <c r="D40" s="38">
        <v>13.7</v>
      </c>
      <c r="E40" s="164">
        <v>455.23</v>
      </c>
      <c r="F40" s="7">
        <v>106.95</v>
      </c>
      <c r="G40" s="8">
        <f t="shared" si="5"/>
        <v>22.267604062046647</v>
      </c>
      <c r="H40" s="43">
        <v>1</v>
      </c>
      <c r="I40" s="7">
        <f t="shared" si="21"/>
        <v>2.5668134413569916</v>
      </c>
      <c r="J40" s="7">
        <f t="shared" si="6"/>
        <v>0.47533582247351691</v>
      </c>
      <c r="K40" s="7">
        <f t="shared" si="7"/>
        <v>47.533582247351688</v>
      </c>
      <c r="L40" s="6"/>
      <c r="M40" s="31"/>
      <c r="N40" s="31"/>
      <c r="O40" s="37"/>
      <c r="P40" s="37" t="str">
        <f t="shared" si="9"/>
        <v/>
      </c>
      <c r="Q40" s="37" t="str">
        <f t="shared" si="10"/>
        <v/>
      </c>
      <c r="R40" s="14">
        <f t="shared" si="22"/>
        <v>0</v>
      </c>
      <c r="S40" s="7">
        <v>635.37</v>
      </c>
      <c r="T40" s="7">
        <v>308.42</v>
      </c>
      <c r="U40" s="36">
        <v>66.349999999999994</v>
      </c>
      <c r="V40" s="36">
        <f t="shared" si="11"/>
        <v>19.642145797370862</v>
      </c>
      <c r="W40" s="36">
        <f t="shared" si="12"/>
        <v>0.12480030175275525</v>
      </c>
      <c r="X40" s="14">
        <f t="shared" si="23"/>
        <v>12.480030175275523</v>
      </c>
      <c r="Y40" s="7">
        <v>113.01</v>
      </c>
      <c r="Z40" s="7">
        <v>114.22</v>
      </c>
      <c r="AA40" s="7">
        <v>45.04</v>
      </c>
      <c r="AB40" s="7">
        <f t="shared" si="13"/>
        <v>35.369955156950674</v>
      </c>
      <c r="AC40" s="7">
        <f t="shared" si="14"/>
        <v>3.9971586322869956E-2</v>
      </c>
      <c r="AD40" s="14">
        <f t="shared" si="24"/>
        <v>3.9971586322869954</v>
      </c>
      <c r="AE40" s="38">
        <v>8.4700000000000006</v>
      </c>
      <c r="AF40" s="40">
        <v>15.45</v>
      </c>
      <c r="AG40" s="40">
        <v>8.89</v>
      </c>
      <c r="AH40" s="40">
        <f t="shared" si="15"/>
        <v>20.67714631197099</v>
      </c>
      <c r="AI40" s="40">
        <f t="shared" si="16"/>
        <v>1.751354292623943E-3</v>
      </c>
      <c r="AJ40" s="14">
        <f t="shared" si="3"/>
        <v>0.17513542926239431</v>
      </c>
      <c r="AK40" s="14">
        <f t="shared" si="17"/>
        <v>3.9971586322869954</v>
      </c>
      <c r="AL40" s="14">
        <f t="shared" si="18"/>
        <v>12.480030175275523</v>
      </c>
      <c r="AM40" s="124">
        <f t="shared" si="26"/>
        <v>74.944674375707933</v>
      </c>
      <c r="AN40" s="57">
        <f t="shared" si="19"/>
        <v>24.003607997541192</v>
      </c>
      <c r="AO40" s="57">
        <f t="shared" si="20"/>
        <v>1.0517176267508663</v>
      </c>
    </row>
    <row r="41" spans="2:41" x14ac:dyDescent="0.3">
      <c r="B41" s="3" t="s">
        <v>11</v>
      </c>
      <c r="C41" s="6">
        <v>3</v>
      </c>
      <c r="D41" s="38">
        <v>15</v>
      </c>
      <c r="E41" s="164">
        <v>437.39</v>
      </c>
      <c r="F41" s="7">
        <v>116.08</v>
      </c>
      <c r="G41" s="8">
        <f t="shared" si="5"/>
        <v>25.313219125543341</v>
      </c>
      <c r="H41" s="3">
        <v>1</v>
      </c>
      <c r="I41" s="7">
        <f t="shared" si="21"/>
        <v>3.2469569930963953</v>
      </c>
      <c r="J41" s="7">
        <f t="shared" si="6"/>
        <v>0.60128833205488796</v>
      </c>
      <c r="K41" s="7">
        <f t="shared" si="7"/>
        <v>60.128833205488803</v>
      </c>
      <c r="L41" s="6"/>
      <c r="M41" s="31"/>
      <c r="N41" s="31"/>
      <c r="O41" s="37"/>
      <c r="P41" s="37" t="str">
        <f t="shared" si="9"/>
        <v/>
      </c>
      <c r="Q41" s="37" t="str">
        <f t="shared" si="10"/>
        <v/>
      </c>
      <c r="R41" s="14">
        <f t="shared" si="22"/>
        <v>0</v>
      </c>
      <c r="S41" s="179">
        <v>452.75</v>
      </c>
      <c r="T41" s="7">
        <v>340.75</v>
      </c>
      <c r="U41" s="36">
        <v>70.14</v>
      </c>
      <c r="V41" s="36">
        <f t="shared" si="11"/>
        <v>18.874599034685374</v>
      </c>
      <c r="W41" s="36">
        <f t="shared" si="12"/>
        <v>8.5454747129538031E-2</v>
      </c>
      <c r="X41" s="14">
        <f t="shared" si="23"/>
        <v>8.5454747129538031</v>
      </c>
      <c r="Y41" s="179">
        <v>187.8</v>
      </c>
      <c r="Z41" s="7">
        <f>Y41</f>
        <v>187.8</v>
      </c>
      <c r="AA41" s="7">
        <v>78.319999999999993</v>
      </c>
      <c r="AB41" s="7">
        <f t="shared" si="13"/>
        <v>39.386557413353998</v>
      </c>
      <c r="AC41" s="7">
        <f t="shared" si="14"/>
        <v>7.3967954822278817E-2</v>
      </c>
      <c r="AD41" s="14">
        <f t="shared" si="24"/>
        <v>7.3967954822278816</v>
      </c>
      <c r="AE41" s="38"/>
      <c r="AF41" s="40"/>
      <c r="AG41" s="40"/>
      <c r="AH41" s="40" t="str">
        <f t="shared" si="15"/>
        <v/>
      </c>
      <c r="AI41" s="40" t="str">
        <f t="shared" si="16"/>
        <v/>
      </c>
      <c r="AJ41" s="14">
        <f t="shared" si="3"/>
        <v>0</v>
      </c>
      <c r="AK41" s="14">
        <f t="shared" si="17"/>
        <v>7.3967954822278816</v>
      </c>
      <c r="AL41" s="14">
        <f>X41</f>
        <v>8.5454747129538031</v>
      </c>
      <c r="AM41" s="124">
        <f t="shared" si="26"/>
        <v>53.602621259904041</v>
      </c>
      <c r="AN41" s="57">
        <f t="shared" si="19"/>
        <v>46.397378740095959</v>
      </c>
      <c r="AO41" s="57">
        <f t="shared" si="20"/>
        <v>0</v>
      </c>
    </row>
    <row r="42" spans="2:41" x14ac:dyDescent="0.3">
      <c r="B42" s="3" t="s">
        <v>11</v>
      </c>
      <c r="C42" s="6">
        <v>4</v>
      </c>
      <c r="D42" s="38">
        <v>11</v>
      </c>
      <c r="E42" s="164">
        <v>370.02</v>
      </c>
      <c r="F42" s="7">
        <v>102.22</v>
      </c>
      <c r="G42" s="8">
        <f t="shared" si="5"/>
        <v>26.193363465990522</v>
      </c>
      <c r="H42" s="3">
        <v>1</v>
      </c>
      <c r="I42" s="7">
        <f t="shared" si="21"/>
        <v>2.3121196251791427</v>
      </c>
      <c r="J42" s="7">
        <f t="shared" si="6"/>
        <v>0.42817030095910047</v>
      </c>
      <c r="K42" s="7">
        <f t="shared" si="7"/>
        <v>42.817030095910049</v>
      </c>
      <c r="L42" s="6"/>
      <c r="M42" s="31"/>
      <c r="N42" s="31"/>
      <c r="O42" s="37"/>
      <c r="P42" s="37" t="str">
        <f t="shared" si="9"/>
        <v/>
      </c>
      <c r="Q42" s="37" t="str">
        <f t="shared" si="10"/>
        <v/>
      </c>
      <c r="R42" s="14">
        <f t="shared" si="22"/>
        <v>0</v>
      </c>
      <c r="S42" s="7">
        <v>379.47</v>
      </c>
      <c r="T42" s="7">
        <v>360.71</v>
      </c>
      <c r="U42" s="36">
        <v>74.63</v>
      </c>
      <c r="V42" s="36">
        <f t="shared" si="11"/>
        <v>19.079003196334114</v>
      </c>
      <c r="W42" s="36">
        <f t="shared" si="12"/>
        <v>7.2399093429129063E-2</v>
      </c>
      <c r="X42" s="14">
        <f t="shared" si="23"/>
        <v>7.239909342912906</v>
      </c>
      <c r="Y42" s="7">
        <v>183.32</v>
      </c>
      <c r="Z42" s="7">
        <v>183.38</v>
      </c>
      <c r="AA42" s="7">
        <v>66.790000000000006</v>
      </c>
      <c r="AB42" s="7">
        <f t="shared" si="13"/>
        <v>33.830874006810447</v>
      </c>
      <c r="AC42" s="7">
        <f t="shared" si="14"/>
        <v>6.2018758229284904E-2</v>
      </c>
      <c r="AD42" s="14">
        <f t="shared" si="24"/>
        <v>6.20187582292849</v>
      </c>
      <c r="AE42" s="38">
        <v>36.840000000000003</v>
      </c>
      <c r="AF42" s="40">
        <v>42.81</v>
      </c>
      <c r="AG42" s="40">
        <v>14.47</v>
      </c>
      <c r="AH42" s="40">
        <f t="shared" si="15"/>
        <v>20.460286275610443</v>
      </c>
      <c r="AI42" s="40">
        <f t="shared" si="16"/>
        <v>7.5375694639348871E-3</v>
      </c>
      <c r="AJ42" s="14"/>
      <c r="AK42" s="14">
        <f t="shared" si="17"/>
        <v>6.20187582292849</v>
      </c>
      <c r="AL42" s="14">
        <f t="shared" si="18"/>
        <v>7.239909342912906</v>
      </c>
      <c r="AM42" s="124">
        <f t="shared" si="26"/>
        <v>53.861218979389342</v>
      </c>
      <c r="AN42" s="57">
        <f t="shared" si="19"/>
        <v>46.138781020610672</v>
      </c>
      <c r="AO42" s="57">
        <f t="shared" si="20"/>
        <v>0</v>
      </c>
    </row>
    <row r="43" spans="2:41" x14ac:dyDescent="0.3">
      <c r="B43" s="3" t="s">
        <v>11</v>
      </c>
      <c r="C43" s="6">
        <v>5</v>
      </c>
      <c r="D43" s="38">
        <v>7.3</v>
      </c>
      <c r="E43" s="164">
        <v>367.73</v>
      </c>
      <c r="F43" s="7">
        <v>157.05000000000001</v>
      </c>
      <c r="G43" s="8">
        <f t="shared" si="5"/>
        <v>41.567050339758701</v>
      </c>
      <c r="H43" s="3">
        <v>1</v>
      </c>
      <c r="I43" s="7">
        <f t="shared" si="21"/>
        <v>2.131192551379836</v>
      </c>
      <c r="J43" s="7">
        <f t="shared" si="6"/>
        <v>0.39466528729256217</v>
      </c>
      <c r="K43" s="7">
        <f t="shared" si="7"/>
        <v>39.466528729256218</v>
      </c>
      <c r="L43" s="6"/>
      <c r="M43" s="31"/>
      <c r="N43" s="31"/>
      <c r="O43" s="37"/>
      <c r="P43" s="37" t="str">
        <f t="shared" si="9"/>
        <v/>
      </c>
      <c r="Q43" s="37" t="str">
        <f t="shared" si="10"/>
        <v/>
      </c>
      <c r="R43" s="14">
        <f t="shared" si="22"/>
        <v>0</v>
      </c>
      <c r="S43" s="31"/>
      <c r="T43" s="31"/>
      <c r="U43" s="37"/>
      <c r="V43" s="37" t="str">
        <f t="shared" si="11"/>
        <v/>
      </c>
      <c r="W43" s="37" t="str">
        <f t="shared" si="12"/>
        <v/>
      </c>
      <c r="X43" s="14">
        <f t="shared" si="23"/>
        <v>0</v>
      </c>
      <c r="Y43" s="7">
        <v>228.24</v>
      </c>
      <c r="Z43" s="7">
        <v>144.43</v>
      </c>
      <c r="AA43" s="7">
        <v>61.05</v>
      </c>
      <c r="AB43" s="7">
        <f t="shared" si="13"/>
        <v>39.24954462659381</v>
      </c>
      <c r="AC43" s="7">
        <f t="shared" si="14"/>
        <v>8.9583160655737709E-2</v>
      </c>
      <c r="AD43" s="14">
        <f t="shared" si="24"/>
        <v>8.9583160655737704</v>
      </c>
      <c r="AE43" s="38">
        <v>40.130000000000003</v>
      </c>
      <c r="AF43" s="40">
        <v>47.16</v>
      </c>
      <c r="AG43" s="40">
        <v>15.94</v>
      </c>
      <c r="AH43" s="40">
        <f t="shared" si="15"/>
        <v>21.91095547773887</v>
      </c>
      <c r="AI43" s="40">
        <f t="shared" si="16"/>
        <v>8.79286643321661E-3</v>
      </c>
      <c r="AJ43" s="14">
        <f t="shared" ref="AJ43" si="27">IF(AF43&gt;0,AI43*10000/100,0)</f>
        <v>0.87928664332166095</v>
      </c>
      <c r="AK43" s="14">
        <f t="shared" si="17"/>
        <v>8.9583160655737704</v>
      </c>
      <c r="AL43" s="14"/>
      <c r="AM43" s="124"/>
      <c r="AN43" s="57">
        <f t="shared" si="19"/>
        <v>91.061982585182193</v>
      </c>
      <c r="AO43" s="57">
        <f t="shared" si="20"/>
        <v>8.9380174148177964</v>
      </c>
    </row>
    <row r="44" spans="2:41" x14ac:dyDescent="0.3">
      <c r="B44" s="3" t="s">
        <v>11</v>
      </c>
      <c r="C44" s="6">
        <v>6</v>
      </c>
      <c r="D44" s="38">
        <v>13.8</v>
      </c>
      <c r="E44" s="164">
        <v>417.7</v>
      </c>
      <c r="F44" s="7">
        <v>85.79</v>
      </c>
      <c r="G44" s="8">
        <f t="shared" si="5"/>
        <v>19.14888434181039</v>
      </c>
      <c r="H44" s="3">
        <v>2</v>
      </c>
      <c r="I44" s="7">
        <f t="shared" si="21"/>
        <v>2.2264637610835045</v>
      </c>
      <c r="J44" s="7">
        <f t="shared" si="6"/>
        <v>0.20615405195217634</v>
      </c>
      <c r="K44" s="7">
        <f t="shared" si="7"/>
        <v>20.615405195217637</v>
      </c>
      <c r="L44" s="6"/>
      <c r="M44" s="7">
        <f>N44-N5</f>
        <v>119.52000000000001</v>
      </c>
      <c r="N44" s="7">
        <v>126.7</v>
      </c>
      <c r="O44" s="36">
        <v>31.97</v>
      </c>
      <c r="P44" s="36">
        <f t="shared" si="9"/>
        <v>20.741298527443103</v>
      </c>
      <c r="Q44" s="36">
        <f t="shared" si="10"/>
        <v>2.479E-2</v>
      </c>
      <c r="R44" s="14">
        <f t="shared" si="22"/>
        <v>2.4790000000000001</v>
      </c>
      <c r="S44" s="7">
        <f>739.94-N5</f>
        <v>732.7600000000001</v>
      </c>
      <c r="T44" s="7">
        <f>424.18</f>
        <v>424.18</v>
      </c>
      <c r="U44" s="36">
        <v>89.34</v>
      </c>
      <c r="V44" s="36">
        <f t="shared" si="11"/>
        <v>19.702637889688248</v>
      </c>
      <c r="W44" s="36">
        <f t="shared" si="12"/>
        <v>0.14437304940047962</v>
      </c>
      <c r="X44" s="14">
        <f t="shared" si="23"/>
        <v>14.437304940047964</v>
      </c>
      <c r="Y44" s="31"/>
      <c r="Z44" s="31"/>
      <c r="AA44" s="31"/>
      <c r="AB44" s="31" t="str">
        <f t="shared" si="13"/>
        <v/>
      </c>
      <c r="AC44" s="31" t="str">
        <f t="shared" si="14"/>
        <v/>
      </c>
      <c r="AD44" s="14">
        <f t="shared" si="24"/>
        <v>0</v>
      </c>
      <c r="AE44" s="38">
        <f>AF44-N5</f>
        <v>18.740000000000002</v>
      </c>
      <c r="AF44" s="40">
        <f>25.92</f>
        <v>25.92</v>
      </c>
      <c r="AG44" s="40">
        <v>10.33</v>
      </c>
      <c r="AH44" s="40">
        <f t="shared" si="15"/>
        <v>16.808964781216648</v>
      </c>
      <c r="AI44" s="40">
        <f t="shared" si="16"/>
        <v>3.1500000000000005E-3</v>
      </c>
      <c r="AJ44" s="14">
        <f t="shared" si="3"/>
        <v>0.31500000000000006</v>
      </c>
      <c r="AK44" s="14">
        <f t="shared" si="17"/>
        <v>2.4790000000000001</v>
      </c>
      <c r="AL44" s="14">
        <f t="shared" si="18"/>
        <v>14.437304940047964</v>
      </c>
      <c r="AM44" s="124">
        <f t="shared" si="26"/>
        <v>83.785325547188521</v>
      </c>
      <c r="AN44" s="57">
        <f t="shared" si="19"/>
        <v>14.386606287945479</v>
      </c>
      <c r="AO44" s="57">
        <f t="shared" si="20"/>
        <v>1.8280681648660051</v>
      </c>
    </row>
    <row r="45" spans="2:41" x14ac:dyDescent="0.3">
      <c r="B45" s="3" t="s">
        <v>11</v>
      </c>
      <c r="C45" s="6">
        <v>7</v>
      </c>
      <c r="D45" s="38">
        <v>8.0500000000000007</v>
      </c>
      <c r="E45" s="164">
        <v>360.57</v>
      </c>
      <c r="F45" s="7">
        <v>98.25</v>
      </c>
      <c r="G45" s="8">
        <f t="shared" si="5"/>
        <v>25.770395313959082</v>
      </c>
      <c r="H45" s="3">
        <v>1</v>
      </c>
      <c r="I45" s="7">
        <f t="shared" si="21"/>
        <v>1.5145570570757523</v>
      </c>
      <c r="J45" s="7">
        <f t="shared" si="6"/>
        <v>0.28047352908810225</v>
      </c>
      <c r="K45" s="7">
        <f t="shared" si="7"/>
        <v>28.047352908810225</v>
      </c>
      <c r="L45" s="6"/>
      <c r="M45" s="7">
        <v>185.06</v>
      </c>
      <c r="N45" s="7">
        <v>187.57</v>
      </c>
      <c r="O45" s="36">
        <v>56.99</v>
      </c>
      <c r="P45" s="36">
        <f t="shared" si="9"/>
        <v>27.612395365596765</v>
      </c>
      <c r="Q45" s="36">
        <f t="shared" si="10"/>
        <v>5.1099498863573373E-2</v>
      </c>
      <c r="R45" s="14">
        <f t="shared" si="22"/>
        <v>5.1099498863573372</v>
      </c>
      <c r="S45" s="7">
        <v>192.25</v>
      </c>
      <c r="T45" s="7">
        <v>194.61</v>
      </c>
      <c r="U45" s="36">
        <v>50.35</v>
      </c>
      <c r="V45" s="36">
        <f>IF(T45&gt;0,((U45-$N$5)/(T45-$N$5))*100,"")</f>
        <v>23.032598836899108</v>
      </c>
      <c r="W45" s="36">
        <f>IF(T45&gt;0,((V45/100)*S45)/$N$7/1000,"")</f>
        <v>4.4280171263938545E-2</v>
      </c>
      <c r="X45" s="14">
        <f>IF(T45&gt;0,W45*10000/100,0)</f>
        <v>4.428017126393855</v>
      </c>
      <c r="Y45" s="31" t="str">
        <f t="shared" ref="Y45:Y47" si="28">IF(Z45&gt;0,Z45-$N$5,"")</f>
        <v/>
      </c>
      <c r="Z45" s="31"/>
      <c r="AA45" s="31"/>
      <c r="AB45" s="31" t="str">
        <f t="shared" si="13"/>
        <v/>
      </c>
      <c r="AC45" s="31" t="str">
        <f t="shared" si="14"/>
        <v/>
      </c>
      <c r="AD45" s="14">
        <f t="shared" si="24"/>
        <v>0</v>
      </c>
      <c r="AE45" s="38"/>
      <c r="AF45" s="40"/>
      <c r="AG45" s="40"/>
      <c r="AH45" s="40" t="str">
        <f t="shared" si="15"/>
        <v/>
      </c>
      <c r="AI45" s="40" t="str">
        <f t="shared" si="16"/>
        <v/>
      </c>
      <c r="AJ45" s="14">
        <f t="shared" si="3"/>
        <v>0</v>
      </c>
      <c r="AK45" s="14">
        <f t="shared" si="17"/>
        <v>5.1099498863573372</v>
      </c>
      <c r="AL45" s="14">
        <f t="shared" si="18"/>
        <v>4.428017126393855</v>
      </c>
      <c r="AM45" s="124">
        <f t="shared" si="26"/>
        <v>46.425167129159632</v>
      </c>
      <c r="AN45" s="57">
        <f t="shared" si="19"/>
        <v>53.574832870840375</v>
      </c>
      <c r="AO45" s="57">
        <f t="shared" si="20"/>
        <v>0</v>
      </c>
    </row>
    <row r="46" spans="2:41" x14ac:dyDescent="0.3">
      <c r="B46" s="3" t="s">
        <v>11</v>
      </c>
      <c r="C46" s="6">
        <v>8</v>
      </c>
      <c r="D46" s="38">
        <v>13.05</v>
      </c>
      <c r="E46" s="164">
        <v>519.54</v>
      </c>
      <c r="F46" s="7">
        <v>119.98</v>
      </c>
      <c r="G46" s="8">
        <f t="shared" si="5"/>
        <v>22.015770161605122</v>
      </c>
      <c r="H46" s="3">
        <v>2</v>
      </c>
      <c r="I46" s="7">
        <f t="shared" si="21"/>
        <v>2.3946817394019835</v>
      </c>
      <c r="J46" s="7">
        <f t="shared" si="6"/>
        <v>0.22172979068536883</v>
      </c>
      <c r="K46" s="7">
        <f t="shared" si="7"/>
        <v>22.172979068536883</v>
      </c>
      <c r="L46" s="6"/>
      <c r="M46" s="7">
        <v>394.2</v>
      </c>
      <c r="N46" s="7">
        <v>392.3</v>
      </c>
      <c r="O46" s="36">
        <v>118.16</v>
      </c>
      <c r="P46" s="36">
        <f t="shared" si="9"/>
        <v>28.816992106356459</v>
      </c>
      <c r="Q46" s="36">
        <f t="shared" si="10"/>
        <v>0.11359658288325715</v>
      </c>
      <c r="R46" s="14">
        <f t="shared" si="22"/>
        <v>11.359658288325715</v>
      </c>
      <c r="S46" s="7">
        <v>235.8</v>
      </c>
      <c r="T46" s="7">
        <v>238</v>
      </c>
      <c r="U46" s="36">
        <v>54.47</v>
      </c>
      <c r="V46" s="36">
        <f t="shared" si="11"/>
        <v>20.487826011610778</v>
      </c>
      <c r="W46" s="36">
        <f t="shared" si="12"/>
        <v>4.8310293735378214E-2</v>
      </c>
      <c r="X46" s="14">
        <f t="shared" si="23"/>
        <v>4.8310293735378211</v>
      </c>
      <c r="Y46" s="31" t="str">
        <f t="shared" si="28"/>
        <v/>
      </c>
      <c r="Z46" s="31"/>
      <c r="AA46" s="31"/>
      <c r="AB46" s="31" t="str">
        <f t="shared" si="13"/>
        <v/>
      </c>
      <c r="AC46" s="31" t="str">
        <f t="shared" si="14"/>
        <v/>
      </c>
      <c r="AD46" s="14">
        <f t="shared" si="24"/>
        <v>0</v>
      </c>
      <c r="AE46" s="38">
        <v>21.48</v>
      </c>
      <c r="AF46" s="40">
        <v>28.56</v>
      </c>
      <c r="AG46" s="40">
        <v>13.55</v>
      </c>
      <c r="AH46" s="40">
        <f t="shared" si="15"/>
        <v>29.794200187090748</v>
      </c>
      <c r="AI46" s="40">
        <f t="shared" si="16"/>
        <v>6.3997942001870929E-3</v>
      </c>
      <c r="AJ46" s="14">
        <f t="shared" si="3"/>
        <v>0.63997942001870933</v>
      </c>
      <c r="AK46" s="14">
        <f t="shared" si="17"/>
        <v>11.359658288325715</v>
      </c>
      <c r="AL46" s="14">
        <f t="shared" si="18"/>
        <v>4.8310293735378211</v>
      </c>
      <c r="AM46" s="124">
        <f t="shared" si="26"/>
        <v>28.703730814914</v>
      </c>
      <c r="AN46" s="57">
        <f t="shared" si="19"/>
        <v>67.493808968237971</v>
      </c>
      <c r="AO46" s="57">
        <f t="shared" si="20"/>
        <v>3.8024602168480279</v>
      </c>
    </row>
    <row r="47" spans="2:41" x14ac:dyDescent="0.3">
      <c r="B47" s="3" t="s">
        <v>11</v>
      </c>
      <c r="C47" s="6">
        <v>9</v>
      </c>
      <c r="D47" s="38">
        <v>8.8000000000000007</v>
      </c>
      <c r="E47" s="164">
        <v>346.06</v>
      </c>
      <c r="F47" s="7">
        <v>117.59</v>
      </c>
      <c r="G47" s="8">
        <f t="shared" si="5"/>
        <v>32.580854579792259</v>
      </c>
      <c r="H47" s="3">
        <v>2</v>
      </c>
      <c r="I47" s="7">
        <f t="shared" si="21"/>
        <v>2.159172330028329</v>
      </c>
      <c r="J47" s="7">
        <f t="shared" si="6"/>
        <v>0.19992336389151194</v>
      </c>
      <c r="K47" s="7">
        <f t="shared" si="7"/>
        <v>19.992336389151195</v>
      </c>
      <c r="L47" s="6"/>
      <c r="M47" s="7">
        <v>543.27</v>
      </c>
      <c r="N47" s="7">
        <v>229.92</v>
      </c>
      <c r="O47" s="36">
        <v>77.650000000000006</v>
      </c>
      <c r="P47" s="36">
        <f t="shared" si="9"/>
        <v>31.637783963365361</v>
      </c>
      <c r="Q47" s="36">
        <f t="shared" si="10"/>
        <v>0.171878588937775</v>
      </c>
      <c r="R47" s="14">
        <f t="shared" si="22"/>
        <v>17.187858893777499</v>
      </c>
      <c r="S47" s="31" t="str">
        <f t="shared" ref="S47" si="29">IF(T47&gt;0,T47-$N$5,"")</f>
        <v/>
      </c>
      <c r="T47" s="31"/>
      <c r="U47" s="37"/>
      <c r="V47" s="37" t="str">
        <f t="shared" si="11"/>
        <v/>
      </c>
      <c r="W47" s="37" t="str">
        <f t="shared" si="12"/>
        <v/>
      </c>
      <c r="X47" s="14">
        <f t="shared" si="23"/>
        <v>0</v>
      </c>
      <c r="Y47" s="31" t="str">
        <f t="shared" si="28"/>
        <v/>
      </c>
      <c r="Z47" s="31"/>
      <c r="AA47" s="31"/>
      <c r="AB47" s="31" t="str">
        <f t="shared" si="13"/>
        <v/>
      </c>
      <c r="AC47" s="31" t="str">
        <f t="shared" si="14"/>
        <v/>
      </c>
      <c r="AD47" s="14">
        <f t="shared" si="24"/>
        <v>0</v>
      </c>
      <c r="AE47" s="38">
        <v>0.52</v>
      </c>
      <c r="AF47" s="40">
        <v>7.55</v>
      </c>
      <c r="AG47" s="40">
        <v>7.22</v>
      </c>
      <c r="AH47" s="40">
        <f t="shared" si="15"/>
        <v>10.810810810810818</v>
      </c>
      <c r="AI47" s="40">
        <f t="shared" si="16"/>
        <v>5.6216216216216255E-5</v>
      </c>
      <c r="AJ47" s="14">
        <f t="shared" si="3"/>
        <v>5.6216216216216251E-3</v>
      </c>
      <c r="AK47" s="14">
        <f t="shared" si="17"/>
        <v>17.187858893777499</v>
      </c>
      <c r="AL47" s="14"/>
      <c r="AM47" s="124"/>
      <c r="AN47" s="57">
        <f t="shared" si="19"/>
        <v>99.967303760186383</v>
      </c>
      <c r="AO47" s="57">
        <f t="shared" si="20"/>
        <v>3.2696239813612443E-2</v>
      </c>
    </row>
    <row r="48" spans="2:41" x14ac:dyDescent="0.3">
      <c r="E48" s="163"/>
    </row>
  </sheetData>
  <autoFilter ref="B11:AK11" xr:uid="{00000000-0009-0000-0000-000001000000}"/>
  <conditionalFormatting sqref="G12:G47">
    <cfRule type="colorScale" priority="19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8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A893-D13E-4978-A9D3-5967516204BB}">
  <dimension ref="B2:AO48"/>
  <sheetViews>
    <sheetView zoomScale="48" zoomScaleNormal="48" workbookViewId="0">
      <selection activeCell="Y13" sqref="Y13:AA46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1.08203125" style="3"/>
    <col min="6" max="6" width="10.08203125" style="3" customWidth="1"/>
    <col min="7" max="7" width="11.6640625" style="3" customWidth="1"/>
    <col min="8" max="8" width="9.9140625" style="3" customWidth="1"/>
    <col min="9" max="9" width="15.4140625" style="3" customWidth="1"/>
    <col min="10" max="10" width="11" style="3" bestFit="1" customWidth="1"/>
    <col min="11" max="11" width="10.4140625" style="3" bestFit="1" customWidth="1"/>
    <col min="12" max="12" width="9.58203125" style="3" customWidth="1"/>
    <col min="13" max="13" width="11.08203125" style="3"/>
    <col min="14" max="15" width="8.08203125" style="3" bestFit="1" customWidth="1"/>
    <col min="16" max="16" width="8.08203125" style="3" customWidth="1"/>
    <col min="17" max="17" width="12.4140625" style="3" bestFit="1" customWidth="1"/>
    <col min="18" max="18" width="11.6640625" style="3" bestFit="1" customWidth="1"/>
    <col min="19" max="19" width="9.9140625" style="3" customWidth="1"/>
    <col min="20" max="20" width="8.9140625" style="3" customWidth="1"/>
    <col min="21" max="21" width="8.08203125" style="3" bestFit="1" customWidth="1"/>
    <col min="22" max="22" width="8.08203125" style="3" customWidth="1"/>
    <col min="23" max="23" width="12.4140625" style="3" bestFit="1" customWidth="1"/>
    <col min="24" max="24" width="11.6640625" style="3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4</v>
      </c>
    </row>
    <row r="4" spans="2:41" ht="14.5" thickBot="1" x14ac:dyDescent="0.35"/>
    <row r="5" spans="2:41" x14ac:dyDescent="0.3">
      <c r="D5" s="25" t="s">
        <v>31</v>
      </c>
      <c r="E5" s="26">
        <v>0</v>
      </c>
      <c r="F5" s="27" t="s">
        <v>20</v>
      </c>
      <c r="M5" s="25" t="s">
        <v>21</v>
      </c>
      <c r="N5" s="26">
        <v>4.68</v>
      </c>
      <c r="O5" s="27" t="s">
        <v>22</v>
      </c>
      <c r="P5" s="35"/>
      <c r="Q5" s="34" t="s">
        <v>33</v>
      </c>
      <c r="R5" s="32"/>
      <c r="S5" s="32"/>
      <c r="W5" s="43"/>
      <c r="X5" s="43"/>
      <c r="Y5" s="44"/>
    </row>
    <row r="6" spans="2:41" x14ac:dyDescent="0.3">
      <c r="D6" s="29" t="s">
        <v>32</v>
      </c>
      <c r="E6" s="21">
        <v>4</v>
      </c>
      <c r="F6" s="30" t="s">
        <v>22</v>
      </c>
      <c r="M6" s="29"/>
      <c r="N6" s="20"/>
      <c r="O6" s="30"/>
      <c r="P6" s="35"/>
      <c r="Q6" s="35"/>
      <c r="R6" s="35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35"/>
      <c r="Q7" s="35"/>
      <c r="R7" s="35"/>
    </row>
    <row r="9" spans="2:41" x14ac:dyDescent="0.3">
      <c r="C9" s="6"/>
      <c r="D9" s="5" t="s">
        <v>5</v>
      </c>
      <c r="L9" s="6"/>
      <c r="M9" s="5" t="s">
        <v>13</v>
      </c>
      <c r="N9" s="49"/>
      <c r="O9" s="49"/>
      <c r="P9" s="49"/>
      <c r="Q9" s="49"/>
      <c r="R9" s="50"/>
      <c r="S9" s="5" t="s">
        <v>17</v>
      </c>
      <c r="T9" s="49"/>
      <c r="U9" s="49"/>
      <c r="V9" s="49"/>
      <c r="W9" s="49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6"/>
      <c r="D10" s="28" t="s">
        <v>30</v>
      </c>
      <c r="G10" s="28" t="s">
        <v>29</v>
      </c>
      <c r="L10" s="6"/>
      <c r="M10" s="28" t="s">
        <v>30</v>
      </c>
      <c r="N10" s="28"/>
      <c r="O10" s="45"/>
      <c r="P10" s="45" t="s">
        <v>29</v>
      </c>
      <c r="Q10" s="45"/>
      <c r="R10" s="46"/>
      <c r="S10" s="28" t="s">
        <v>30</v>
      </c>
      <c r="T10" s="28"/>
      <c r="U10" s="45"/>
      <c r="V10" s="45" t="s">
        <v>29</v>
      </c>
      <c r="W10" s="45"/>
      <c r="X10" s="46"/>
      <c r="Y10" s="47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3" t="s">
        <v>2</v>
      </c>
      <c r="C12" s="6">
        <v>1</v>
      </c>
      <c r="D12" s="7"/>
      <c r="E12" s="7"/>
      <c r="F12" s="7"/>
      <c r="G12" s="8">
        <f t="shared" ref="G12:G47" si="0">((F12-$E$6)/(E12-$E$6))*100</f>
        <v>100</v>
      </c>
      <c r="H12" s="3">
        <v>1</v>
      </c>
      <c r="I12" s="7">
        <f t="shared" ref="I12:I47" si="1">(D12-$E$5)*(G12/100)</f>
        <v>0</v>
      </c>
      <c r="J12" s="7">
        <f t="shared" ref="J12:J47" si="2">I12/($E$7*H12)</f>
        <v>0</v>
      </c>
      <c r="K12" s="7">
        <f t="shared" ref="K12:K47" si="3">J12*10000/100</f>
        <v>0</v>
      </c>
      <c r="L12" s="6"/>
      <c r="M12" s="31"/>
      <c r="N12" s="31"/>
      <c r="O12" s="37"/>
      <c r="P12" s="37" t="str">
        <f t="shared" ref="P12:P47" si="4">IF(M12&gt;0,((O12-$N$5)/(N12-$N$5))*100,"")</f>
        <v/>
      </c>
      <c r="Q12" s="37" t="str">
        <f t="shared" ref="Q12:Q47" si="5">IF(M12&gt;0,((P12/100)*M12)/$N$7/1000,"")</f>
        <v/>
      </c>
      <c r="R12" s="14">
        <f t="shared" ref="R12:R16" si="6">IF(N12&gt;0,Q12*10000/100,0)</f>
        <v>0</v>
      </c>
      <c r="S12" s="38"/>
      <c r="T12" s="38"/>
      <c r="U12" s="36"/>
      <c r="V12" s="36" t="str">
        <f t="shared" ref="V12:V47" si="7">IF(S12&gt;0,((U12-$N$5)/(T12-$N$5))*100,"")</f>
        <v/>
      </c>
      <c r="W12" s="36" t="str">
        <f t="shared" ref="W12:W47" si="8">IF(S12&gt;0,((V12/100)*S12)/$N$7/1000,"")</f>
        <v/>
      </c>
      <c r="X12" s="14">
        <f t="shared" ref="X12:X16" si="9">IF(T12&gt;0,W12*10000/100,0)</f>
        <v>0</v>
      </c>
      <c r="Y12" s="31"/>
      <c r="Z12" s="31"/>
      <c r="AA12" s="31"/>
      <c r="AB12" s="31" t="str">
        <f t="shared" ref="AB12:AB47" si="10">IF(Y12&gt;0,((AA12-$N$5)/(Z12-$N$5))*100,"")</f>
        <v/>
      </c>
      <c r="AC12" s="31" t="str">
        <f t="shared" ref="AC12:AC47" si="11">IF(Y12&gt;0,((AB12/100)*Y12)/$N$7/1000,"")</f>
        <v/>
      </c>
      <c r="AD12" s="14">
        <f t="shared" ref="AD12:AD16" si="12">IF(Z12&gt;0,AC12*10000/100,0)</f>
        <v>0</v>
      </c>
      <c r="AE12" s="38"/>
      <c r="AF12" s="7"/>
      <c r="AG12" s="15"/>
      <c r="AH12" s="15" t="str">
        <f t="shared" ref="AH12:AH47" si="13">IF(AE12&gt;0,((AG12-$N$5)/(AF12-$N$5))*100,"")</f>
        <v/>
      </c>
      <c r="AI12" s="15" t="str">
        <f t="shared" ref="AI12:AI47" si="14">IF(AE12&gt;0,((AH12/100)*AE12)/$N$7/1000,"")</f>
        <v/>
      </c>
      <c r="AJ12" s="14">
        <f t="shared" ref="AJ12:AJ47" si="15">IF(AF12&gt;0,AI12*10000/100,0)</f>
        <v>0</v>
      </c>
      <c r="AK12" s="14"/>
      <c r="AL12" s="14">
        <f>X12</f>
        <v>0</v>
      </c>
      <c r="AM12" s="124" t="e">
        <f>IF((100/SUM(AJ12:AL12)*AL12),(100/SUM(AJ12:AL12)*AL12),"")</f>
        <v>#DIV/0!</v>
      </c>
      <c r="AN12" s="57" t="e">
        <f>IF((100/SUM(AJ12:AL12)*AK12),(100/SUM(AJ12:AL12)*AK12),"")</f>
        <v>#DIV/0!</v>
      </c>
      <c r="AO12" s="57" t="e">
        <f>(100/SUM(AJ12:AL12)*AJ12)</f>
        <v>#DIV/0!</v>
      </c>
    </row>
    <row r="13" spans="2:41" x14ac:dyDescent="0.3">
      <c r="B13" s="3" t="s">
        <v>2</v>
      </c>
      <c r="C13" s="6">
        <v>2</v>
      </c>
      <c r="D13" s="7"/>
      <c r="E13" s="7"/>
      <c r="F13" s="7"/>
      <c r="G13" s="8">
        <f t="shared" si="0"/>
        <v>100</v>
      </c>
      <c r="H13" s="3">
        <v>1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6"/>
      <c r="M13" s="31"/>
      <c r="N13" s="31"/>
      <c r="O13" s="37"/>
      <c r="P13" s="37" t="str">
        <f t="shared" si="4"/>
        <v/>
      </c>
      <c r="Q13" s="37" t="str">
        <f t="shared" si="5"/>
        <v/>
      </c>
      <c r="R13" s="14">
        <f t="shared" si="6"/>
        <v>0</v>
      </c>
      <c r="S13" s="38"/>
      <c r="T13" s="38"/>
      <c r="U13" s="36"/>
      <c r="V13" s="36" t="str">
        <f t="shared" si="7"/>
        <v/>
      </c>
      <c r="W13" s="36" t="str">
        <f t="shared" si="8"/>
        <v/>
      </c>
      <c r="X13" s="14">
        <f t="shared" si="9"/>
        <v>0</v>
      </c>
      <c r="Y13" s="7"/>
      <c r="Z13" s="7"/>
      <c r="AA13" s="15"/>
      <c r="AB13" s="15" t="str">
        <f t="shared" si="10"/>
        <v/>
      </c>
      <c r="AC13" s="15" t="str">
        <f t="shared" si="11"/>
        <v/>
      </c>
      <c r="AD13" s="14">
        <f t="shared" si="12"/>
        <v>0</v>
      </c>
      <c r="AE13" s="15"/>
      <c r="AF13" s="7"/>
      <c r="AG13" s="15"/>
      <c r="AH13" s="15" t="str">
        <f t="shared" si="13"/>
        <v/>
      </c>
      <c r="AI13" s="15" t="str">
        <f t="shared" si="14"/>
        <v/>
      </c>
      <c r="AJ13" s="14">
        <f t="shared" si="15"/>
        <v>0</v>
      </c>
      <c r="AK13" s="14">
        <f t="shared" ref="AK13:AK47" si="16">R13+AD13</f>
        <v>0</v>
      </c>
      <c r="AL13" s="14">
        <f t="shared" ref="AL13:AL46" si="17">X13</f>
        <v>0</v>
      </c>
      <c r="AM13" s="124" t="e">
        <f t="shared" ref="AM13:AM47" si="18">IF((100/SUM(AJ13:AL13)*AL13),(100/SUM(AJ13:AL13)*AL13),"")</f>
        <v>#DIV/0!</v>
      </c>
      <c r="AN13" s="57" t="e">
        <f t="shared" ref="AN13:AN47" si="19">IF((100/SUM(AJ13:AL13)*AK13),(100/SUM(AJ13:AL13)*AK13),"")</f>
        <v>#DIV/0!</v>
      </c>
      <c r="AO13" s="57" t="e">
        <f t="shared" ref="AO13:AO47" si="20">(100/SUM(AJ13:AL13)*AJ13)</f>
        <v>#DIV/0!</v>
      </c>
    </row>
    <row r="14" spans="2:41" x14ac:dyDescent="0.3">
      <c r="B14" s="20" t="s">
        <v>2</v>
      </c>
      <c r="C14" s="6">
        <v>3</v>
      </c>
      <c r="D14" s="36"/>
      <c r="E14" s="36"/>
      <c r="F14" s="36"/>
      <c r="G14" s="56">
        <f t="shared" si="0"/>
        <v>100</v>
      </c>
      <c r="H14" s="20">
        <v>1</v>
      </c>
      <c r="I14" s="36">
        <f>(D14-$E$5)*(G14/100)</f>
        <v>0</v>
      </c>
      <c r="J14" s="36">
        <f>I14/($E$7*H14)</f>
        <v>0</v>
      </c>
      <c r="K14" s="36">
        <f>J14*10000/100</f>
        <v>0</v>
      </c>
      <c r="L14" s="6"/>
      <c r="M14" s="37"/>
      <c r="N14" s="37"/>
      <c r="O14" s="37"/>
      <c r="P14" s="37" t="str">
        <f t="shared" si="4"/>
        <v/>
      </c>
      <c r="Q14" s="37" t="str">
        <f t="shared" si="5"/>
        <v/>
      </c>
      <c r="R14" s="14">
        <f t="shared" si="6"/>
        <v>0</v>
      </c>
      <c r="S14" s="15"/>
      <c r="T14" s="15"/>
      <c r="U14" s="15"/>
      <c r="V14" s="15" t="str">
        <f t="shared" si="7"/>
        <v/>
      </c>
      <c r="W14" s="15" t="str">
        <f t="shared" si="8"/>
        <v/>
      </c>
      <c r="X14" s="14">
        <f t="shared" si="9"/>
        <v>0</v>
      </c>
      <c r="Y14" s="36"/>
      <c r="Z14" s="36"/>
      <c r="AA14" s="36"/>
      <c r="AB14" s="36" t="str">
        <f t="shared" si="10"/>
        <v/>
      </c>
      <c r="AC14" s="36" t="str">
        <f t="shared" si="11"/>
        <v/>
      </c>
      <c r="AD14" s="14">
        <f t="shared" si="12"/>
        <v>0</v>
      </c>
      <c r="AE14" s="15"/>
      <c r="AF14" s="36"/>
      <c r="AG14" s="15"/>
      <c r="AH14" s="15" t="str">
        <f t="shared" si="13"/>
        <v/>
      </c>
      <c r="AI14" s="15" t="str">
        <f t="shared" si="14"/>
        <v/>
      </c>
      <c r="AJ14" s="14">
        <f t="shared" si="15"/>
        <v>0</v>
      </c>
      <c r="AK14" s="14">
        <f t="shared" si="16"/>
        <v>0</v>
      </c>
      <c r="AL14" s="14">
        <f t="shared" si="17"/>
        <v>0</v>
      </c>
      <c r="AM14" s="124" t="e">
        <f t="shared" si="18"/>
        <v>#DIV/0!</v>
      </c>
      <c r="AN14" s="57" t="e">
        <f t="shared" si="19"/>
        <v>#DIV/0!</v>
      </c>
      <c r="AO14" s="57" t="e">
        <f t="shared" si="20"/>
        <v>#DIV/0!</v>
      </c>
    </row>
    <row r="15" spans="2:41" x14ac:dyDescent="0.3">
      <c r="B15" s="3" t="s">
        <v>2</v>
      </c>
      <c r="C15" s="6">
        <v>4</v>
      </c>
      <c r="D15" s="7"/>
      <c r="E15" s="7"/>
      <c r="F15" s="7"/>
      <c r="G15" s="8">
        <f t="shared" si="0"/>
        <v>100</v>
      </c>
      <c r="H15" s="3">
        <v>1</v>
      </c>
      <c r="I15" s="7">
        <f t="shared" si="1"/>
        <v>0</v>
      </c>
      <c r="J15" s="7">
        <f t="shared" si="2"/>
        <v>0</v>
      </c>
      <c r="K15" s="7">
        <f t="shared" si="3"/>
        <v>0</v>
      </c>
      <c r="L15" s="6"/>
      <c r="M15" s="31"/>
      <c r="N15" s="31"/>
      <c r="O15" s="37"/>
      <c r="P15" s="37" t="str">
        <f t="shared" si="4"/>
        <v/>
      </c>
      <c r="Q15" s="37" t="str">
        <f t="shared" si="5"/>
        <v/>
      </c>
      <c r="R15" s="14">
        <f t="shared" si="6"/>
        <v>0</v>
      </c>
      <c r="S15" s="38"/>
      <c r="T15" s="38"/>
      <c r="U15" s="36"/>
      <c r="V15" s="36" t="str">
        <f t="shared" si="7"/>
        <v/>
      </c>
      <c r="W15" s="36" t="str">
        <f t="shared" si="8"/>
        <v/>
      </c>
      <c r="X15" s="14">
        <f t="shared" si="9"/>
        <v>0</v>
      </c>
      <c r="Y15" s="7"/>
      <c r="Z15" s="7"/>
      <c r="AA15" s="7"/>
      <c r="AB15" s="7" t="str">
        <f t="shared" si="10"/>
        <v/>
      </c>
      <c r="AC15" s="7" t="str">
        <f t="shared" si="11"/>
        <v/>
      </c>
      <c r="AD15" s="14">
        <f t="shared" si="12"/>
        <v>0</v>
      </c>
      <c r="AE15" s="38"/>
      <c r="AF15" s="7"/>
      <c r="AG15" s="15"/>
      <c r="AH15" s="15" t="str">
        <f t="shared" si="13"/>
        <v/>
      </c>
      <c r="AI15" s="15" t="str">
        <f t="shared" si="14"/>
        <v/>
      </c>
      <c r="AJ15" s="14">
        <f t="shared" si="15"/>
        <v>0</v>
      </c>
      <c r="AK15" s="14">
        <f t="shared" si="16"/>
        <v>0</v>
      </c>
      <c r="AL15" s="14">
        <f t="shared" si="17"/>
        <v>0</v>
      </c>
      <c r="AM15" s="124" t="e">
        <f t="shared" si="18"/>
        <v>#DIV/0!</v>
      </c>
      <c r="AN15" s="57" t="e">
        <f t="shared" si="19"/>
        <v>#DIV/0!</v>
      </c>
      <c r="AO15" s="57" t="e">
        <f t="shared" si="20"/>
        <v>#DIV/0!</v>
      </c>
    </row>
    <row r="16" spans="2:41" x14ac:dyDescent="0.3">
      <c r="B16" s="3" t="s">
        <v>2</v>
      </c>
      <c r="C16" s="6">
        <v>5</v>
      </c>
      <c r="D16" s="7"/>
      <c r="E16" s="7"/>
      <c r="F16" s="7"/>
      <c r="G16" s="8">
        <f t="shared" si="0"/>
        <v>100</v>
      </c>
      <c r="H16" s="3">
        <v>1</v>
      </c>
      <c r="I16" s="7">
        <f t="shared" si="1"/>
        <v>0</v>
      </c>
      <c r="J16" s="7">
        <f t="shared" si="2"/>
        <v>0</v>
      </c>
      <c r="K16" s="7">
        <f t="shared" si="3"/>
        <v>0</v>
      </c>
      <c r="L16" s="6"/>
      <c r="M16" s="31"/>
      <c r="N16" s="31"/>
      <c r="O16" s="37"/>
      <c r="P16" s="37" t="str">
        <f t="shared" si="4"/>
        <v/>
      </c>
      <c r="Q16" s="37" t="str">
        <f t="shared" si="5"/>
        <v/>
      </c>
      <c r="R16" s="14">
        <f t="shared" si="6"/>
        <v>0</v>
      </c>
      <c r="S16" s="37"/>
      <c r="T16" s="37"/>
      <c r="U16" s="37"/>
      <c r="V16" s="37" t="str">
        <f t="shared" si="7"/>
        <v/>
      </c>
      <c r="W16" s="37" t="str">
        <f t="shared" si="8"/>
        <v/>
      </c>
      <c r="X16" s="14">
        <f t="shared" si="9"/>
        <v>0</v>
      </c>
      <c r="Y16" s="7"/>
      <c r="Z16" s="7"/>
      <c r="AA16" s="7"/>
      <c r="AB16" s="7" t="str">
        <f t="shared" si="10"/>
        <v/>
      </c>
      <c r="AC16" s="7" t="str">
        <f t="shared" si="11"/>
        <v/>
      </c>
      <c r="AD16" s="14">
        <f t="shared" si="12"/>
        <v>0</v>
      </c>
      <c r="AE16" s="38"/>
      <c r="AF16" s="7"/>
      <c r="AG16" s="15"/>
      <c r="AH16" s="15" t="str">
        <f t="shared" si="13"/>
        <v/>
      </c>
      <c r="AI16" s="15" t="str">
        <f t="shared" si="14"/>
        <v/>
      </c>
      <c r="AJ16" s="14">
        <f t="shared" si="15"/>
        <v>0</v>
      </c>
      <c r="AK16" s="14">
        <f t="shared" si="16"/>
        <v>0</v>
      </c>
      <c r="AL16" s="14"/>
      <c r="AM16" s="124" t="e">
        <f t="shared" si="18"/>
        <v>#DIV/0!</v>
      </c>
      <c r="AN16" s="57" t="e">
        <f t="shared" si="19"/>
        <v>#DIV/0!</v>
      </c>
      <c r="AO16" s="57" t="e">
        <f t="shared" si="20"/>
        <v>#DIV/0!</v>
      </c>
    </row>
    <row r="17" spans="2:41" x14ac:dyDescent="0.3">
      <c r="B17" s="3" t="s">
        <v>2</v>
      </c>
      <c r="C17" s="6">
        <v>6</v>
      </c>
      <c r="D17" s="7"/>
      <c r="E17" s="7"/>
      <c r="F17" s="7"/>
      <c r="G17" s="8">
        <f t="shared" si="0"/>
        <v>100</v>
      </c>
      <c r="H17" s="3">
        <v>1</v>
      </c>
      <c r="I17" s="7">
        <f t="shared" si="1"/>
        <v>0</v>
      </c>
      <c r="J17" s="7">
        <f t="shared" si="2"/>
        <v>0</v>
      </c>
      <c r="K17" s="7">
        <f t="shared" si="3"/>
        <v>0</v>
      </c>
      <c r="L17" s="6"/>
      <c r="M17" s="7"/>
      <c r="N17" s="7"/>
      <c r="O17" s="36"/>
      <c r="P17" s="36" t="str">
        <f t="shared" si="4"/>
        <v/>
      </c>
      <c r="Q17" s="36" t="str">
        <f t="shared" si="5"/>
        <v/>
      </c>
      <c r="R17" s="14">
        <f>IF(N17&gt;0,Q17*10000/100,0)</f>
        <v>0</v>
      </c>
      <c r="S17" s="38"/>
      <c r="T17" s="38"/>
      <c r="U17" s="36"/>
      <c r="V17" s="36" t="str">
        <f t="shared" si="7"/>
        <v/>
      </c>
      <c r="W17" s="36" t="str">
        <f t="shared" si="8"/>
        <v/>
      </c>
      <c r="X17" s="14">
        <f>IF(T17&gt;0,W17*10000/100,0)</f>
        <v>0</v>
      </c>
      <c r="Y17" s="31"/>
      <c r="Z17" s="31"/>
      <c r="AA17" s="31"/>
      <c r="AB17" s="31" t="str">
        <f t="shared" si="10"/>
        <v/>
      </c>
      <c r="AC17" s="31" t="str">
        <f t="shared" si="11"/>
        <v/>
      </c>
      <c r="AD17" s="14">
        <f>IF(Z17&gt;0,AC17*10000/100,0)</f>
        <v>0</v>
      </c>
      <c r="AE17" s="38"/>
      <c r="AF17" s="7"/>
      <c r="AG17" s="15"/>
      <c r="AH17" s="15" t="str">
        <f t="shared" si="13"/>
        <v/>
      </c>
      <c r="AI17" s="15" t="str">
        <f t="shared" si="14"/>
        <v/>
      </c>
      <c r="AJ17" s="14">
        <f t="shared" si="15"/>
        <v>0</v>
      </c>
      <c r="AK17" s="14">
        <f t="shared" si="16"/>
        <v>0</v>
      </c>
      <c r="AL17" s="14">
        <f t="shared" si="17"/>
        <v>0</v>
      </c>
      <c r="AM17" s="124" t="e">
        <f t="shared" si="18"/>
        <v>#DIV/0!</v>
      </c>
      <c r="AN17" s="57" t="e">
        <f t="shared" si="19"/>
        <v>#DIV/0!</v>
      </c>
      <c r="AO17" s="57" t="e">
        <f t="shared" si="20"/>
        <v>#DIV/0!</v>
      </c>
    </row>
    <row r="18" spans="2:41" x14ac:dyDescent="0.3">
      <c r="B18" s="3" t="s">
        <v>2</v>
      </c>
      <c r="C18" s="6">
        <v>7</v>
      </c>
      <c r="D18" s="7"/>
      <c r="E18" s="7"/>
      <c r="F18" s="7"/>
      <c r="G18" s="8">
        <f t="shared" si="0"/>
        <v>100</v>
      </c>
      <c r="H18" s="3">
        <v>1</v>
      </c>
      <c r="I18" s="7">
        <f t="shared" si="1"/>
        <v>0</v>
      </c>
      <c r="J18" s="7">
        <f t="shared" si="2"/>
        <v>0</v>
      </c>
      <c r="K18" s="7">
        <f t="shared" si="3"/>
        <v>0</v>
      </c>
      <c r="L18" s="6"/>
      <c r="M18" s="7"/>
      <c r="N18" s="7"/>
      <c r="O18" s="36"/>
      <c r="P18" s="36" t="str">
        <f t="shared" si="4"/>
        <v/>
      </c>
      <c r="Q18" s="36" t="str">
        <f t="shared" si="5"/>
        <v/>
      </c>
      <c r="R18" s="14">
        <f t="shared" ref="R18:R47" si="21">IF(N18&gt;0,Q18*10000/100,0)</f>
        <v>0</v>
      </c>
      <c r="S18" s="38"/>
      <c r="T18" s="38"/>
      <c r="U18" s="36"/>
      <c r="V18" s="36" t="str">
        <f t="shared" si="7"/>
        <v/>
      </c>
      <c r="W18" s="36" t="str">
        <f t="shared" si="8"/>
        <v/>
      </c>
      <c r="X18" s="14">
        <f t="shared" ref="X18:X47" si="22">IF(T18&gt;0,W18*10000/100,0)</f>
        <v>0</v>
      </c>
      <c r="Y18" s="31"/>
      <c r="Z18" s="31"/>
      <c r="AA18" s="31"/>
      <c r="AB18" s="31" t="str">
        <f t="shared" si="10"/>
        <v/>
      </c>
      <c r="AC18" s="31" t="str">
        <f t="shared" si="11"/>
        <v/>
      </c>
      <c r="AD18" s="14">
        <f t="shared" ref="AD18:AD47" si="23">IF(Z18&gt;0,AC18*10000/100,0)</f>
        <v>0</v>
      </c>
      <c r="AE18" s="38"/>
      <c r="AF18" s="7"/>
      <c r="AG18" s="15"/>
      <c r="AH18" s="15" t="str">
        <f t="shared" si="13"/>
        <v/>
      </c>
      <c r="AI18" s="15" t="str">
        <f t="shared" si="14"/>
        <v/>
      </c>
      <c r="AJ18" s="14">
        <f t="shared" si="15"/>
        <v>0</v>
      </c>
      <c r="AK18" s="14">
        <f t="shared" si="16"/>
        <v>0</v>
      </c>
      <c r="AL18" s="14">
        <f t="shared" si="17"/>
        <v>0</v>
      </c>
      <c r="AM18" s="124" t="e">
        <f t="shared" si="18"/>
        <v>#DIV/0!</v>
      </c>
      <c r="AN18" s="57" t="e">
        <f t="shared" si="19"/>
        <v>#DIV/0!</v>
      </c>
      <c r="AO18" s="57" t="e">
        <f t="shared" si="20"/>
        <v>#DIV/0!</v>
      </c>
    </row>
    <row r="19" spans="2:41" x14ac:dyDescent="0.3">
      <c r="B19" s="3" t="s">
        <v>2</v>
      </c>
      <c r="C19" s="6">
        <v>8</v>
      </c>
      <c r="D19" s="7"/>
      <c r="E19" s="7"/>
      <c r="F19" s="7"/>
      <c r="G19" s="8">
        <f t="shared" si="0"/>
        <v>100</v>
      </c>
      <c r="H19" s="3">
        <v>1</v>
      </c>
      <c r="I19" s="7">
        <f t="shared" si="1"/>
        <v>0</v>
      </c>
      <c r="J19" s="7">
        <f t="shared" si="2"/>
        <v>0</v>
      </c>
      <c r="K19" s="7">
        <f t="shared" si="3"/>
        <v>0</v>
      </c>
      <c r="L19" s="6"/>
      <c r="M19" s="7"/>
      <c r="N19" s="7"/>
      <c r="O19" s="36"/>
      <c r="P19" s="36" t="str">
        <f t="shared" si="4"/>
        <v/>
      </c>
      <c r="Q19" s="36" t="str">
        <f t="shared" si="5"/>
        <v/>
      </c>
      <c r="R19" s="14">
        <f t="shared" si="21"/>
        <v>0</v>
      </c>
      <c r="S19" s="38"/>
      <c r="T19" s="38"/>
      <c r="U19" s="36"/>
      <c r="V19" s="36" t="str">
        <f t="shared" si="7"/>
        <v/>
      </c>
      <c r="W19" s="36" t="str">
        <f t="shared" si="8"/>
        <v/>
      </c>
      <c r="X19" s="14">
        <f t="shared" si="22"/>
        <v>0</v>
      </c>
      <c r="Y19" s="31"/>
      <c r="Z19" s="31"/>
      <c r="AA19" s="31"/>
      <c r="AB19" s="31" t="str">
        <f t="shared" si="10"/>
        <v/>
      </c>
      <c r="AC19" s="31" t="str">
        <f t="shared" si="11"/>
        <v/>
      </c>
      <c r="AD19" s="14">
        <f t="shared" si="23"/>
        <v>0</v>
      </c>
      <c r="AE19" s="38"/>
      <c r="AF19" s="7"/>
      <c r="AG19" s="15"/>
      <c r="AH19" s="15" t="str">
        <f t="shared" si="13"/>
        <v/>
      </c>
      <c r="AI19" s="15" t="str">
        <f t="shared" si="14"/>
        <v/>
      </c>
      <c r="AJ19" s="14">
        <f t="shared" si="15"/>
        <v>0</v>
      </c>
      <c r="AK19" s="14">
        <f t="shared" si="16"/>
        <v>0</v>
      </c>
      <c r="AL19" s="14">
        <f t="shared" si="17"/>
        <v>0</v>
      </c>
      <c r="AM19" s="124" t="e">
        <f t="shared" si="18"/>
        <v>#DIV/0!</v>
      </c>
      <c r="AN19" s="57" t="e">
        <f t="shared" si="19"/>
        <v>#DIV/0!</v>
      </c>
      <c r="AO19" s="57" t="e">
        <f t="shared" si="20"/>
        <v>#DIV/0!</v>
      </c>
    </row>
    <row r="20" spans="2:41" x14ac:dyDescent="0.3">
      <c r="B20" s="16" t="s">
        <v>2</v>
      </c>
      <c r="C20" s="17">
        <v>9</v>
      </c>
      <c r="D20" s="41"/>
      <c r="E20" s="41"/>
      <c r="F20" s="18"/>
      <c r="G20" s="19">
        <f t="shared" si="0"/>
        <v>100</v>
      </c>
      <c r="H20" s="16">
        <v>1</v>
      </c>
      <c r="I20" s="18">
        <f t="shared" si="1"/>
        <v>0</v>
      </c>
      <c r="J20" s="18">
        <f t="shared" si="2"/>
        <v>0</v>
      </c>
      <c r="K20" s="18">
        <f t="shared" si="3"/>
        <v>0</v>
      </c>
      <c r="L20" s="17"/>
      <c r="M20" s="18"/>
      <c r="N20" s="18"/>
      <c r="O20" s="18"/>
      <c r="P20" s="18" t="str">
        <f t="shared" si="4"/>
        <v/>
      </c>
      <c r="Q20" s="18" t="str">
        <f t="shared" si="5"/>
        <v/>
      </c>
      <c r="R20" s="14">
        <f t="shared" si="21"/>
        <v>0</v>
      </c>
      <c r="S20" s="33"/>
      <c r="T20" s="33"/>
      <c r="U20" s="33"/>
      <c r="V20" s="33" t="str">
        <f t="shared" si="7"/>
        <v/>
      </c>
      <c r="W20" s="33" t="str">
        <f t="shared" si="8"/>
        <v/>
      </c>
      <c r="X20" s="14">
        <f t="shared" si="22"/>
        <v>0</v>
      </c>
      <c r="Y20" s="33"/>
      <c r="Z20" s="33"/>
      <c r="AA20" s="33"/>
      <c r="AB20" s="33" t="str">
        <f t="shared" si="10"/>
        <v/>
      </c>
      <c r="AC20" s="33" t="str">
        <f t="shared" si="11"/>
        <v/>
      </c>
      <c r="AD20" s="14">
        <f t="shared" si="23"/>
        <v>0</v>
      </c>
      <c r="AE20" s="41"/>
      <c r="AF20" s="18"/>
      <c r="AG20" s="41"/>
      <c r="AH20" s="41" t="str">
        <f t="shared" si="13"/>
        <v/>
      </c>
      <c r="AI20" s="41" t="str">
        <f t="shared" si="14"/>
        <v/>
      </c>
      <c r="AJ20" s="14">
        <f t="shared" si="15"/>
        <v>0</v>
      </c>
      <c r="AK20" s="14">
        <f t="shared" si="16"/>
        <v>0</v>
      </c>
      <c r="AL20" s="14"/>
      <c r="AM20" s="124" t="e">
        <f t="shared" si="18"/>
        <v>#DIV/0!</v>
      </c>
      <c r="AN20" s="57" t="e">
        <f t="shared" si="19"/>
        <v>#DIV/0!</v>
      </c>
      <c r="AO20" s="57" t="e">
        <f t="shared" si="20"/>
        <v>#DIV/0!</v>
      </c>
    </row>
    <row r="21" spans="2:41" x14ac:dyDescent="0.3">
      <c r="B21" s="3" t="s">
        <v>9</v>
      </c>
      <c r="C21" s="6">
        <v>1</v>
      </c>
      <c r="D21" s="38"/>
      <c r="E21" s="38"/>
      <c r="F21" s="7"/>
      <c r="G21" s="8">
        <f t="shared" si="0"/>
        <v>100</v>
      </c>
      <c r="H21" s="3">
        <v>1</v>
      </c>
      <c r="I21" s="7">
        <f t="shared" si="1"/>
        <v>0</v>
      </c>
      <c r="J21" s="7">
        <f t="shared" si="2"/>
        <v>0</v>
      </c>
      <c r="K21" s="7">
        <f t="shared" si="3"/>
        <v>0</v>
      </c>
      <c r="L21" s="6"/>
      <c r="M21" s="31"/>
      <c r="N21" s="31"/>
      <c r="O21" s="37"/>
      <c r="P21" s="37" t="str">
        <f t="shared" si="4"/>
        <v/>
      </c>
      <c r="Q21" s="37" t="str">
        <f t="shared" si="5"/>
        <v/>
      </c>
      <c r="R21" s="14">
        <f t="shared" si="21"/>
        <v>0</v>
      </c>
      <c r="S21" s="38"/>
      <c r="T21" s="38"/>
      <c r="U21" s="36"/>
      <c r="V21" s="36" t="str">
        <f t="shared" si="7"/>
        <v/>
      </c>
      <c r="W21" s="36" t="str">
        <f t="shared" si="8"/>
        <v/>
      </c>
      <c r="X21" s="14">
        <f t="shared" si="22"/>
        <v>0</v>
      </c>
      <c r="Y21" s="31"/>
      <c r="Z21" s="31"/>
      <c r="AA21" s="31"/>
      <c r="AB21" s="31" t="str">
        <f t="shared" si="10"/>
        <v/>
      </c>
      <c r="AC21" s="31" t="str">
        <f t="shared" si="11"/>
        <v/>
      </c>
      <c r="AD21" s="14">
        <f t="shared" si="23"/>
        <v>0</v>
      </c>
      <c r="AE21" s="38"/>
      <c r="AF21" s="7"/>
      <c r="AG21" s="15"/>
      <c r="AH21" s="15" t="str">
        <f t="shared" si="13"/>
        <v/>
      </c>
      <c r="AI21" s="15" t="str">
        <f t="shared" si="14"/>
        <v/>
      </c>
      <c r="AJ21" s="14">
        <f t="shared" si="15"/>
        <v>0</v>
      </c>
      <c r="AK21" s="14"/>
      <c r="AL21" s="14">
        <f t="shared" si="17"/>
        <v>0</v>
      </c>
      <c r="AM21" s="124" t="e">
        <f t="shared" si="18"/>
        <v>#DIV/0!</v>
      </c>
      <c r="AN21" s="57" t="e">
        <f t="shared" si="19"/>
        <v>#DIV/0!</v>
      </c>
      <c r="AO21" s="57" t="e">
        <f t="shared" si="20"/>
        <v>#DIV/0!</v>
      </c>
    </row>
    <row r="22" spans="2:41" x14ac:dyDescent="0.3">
      <c r="B22" s="3" t="s">
        <v>9</v>
      </c>
      <c r="C22" s="6">
        <v>2</v>
      </c>
      <c r="D22" s="38"/>
      <c r="E22" s="38"/>
      <c r="F22" s="7"/>
      <c r="G22" s="8">
        <f t="shared" si="0"/>
        <v>100</v>
      </c>
      <c r="H22" s="3">
        <v>1</v>
      </c>
      <c r="I22" s="7">
        <f t="shared" si="1"/>
        <v>0</v>
      </c>
      <c r="J22" s="7">
        <f t="shared" si="2"/>
        <v>0</v>
      </c>
      <c r="K22" s="7">
        <f t="shared" si="3"/>
        <v>0</v>
      </c>
      <c r="L22" s="6"/>
      <c r="M22" s="31"/>
      <c r="N22" s="31"/>
      <c r="O22" s="37"/>
      <c r="P22" s="37" t="str">
        <f t="shared" si="4"/>
        <v/>
      </c>
      <c r="Q22" s="37" t="str">
        <f t="shared" si="5"/>
        <v/>
      </c>
      <c r="R22" s="14">
        <f t="shared" si="21"/>
        <v>0</v>
      </c>
      <c r="S22" s="38"/>
      <c r="T22" s="38"/>
      <c r="U22" s="36"/>
      <c r="V22" s="36" t="str">
        <f t="shared" si="7"/>
        <v/>
      </c>
      <c r="W22" s="36" t="str">
        <f t="shared" si="8"/>
        <v/>
      </c>
      <c r="X22" s="14">
        <f t="shared" si="22"/>
        <v>0</v>
      </c>
      <c r="Y22" s="7"/>
      <c r="Z22" s="7"/>
      <c r="AA22" s="7"/>
      <c r="AB22" s="7" t="str">
        <f t="shared" si="10"/>
        <v/>
      </c>
      <c r="AC22" s="7" t="str">
        <f t="shared" si="11"/>
        <v/>
      </c>
      <c r="AD22" s="14">
        <f t="shared" si="23"/>
        <v>0</v>
      </c>
      <c r="AE22" s="38"/>
      <c r="AF22" s="7"/>
      <c r="AG22" s="15"/>
      <c r="AH22" s="15" t="str">
        <f t="shared" si="13"/>
        <v/>
      </c>
      <c r="AI22" s="15" t="str">
        <f t="shared" si="14"/>
        <v/>
      </c>
      <c r="AJ22" s="14">
        <f t="shared" si="15"/>
        <v>0</v>
      </c>
      <c r="AK22" s="14">
        <f t="shared" si="16"/>
        <v>0</v>
      </c>
      <c r="AL22" s="14">
        <f t="shared" si="17"/>
        <v>0</v>
      </c>
      <c r="AM22" s="124" t="e">
        <f t="shared" si="18"/>
        <v>#DIV/0!</v>
      </c>
      <c r="AN22" s="57" t="e">
        <f t="shared" si="19"/>
        <v>#DIV/0!</v>
      </c>
      <c r="AO22" s="57" t="e">
        <f t="shared" si="20"/>
        <v>#DIV/0!</v>
      </c>
    </row>
    <row r="23" spans="2:41" x14ac:dyDescent="0.3">
      <c r="B23" s="3" t="s">
        <v>9</v>
      </c>
      <c r="C23" s="6">
        <v>3</v>
      </c>
      <c r="D23" s="38"/>
      <c r="E23" s="38"/>
      <c r="F23" s="7"/>
      <c r="G23" s="8">
        <f t="shared" si="0"/>
        <v>100</v>
      </c>
      <c r="H23" s="3">
        <v>1</v>
      </c>
      <c r="I23" s="7">
        <f t="shared" si="1"/>
        <v>0</v>
      </c>
      <c r="J23" s="7">
        <f t="shared" si="2"/>
        <v>0</v>
      </c>
      <c r="K23" s="7">
        <f t="shared" si="3"/>
        <v>0</v>
      </c>
      <c r="L23" s="6"/>
      <c r="M23" s="31"/>
      <c r="N23" s="31"/>
      <c r="O23" s="37"/>
      <c r="P23" s="37" t="str">
        <f t="shared" si="4"/>
        <v/>
      </c>
      <c r="Q23" s="37" t="str">
        <f t="shared" si="5"/>
        <v/>
      </c>
      <c r="R23" s="14">
        <f t="shared" si="21"/>
        <v>0</v>
      </c>
      <c r="S23" s="38"/>
      <c r="T23" s="38"/>
      <c r="U23" s="36"/>
      <c r="V23" s="36" t="str">
        <f t="shared" si="7"/>
        <v/>
      </c>
      <c r="W23" s="36" t="str">
        <f t="shared" si="8"/>
        <v/>
      </c>
      <c r="X23" s="14">
        <f t="shared" si="22"/>
        <v>0</v>
      </c>
      <c r="Y23" s="7"/>
      <c r="Z23" s="7"/>
      <c r="AA23" s="7"/>
      <c r="AB23" s="7" t="str">
        <f t="shared" si="10"/>
        <v/>
      </c>
      <c r="AC23" s="7" t="str">
        <f t="shared" si="11"/>
        <v/>
      </c>
      <c r="AD23" s="14">
        <f t="shared" si="23"/>
        <v>0</v>
      </c>
      <c r="AE23" s="38"/>
      <c r="AF23" s="7"/>
      <c r="AG23" s="15"/>
      <c r="AH23" s="15" t="str">
        <f t="shared" si="13"/>
        <v/>
      </c>
      <c r="AI23" s="15" t="str">
        <f t="shared" si="14"/>
        <v/>
      </c>
      <c r="AJ23" s="14">
        <f t="shared" si="15"/>
        <v>0</v>
      </c>
      <c r="AK23" s="14">
        <f t="shared" si="16"/>
        <v>0</v>
      </c>
      <c r="AL23" s="14">
        <f t="shared" si="17"/>
        <v>0</v>
      </c>
      <c r="AM23" s="124" t="e">
        <f t="shared" si="18"/>
        <v>#DIV/0!</v>
      </c>
      <c r="AN23" s="57" t="e">
        <f t="shared" si="19"/>
        <v>#DIV/0!</v>
      </c>
      <c r="AO23" s="57" t="e">
        <f t="shared" si="20"/>
        <v>#DIV/0!</v>
      </c>
    </row>
    <row r="24" spans="2:41" x14ac:dyDescent="0.3">
      <c r="B24" s="3" t="s">
        <v>9</v>
      </c>
      <c r="C24" s="6">
        <v>4</v>
      </c>
      <c r="D24" s="38"/>
      <c r="E24" s="38"/>
      <c r="F24" s="7"/>
      <c r="G24" s="8">
        <f t="shared" si="0"/>
        <v>100</v>
      </c>
      <c r="H24" s="3">
        <v>1</v>
      </c>
      <c r="I24" s="7">
        <f t="shared" si="1"/>
        <v>0</v>
      </c>
      <c r="J24" s="7">
        <f t="shared" si="2"/>
        <v>0</v>
      </c>
      <c r="K24" s="7">
        <f t="shared" si="3"/>
        <v>0</v>
      </c>
      <c r="L24" s="6"/>
      <c r="M24" s="31"/>
      <c r="N24" s="31"/>
      <c r="O24" s="37"/>
      <c r="P24" s="37" t="str">
        <f t="shared" si="4"/>
        <v/>
      </c>
      <c r="Q24" s="37" t="str">
        <f t="shared" si="5"/>
        <v/>
      </c>
      <c r="R24" s="14">
        <f t="shared" si="21"/>
        <v>0</v>
      </c>
      <c r="S24" s="38"/>
      <c r="T24" s="38"/>
      <c r="U24" s="36"/>
      <c r="V24" s="36" t="str">
        <f t="shared" si="7"/>
        <v/>
      </c>
      <c r="W24" s="36" t="str">
        <f t="shared" si="8"/>
        <v/>
      </c>
      <c r="X24" s="14">
        <f t="shared" si="22"/>
        <v>0</v>
      </c>
      <c r="Y24" s="7"/>
      <c r="Z24" s="7"/>
      <c r="AA24" s="7"/>
      <c r="AB24" s="7" t="str">
        <f t="shared" si="10"/>
        <v/>
      </c>
      <c r="AC24" s="7" t="str">
        <f t="shared" si="11"/>
        <v/>
      </c>
      <c r="AD24" s="14">
        <f t="shared" si="23"/>
        <v>0</v>
      </c>
      <c r="AE24" s="38"/>
      <c r="AF24" s="7"/>
      <c r="AG24" s="15"/>
      <c r="AH24" s="15" t="str">
        <f t="shared" si="13"/>
        <v/>
      </c>
      <c r="AI24" s="15" t="str">
        <f t="shared" si="14"/>
        <v/>
      </c>
      <c r="AJ24" s="14">
        <f t="shared" si="15"/>
        <v>0</v>
      </c>
      <c r="AK24" s="14">
        <f t="shared" si="16"/>
        <v>0</v>
      </c>
      <c r="AL24" s="14">
        <f t="shared" si="17"/>
        <v>0</v>
      </c>
      <c r="AM24" s="124" t="e">
        <f t="shared" si="18"/>
        <v>#DIV/0!</v>
      </c>
      <c r="AN24" s="57" t="e">
        <f t="shared" si="19"/>
        <v>#DIV/0!</v>
      </c>
      <c r="AO24" s="57" t="e">
        <f t="shared" si="20"/>
        <v>#DIV/0!</v>
      </c>
    </row>
    <row r="25" spans="2:41" x14ac:dyDescent="0.3">
      <c r="B25" s="20" t="s">
        <v>9</v>
      </c>
      <c r="C25" s="6">
        <v>5</v>
      </c>
      <c r="D25" s="15"/>
      <c r="E25" s="15"/>
      <c r="F25" s="36"/>
      <c r="G25" s="56">
        <f t="shared" si="0"/>
        <v>100</v>
      </c>
      <c r="H25" s="20">
        <v>1</v>
      </c>
      <c r="I25" s="36">
        <f t="shared" si="1"/>
        <v>0</v>
      </c>
      <c r="J25" s="36">
        <f t="shared" si="2"/>
        <v>0</v>
      </c>
      <c r="K25" s="36">
        <f t="shared" si="3"/>
        <v>0</v>
      </c>
      <c r="L25" s="6"/>
      <c r="M25" s="37"/>
      <c r="N25" s="37"/>
      <c r="O25" s="37"/>
      <c r="P25" s="37" t="str">
        <f t="shared" si="4"/>
        <v/>
      </c>
      <c r="Q25" s="37" t="str">
        <f t="shared" si="5"/>
        <v/>
      </c>
      <c r="R25" s="14">
        <f t="shared" si="21"/>
        <v>0</v>
      </c>
      <c r="S25" s="37"/>
      <c r="T25" s="37"/>
      <c r="U25" s="37"/>
      <c r="V25" s="37" t="str">
        <f t="shared" si="7"/>
        <v/>
      </c>
      <c r="W25" s="37" t="str">
        <f t="shared" si="8"/>
        <v/>
      </c>
      <c r="X25" s="14">
        <f t="shared" si="22"/>
        <v>0</v>
      </c>
      <c r="Y25" s="36"/>
      <c r="Z25" s="36"/>
      <c r="AA25" s="36"/>
      <c r="AB25" s="36" t="str">
        <f t="shared" si="10"/>
        <v/>
      </c>
      <c r="AC25" s="36" t="str">
        <f t="shared" si="11"/>
        <v/>
      </c>
      <c r="AD25" s="14">
        <f t="shared" si="23"/>
        <v>0</v>
      </c>
      <c r="AE25" s="15"/>
      <c r="AF25" s="36"/>
      <c r="AG25" s="15"/>
      <c r="AH25" s="15" t="str">
        <f t="shared" si="13"/>
        <v/>
      </c>
      <c r="AI25" s="15" t="str">
        <f t="shared" si="14"/>
        <v/>
      </c>
      <c r="AJ25" s="14">
        <f t="shared" si="15"/>
        <v>0</v>
      </c>
      <c r="AK25" s="14">
        <f t="shared" si="16"/>
        <v>0</v>
      </c>
      <c r="AL25" s="14"/>
      <c r="AM25" s="124" t="e">
        <f t="shared" si="18"/>
        <v>#DIV/0!</v>
      </c>
      <c r="AN25" s="57" t="e">
        <f t="shared" si="19"/>
        <v>#DIV/0!</v>
      </c>
      <c r="AO25" s="57" t="e">
        <f t="shared" si="20"/>
        <v>#DIV/0!</v>
      </c>
    </row>
    <row r="26" spans="2:41" x14ac:dyDescent="0.3">
      <c r="B26" s="3" t="s">
        <v>9</v>
      </c>
      <c r="C26" s="6">
        <v>6</v>
      </c>
      <c r="D26" s="38"/>
      <c r="E26" s="38"/>
      <c r="F26" s="7"/>
      <c r="G26" s="8">
        <f t="shared" si="0"/>
        <v>100</v>
      </c>
      <c r="H26" s="3">
        <v>1</v>
      </c>
      <c r="I26" s="7">
        <f t="shared" si="1"/>
        <v>0</v>
      </c>
      <c r="J26" s="7">
        <f t="shared" si="2"/>
        <v>0</v>
      </c>
      <c r="K26" s="7">
        <f t="shared" si="3"/>
        <v>0</v>
      </c>
      <c r="L26" s="6"/>
      <c r="M26" s="7"/>
      <c r="N26" s="41"/>
      <c r="O26" s="36"/>
      <c r="P26" s="36" t="str">
        <f t="shared" si="4"/>
        <v/>
      </c>
      <c r="Q26" s="36" t="str">
        <f t="shared" si="5"/>
        <v/>
      </c>
      <c r="R26" s="14">
        <f t="shared" si="21"/>
        <v>0</v>
      </c>
      <c r="S26" s="38"/>
      <c r="T26" s="38"/>
      <c r="U26" s="36"/>
      <c r="V26" s="36" t="str">
        <f t="shared" si="7"/>
        <v/>
      </c>
      <c r="W26" s="36" t="str">
        <f t="shared" si="8"/>
        <v/>
      </c>
      <c r="X26" s="14">
        <f t="shared" si="22"/>
        <v>0</v>
      </c>
      <c r="Y26" s="31"/>
      <c r="Z26" s="31"/>
      <c r="AA26" s="31"/>
      <c r="AB26" s="31" t="str">
        <f t="shared" si="10"/>
        <v/>
      </c>
      <c r="AC26" s="31" t="str">
        <f t="shared" si="11"/>
        <v/>
      </c>
      <c r="AD26" s="14">
        <f t="shared" si="23"/>
        <v>0</v>
      </c>
      <c r="AE26" s="38"/>
      <c r="AF26" s="7"/>
      <c r="AG26" s="15"/>
      <c r="AH26" s="15" t="str">
        <f t="shared" si="13"/>
        <v/>
      </c>
      <c r="AI26" s="15" t="str">
        <f t="shared" si="14"/>
        <v/>
      </c>
      <c r="AJ26" s="14">
        <f t="shared" si="15"/>
        <v>0</v>
      </c>
      <c r="AK26" s="14">
        <f t="shared" si="16"/>
        <v>0</v>
      </c>
      <c r="AL26" s="14">
        <f t="shared" si="17"/>
        <v>0</v>
      </c>
      <c r="AM26" s="124" t="e">
        <f t="shared" si="18"/>
        <v>#DIV/0!</v>
      </c>
      <c r="AN26" s="57" t="e">
        <f t="shared" si="19"/>
        <v>#DIV/0!</v>
      </c>
      <c r="AO26" s="57" t="e">
        <f t="shared" si="20"/>
        <v>#DIV/0!</v>
      </c>
    </row>
    <row r="27" spans="2:41" x14ac:dyDescent="0.3">
      <c r="B27" s="3" t="s">
        <v>9</v>
      </c>
      <c r="C27" s="6">
        <v>7</v>
      </c>
      <c r="D27" s="38"/>
      <c r="E27" s="38"/>
      <c r="F27" s="7"/>
      <c r="G27" s="8">
        <f t="shared" si="0"/>
        <v>100</v>
      </c>
      <c r="H27" s="3">
        <v>1</v>
      </c>
      <c r="I27" s="7">
        <f t="shared" si="1"/>
        <v>0</v>
      </c>
      <c r="J27" s="7">
        <f t="shared" si="2"/>
        <v>0</v>
      </c>
      <c r="K27" s="7">
        <f t="shared" si="3"/>
        <v>0</v>
      </c>
      <c r="L27" s="6"/>
      <c r="M27" s="7"/>
      <c r="N27" s="7"/>
      <c r="O27" s="36"/>
      <c r="P27" s="36" t="str">
        <f t="shared" si="4"/>
        <v/>
      </c>
      <c r="Q27" s="36" t="str">
        <f t="shared" si="5"/>
        <v/>
      </c>
      <c r="R27" s="14">
        <f t="shared" si="21"/>
        <v>0</v>
      </c>
      <c r="S27" s="38"/>
      <c r="T27" s="38"/>
      <c r="U27" s="36"/>
      <c r="V27" s="36" t="str">
        <f t="shared" si="7"/>
        <v/>
      </c>
      <c r="W27" s="36" t="str">
        <f t="shared" si="8"/>
        <v/>
      </c>
      <c r="X27" s="14">
        <f t="shared" si="22"/>
        <v>0</v>
      </c>
      <c r="Y27" s="31"/>
      <c r="Z27" s="31"/>
      <c r="AA27" s="31"/>
      <c r="AB27" s="31" t="str">
        <f t="shared" si="10"/>
        <v/>
      </c>
      <c r="AC27" s="31" t="str">
        <f t="shared" si="11"/>
        <v/>
      </c>
      <c r="AD27" s="14">
        <f t="shared" si="23"/>
        <v>0</v>
      </c>
      <c r="AE27" s="38"/>
      <c r="AF27" s="7"/>
      <c r="AG27" s="15"/>
      <c r="AH27" s="15" t="str">
        <f t="shared" si="13"/>
        <v/>
      </c>
      <c r="AI27" s="15" t="str">
        <f t="shared" si="14"/>
        <v/>
      </c>
      <c r="AJ27" s="14">
        <f t="shared" si="15"/>
        <v>0</v>
      </c>
      <c r="AK27" s="14">
        <f t="shared" si="16"/>
        <v>0</v>
      </c>
      <c r="AL27" s="14">
        <f t="shared" si="17"/>
        <v>0</v>
      </c>
      <c r="AM27" s="124" t="e">
        <f t="shared" si="18"/>
        <v>#DIV/0!</v>
      </c>
      <c r="AN27" s="57" t="e">
        <f t="shared" si="19"/>
        <v>#DIV/0!</v>
      </c>
      <c r="AO27" s="57" t="e">
        <f t="shared" si="20"/>
        <v>#DIV/0!</v>
      </c>
    </row>
    <row r="28" spans="2:41" x14ac:dyDescent="0.3">
      <c r="B28" s="3" t="s">
        <v>9</v>
      </c>
      <c r="C28" s="6">
        <v>8</v>
      </c>
      <c r="D28" s="38"/>
      <c r="E28" s="38"/>
      <c r="F28" s="7"/>
      <c r="G28" s="8">
        <f t="shared" si="0"/>
        <v>100</v>
      </c>
      <c r="H28" s="3">
        <v>1</v>
      </c>
      <c r="I28" s="7">
        <f t="shared" si="1"/>
        <v>0</v>
      </c>
      <c r="J28" s="7">
        <f t="shared" si="2"/>
        <v>0</v>
      </c>
      <c r="K28" s="7">
        <f t="shared" si="3"/>
        <v>0</v>
      </c>
      <c r="L28" s="6"/>
      <c r="M28" s="7"/>
      <c r="N28" s="7"/>
      <c r="O28" s="36"/>
      <c r="P28" s="36" t="str">
        <f t="shared" si="4"/>
        <v/>
      </c>
      <c r="Q28" s="36" t="str">
        <f t="shared" si="5"/>
        <v/>
      </c>
      <c r="R28" s="14">
        <f t="shared" si="21"/>
        <v>0</v>
      </c>
      <c r="S28" s="38"/>
      <c r="T28" s="38"/>
      <c r="U28" s="36"/>
      <c r="V28" s="36" t="str">
        <f t="shared" si="7"/>
        <v/>
      </c>
      <c r="W28" s="36" t="str">
        <f t="shared" si="8"/>
        <v/>
      </c>
      <c r="X28" s="14">
        <f t="shared" si="22"/>
        <v>0</v>
      </c>
      <c r="Y28" s="31"/>
      <c r="Z28" s="31"/>
      <c r="AA28" s="31"/>
      <c r="AB28" s="31" t="str">
        <f t="shared" si="10"/>
        <v/>
      </c>
      <c r="AC28" s="31" t="str">
        <f t="shared" si="11"/>
        <v/>
      </c>
      <c r="AD28" s="14">
        <f t="shared" si="23"/>
        <v>0</v>
      </c>
      <c r="AE28" s="38"/>
      <c r="AF28" s="7"/>
      <c r="AG28" s="15"/>
      <c r="AH28" s="15" t="str">
        <f t="shared" si="13"/>
        <v/>
      </c>
      <c r="AI28" s="15" t="str">
        <f t="shared" si="14"/>
        <v/>
      </c>
      <c r="AJ28" s="14">
        <f t="shared" si="15"/>
        <v>0</v>
      </c>
      <c r="AK28" s="14">
        <f t="shared" si="16"/>
        <v>0</v>
      </c>
      <c r="AL28" s="14">
        <f t="shared" si="17"/>
        <v>0</v>
      </c>
      <c r="AM28" s="124" t="e">
        <f t="shared" si="18"/>
        <v>#DIV/0!</v>
      </c>
      <c r="AN28" s="57" t="e">
        <f t="shared" si="19"/>
        <v>#DIV/0!</v>
      </c>
      <c r="AO28" s="57" t="e">
        <f t="shared" si="20"/>
        <v>#DIV/0!</v>
      </c>
    </row>
    <row r="29" spans="2:41" x14ac:dyDescent="0.3">
      <c r="B29" s="16" t="s">
        <v>9</v>
      </c>
      <c r="C29" s="17">
        <v>9</v>
      </c>
      <c r="D29" s="41"/>
      <c r="E29" s="41"/>
      <c r="F29" s="18"/>
      <c r="G29" s="19">
        <f t="shared" si="0"/>
        <v>100</v>
      </c>
      <c r="H29" s="16">
        <v>1</v>
      </c>
      <c r="I29" s="18">
        <f t="shared" si="1"/>
        <v>0</v>
      </c>
      <c r="J29" s="18">
        <f t="shared" si="2"/>
        <v>0</v>
      </c>
      <c r="K29" s="18">
        <f t="shared" si="3"/>
        <v>0</v>
      </c>
      <c r="L29" s="17"/>
      <c r="M29" s="18"/>
      <c r="N29" s="18"/>
      <c r="O29" s="18"/>
      <c r="P29" s="18" t="str">
        <f t="shared" si="4"/>
        <v/>
      </c>
      <c r="Q29" s="18" t="str">
        <f t="shared" si="5"/>
        <v/>
      </c>
      <c r="R29" s="14">
        <f t="shared" si="21"/>
        <v>0</v>
      </c>
      <c r="S29" s="86"/>
      <c r="T29" s="86"/>
      <c r="U29" s="86"/>
      <c r="V29" s="33" t="str">
        <f t="shared" si="7"/>
        <v/>
      </c>
      <c r="W29" s="33" t="str">
        <f t="shared" si="8"/>
        <v/>
      </c>
      <c r="X29" s="14">
        <f t="shared" si="22"/>
        <v>0</v>
      </c>
      <c r="Y29" s="33"/>
      <c r="Z29" s="33"/>
      <c r="AA29" s="33"/>
      <c r="AB29" s="33" t="str">
        <f t="shared" si="10"/>
        <v/>
      </c>
      <c r="AC29" s="33" t="str">
        <f t="shared" si="11"/>
        <v/>
      </c>
      <c r="AD29" s="14">
        <f t="shared" si="23"/>
        <v>0</v>
      </c>
      <c r="AE29" s="41"/>
      <c r="AF29" s="18"/>
      <c r="AG29" s="41"/>
      <c r="AH29" s="41" t="str">
        <f t="shared" si="13"/>
        <v/>
      </c>
      <c r="AI29" s="41" t="str">
        <f t="shared" si="14"/>
        <v/>
      </c>
      <c r="AJ29" s="14"/>
      <c r="AK29" s="14"/>
      <c r="AL29" s="14"/>
      <c r="AM29" s="124"/>
      <c r="AN29" s="57"/>
      <c r="AO29" s="57"/>
    </row>
    <row r="30" spans="2:41" x14ac:dyDescent="0.3">
      <c r="B30" s="3" t="s">
        <v>10</v>
      </c>
      <c r="C30" s="6">
        <v>1</v>
      </c>
      <c r="D30" s="38"/>
      <c r="E30" s="38"/>
      <c r="F30" s="7"/>
      <c r="G30" s="8">
        <f t="shared" si="0"/>
        <v>100</v>
      </c>
      <c r="H30" s="3">
        <v>1</v>
      </c>
      <c r="I30" s="7">
        <f t="shared" si="1"/>
        <v>0</v>
      </c>
      <c r="J30" s="7">
        <f t="shared" si="2"/>
        <v>0</v>
      </c>
      <c r="K30" s="7">
        <f t="shared" si="3"/>
        <v>0</v>
      </c>
      <c r="L30" s="6"/>
      <c r="M30" s="31"/>
      <c r="N30" s="31"/>
      <c r="O30" s="37"/>
      <c r="P30" s="37" t="str">
        <f t="shared" si="4"/>
        <v/>
      </c>
      <c r="Q30" s="37" t="str">
        <f t="shared" si="5"/>
        <v/>
      </c>
      <c r="R30" s="14">
        <f t="shared" si="21"/>
        <v>0</v>
      </c>
      <c r="S30" s="38"/>
      <c r="T30" s="38"/>
      <c r="U30" s="36"/>
      <c r="V30" s="36" t="str">
        <f t="shared" si="7"/>
        <v/>
      </c>
      <c r="W30" s="36" t="str">
        <f t="shared" si="8"/>
        <v/>
      </c>
      <c r="X30" s="14">
        <f t="shared" si="22"/>
        <v>0</v>
      </c>
      <c r="Y30" s="31"/>
      <c r="Z30" s="31"/>
      <c r="AA30" s="31"/>
      <c r="AB30" s="31" t="str">
        <f t="shared" si="10"/>
        <v/>
      </c>
      <c r="AC30" s="31" t="str">
        <f t="shared" si="11"/>
        <v/>
      </c>
      <c r="AD30" s="14">
        <f t="shared" si="23"/>
        <v>0</v>
      </c>
      <c r="AE30" s="38"/>
      <c r="AF30" s="40"/>
      <c r="AG30" s="40"/>
      <c r="AH30" s="40" t="str">
        <f t="shared" si="13"/>
        <v/>
      </c>
      <c r="AI30" s="40" t="str">
        <f t="shared" si="14"/>
        <v/>
      </c>
      <c r="AJ30" s="14"/>
      <c r="AK30" s="14"/>
      <c r="AL30" s="14"/>
      <c r="AM30" s="124"/>
      <c r="AN30" s="57"/>
      <c r="AO30" s="57"/>
    </row>
    <row r="31" spans="2:41" x14ac:dyDescent="0.3">
      <c r="B31" s="3" t="s">
        <v>10</v>
      </c>
      <c r="C31" s="6">
        <v>2</v>
      </c>
      <c r="D31" s="38"/>
      <c r="E31" s="38"/>
      <c r="F31" s="7"/>
      <c r="G31" s="8">
        <f t="shared" si="0"/>
        <v>100</v>
      </c>
      <c r="H31" s="3">
        <v>1</v>
      </c>
      <c r="I31" s="7">
        <f t="shared" si="1"/>
        <v>0</v>
      </c>
      <c r="J31" s="7">
        <f t="shared" si="2"/>
        <v>0</v>
      </c>
      <c r="K31" s="7">
        <f t="shared" si="3"/>
        <v>0</v>
      </c>
      <c r="L31" s="6"/>
      <c r="M31" s="31"/>
      <c r="N31" s="31"/>
      <c r="O31" s="37"/>
      <c r="P31" s="37" t="str">
        <f t="shared" si="4"/>
        <v/>
      </c>
      <c r="Q31" s="37" t="str">
        <f t="shared" si="5"/>
        <v/>
      </c>
      <c r="R31" s="14">
        <f t="shared" si="21"/>
        <v>0</v>
      </c>
      <c r="S31" s="38"/>
      <c r="T31" s="38"/>
      <c r="U31" s="36"/>
      <c r="V31" s="36" t="str">
        <f t="shared" si="7"/>
        <v/>
      </c>
      <c r="W31" s="36" t="str">
        <f t="shared" si="8"/>
        <v/>
      </c>
      <c r="X31" s="14">
        <f t="shared" si="22"/>
        <v>0</v>
      </c>
      <c r="Y31" s="7"/>
      <c r="Z31" s="7"/>
      <c r="AA31" s="7"/>
      <c r="AB31" s="7" t="str">
        <f t="shared" si="10"/>
        <v/>
      </c>
      <c r="AC31" s="7" t="str">
        <f t="shared" si="11"/>
        <v/>
      </c>
      <c r="AD31" s="14">
        <f t="shared" si="23"/>
        <v>0</v>
      </c>
      <c r="AE31" s="38"/>
      <c r="AF31" s="40"/>
      <c r="AG31" s="40"/>
      <c r="AH31" s="40" t="str">
        <f t="shared" si="13"/>
        <v/>
      </c>
      <c r="AI31" s="40" t="str">
        <f t="shared" si="14"/>
        <v/>
      </c>
      <c r="AJ31" s="14">
        <f t="shared" si="15"/>
        <v>0</v>
      </c>
      <c r="AK31" s="14">
        <f t="shared" si="16"/>
        <v>0</v>
      </c>
      <c r="AL31" s="14">
        <f t="shared" si="17"/>
        <v>0</v>
      </c>
      <c r="AM31" s="124" t="e">
        <f t="shared" si="18"/>
        <v>#DIV/0!</v>
      </c>
      <c r="AN31" s="57" t="e">
        <f t="shared" si="19"/>
        <v>#DIV/0!</v>
      </c>
      <c r="AO31" s="57" t="e">
        <f t="shared" si="20"/>
        <v>#DIV/0!</v>
      </c>
    </row>
    <row r="32" spans="2:41" x14ac:dyDescent="0.3">
      <c r="B32" s="3" t="s">
        <v>10</v>
      </c>
      <c r="C32" s="6">
        <v>3</v>
      </c>
      <c r="D32" s="38"/>
      <c r="E32" s="38"/>
      <c r="F32" s="7"/>
      <c r="G32" s="8">
        <f t="shared" si="0"/>
        <v>100</v>
      </c>
      <c r="H32" s="3">
        <v>1</v>
      </c>
      <c r="I32" s="7">
        <f t="shared" si="1"/>
        <v>0</v>
      </c>
      <c r="J32" s="7">
        <f t="shared" si="2"/>
        <v>0</v>
      </c>
      <c r="K32" s="7">
        <f t="shared" si="3"/>
        <v>0</v>
      </c>
      <c r="L32" s="6"/>
      <c r="M32" s="31"/>
      <c r="N32" s="31"/>
      <c r="O32" s="37"/>
      <c r="P32" s="37" t="str">
        <f t="shared" si="4"/>
        <v/>
      </c>
      <c r="Q32" s="37" t="str">
        <f t="shared" si="5"/>
        <v/>
      </c>
      <c r="R32" s="14">
        <f t="shared" si="21"/>
        <v>0</v>
      </c>
      <c r="S32" s="38"/>
      <c r="T32" s="38"/>
      <c r="U32" s="36"/>
      <c r="V32" s="36" t="str">
        <f t="shared" si="7"/>
        <v/>
      </c>
      <c r="W32" s="36" t="str">
        <f t="shared" si="8"/>
        <v/>
      </c>
      <c r="X32" s="14">
        <f t="shared" si="22"/>
        <v>0</v>
      </c>
      <c r="Y32" s="7"/>
      <c r="Z32" s="7"/>
      <c r="AA32" s="7"/>
      <c r="AB32" s="7" t="str">
        <f t="shared" si="10"/>
        <v/>
      </c>
      <c r="AC32" s="7" t="str">
        <f t="shared" si="11"/>
        <v/>
      </c>
      <c r="AD32" s="14">
        <f t="shared" si="23"/>
        <v>0</v>
      </c>
      <c r="AE32" s="38"/>
      <c r="AF32" s="40"/>
      <c r="AG32" s="40"/>
      <c r="AH32" s="40" t="str">
        <f t="shared" si="13"/>
        <v/>
      </c>
      <c r="AI32" s="40" t="str">
        <f t="shared" si="14"/>
        <v/>
      </c>
      <c r="AJ32" s="14">
        <f t="shared" si="15"/>
        <v>0</v>
      </c>
      <c r="AK32" s="14">
        <f t="shared" si="16"/>
        <v>0</v>
      </c>
      <c r="AL32" s="14">
        <f t="shared" si="17"/>
        <v>0</v>
      </c>
      <c r="AM32" s="124" t="e">
        <f t="shared" si="18"/>
        <v>#DIV/0!</v>
      </c>
      <c r="AN32" s="57" t="e">
        <f t="shared" si="19"/>
        <v>#DIV/0!</v>
      </c>
      <c r="AO32" s="57" t="e">
        <f t="shared" si="20"/>
        <v>#DIV/0!</v>
      </c>
    </row>
    <row r="33" spans="2:41" x14ac:dyDescent="0.3">
      <c r="B33" s="3" t="s">
        <v>10</v>
      </c>
      <c r="C33" s="6">
        <v>4</v>
      </c>
      <c r="D33" s="38"/>
      <c r="E33" s="38"/>
      <c r="F33" s="7"/>
      <c r="G33" s="8">
        <f t="shared" si="0"/>
        <v>100</v>
      </c>
      <c r="H33" s="3">
        <v>1</v>
      </c>
      <c r="I33" s="7">
        <f t="shared" si="1"/>
        <v>0</v>
      </c>
      <c r="J33" s="7">
        <f t="shared" si="2"/>
        <v>0</v>
      </c>
      <c r="K33" s="7">
        <f t="shared" si="3"/>
        <v>0</v>
      </c>
      <c r="L33" s="6"/>
      <c r="M33" s="31"/>
      <c r="N33" s="31"/>
      <c r="O33" s="37"/>
      <c r="P33" s="37" t="str">
        <f t="shared" si="4"/>
        <v/>
      </c>
      <c r="Q33" s="37" t="str">
        <f t="shared" si="5"/>
        <v/>
      </c>
      <c r="R33" s="14">
        <f t="shared" si="21"/>
        <v>0</v>
      </c>
      <c r="S33" s="38"/>
      <c r="T33" s="38"/>
      <c r="U33" s="36"/>
      <c r="V33" s="36" t="str">
        <f t="shared" si="7"/>
        <v/>
      </c>
      <c r="W33" s="36" t="str">
        <f t="shared" si="8"/>
        <v/>
      </c>
      <c r="X33" s="14">
        <f t="shared" si="22"/>
        <v>0</v>
      </c>
      <c r="Y33" s="7"/>
      <c r="Z33" s="7"/>
      <c r="AA33" s="7"/>
      <c r="AB33" s="7" t="str">
        <f t="shared" si="10"/>
        <v/>
      </c>
      <c r="AC33" s="7" t="str">
        <f t="shared" si="11"/>
        <v/>
      </c>
      <c r="AD33" s="14">
        <f t="shared" si="23"/>
        <v>0</v>
      </c>
      <c r="AE33" s="38"/>
      <c r="AF33" s="40"/>
      <c r="AG33" s="40"/>
      <c r="AH33" s="40" t="str">
        <f t="shared" si="13"/>
        <v/>
      </c>
      <c r="AI33" s="40" t="str">
        <f t="shared" si="14"/>
        <v/>
      </c>
      <c r="AJ33" s="14">
        <f t="shared" si="15"/>
        <v>0</v>
      </c>
      <c r="AK33" s="14">
        <f t="shared" si="16"/>
        <v>0</v>
      </c>
      <c r="AL33" s="14">
        <f t="shared" si="17"/>
        <v>0</v>
      </c>
      <c r="AM33" s="124" t="e">
        <f t="shared" si="18"/>
        <v>#DIV/0!</v>
      </c>
      <c r="AN33" s="57" t="e">
        <f t="shared" si="19"/>
        <v>#DIV/0!</v>
      </c>
      <c r="AO33" s="57" t="e">
        <f t="shared" si="20"/>
        <v>#DIV/0!</v>
      </c>
    </row>
    <row r="34" spans="2:41" x14ac:dyDescent="0.3">
      <c r="B34" s="3" t="s">
        <v>10</v>
      </c>
      <c r="C34" s="6">
        <v>5</v>
      </c>
      <c r="D34" s="38"/>
      <c r="E34" s="38"/>
      <c r="F34" s="7"/>
      <c r="G34" s="8">
        <f t="shared" si="0"/>
        <v>100</v>
      </c>
      <c r="H34" s="3">
        <v>1</v>
      </c>
      <c r="I34" s="7">
        <f t="shared" si="1"/>
        <v>0</v>
      </c>
      <c r="J34" s="7">
        <f t="shared" si="2"/>
        <v>0</v>
      </c>
      <c r="K34" s="7">
        <f t="shared" si="3"/>
        <v>0</v>
      </c>
      <c r="L34" s="6"/>
      <c r="M34" s="31"/>
      <c r="N34" s="31"/>
      <c r="O34" s="37"/>
      <c r="P34" s="37" t="str">
        <f t="shared" si="4"/>
        <v/>
      </c>
      <c r="Q34" s="37" t="str">
        <f t="shared" si="5"/>
        <v/>
      </c>
      <c r="R34" s="14">
        <f t="shared" si="21"/>
        <v>0</v>
      </c>
      <c r="S34" s="37"/>
      <c r="T34" s="37"/>
      <c r="U34" s="37"/>
      <c r="V34" s="37" t="str">
        <f t="shared" si="7"/>
        <v/>
      </c>
      <c r="W34" s="37" t="str">
        <f t="shared" si="8"/>
        <v/>
      </c>
      <c r="X34" s="14">
        <f t="shared" si="22"/>
        <v>0</v>
      </c>
      <c r="Y34" s="7"/>
      <c r="Z34" s="7"/>
      <c r="AA34" s="7"/>
      <c r="AB34" s="7" t="str">
        <f t="shared" si="10"/>
        <v/>
      </c>
      <c r="AC34" s="7" t="str">
        <f t="shared" si="11"/>
        <v/>
      </c>
      <c r="AD34" s="14">
        <f t="shared" si="23"/>
        <v>0</v>
      </c>
      <c r="AE34" s="38"/>
      <c r="AF34" s="40"/>
      <c r="AG34" s="40"/>
      <c r="AH34" s="40" t="str">
        <f t="shared" si="13"/>
        <v/>
      </c>
      <c r="AI34" s="40" t="str">
        <f t="shared" si="14"/>
        <v/>
      </c>
      <c r="AJ34" s="14">
        <f t="shared" si="15"/>
        <v>0</v>
      </c>
      <c r="AK34" s="14">
        <f t="shared" si="16"/>
        <v>0</v>
      </c>
      <c r="AL34" s="14"/>
      <c r="AM34" s="124" t="e">
        <f t="shared" si="18"/>
        <v>#DIV/0!</v>
      </c>
      <c r="AN34" s="57" t="e">
        <f t="shared" si="19"/>
        <v>#DIV/0!</v>
      </c>
      <c r="AO34" s="57" t="e">
        <f t="shared" si="20"/>
        <v>#DIV/0!</v>
      </c>
    </row>
    <row r="35" spans="2:41" x14ac:dyDescent="0.3">
      <c r="B35" s="3" t="s">
        <v>10</v>
      </c>
      <c r="C35" s="6">
        <v>6</v>
      </c>
      <c r="D35" s="38"/>
      <c r="E35" s="38"/>
      <c r="F35" s="7"/>
      <c r="G35" s="8">
        <f t="shared" si="0"/>
        <v>100</v>
      </c>
      <c r="H35" s="3">
        <v>1</v>
      </c>
      <c r="I35" s="7">
        <f t="shared" si="1"/>
        <v>0</v>
      </c>
      <c r="J35" s="7">
        <f t="shared" si="2"/>
        <v>0</v>
      </c>
      <c r="K35" s="7">
        <f t="shared" si="3"/>
        <v>0</v>
      </c>
      <c r="L35" s="6"/>
      <c r="M35" s="7"/>
      <c r="N35" s="7"/>
      <c r="O35" s="36"/>
      <c r="P35" s="36" t="str">
        <f t="shared" si="4"/>
        <v/>
      </c>
      <c r="Q35" s="36" t="str">
        <f t="shared" si="5"/>
        <v/>
      </c>
      <c r="R35" s="14">
        <f t="shared" si="21"/>
        <v>0</v>
      </c>
      <c r="S35" s="38"/>
      <c r="T35" s="38"/>
      <c r="U35" s="36"/>
      <c r="V35" s="36" t="str">
        <f t="shared" si="7"/>
        <v/>
      </c>
      <c r="W35" s="36" t="str">
        <f t="shared" si="8"/>
        <v/>
      </c>
      <c r="X35" s="14">
        <f t="shared" si="22"/>
        <v>0</v>
      </c>
      <c r="Y35" s="31"/>
      <c r="Z35" s="31"/>
      <c r="AA35" s="31"/>
      <c r="AB35" s="31" t="str">
        <f t="shared" si="10"/>
        <v/>
      </c>
      <c r="AC35" s="31" t="str">
        <f t="shared" si="11"/>
        <v/>
      </c>
      <c r="AD35" s="14">
        <f t="shared" si="23"/>
        <v>0</v>
      </c>
      <c r="AE35" s="38"/>
      <c r="AF35" s="40"/>
      <c r="AG35" s="40"/>
      <c r="AH35" s="40" t="str">
        <f t="shared" si="13"/>
        <v/>
      </c>
      <c r="AI35" s="40" t="str">
        <f t="shared" si="14"/>
        <v/>
      </c>
      <c r="AJ35" s="14">
        <f t="shared" si="15"/>
        <v>0</v>
      </c>
      <c r="AK35" s="14">
        <f t="shared" si="16"/>
        <v>0</v>
      </c>
      <c r="AL35" s="14">
        <f t="shared" si="17"/>
        <v>0</v>
      </c>
      <c r="AM35" s="124" t="e">
        <f t="shared" si="18"/>
        <v>#DIV/0!</v>
      </c>
      <c r="AN35" s="57" t="e">
        <f t="shared" si="19"/>
        <v>#DIV/0!</v>
      </c>
      <c r="AO35" s="57" t="e">
        <f t="shared" si="20"/>
        <v>#DIV/0!</v>
      </c>
    </row>
    <row r="36" spans="2:41" x14ac:dyDescent="0.3">
      <c r="B36" s="20" t="s">
        <v>10</v>
      </c>
      <c r="C36" s="6">
        <v>7</v>
      </c>
      <c r="D36" s="15"/>
      <c r="E36" s="15"/>
      <c r="F36" s="36"/>
      <c r="G36" s="56">
        <f t="shared" si="0"/>
        <v>100</v>
      </c>
      <c r="H36" s="20">
        <v>1</v>
      </c>
      <c r="I36" s="36">
        <f t="shared" si="1"/>
        <v>0</v>
      </c>
      <c r="J36" s="36">
        <f t="shared" si="2"/>
        <v>0</v>
      </c>
      <c r="K36" s="36">
        <f t="shared" si="3"/>
        <v>0</v>
      </c>
      <c r="L36" s="6"/>
      <c r="M36" s="36"/>
      <c r="N36" s="36"/>
      <c r="O36" s="36"/>
      <c r="P36" s="36" t="str">
        <f t="shared" si="4"/>
        <v/>
      </c>
      <c r="Q36" s="36" t="str">
        <f t="shared" si="5"/>
        <v/>
      </c>
      <c r="R36" s="14">
        <f t="shared" si="21"/>
        <v>0</v>
      </c>
      <c r="S36" s="15"/>
      <c r="T36" s="38"/>
      <c r="U36" s="36"/>
      <c r="V36" s="36" t="str">
        <f t="shared" si="7"/>
        <v/>
      </c>
      <c r="W36" s="36" t="str">
        <f t="shared" si="8"/>
        <v/>
      </c>
      <c r="X36" s="14">
        <f t="shared" si="22"/>
        <v>0</v>
      </c>
      <c r="Y36" s="37"/>
      <c r="Z36" s="37"/>
      <c r="AA36" s="37"/>
      <c r="AB36" s="37" t="str">
        <f t="shared" si="10"/>
        <v/>
      </c>
      <c r="AC36" s="37" t="str">
        <f t="shared" si="11"/>
        <v/>
      </c>
      <c r="AD36" s="14">
        <f t="shared" si="23"/>
        <v>0</v>
      </c>
      <c r="AE36" s="15"/>
      <c r="AF36" s="57"/>
      <c r="AG36" s="57"/>
      <c r="AH36" s="57" t="str">
        <f t="shared" si="13"/>
        <v/>
      </c>
      <c r="AI36" s="57" t="str">
        <f t="shared" si="14"/>
        <v/>
      </c>
      <c r="AJ36" s="14">
        <f t="shared" si="15"/>
        <v>0</v>
      </c>
      <c r="AK36" s="14">
        <f t="shared" si="16"/>
        <v>0</v>
      </c>
      <c r="AL36" s="14">
        <f t="shared" si="17"/>
        <v>0</v>
      </c>
      <c r="AM36" s="124" t="e">
        <f t="shared" si="18"/>
        <v>#DIV/0!</v>
      </c>
      <c r="AN36" s="57" t="e">
        <f t="shared" si="19"/>
        <v>#DIV/0!</v>
      </c>
      <c r="AO36" s="57" t="e">
        <f t="shared" si="20"/>
        <v>#DIV/0!</v>
      </c>
    </row>
    <row r="37" spans="2:41" x14ac:dyDescent="0.3">
      <c r="B37" s="3" t="s">
        <v>10</v>
      </c>
      <c r="C37" s="6">
        <v>8</v>
      </c>
      <c r="D37" s="38"/>
      <c r="E37" s="38"/>
      <c r="F37" s="7"/>
      <c r="G37" s="8">
        <f t="shared" si="0"/>
        <v>100</v>
      </c>
      <c r="H37" s="3">
        <v>1</v>
      </c>
      <c r="I37" s="7">
        <f t="shared" si="1"/>
        <v>0</v>
      </c>
      <c r="J37" s="7">
        <f t="shared" si="2"/>
        <v>0</v>
      </c>
      <c r="K37" s="7">
        <f t="shared" si="3"/>
        <v>0</v>
      </c>
      <c r="L37" s="6"/>
      <c r="M37" s="7"/>
      <c r="N37" s="7"/>
      <c r="O37" s="36"/>
      <c r="P37" s="36" t="str">
        <f t="shared" si="4"/>
        <v/>
      </c>
      <c r="Q37" s="36" t="str">
        <f t="shared" si="5"/>
        <v/>
      </c>
      <c r="R37" s="14">
        <f t="shared" si="21"/>
        <v>0</v>
      </c>
      <c r="S37" s="38"/>
      <c r="T37" s="38"/>
      <c r="U37" s="36"/>
      <c r="V37" s="36" t="str">
        <f t="shared" si="7"/>
        <v/>
      </c>
      <c r="W37" s="36" t="str">
        <f t="shared" si="8"/>
        <v/>
      </c>
      <c r="X37" s="14">
        <f t="shared" si="22"/>
        <v>0</v>
      </c>
      <c r="Y37" s="31"/>
      <c r="Z37" s="31"/>
      <c r="AA37" s="31"/>
      <c r="AB37" s="31" t="str">
        <f t="shared" si="10"/>
        <v/>
      </c>
      <c r="AC37" s="31" t="str">
        <f t="shared" si="11"/>
        <v/>
      </c>
      <c r="AD37" s="14">
        <f t="shared" si="23"/>
        <v>0</v>
      </c>
      <c r="AE37" s="38"/>
      <c r="AF37" s="40"/>
      <c r="AG37" s="40"/>
      <c r="AH37" s="40" t="str">
        <f t="shared" si="13"/>
        <v/>
      </c>
      <c r="AI37" s="40" t="str">
        <f t="shared" si="14"/>
        <v/>
      </c>
      <c r="AJ37" s="14">
        <f t="shared" si="15"/>
        <v>0</v>
      </c>
      <c r="AK37" s="14">
        <f t="shared" si="16"/>
        <v>0</v>
      </c>
      <c r="AL37" s="14">
        <f t="shared" si="17"/>
        <v>0</v>
      </c>
      <c r="AM37" s="124" t="e">
        <f t="shared" si="18"/>
        <v>#DIV/0!</v>
      </c>
      <c r="AN37" s="57" t="e">
        <f t="shared" si="19"/>
        <v>#DIV/0!</v>
      </c>
      <c r="AO37" s="57" t="e">
        <f t="shared" si="20"/>
        <v>#DIV/0!</v>
      </c>
    </row>
    <row r="38" spans="2:41" x14ac:dyDescent="0.3">
      <c r="B38" s="16" t="s">
        <v>10</v>
      </c>
      <c r="C38" s="17">
        <v>9</v>
      </c>
      <c r="D38" s="41"/>
      <c r="E38" s="41"/>
      <c r="F38" s="18"/>
      <c r="G38" s="19">
        <f t="shared" si="0"/>
        <v>100</v>
      </c>
      <c r="H38" s="16">
        <v>1</v>
      </c>
      <c r="I38" s="18">
        <f t="shared" si="1"/>
        <v>0</v>
      </c>
      <c r="J38" s="18">
        <f t="shared" si="2"/>
        <v>0</v>
      </c>
      <c r="K38" s="18">
        <f t="shared" si="3"/>
        <v>0</v>
      </c>
      <c r="L38" s="17"/>
      <c r="M38" s="18"/>
      <c r="N38" s="18"/>
      <c r="O38" s="18"/>
      <c r="P38" s="18" t="str">
        <f t="shared" si="4"/>
        <v/>
      </c>
      <c r="Q38" s="18" t="str">
        <f t="shared" si="5"/>
        <v/>
      </c>
      <c r="R38" s="14">
        <f t="shared" si="21"/>
        <v>0</v>
      </c>
      <c r="S38" s="33"/>
      <c r="T38" s="33"/>
      <c r="U38" s="33"/>
      <c r="V38" s="33" t="str">
        <f t="shared" si="7"/>
        <v/>
      </c>
      <c r="W38" s="33" t="str">
        <f t="shared" si="8"/>
        <v/>
      </c>
      <c r="X38" s="14">
        <f t="shared" si="22"/>
        <v>0</v>
      </c>
      <c r="Y38" s="33"/>
      <c r="Z38" s="33"/>
      <c r="AA38" s="33"/>
      <c r="AB38" s="33" t="str">
        <f t="shared" si="10"/>
        <v/>
      </c>
      <c r="AC38" s="33" t="str">
        <f t="shared" si="11"/>
        <v/>
      </c>
      <c r="AD38" s="14">
        <f t="shared" si="23"/>
        <v>0</v>
      </c>
      <c r="AE38" s="41"/>
      <c r="AF38" s="42"/>
      <c r="AG38" s="42"/>
      <c r="AH38" s="42" t="str">
        <f t="shared" si="13"/>
        <v/>
      </c>
      <c r="AI38" s="42" t="str">
        <f t="shared" si="14"/>
        <v/>
      </c>
      <c r="AJ38" s="14">
        <f t="shared" si="15"/>
        <v>0</v>
      </c>
      <c r="AK38" s="14">
        <f t="shared" si="16"/>
        <v>0</v>
      </c>
      <c r="AL38" s="14"/>
      <c r="AM38" s="124" t="e">
        <f t="shared" si="18"/>
        <v>#DIV/0!</v>
      </c>
      <c r="AN38" s="57" t="e">
        <f t="shared" si="19"/>
        <v>#DIV/0!</v>
      </c>
      <c r="AO38" s="57" t="e">
        <f t="shared" si="20"/>
        <v>#DIV/0!</v>
      </c>
    </row>
    <row r="39" spans="2:41" x14ac:dyDescent="0.3">
      <c r="B39" s="3" t="s">
        <v>11</v>
      </c>
      <c r="C39" s="6">
        <v>1</v>
      </c>
      <c r="D39" s="38"/>
      <c r="E39" s="38"/>
      <c r="F39" s="7"/>
      <c r="G39" s="8">
        <f t="shared" si="0"/>
        <v>100</v>
      </c>
      <c r="H39" s="3">
        <v>1</v>
      </c>
      <c r="I39" s="7">
        <f t="shared" si="1"/>
        <v>0</v>
      </c>
      <c r="J39" s="7">
        <f t="shared" si="2"/>
        <v>0</v>
      </c>
      <c r="K39" s="7">
        <f t="shared" si="3"/>
        <v>0</v>
      </c>
      <c r="L39" s="6"/>
      <c r="M39" s="31"/>
      <c r="N39" s="31"/>
      <c r="O39" s="37"/>
      <c r="P39" s="37" t="str">
        <f t="shared" si="4"/>
        <v/>
      </c>
      <c r="Q39" s="37" t="str">
        <f t="shared" si="5"/>
        <v/>
      </c>
      <c r="R39" s="14">
        <f t="shared" si="21"/>
        <v>0</v>
      </c>
      <c r="S39" s="38"/>
      <c r="T39" s="38"/>
      <c r="U39" s="36"/>
      <c r="V39" s="36" t="str">
        <f t="shared" si="7"/>
        <v/>
      </c>
      <c r="W39" s="36" t="str">
        <f t="shared" si="8"/>
        <v/>
      </c>
      <c r="X39" s="14">
        <f t="shared" si="22"/>
        <v>0</v>
      </c>
      <c r="Y39" s="31"/>
      <c r="Z39" s="31"/>
      <c r="AA39" s="31"/>
      <c r="AB39" s="31" t="str">
        <f t="shared" si="10"/>
        <v/>
      </c>
      <c r="AC39" s="31" t="str">
        <f t="shared" si="11"/>
        <v/>
      </c>
      <c r="AD39" s="14">
        <f t="shared" si="23"/>
        <v>0</v>
      </c>
      <c r="AE39" s="38"/>
      <c r="AF39" s="40"/>
      <c r="AG39" s="40"/>
      <c r="AH39" s="40" t="str">
        <f t="shared" si="13"/>
        <v/>
      </c>
      <c r="AI39" s="40" t="str">
        <f t="shared" si="14"/>
        <v/>
      </c>
      <c r="AJ39" s="14">
        <f t="shared" si="15"/>
        <v>0</v>
      </c>
      <c r="AK39" s="14"/>
      <c r="AL39" s="14">
        <f t="shared" si="17"/>
        <v>0</v>
      </c>
      <c r="AM39" s="124" t="e">
        <f t="shared" si="18"/>
        <v>#DIV/0!</v>
      </c>
      <c r="AN39" s="57" t="e">
        <f t="shared" si="19"/>
        <v>#DIV/0!</v>
      </c>
      <c r="AO39" s="57" t="e">
        <f t="shared" si="20"/>
        <v>#DIV/0!</v>
      </c>
    </row>
    <row r="40" spans="2:41" x14ac:dyDescent="0.3">
      <c r="B40" s="3" t="s">
        <v>11</v>
      </c>
      <c r="C40" s="6">
        <v>2</v>
      </c>
      <c r="D40" s="38"/>
      <c r="E40" s="38"/>
      <c r="F40" s="7"/>
      <c r="G40" s="8">
        <f t="shared" si="0"/>
        <v>100</v>
      </c>
      <c r="H40" s="3">
        <v>1</v>
      </c>
      <c r="I40" s="7">
        <f t="shared" si="1"/>
        <v>0</v>
      </c>
      <c r="J40" s="7">
        <f t="shared" si="2"/>
        <v>0</v>
      </c>
      <c r="K40" s="7">
        <f t="shared" si="3"/>
        <v>0</v>
      </c>
      <c r="L40" s="6"/>
      <c r="M40" s="31"/>
      <c r="N40" s="31"/>
      <c r="O40" s="37"/>
      <c r="P40" s="37" t="str">
        <f t="shared" si="4"/>
        <v/>
      </c>
      <c r="Q40" s="37" t="str">
        <f t="shared" si="5"/>
        <v/>
      </c>
      <c r="R40" s="14">
        <f t="shared" si="21"/>
        <v>0</v>
      </c>
      <c r="S40" s="38"/>
      <c r="T40" s="38"/>
      <c r="U40" s="36"/>
      <c r="V40" s="36" t="str">
        <f t="shared" si="7"/>
        <v/>
      </c>
      <c r="W40" s="36" t="str">
        <f t="shared" si="8"/>
        <v/>
      </c>
      <c r="X40" s="14">
        <f t="shared" si="22"/>
        <v>0</v>
      </c>
      <c r="Y40" s="7"/>
      <c r="Z40" s="7"/>
      <c r="AA40" s="7"/>
      <c r="AB40" s="7" t="str">
        <f t="shared" si="10"/>
        <v/>
      </c>
      <c r="AC40" s="7" t="str">
        <f t="shared" si="11"/>
        <v/>
      </c>
      <c r="AD40" s="14">
        <f t="shared" si="23"/>
        <v>0</v>
      </c>
      <c r="AE40" s="38"/>
      <c r="AF40" s="40"/>
      <c r="AG40" s="40"/>
      <c r="AH40" s="40" t="str">
        <f t="shared" si="13"/>
        <v/>
      </c>
      <c r="AI40" s="40" t="str">
        <f t="shared" si="14"/>
        <v/>
      </c>
      <c r="AJ40" s="14">
        <f t="shared" si="15"/>
        <v>0</v>
      </c>
      <c r="AK40" s="14">
        <f t="shared" si="16"/>
        <v>0</v>
      </c>
      <c r="AL40" s="14">
        <f t="shared" si="17"/>
        <v>0</v>
      </c>
      <c r="AM40" s="124" t="e">
        <f t="shared" si="18"/>
        <v>#DIV/0!</v>
      </c>
      <c r="AN40" s="57" t="e">
        <f t="shared" si="19"/>
        <v>#DIV/0!</v>
      </c>
      <c r="AO40" s="57" t="e">
        <f t="shared" si="20"/>
        <v>#DIV/0!</v>
      </c>
    </row>
    <row r="41" spans="2:41" x14ac:dyDescent="0.3">
      <c r="B41" s="3" t="s">
        <v>11</v>
      </c>
      <c r="C41" s="6">
        <v>3</v>
      </c>
      <c r="D41" s="38"/>
      <c r="E41" s="38"/>
      <c r="F41" s="7"/>
      <c r="G41" s="8">
        <f t="shared" si="0"/>
        <v>100</v>
      </c>
      <c r="H41" s="3">
        <v>1</v>
      </c>
      <c r="I41" s="7">
        <f t="shared" si="1"/>
        <v>0</v>
      </c>
      <c r="J41" s="7">
        <f t="shared" si="2"/>
        <v>0</v>
      </c>
      <c r="K41" s="7">
        <f t="shared" si="3"/>
        <v>0</v>
      </c>
      <c r="L41" s="6"/>
      <c r="M41" s="31"/>
      <c r="N41" s="31"/>
      <c r="O41" s="37"/>
      <c r="P41" s="37" t="str">
        <f t="shared" si="4"/>
        <v/>
      </c>
      <c r="Q41" s="37" t="str">
        <f t="shared" si="5"/>
        <v/>
      </c>
      <c r="R41" s="14">
        <f t="shared" si="21"/>
        <v>0</v>
      </c>
      <c r="S41" s="38"/>
      <c r="T41" s="38"/>
      <c r="U41" s="36"/>
      <c r="V41" s="36" t="str">
        <f t="shared" si="7"/>
        <v/>
      </c>
      <c r="W41" s="36" t="str">
        <f t="shared" si="8"/>
        <v/>
      </c>
      <c r="X41" s="14">
        <f t="shared" si="22"/>
        <v>0</v>
      </c>
      <c r="Y41" s="7"/>
      <c r="Z41" s="7"/>
      <c r="AA41" s="7"/>
      <c r="AB41" s="7" t="str">
        <f t="shared" si="10"/>
        <v/>
      </c>
      <c r="AC41" s="7" t="str">
        <f t="shared" si="11"/>
        <v/>
      </c>
      <c r="AD41" s="14">
        <f t="shared" si="23"/>
        <v>0</v>
      </c>
      <c r="AE41" s="38"/>
      <c r="AF41" s="40"/>
      <c r="AG41" s="40"/>
      <c r="AH41" s="40" t="str">
        <f t="shared" si="13"/>
        <v/>
      </c>
      <c r="AI41" s="40" t="str">
        <f t="shared" si="14"/>
        <v/>
      </c>
      <c r="AJ41" s="14">
        <f t="shared" si="15"/>
        <v>0</v>
      </c>
      <c r="AK41" s="14">
        <f t="shared" si="16"/>
        <v>0</v>
      </c>
      <c r="AL41" s="14">
        <f t="shared" si="17"/>
        <v>0</v>
      </c>
      <c r="AM41" s="124" t="e">
        <f t="shared" si="18"/>
        <v>#DIV/0!</v>
      </c>
      <c r="AN41" s="57" t="e">
        <f t="shared" si="19"/>
        <v>#DIV/0!</v>
      </c>
      <c r="AO41" s="57" t="e">
        <f t="shared" si="20"/>
        <v>#DIV/0!</v>
      </c>
    </row>
    <row r="42" spans="2:41" x14ac:dyDescent="0.3">
      <c r="B42" s="3" t="s">
        <v>11</v>
      </c>
      <c r="C42" s="6">
        <v>4</v>
      </c>
      <c r="D42" s="38"/>
      <c r="E42" s="38"/>
      <c r="F42" s="7"/>
      <c r="G42" s="8">
        <f t="shared" si="0"/>
        <v>100</v>
      </c>
      <c r="H42" s="3">
        <v>1</v>
      </c>
      <c r="I42" s="7">
        <f t="shared" si="1"/>
        <v>0</v>
      </c>
      <c r="J42" s="7">
        <f t="shared" si="2"/>
        <v>0</v>
      </c>
      <c r="K42" s="7">
        <f t="shared" si="3"/>
        <v>0</v>
      </c>
      <c r="L42" s="6"/>
      <c r="M42" s="31"/>
      <c r="N42" s="31"/>
      <c r="O42" s="37"/>
      <c r="P42" s="37" t="str">
        <f t="shared" si="4"/>
        <v/>
      </c>
      <c r="Q42" s="37" t="str">
        <f t="shared" si="5"/>
        <v/>
      </c>
      <c r="R42" s="14">
        <f t="shared" si="21"/>
        <v>0</v>
      </c>
      <c r="S42" s="38"/>
      <c r="T42" s="38"/>
      <c r="U42" s="36"/>
      <c r="V42" s="36" t="str">
        <f t="shared" si="7"/>
        <v/>
      </c>
      <c r="W42" s="36" t="str">
        <f t="shared" si="8"/>
        <v/>
      </c>
      <c r="X42" s="14">
        <f t="shared" si="22"/>
        <v>0</v>
      </c>
      <c r="Y42" s="7"/>
      <c r="Z42" s="7"/>
      <c r="AA42" s="7"/>
      <c r="AB42" s="7" t="str">
        <f t="shared" si="10"/>
        <v/>
      </c>
      <c r="AC42" s="7" t="str">
        <f t="shared" si="11"/>
        <v/>
      </c>
      <c r="AD42" s="14">
        <f t="shared" si="23"/>
        <v>0</v>
      </c>
      <c r="AE42" s="38"/>
      <c r="AF42" s="40"/>
      <c r="AG42" s="40"/>
      <c r="AH42" s="40" t="str">
        <f t="shared" si="13"/>
        <v/>
      </c>
      <c r="AI42" s="40" t="str">
        <f t="shared" si="14"/>
        <v/>
      </c>
      <c r="AJ42" s="14">
        <f t="shared" si="15"/>
        <v>0</v>
      </c>
      <c r="AK42" s="14">
        <f t="shared" si="16"/>
        <v>0</v>
      </c>
      <c r="AL42" s="14">
        <f t="shared" si="17"/>
        <v>0</v>
      </c>
      <c r="AM42" s="124" t="e">
        <f t="shared" si="18"/>
        <v>#DIV/0!</v>
      </c>
      <c r="AN42" s="57" t="e">
        <f t="shared" si="19"/>
        <v>#DIV/0!</v>
      </c>
      <c r="AO42" s="57" t="e">
        <f t="shared" si="20"/>
        <v>#DIV/0!</v>
      </c>
    </row>
    <row r="43" spans="2:41" x14ac:dyDescent="0.3">
      <c r="B43" s="3" t="s">
        <v>11</v>
      </c>
      <c r="C43" s="6">
        <v>5</v>
      </c>
      <c r="D43" s="38"/>
      <c r="E43" s="38"/>
      <c r="F43" s="7"/>
      <c r="G43" s="8">
        <f t="shared" si="0"/>
        <v>100</v>
      </c>
      <c r="H43" s="3">
        <v>1</v>
      </c>
      <c r="I43" s="7">
        <f t="shared" si="1"/>
        <v>0</v>
      </c>
      <c r="J43" s="7">
        <f t="shared" si="2"/>
        <v>0</v>
      </c>
      <c r="K43" s="7">
        <f t="shared" si="3"/>
        <v>0</v>
      </c>
      <c r="L43" s="6"/>
      <c r="M43" s="31"/>
      <c r="N43" s="31"/>
      <c r="O43" s="37"/>
      <c r="P43" s="37" t="str">
        <f t="shared" si="4"/>
        <v/>
      </c>
      <c r="Q43" s="37" t="str">
        <f t="shared" si="5"/>
        <v/>
      </c>
      <c r="R43" s="14">
        <f t="shared" si="21"/>
        <v>0</v>
      </c>
      <c r="S43" s="86"/>
      <c r="T43" s="86"/>
      <c r="U43" s="86"/>
      <c r="V43" s="87" t="str">
        <f t="shared" si="7"/>
        <v/>
      </c>
      <c r="W43" s="87" t="str">
        <f t="shared" si="8"/>
        <v/>
      </c>
      <c r="X43" s="14">
        <f t="shared" si="22"/>
        <v>0</v>
      </c>
      <c r="Y43" s="7"/>
      <c r="Z43" s="7"/>
      <c r="AA43" s="7"/>
      <c r="AB43" s="7" t="str">
        <f t="shared" si="10"/>
        <v/>
      </c>
      <c r="AC43" s="7" t="str">
        <f t="shared" si="11"/>
        <v/>
      </c>
      <c r="AD43" s="14">
        <f t="shared" si="23"/>
        <v>0</v>
      </c>
      <c r="AE43" s="38"/>
      <c r="AF43" s="40"/>
      <c r="AG43" s="40"/>
      <c r="AH43" s="40" t="str">
        <f t="shared" si="13"/>
        <v/>
      </c>
      <c r="AI43" s="40" t="str">
        <f t="shared" si="14"/>
        <v/>
      </c>
      <c r="AJ43" s="14"/>
      <c r="AK43" s="14"/>
      <c r="AL43" s="14"/>
      <c r="AM43" s="124"/>
      <c r="AN43" s="57"/>
      <c r="AO43" s="57"/>
    </row>
    <row r="44" spans="2:41" x14ac:dyDescent="0.3">
      <c r="B44" s="3" t="s">
        <v>11</v>
      </c>
      <c r="C44" s="6">
        <v>6</v>
      </c>
      <c r="D44" s="38"/>
      <c r="E44" s="38"/>
      <c r="F44" s="7"/>
      <c r="G44" s="8">
        <f t="shared" si="0"/>
        <v>100</v>
      </c>
      <c r="H44" s="3">
        <v>1</v>
      </c>
      <c r="I44" s="7">
        <f t="shared" si="1"/>
        <v>0</v>
      </c>
      <c r="J44" s="7">
        <f t="shared" si="2"/>
        <v>0</v>
      </c>
      <c r="K44" s="7">
        <f t="shared" si="3"/>
        <v>0</v>
      </c>
      <c r="L44" s="6"/>
      <c r="M44" s="7"/>
      <c r="N44" s="7"/>
      <c r="O44" s="36"/>
      <c r="P44" s="36" t="str">
        <f t="shared" si="4"/>
        <v/>
      </c>
      <c r="Q44" s="36" t="str">
        <f t="shared" si="5"/>
        <v/>
      </c>
      <c r="R44" s="14">
        <f t="shared" si="21"/>
        <v>0</v>
      </c>
      <c r="S44" s="38"/>
      <c r="T44" s="38"/>
      <c r="U44" s="36"/>
      <c r="V44" s="36" t="str">
        <f t="shared" si="7"/>
        <v/>
      </c>
      <c r="W44" s="36" t="str">
        <f t="shared" si="8"/>
        <v/>
      </c>
      <c r="X44" s="14">
        <f t="shared" si="22"/>
        <v>0</v>
      </c>
      <c r="Y44" s="31"/>
      <c r="Z44" s="31"/>
      <c r="AA44" s="31"/>
      <c r="AB44" s="31" t="str">
        <f t="shared" si="10"/>
        <v/>
      </c>
      <c r="AC44" s="31" t="str">
        <f t="shared" si="11"/>
        <v/>
      </c>
      <c r="AD44" s="14">
        <f t="shared" si="23"/>
        <v>0</v>
      </c>
      <c r="AE44" s="38"/>
      <c r="AF44" s="40"/>
      <c r="AG44" s="40"/>
      <c r="AH44" s="40" t="str">
        <f t="shared" si="13"/>
        <v/>
      </c>
      <c r="AI44" s="40" t="str">
        <f t="shared" si="14"/>
        <v/>
      </c>
      <c r="AJ44" s="14">
        <f t="shared" si="15"/>
        <v>0</v>
      </c>
      <c r="AK44" s="14">
        <f t="shared" si="16"/>
        <v>0</v>
      </c>
      <c r="AL44" s="14">
        <f t="shared" si="17"/>
        <v>0</v>
      </c>
      <c r="AM44" s="124" t="e">
        <f t="shared" si="18"/>
        <v>#DIV/0!</v>
      </c>
      <c r="AN44" s="57" t="e">
        <f t="shared" si="19"/>
        <v>#DIV/0!</v>
      </c>
      <c r="AO44" s="57" t="e">
        <f t="shared" si="20"/>
        <v>#DIV/0!</v>
      </c>
    </row>
    <row r="45" spans="2:41" x14ac:dyDescent="0.3">
      <c r="B45" s="3" t="s">
        <v>11</v>
      </c>
      <c r="C45" s="6">
        <v>7</v>
      </c>
      <c r="D45" s="38"/>
      <c r="E45" s="38"/>
      <c r="F45" s="7"/>
      <c r="G45" s="8">
        <f t="shared" si="0"/>
        <v>100</v>
      </c>
      <c r="H45" s="3">
        <v>1</v>
      </c>
      <c r="I45" s="7">
        <f t="shared" si="1"/>
        <v>0</v>
      </c>
      <c r="J45" s="7">
        <f t="shared" si="2"/>
        <v>0</v>
      </c>
      <c r="K45" s="7">
        <f t="shared" si="3"/>
        <v>0</v>
      </c>
      <c r="L45" s="6"/>
      <c r="M45" s="7"/>
      <c r="N45" s="7"/>
      <c r="O45" s="36"/>
      <c r="P45" s="36" t="str">
        <f t="shared" si="4"/>
        <v/>
      </c>
      <c r="Q45" s="36" t="str">
        <f t="shared" si="5"/>
        <v/>
      </c>
      <c r="R45" s="14">
        <f t="shared" si="21"/>
        <v>0</v>
      </c>
      <c r="S45" s="38"/>
      <c r="T45" s="38"/>
      <c r="U45" s="36"/>
      <c r="V45" s="36" t="str">
        <f t="shared" si="7"/>
        <v/>
      </c>
      <c r="W45" s="36" t="str">
        <f t="shared" si="8"/>
        <v/>
      </c>
      <c r="X45" s="14">
        <f t="shared" si="22"/>
        <v>0</v>
      </c>
      <c r="Y45" s="31"/>
      <c r="Z45" s="31"/>
      <c r="AA45" s="31"/>
      <c r="AB45" s="31" t="str">
        <f t="shared" si="10"/>
        <v/>
      </c>
      <c r="AC45" s="31" t="str">
        <f t="shared" si="11"/>
        <v/>
      </c>
      <c r="AD45" s="14">
        <f t="shared" si="23"/>
        <v>0</v>
      </c>
      <c r="AE45" s="38"/>
      <c r="AF45" s="40"/>
      <c r="AG45" s="40"/>
      <c r="AH45" s="40" t="str">
        <f t="shared" si="13"/>
        <v/>
      </c>
      <c r="AI45" s="40" t="str">
        <f t="shared" si="14"/>
        <v/>
      </c>
      <c r="AJ45" s="14">
        <f t="shared" si="15"/>
        <v>0</v>
      </c>
      <c r="AK45" s="14">
        <f t="shared" si="16"/>
        <v>0</v>
      </c>
      <c r="AL45" s="14">
        <f t="shared" si="17"/>
        <v>0</v>
      </c>
      <c r="AM45" s="124" t="e">
        <f t="shared" si="18"/>
        <v>#DIV/0!</v>
      </c>
      <c r="AN45" s="57" t="e">
        <f t="shared" si="19"/>
        <v>#DIV/0!</v>
      </c>
      <c r="AO45" s="57" t="e">
        <f t="shared" si="20"/>
        <v>#DIV/0!</v>
      </c>
    </row>
    <row r="46" spans="2:41" x14ac:dyDescent="0.3">
      <c r="B46" s="3" t="s">
        <v>11</v>
      </c>
      <c r="C46" s="6">
        <v>8</v>
      </c>
      <c r="D46" s="38"/>
      <c r="E46" s="38"/>
      <c r="F46" s="7"/>
      <c r="G46" s="8">
        <f t="shared" si="0"/>
        <v>100</v>
      </c>
      <c r="H46" s="3">
        <v>1</v>
      </c>
      <c r="I46" s="7">
        <f t="shared" si="1"/>
        <v>0</v>
      </c>
      <c r="J46" s="7">
        <f t="shared" si="2"/>
        <v>0</v>
      </c>
      <c r="K46" s="7">
        <f t="shared" si="3"/>
        <v>0</v>
      </c>
      <c r="L46" s="6"/>
      <c r="M46" s="7"/>
      <c r="N46" s="7"/>
      <c r="O46" s="36"/>
      <c r="P46" s="36" t="str">
        <f t="shared" si="4"/>
        <v/>
      </c>
      <c r="Q46" s="36" t="str">
        <f t="shared" si="5"/>
        <v/>
      </c>
      <c r="R46" s="14">
        <f t="shared" si="21"/>
        <v>0</v>
      </c>
      <c r="S46" s="38"/>
      <c r="T46" s="38"/>
      <c r="U46" s="36"/>
      <c r="V46" s="36" t="str">
        <f t="shared" si="7"/>
        <v/>
      </c>
      <c r="W46" s="36" t="str">
        <f t="shared" si="8"/>
        <v/>
      </c>
      <c r="X46" s="14">
        <f t="shared" si="22"/>
        <v>0</v>
      </c>
      <c r="Y46" s="31"/>
      <c r="Z46" s="31"/>
      <c r="AA46" s="31"/>
      <c r="AB46" s="31" t="str">
        <f t="shared" si="10"/>
        <v/>
      </c>
      <c r="AC46" s="31" t="str">
        <f t="shared" si="11"/>
        <v/>
      </c>
      <c r="AD46" s="14">
        <f t="shared" si="23"/>
        <v>0</v>
      </c>
      <c r="AE46" s="38"/>
      <c r="AF46" s="40"/>
      <c r="AG46" s="40"/>
      <c r="AH46" s="40" t="str">
        <f t="shared" si="13"/>
        <v/>
      </c>
      <c r="AI46" s="40" t="str">
        <f t="shared" si="14"/>
        <v/>
      </c>
      <c r="AJ46" s="14">
        <f t="shared" si="15"/>
        <v>0</v>
      </c>
      <c r="AK46" s="14">
        <f t="shared" si="16"/>
        <v>0</v>
      </c>
      <c r="AL46" s="14">
        <f t="shared" si="17"/>
        <v>0</v>
      </c>
      <c r="AM46" s="124" t="e">
        <f t="shared" si="18"/>
        <v>#DIV/0!</v>
      </c>
      <c r="AN46" s="57" t="e">
        <f t="shared" si="19"/>
        <v>#DIV/0!</v>
      </c>
      <c r="AO46" s="57" t="e">
        <f t="shared" si="20"/>
        <v>#DIV/0!</v>
      </c>
    </row>
    <row r="47" spans="2:41" x14ac:dyDescent="0.3">
      <c r="B47" s="3" t="s">
        <v>11</v>
      </c>
      <c r="C47" s="6">
        <v>9</v>
      </c>
      <c r="D47" s="38"/>
      <c r="E47" s="38"/>
      <c r="F47" s="7"/>
      <c r="G47" s="8">
        <f t="shared" si="0"/>
        <v>100</v>
      </c>
      <c r="H47" s="3">
        <v>1</v>
      </c>
      <c r="I47" s="7">
        <f t="shared" si="1"/>
        <v>0</v>
      </c>
      <c r="J47" s="7">
        <f t="shared" si="2"/>
        <v>0</v>
      </c>
      <c r="K47" s="7">
        <f t="shared" si="3"/>
        <v>0</v>
      </c>
      <c r="L47" s="6"/>
      <c r="M47" s="7"/>
      <c r="N47" s="7"/>
      <c r="O47" s="36"/>
      <c r="P47" s="36" t="str">
        <f t="shared" si="4"/>
        <v/>
      </c>
      <c r="Q47" s="36" t="str">
        <f t="shared" si="5"/>
        <v/>
      </c>
      <c r="R47" s="14">
        <f t="shared" si="21"/>
        <v>0</v>
      </c>
      <c r="S47" s="31"/>
      <c r="T47" s="31"/>
      <c r="U47" s="37"/>
      <c r="V47" s="37" t="str">
        <f t="shared" si="7"/>
        <v/>
      </c>
      <c r="W47" s="37" t="str">
        <f t="shared" si="8"/>
        <v/>
      </c>
      <c r="X47" s="14">
        <f t="shared" si="22"/>
        <v>0</v>
      </c>
      <c r="Y47" s="31"/>
      <c r="Z47" s="31"/>
      <c r="AA47" s="31"/>
      <c r="AB47" s="31" t="str">
        <f t="shared" si="10"/>
        <v/>
      </c>
      <c r="AC47" s="31" t="str">
        <f t="shared" si="11"/>
        <v/>
      </c>
      <c r="AD47" s="14">
        <f t="shared" si="23"/>
        <v>0</v>
      </c>
      <c r="AE47" s="38"/>
      <c r="AF47" s="40"/>
      <c r="AG47" s="40"/>
      <c r="AH47" s="40" t="str">
        <f t="shared" si="13"/>
        <v/>
      </c>
      <c r="AI47" s="40" t="str">
        <f t="shared" si="14"/>
        <v/>
      </c>
      <c r="AJ47" s="14">
        <f t="shared" si="15"/>
        <v>0</v>
      </c>
      <c r="AK47" s="14">
        <f t="shared" si="16"/>
        <v>0</v>
      </c>
      <c r="AL47" s="14"/>
      <c r="AM47" s="124" t="e">
        <f t="shared" si="18"/>
        <v>#DIV/0!</v>
      </c>
      <c r="AN47" s="57" t="e">
        <f t="shared" si="19"/>
        <v>#DIV/0!</v>
      </c>
      <c r="AO47" s="57" t="e">
        <f t="shared" si="20"/>
        <v>#DIV/0!</v>
      </c>
    </row>
    <row r="48" spans="2:41" x14ac:dyDescent="0.3">
      <c r="D48" s="43"/>
      <c r="E48" s="43"/>
    </row>
  </sheetData>
  <autoFilter ref="B11:AK11" xr:uid="{00000000-0009-0000-0000-000000000000}">
    <sortState xmlns:xlrd2="http://schemas.microsoft.com/office/spreadsheetml/2017/richdata2" ref="B12:AJ47">
      <sortCondition ref="B11"/>
    </sortState>
  </autoFilter>
  <conditionalFormatting sqref="G12:G47">
    <cfRule type="colorScale" priority="19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8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2FE-860A-4FAB-B3E4-9CAF46981341}">
  <dimension ref="B2:AO47"/>
  <sheetViews>
    <sheetView topLeftCell="C8" zoomScale="66" zoomScaleNormal="66" workbookViewId="0">
      <selection activeCell="X46" sqref="X46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1.08203125" style="3"/>
    <col min="6" max="6" width="10.08203125" style="3" customWidth="1"/>
    <col min="7" max="7" width="11.6640625" style="3" customWidth="1"/>
    <col min="8" max="8" width="9.9140625" style="3" customWidth="1"/>
    <col min="9" max="9" width="15.4140625" style="3" customWidth="1"/>
    <col min="10" max="10" width="11" style="3" bestFit="1" customWidth="1"/>
    <col min="11" max="11" width="10.4140625" style="3" bestFit="1" customWidth="1"/>
    <col min="12" max="12" width="9.58203125" style="3" customWidth="1"/>
    <col min="13" max="13" width="11.6640625" style="3" customWidth="1"/>
    <col min="14" max="15" width="8.08203125" style="3" bestFit="1" customWidth="1"/>
    <col min="16" max="16" width="8.08203125" style="3" customWidth="1"/>
    <col min="17" max="17" width="12.4140625" style="3" bestFit="1" customWidth="1"/>
    <col min="18" max="18" width="11.6640625" style="3" bestFit="1" customWidth="1"/>
    <col min="19" max="19" width="9.9140625" style="3" customWidth="1"/>
    <col min="20" max="20" width="8.9140625" style="3" customWidth="1"/>
    <col min="21" max="21" width="8.08203125" style="3" bestFit="1" customWidth="1"/>
    <col min="22" max="22" width="8.08203125" style="3" customWidth="1"/>
    <col min="23" max="23" width="12.4140625" style="3" bestFit="1" customWidth="1"/>
    <col min="24" max="24" width="11.6640625" style="3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37</v>
      </c>
    </row>
    <row r="4" spans="2:41" ht="14.5" thickBot="1" x14ac:dyDescent="0.35"/>
    <row r="5" spans="2:41" x14ac:dyDescent="0.3">
      <c r="D5" s="25" t="s">
        <v>31</v>
      </c>
      <c r="E5" s="26">
        <v>2.44</v>
      </c>
      <c r="F5" s="27" t="s">
        <v>20</v>
      </c>
      <c r="M5" s="25" t="s">
        <v>21</v>
      </c>
      <c r="N5" s="26">
        <v>4.68</v>
      </c>
      <c r="O5" s="27" t="s">
        <v>22</v>
      </c>
      <c r="P5" s="35"/>
      <c r="Q5" s="34" t="s">
        <v>33</v>
      </c>
      <c r="R5" s="32"/>
      <c r="S5" s="32"/>
      <c r="W5" s="43"/>
      <c r="X5" s="43"/>
      <c r="Y5" s="44"/>
    </row>
    <row r="6" spans="2:41" x14ac:dyDescent="0.3">
      <c r="D6" s="29" t="s">
        <v>32</v>
      </c>
      <c r="E6" s="21">
        <v>4</v>
      </c>
      <c r="F6" s="30" t="s">
        <v>22</v>
      </c>
      <c r="M6" s="29"/>
      <c r="N6" s="20"/>
      <c r="O6" s="30"/>
      <c r="P6" s="35"/>
      <c r="Q6" s="35"/>
      <c r="R6" s="35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35"/>
      <c r="Q7" s="35"/>
      <c r="R7" s="35"/>
    </row>
    <row r="9" spans="2:41" x14ac:dyDescent="0.3">
      <c r="C9" s="6"/>
      <c r="D9" s="5" t="s">
        <v>5</v>
      </c>
      <c r="L9" s="6"/>
      <c r="M9" s="5" t="s">
        <v>13</v>
      </c>
      <c r="N9" s="49"/>
      <c r="O9" s="49"/>
      <c r="P9" s="49"/>
      <c r="Q9" s="49"/>
      <c r="R9" s="50"/>
      <c r="S9" s="5" t="s">
        <v>17</v>
      </c>
      <c r="T9" s="49"/>
      <c r="U9" s="49"/>
      <c r="V9" s="49"/>
      <c r="W9" s="49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6"/>
      <c r="D10" s="28" t="s">
        <v>30</v>
      </c>
      <c r="G10" s="28" t="s">
        <v>29</v>
      </c>
      <c r="L10" s="6"/>
      <c r="M10" s="28" t="s">
        <v>30</v>
      </c>
      <c r="N10" s="28"/>
      <c r="O10" s="45"/>
      <c r="P10" s="45" t="s">
        <v>29</v>
      </c>
      <c r="Q10" s="45"/>
      <c r="R10" s="46"/>
      <c r="S10" s="28" t="s">
        <v>30</v>
      </c>
      <c r="T10" s="28"/>
      <c r="U10" s="45"/>
      <c r="V10" s="45" t="s">
        <v>29</v>
      </c>
      <c r="W10" s="45"/>
      <c r="X10" s="46"/>
      <c r="Y10" s="47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3" t="s">
        <v>2</v>
      </c>
      <c r="C12" s="6">
        <v>1</v>
      </c>
      <c r="D12" s="38"/>
      <c r="E12" s="38"/>
      <c r="F12" s="7"/>
      <c r="G12" s="8">
        <f>((F12-$E$6)/(E12-$E$6))*100</f>
        <v>100</v>
      </c>
      <c r="H12" s="3">
        <v>1</v>
      </c>
      <c r="I12" s="7">
        <f>(D12-$E$5)*(G12/100)</f>
        <v>-2.44</v>
      </c>
      <c r="J12" s="7">
        <f>I12/($E$7*H12)</f>
        <v>-0.45185185185185184</v>
      </c>
      <c r="K12" s="7">
        <f>J12*10000/100</f>
        <v>-45.185185185185183</v>
      </c>
      <c r="L12" s="6"/>
      <c r="M12" s="31" t="str">
        <f>IF(N12&gt;0,N12-$N$5,"")</f>
        <v/>
      </c>
      <c r="N12" s="31"/>
      <c r="O12" s="37"/>
      <c r="P12" s="37" t="str">
        <f>IF(N12&gt;0,((O12-$N$5)/(N12-$N$5))*100,"")</f>
        <v/>
      </c>
      <c r="Q12" s="37" t="str">
        <f>IF(N12&gt;0,((P12/100)*M12)/$N$7/1000,"")</f>
        <v/>
      </c>
      <c r="R12" s="14">
        <f t="shared" ref="R12:R16" si="0">IF(N12&gt;0,Q12*10000/100,0)</f>
        <v>0</v>
      </c>
      <c r="S12" s="38"/>
      <c r="T12" s="38"/>
      <c r="U12" s="15"/>
      <c r="V12" s="36" t="str">
        <f>IF(T12&gt;0,((U12-$N$5)/(T12-$N$5))*100,"")</f>
        <v/>
      </c>
      <c r="W12" s="36" t="str">
        <f>IF(T12&gt;0,((V12/100)*S12)/$N$7/1000,"")</f>
        <v/>
      </c>
      <c r="X12" s="14">
        <f t="shared" ref="X12:X16" si="1">IF(T12&gt;0,W12*10000/100,0)</f>
        <v>0</v>
      </c>
      <c r="Y12" s="31"/>
      <c r="Z12" s="31"/>
      <c r="AA12" s="31"/>
      <c r="AB12" s="31" t="str">
        <f>IF(Z12&gt;0,((AA12-$N$5)/(Z12-$N$5))*100,"")</f>
        <v/>
      </c>
      <c r="AC12" s="31" t="str">
        <f>IF(Z12&gt;0,((AB12/100)*Y12)/$N$7/1000,"")</f>
        <v/>
      </c>
      <c r="AD12" s="14">
        <f t="shared" ref="AD12:AD16" si="2">IF(Z12&gt;0,AC12*10000/100,0)</f>
        <v>0</v>
      </c>
      <c r="AE12" s="38"/>
      <c r="AF12" s="7"/>
      <c r="AG12" s="15"/>
      <c r="AH12" s="15" t="str">
        <f>IF(AE12&gt;0,((AG12-$N$5)/(AF12-$N$5))*100,"")</f>
        <v/>
      </c>
      <c r="AI12" s="15" t="str">
        <f>IF(AE12&gt;0,((AH12/100)*AE12)/$N$7/1000,"")</f>
        <v/>
      </c>
      <c r="AJ12" s="14">
        <f t="shared" ref="AJ12:AJ47" si="3">IF(AF12&gt;0,AI12*10000/100,0)</f>
        <v>0</v>
      </c>
      <c r="AK12" s="14"/>
      <c r="AL12" s="14">
        <f>X12</f>
        <v>0</v>
      </c>
      <c r="AM12" s="124" t="e">
        <f t="shared" ref="AM12:AM33" si="4">IF((100/SUM(AJ12:AL12)*AL12),(100/SUM(AJ12:AL12)*AL12),(100/SUM(AJ12:AL12)*AL12))</f>
        <v>#DIV/0!</v>
      </c>
      <c r="AN12" s="57" t="e">
        <f>IF((100/SUM(AJ12:AL12)*AK12),(100/SUM(AJ12:AL12)*AK12),"")</f>
        <v>#DIV/0!</v>
      </c>
      <c r="AO12" s="57" t="e">
        <f>(100/SUM(AJ12:AL12)*AJ12)</f>
        <v>#DIV/0!</v>
      </c>
    </row>
    <row r="13" spans="2:41" x14ac:dyDescent="0.3">
      <c r="B13" s="3" t="s">
        <v>2</v>
      </c>
      <c r="C13" s="6">
        <v>2</v>
      </c>
      <c r="D13" s="38"/>
      <c r="E13" s="38"/>
      <c r="F13" s="7"/>
      <c r="G13" s="8">
        <f t="shared" ref="G13:G47" si="5">((F13-$E$6)/(E13-$E$6))*100</f>
        <v>100</v>
      </c>
      <c r="H13" s="3">
        <v>1</v>
      </c>
      <c r="I13" s="7">
        <f>(D13-$E$5)*(G13/100)</f>
        <v>-2.44</v>
      </c>
      <c r="J13" s="7">
        <f t="shared" ref="J13:J47" si="6">I13/($E$7*H13)</f>
        <v>-0.45185185185185184</v>
      </c>
      <c r="K13" s="7">
        <f t="shared" ref="K13:K47" si="7">J13*10000/100</f>
        <v>-45.185185185185183</v>
      </c>
      <c r="L13" s="6"/>
      <c r="M13" s="31" t="str">
        <f t="shared" ref="M13" si="8">IF(N13&gt;0,N13-$N$5,"")</f>
        <v/>
      </c>
      <c r="N13" s="31"/>
      <c r="O13" s="37"/>
      <c r="P13" s="37" t="str">
        <f t="shared" ref="P13:P47" si="9">IF(N13&gt;0,((O13-$N$5)/(N13-$N$5))*100,"")</f>
        <v/>
      </c>
      <c r="Q13" s="37" t="str">
        <f t="shared" ref="Q13:Q47" si="10">IF(N13&gt;0,((P13/100)*M13)/$N$7/1000,"")</f>
        <v/>
      </c>
      <c r="R13" s="14">
        <f t="shared" si="0"/>
        <v>0</v>
      </c>
      <c r="S13" s="38"/>
      <c r="T13" s="38"/>
      <c r="U13" s="15"/>
      <c r="V13" s="36" t="str">
        <f t="shared" ref="V13:V47" si="11">IF(T13&gt;0,((U13-$N$5)/(T13-$N$5))*100,"")</f>
        <v/>
      </c>
      <c r="W13" s="36" t="str">
        <f t="shared" ref="W13:W47" si="12">IF(T13&gt;0,((V13/100)*S13)/$N$7/1000,"")</f>
        <v/>
      </c>
      <c r="X13" s="14">
        <f t="shared" si="1"/>
        <v>0</v>
      </c>
      <c r="Y13" s="38"/>
      <c r="Z13" s="38"/>
      <c r="AA13" s="15"/>
      <c r="AB13" s="15" t="str">
        <f t="shared" ref="AB13:AB47" si="13">IF(Z13&gt;0,((AA13-$N$5)/(Z13-$N$5))*100,"")</f>
        <v/>
      </c>
      <c r="AC13" s="15" t="str">
        <f t="shared" ref="AC13:AC47" si="14">IF(Z13&gt;0,((AB13/100)*Y13)/$N$7/1000,"")</f>
        <v/>
      </c>
      <c r="AD13" s="14">
        <f t="shared" si="2"/>
        <v>0</v>
      </c>
      <c r="AE13" s="15"/>
      <c r="AF13" s="7"/>
      <c r="AG13" s="15"/>
      <c r="AH13" s="15" t="str">
        <f t="shared" ref="AH13:AH47" si="15">IF(AE13&gt;0,((AG13-$N$5)/(AF13-$N$5))*100,"")</f>
        <v/>
      </c>
      <c r="AI13" s="15" t="str">
        <f t="shared" ref="AI13:AI47" si="16">IF(AE13&gt;0,((AH13/100)*AE13)/$N$7/1000,"")</f>
        <v/>
      </c>
      <c r="AJ13" s="14">
        <f t="shared" si="3"/>
        <v>0</v>
      </c>
      <c r="AK13" s="14">
        <f t="shared" ref="AK13:AK47" si="17">R13+AD13</f>
        <v>0</v>
      </c>
      <c r="AL13" s="14">
        <f t="shared" ref="AL13:AL46" si="18">X13</f>
        <v>0</v>
      </c>
      <c r="AM13" s="124" t="e">
        <f t="shared" si="4"/>
        <v>#DIV/0!</v>
      </c>
      <c r="AN13" s="57" t="e">
        <f t="shared" ref="AN13:AN47" si="19">IF((100/SUM(AJ13:AL13)*AK13),(100/SUM(AJ13:AL13)*AK13),"")</f>
        <v>#DIV/0!</v>
      </c>
      <c r="AO13" s="57" t="e">
        <f t="shared" ref="AO13:AO47" si="20">(100/SUM(AJ13:AL13)*AJ13)</f>
        <v>#DIV/0!</v>
      </c>
    </row>
    <row r="14" spans="2:41" x14ac:dyDescent="0.3">
      <c r="B14" s="3" t="s">
        <v>2</v>
      </c>
      <c r="C14" s="6">
        <v>3</v>
      </c>
      <c r="D14" s="38"/>
      <c r="E14" s="38"/>
      <c r="F14" s="7"/>
      <c r="G14" s="8">
        <f t="shared" si="5"/>
        <v>100</v>
      </c>
      <c r="H14" s="3">
        <v>1</v>
      </c>
      <c r="I14" s="7">
        <f t="shared" ref="I14:I47" si="21">(D14-$E$5)*(G14/100)</f>
        <v>-2.44</v>
      </c>
      <c r="J14" s="7">
        <f t="shared" si="6"/>
        <v>-0.45185185185185184</v>
      </c>
      <c r="K14" s="7">
        <f t="shared" si="7"/>
        <v>-45.185185185185183</v>
      </c>
      <c r="L14" s="6"/>
      <c r="M14" s="31"/>
      <c r="N14" s="31"/>
      <c r="O14" s="37"/>
      <c r="P14" s="37" t="str">
        <f>IF(N14&gt;0,((O14-$N$5)/(N14-$N$5))*100,"")</f>
        <v/>
      </c>
      <c r="Q14" s="37" t="str">
        <f>IF(N14&gt;0,((P14/100)*M14)/$N$7/1000,"")</f>
        <v/>
      </c>
      <c r="R14" s="14">
        <f t="shared" si="0"/>
        <v>0</v>
      </c>
      <c r="S14" s="38"/>
      <c r="T14" s="38"/>
      <c r="U14" s="15"/>
      <c r="V14" s="15" t="str">
        <f t="shared" si="11"/>
        <v/>
      </c>
      <c r="W14" s="15" t="str">
        <f t="shared" si="12"/>
        <v/>
      </c>
      <c r="X14" s="14">
        <f t="shared" si="1"/>
        <v>0</v>
      </c>
      <c r="Y14" s="38"/>
      <c r="Z14" s="38"/>
      <c r="AA14" s="38"/>
      <c r="AB14" s="7" t="str">
        <f t="shared" si="13"/>
        <v/>
      </c>
      <c r="AC14" s="7" t="str">
        <f t="shared" si="14"/>
        <v/>
      </c>
      <c r="AD14" s="14">
        <f t="shared" si="2"/>
        <v>0</v>
      </c>
      <c r="AE14" s="38"/>
      <c r="AF14" s="7"/>
      <c r="AG14" s="15"/>
      <c r="AH14" s="15" t="str">
        <f t="shared" si="15"/>
        <v/>
      </c>
      <c r="AI14" s="15" t="str">
        <f t="shared" si="16"/>
        <v/>
      </c>
      <c r="AJ14" s="14">
        <f t="shared" si="3"/>
        <v>0</v>
      </c>
      <c r="AK14" s="14">
        <f t="shared" si="17"/>
        <v>0</v>
      </c>
      <c r="AL14" s="14">
        <f t="shared" si="18"/>
        <v>0</v>
      </c>
      <c r="AM14" s="124" t="e">
        <f t="shared" si="4"/>
        <v>#DIV/0!</v>
      </c>
      <c r="AN14" s="57" t="e">
        <f t="shared" si="19"/>
        <v>#DIV/0!</v>
      </c>
      <c r="AO14" s="57" t="e">
        <f t="shared" si="20"/>
        <v>#DIV/0!</v>
      </c>
    </row>
    <row r="15" spans="2:41" x14ac:dyDescent="0.3">
      <c r="B15" s="3" t="s">
        <v>2</v>
      </c>
      <c r="C15" s="6">
        <v>4</v>
      </c>
      <c r="D15" s="38"/>
      <c r="E15" s="38"/>
      <c r="F15" s="7"/>
      <c r="G15" s="8">
        <f t="shared" si="5"/>
        <v>100</v>
      </c>
      <c r="H15" s="3">
        <v>1</v>
      </c>
      <c r="I15" s="7">
        <f t="shared" si="21"/>
        <v>-2.44</v>
      </c>
      <c r="J15" s="7">
        <f t="shared" si="6"/>
        <v>-0.45185185185185184</v>
      </c>
      <c r="K15" s="7">
        <f t="shared" si="7"/>
        <v>-45.185185185185183</v>
      </c>
      <c r="L15" s="6"/>
      <c r="M15" s="31"/>
      <c r="N15" s="31"/>
      <c r="O15" s="37"/>
      <c r="P15" s="37" t="str">
        <f t="shared" si="9"/>
        <v/>
      </c>
      <c r="Q15" s="37" t="str">
        <f t="shared" si="10"/>
        <v/>
      </c>
      <c r="R15" s="14">
        <f t="shared" si="0"/>
        <v>0</v>
      </c>
      <c r="S15" s="38"/>
      <c r="T15" s="38"/>
      <c r="U15" s="15"/>
      <c r="V15" s="36" t="str">
        <f t="shared" si="11"/>
        <v/>
      </c>
      <c r="W15" s="36" t="str">
        <f t="shared" si="12"/>
        <v/>
      </c>
      <c r="X15" s="14">
        <f t="shared" si="1"/>
        <v>0</v>
      </c>
      <c r="Y15" s="38"/>
      <c r="Z15" s="38"/>
      <c r="AA15" s="38"/>
      <c r="AB15" s="7" t="str">
        <f t="shared" si="13"/>
        <v/>
      </c>
      <c r="AC15" s="7" t="str">
        <f t="shared" si="14"/>
        <v/>
      </c>
      <c r="AD15" s="14">
        <f t="shared" si="2"/>
        <v>0</v>
      </c>
      <c r="AE15" s="38"/>
      <c r="AF15" s="7"/>
      <c r="AG15" s="15"/>
      <c r="AH15" s="15" t="str">
        <f t="shared" si="15"/>
        <v/>
      </c>
      <c r="AI15" s="15" t="str">
        <f t="shared" si="16"/>
        <v/>
      </c>
      <c r="AJ15" s="14">
        <f t="shared" si="3"/>
        <v>0</v>
      </c>
      <c r="AK15" s="14">
        <f t="shared" si="17"/>
        <v>0</v>
      </c>
      <c r="AL15" s="14">
        <f t="shared" si="18"/>
        <v>0</v>
      </c>
      <c r="AM15" s="124" t="e">
        <f t="shared" si="4"/>
        <v>#DIV/0!</v>
      </c>
      <c r="AN15" s="57" t="e">
        <f t="shared" si="19"/>
        <v>#DIV/0!</v>
      </c>
      <c r="AO15" s="57" t="e">
        <f t="shared" si="20"/>
        <v>#DIV/0!</v>
      </c>
    </row>
    <row r="16" spans="2:41" x14ac:dyDescent="0.3">
      <c r="B16" s="3" t="s">
        <v>2</v>
      </c>
      <c r="C16" s="6">
        <v>5</v>
      </c>
      <c r="D16" s="38"/>
      <c r="E16" s="38"/>
      <c r="F16" s="7"/>
      <c r="G16" s="8">
        <f t="shared" si="5"/>
        <v>100</v>
      </c>
      <c r="H16" s="3">
        <v>1</v>
      </c>
      <c r="I16" s="7">
        <f t="shared" si="21"/>
        <v>-2.44</v>
      </c>
      <c r="J16" s="7">
        <f t="shared" si="6"/>
        <v>-0.45185185185185184</v>
      </c>
      <c r="K16" s="7">
        <f t="shared" si="7"/>
        <v>-45.185185185185183</v>
      </c>
      <c r="L16" s="6"/>
      <c r="M16" s="31"/>
      <c r="N16" s="31"/>
      <c r="O16" s="37"/>
      <c r="P16" s="37" t="str">
        <f t="shared" si="9"/>
        <v/>
      </c>
      <c r="Q16" s="37" t="str">
        <f t="shared" si="10"/>
        <v/>
      </c>
      <c r="R16" s="14">
        <f t="shared" si="0"/>
        <v>0</v>
      </c>
      <c r="S16" s="31"/>
      <c r="T16" s="31"/>
      <c r="U16" s="37"/>
      <c r="V16" s="37" t="str">
        <f t="shared" si="11"/>
        <v/>
      </c>
      <c r="W16" s="37" t="str">
        <f t="shared" si="12"/>
        <v/>
      </c>
      <c r="X16" s="14">
        <f t="shared" si="1"/>
        <v>0</v>
      </c>
      <c r="Y16" s="38"/>
      <c r="Z16" s="38"/>
      <c r="AA16" s="38"/>
      <c r="AB16" s="7" t="str">
        <f t="shared" si="13"/>
        <v/>
      </c>
      <c r="AC16" s="7" t="str">
        <f t="shared" si="14"/>
        <v/>
      </c>
      <c r="AD16" s="14">
        <f t="shared" si="2"/>
        <v>0</v>
      </c>
      <c r="AE16" s="38"/>
      <c r="AF16" s="7"/>
      <c r="AG16" s="15"/>
      <c r="AH16" s="15" t="str">
        <f t="shared" si="15"/>
        <v/>
      </c>
      <c r="AI16" s="15" t="str">
        <f t="shared" si="16"/>
        <v/>
      </c>
      <c r="AJ16" s="14">
        <f t="shared" si="3"/>
        <v>0</v>
      </c>
      <c r="AK16" s="14">
        <f t="shared" si="17"/>
        <v>0</v>
      </c>
      <c r="AL16" s="14"/>
      <c r="AM16" s="124"/>
      <c r="AN16" s="57" t="e">
        <f t="shared" si="19"/>
        <v>#DIV/0!</v>
      </c>
      <c r="AO16" s="57" t="e">
        <f t="shared" si="20"/>
        <v>#DIV/0!</v>
      </c>
    </row>
    <row r="17" spans="2:41" x14ac:dyDescent="0.3">
      <c r="B17" s="3" t="s">
        <v>2</v>
      </c>
      <c r="C17" s="6">
        <v>6</v>
      </c>
      <c r="D17" s="38"/>
      <c r="E17" s="38"/>
      <c r="F17" s="7"/>
      <c r="G17" s="8">
        <f t="shared" si="5"/>
        <v>100</v>
      </c>
      <c r="H17" s="125">
        <v>1</v>
      </c>
      <c r="I17" s="7">
        <f t="shared" si="21"/>
        <v>-2.44</v>
      </c>
      <c r="J17" s="7">
        <f t="shared" si="6"/>
        <v>-0.45185185185185184</v>
      </c>
      <c r="K17" s="7">
        <f t="shared" si="7"/>
        <v>-45.185185185185183</v>
      </c>
      <c r="L17" s="6"/>
      <c r="M17" s="38"/>
      <c r="N17" s="38"/>
      <c r="O17" s="15"/>
      <c r="P17" s="36" t="str">
        <f t="shared" si="9"/>
        <v/>
      </c>
      <c r="Q17" s="36" t="str">
        <f t="shared" si="10"/>
        <v/>
      </c>
      <c r="R17" s="14">
        <f>IF(N17&gt;0,Q17*10000/100,0)</f>
        <v>0</v>
      </c>
      <c r="S17" s="38"/>
      <c r="T17" s="38"/>
      <c r="U17" s="15"/>
      <c r="V17" s="36" t="str">
        <f t="shared" si="11"/>
        <v/>
      </c>
      <c r="W17" s="36" t="str">
        <f t="shared" si="12"/>
        <v/>
      </c>
      <c r="X17" s="14">
        <f>IF(T17&gt;0,W17*10000/100,0)</f>
        <v>0</v>
      </c>
      <c r="Y17" s="31"/>
      <c r="Z17" s="31"/>
      <c r="AA17" s="31"/>
      <c r="AB17" s="31" t="str">
        <f t="shared" si="13"/>
        <v/>
      </c>
      <c r="AC17" s="31" t="str">
        <f t="shared" si="14"/>
        <v/>
      </c>
      <c r="AD17" s="14">
        <f>IF(Z17&gt;0,AC17*10000/100,0)</f>
        <v>0</v>
      </c>
      <c r="AE17" s="38"/>
      <c r="AF17" s="7"/>
      <c r="AG17" s="15"/>
      <c r="AH17" s="15" t="str">
        <f t="shared" si="15"/>
        <v/>
      </c>
      <c r="AI17" s="15" t="str">
        <f t="shared" si="16"/>
        <v/>
      </c>
      <c r="AJ17" s="14">
        <f t="shared" si="3"/>
        <v>0</v>
      </c>
      <c r="AK17" s="14">
        <f t="shared" si="17"/>
        <v>0</v>
      </c>
      <c r="AL17" s="14">
        <f t="shared" si="18"/>
        <v>0</v>
      </c>
      <c r="AM17" s="124" t="e">
        <f t="shared" si="4"/>
        <v>#DIV/0!</v>
      </c>
      <c r="AN17" s="57" t="e">
        <f t="shared" si="19"/>
        <v>#DIV/0!</v>
      </c>
      <c r="AO17" s="57" t="e">
        <f t="shared" si="20"/>
        <v>#DIV/0!</v>
      </c>
    </row>
    <row r="18" spans="2:41" x14ac:dyDescent="0.3">
      <c r="B18" s="3" t="s">
        <v>2</v>
      </c>
      <c r="C18" s="6">
        <v>7</v>
      </c>
      <c r="D18" s="38"/>
      <c r="E18" s="38"/>
      <c r="F18" s="7"/>
      <c r="G18" s="8">
        <f t="shared" si="5"/>
        <v>100</v>
      </c>
      <c r="H18" s="125">
        <v>1</v>
      </c>
      <c r="I18" s="7">
        <f t="shared" si="21"/>
        <v>-2.44</v>
      </c>
      <c r="J18" s="7">
        <f t="shared" si="6"/>
        <v>-0.45185185185185184</v>
      </c>
      <c r="K18" s="7">
        <f t="shared" si="7"/>
        <v>-45.185185185185183</v>
      </c>
      <c r="L18" s="6"/>
      <c r="M18" s="38"/>
      <c r="N18" s="38"/>
      <c r="O18" s="15"/>
      <c r="P18" s="36" t="str">
        <f t="shared" si="9"/>
        <v/>
      </c>
      <c r="Q18" s="36" t="str">
        <f t="shared" si="10"/>
        <v/>
      </c>
      <c r="R18" s="14">
        <f t="shared" ref="R18:R47" si="22">IF(N18&gt;0,Q18*10000/100,0)</f>
        <v>0</v>
      </c>
      <c r="S18" s="38"/>
      <c r="T18" s="38"/>
      <c r="U18" s="15"/>
      <c r="V18" s="36" t="str">
        <f t="shared" si="11"/>
        <v/>
      </c>
      <c r="W18" s="36" t="str">
        <f t="shared" si="12"/>
        <v/>
      </c>
      <c r="X18" s="14">
        <f t="shared" ref="X18:X47" si="23">IF(T18&gt;0,W18*10000/100,0)</f>
        <v>0</v>
      </c>
      <c r="Y18" s="31"/>
      <c r="Z18" s="31"/>
      <c r="AA18" s="31"/>
      <c r="AB18" s="31" t="str">
        <f t="shared" si="13"/>
        <v/>
      </c>
      <c r="AC18" s="31" t="str">
        <f t="shared" si="14"/>
        <v/>
      </c>
      <c r="AD18" s="14">
        <f t="shared" ref="AD18:AD47" si="24">IF(Z18&gt;0,AC18*10000/100,0)</f>
        <v>0</v>
      </c>
      <c r="AE18" s="38"/>
      <c r="AF18" s="7"/>
      <c r="AG18" s="15"/>
      <c r="AH18" s="15" t="str">
        <f t="shared" si="15"/>
        <v/>
      </c>
      <c r="AI18" s="15" t="str">
        <f t="shared" si="16"/>
        <v/>
      </c>
      <c r="AJ18" s="14">
        <f t="shared" si="3"/>
        <v>0</v>
      </c>
      <c r="AK18" s="14">
        <f t="shared" si="17"/>
        <v>0</v>
      </c>
      <c r="AL18" s="14">
        <f t="shared" si="18"/>
        <v>0</v>
      </c>
      <c r="AM18" s="124" t="e">
        <f t="shared" si="4"/>
        <v>#DIV/0!</v>
      </c>
      <c r="AN18" s="57" t="e">
        <f t="shared" si="19"/>
        <v>#DIV/0!</v>
      </c>
      <c r="AO18" s="57" t="e">
        <f t="shared" si="20"/>
        <v>#DIV/0!</v>
      </c>
    </row>
    <row r="19" spans="2:41" x14ac:dyDescent="0.3">
      <c r="B19" s="3" t="s">
        <v>2</v>
      </c>
      <c r="C19" s="6">
        <v>8</v>
      </c>
      <c r="D19" s="38"/>
      <c r="E19" s="38"/>
      <c r="F19" s="7"/>
      <c r="G19" s="8">
        <f t="shared" si="5"/>
        <v>100</v>
      </c>
      <c r="H19" s="125">
        <v>1</v>
      </c>
      <c r="I19" s="7">
        <f t="shared" si="21"/>
        <v>-2.44</v>
      </c>
      <c r="J19" s="7">
        <f t="shared" si="6"/>
        <v>-0.45185185185185184</v>
      </c>
      <c r="K19" s="7">
        <f t="shared" si="7"/>
        <v>-45.185185185185183</v>
      </c>
      <c r="L19" s="6"/>
      <c r="M19" s="38"/>
      <c r="N19" s="38"/>
      <c r="O19" s="15"/>
      <c r="P19" s="36" t="str">
        <f t="shared" si="9"/>
        <v/>
      </c>
      <c r="Q19" s="36" t="str">
        <f t="shared" si="10"/>
        <v/>
      </c>
      <c r="R19" s="14">
        <f t="shared" si="22"/>
        <v>0</v>
      </c>
      <c r="S19" s="7"/>
      <c r="T19" s="38"/>
      <c r="U19" s="36"/>
      <c r="V19" s="36" t="str">
        <f t="shared" si="11"/>
        <v/>
      </c>
      <c r="W19" s="36" t="str">
        <f t="shared" si="12"/>
        <v/>
      </c>
      <c r="X19" s="14">
        <f t="shared" si="23"/>
        <v>0</v>
      </c>
      <c r="Y19" s="31"/>
      <c r="Z19" s="31"/>
      <c r="AA19" s="31"/>
      <c r="AB19" s="31" t="str">
        <f t="shared" si="13"/>
        <v/>
      </c>
      <c r="AC19" s="31" t="str">
        <f t="shared" si="14"/>
        <v/>
      </c>
      <c r="AD19" s="14">
        <f t="shared" si="24"/>
        <v>0</v>
      </c>
      <c r="AE19" s="38"/>
      <c r="AF19" s="7"/>
      <c r="AG19" s="15"/>
      <c r="AH19" s="15" t="str">
        <f t="shared" si="15"/>
        <v/>
      </c>
      <c r="AI19" s="15" t="str">
        <f t="shared" si="16"/>
        <v/>
      </c>
      <c r="AJ19" s="14">
        <f t="shared" si="3"/>
        <v>0</v>
      </c>
      <c r="AK19" s="14">
        <f t="shared" si="17"/>
        <v>0</v>
      </c>
      <c r="AL19" s="14">
        <f t="shared" si="18"/>
        <v>0</v>
      </c>
      <c r="AM19" s="124" t="e">
        <f t="shared" si="4"/>
        <v>#DIV/0!</v>
      </c>
      <c r="AN19" s="57" t="e">
        <f t="shared" si="19"/>
        <v>#DIV/0!</v>
      </c>
      <c r="AO19" s="57" t="e">
        <f t="shared" si="20"/>
        <v>#DIV/0!</v>
      </c>
    </row>
    <row r="20" spans="2:41" x14ac:dyDescent="0.3">
      <c r="B20" s="16" t="s">
        <v>2</v>
      </c>
      <c r="C20" s="17">
        <v>9</v>
      </c>
      <c r="D20" s="41"/>
      <c r="E20" s="41"/>
      <c r="F20" s="18"/>
      <c r="G20" s="19">
        <f t="shared" si="5"/>
        <v>100</v>
      </c>
      <c r="H20" s="125">
        <v>1</v>
      </c>
      <c r="I20" s="18">
        <f t="shared" si="21"/>
        <v>-2.44</v>
      </c>
      <c r="J20" s="18">
        <f t="shared" si="6"/>
        <v>-0.45185185185185184</v>
      </c>
      <c r="K20" s="18">
        <f t="shared" si="7"/>
        <v>-45.185185185185183</v>
      </c>
      <c r="L20" s="17"/>
      <c r="M20" s="41"/>
      <c r="N20" s="41"/>
      <c r="O20" s="41"/>
      <c r="P20" s="18" t="str">
        <f t="shared" si="9"/>
        <v/>
      </c>
      <c r="Q20" s="18" t="str">
        <f t="shared" si="10"/>
        <v/>
      </c>
      <c r="R20" s="14">
        <f t="shared" si="22"/>
        <v>0</v>
      </c>
      <c r="S20" s="33"/>
      <c r="T20" s="33"/>
      <c r="U20" s="33"/>
      <c r="V20" s="33" t="str">
        <f t="shared" si="11"/>
        <v/>
      </c>
      <c r="W20" s="33" t="str">
        <f t="shared" si="12"/>
        <v/>
      </c>
      <c r="X20" s="14">
        <f t="shared" si="23"/>
        <v>0</v>
      </c>
      <c r="Y20" s="33"/>
      <c r="Z20" s="33"/>
      <c r="AA20" s="33"/>
      <c r="AB20" s="33" t="str">
        <f t="shared" si="13"/>
        <v/>
      </c>
      <c r="AC20" s="33" t="str">
        <f t="shared" si="14"/>
        <v/>
      </c>
      <c r="AD20" s="14">
        <f t="shared" si="24"/>
        <v>0</v>
      </c>
      <c r="AE20" s="41"/>
      <c r="AF20" s="18"/>
      <c r="AG20" s="41"/>
      <c r="AH20" s="41" t="str">
        <f t="shared" si="15"/>
        <v/>
      </c>
      <c r="AI20" s="41" t="str">
        <f t="shared" si="16"/>
        <v/>
      </c>
      <c r="AJ20" s="14">
        <f t="shared" si="3"/>
        <v>0</v>
      </c>
      <c r="AK20" s="14">
        <f t="shared" si="17"/>
        <v>0</v>
      </c>
      <c r="AL20" s="14"/>
      <c r="AM20" s="124"/>
      <c r="AN20" s="57" t="e">
        <f t="shared" si="19"/>
        <v>#DIV/0!</v>
      </c>
      <c r="AO20" s="57" t="e">
        <f t="shared" si="20"/>
        <v>#DIV/0!</v>
      </c>
    </row>
    <row r="21" spans="2:41" x14ac:dyDescent="0.3">
      <c r="B21" s="3" t="s">
        <v>9</v>
      </c>
      <c r="C21" s="6">
        <v>1</v>
      </c>
      <c r="D21" s="38"/>
      <c r="E21" s="38"/>
      <c r="F21" s="7"/>
      <c r="G21" s="8">
        <f t="shared" si="5"/>
        <v>100</v>
      </c>
      <c r="H21" s="125">
        <v>1</v>
      </c>
      <c r="I21" s="7">
        <f t="shared" si="21"/>
        <v>-2.44</v>
      </c>
      <c r="J21" s="7">
        <f t="shared" si="6"/>
        <v>-0.45185185185185184</v>
      </c>
      <c r="K21" s="7">
        <f t="shared" si="7"/>
        <v>-45.185185185185183</v>
      </c>
      <c r="L21" s="6"/>
      <c r="M21" s="31"/>
      <c r="N21" s="31"/>
      <c r="O21" s="37"/>
      <c r="P21" s="37" t="str">
        <f t="shared" si="9"/>
        <v/>
      </c>
      <c r="Q21" s="37" t="str">
        <f t="shared" si="10"/>
        <v/>
      </c>
      <c r="R21" s="14">
        <f t="shared" si="22"/>
        <v>0</v>
      </c>
      <c r="S21" s="7"/>
      <c r="T21" s="38"/>
      <c r="U21" s="36"/>
      <c r="V21" s="36" t="str">
        <f t="shared" si="11"/>
        <v/>
      </c>
      <c r="W21" s="36" t="str">
        <f t="shared" si="12"/>
        <v/>
      </c>
      <c r="X21" s="14">
        <f t="shared" si="23"/>
        <v>0</v>
      </c>
      <c r="Y21" s="31"/>
      <c r="Z21" s="31"/>
      <c r="AA21" s="31"/>
      <c r="AB21" s="31" t="str">
        <f t="shared" si="13"/>
        <v/>
      </c>
      <c r="AC21" s="31" t="str">
        <f t="shared" si="14"/>
        <v/>
      </c>
      <c r="AD21" s="14">
        <f t="shared" si="24"/>
        <v>0</v>
      </c>
      <c r="AE21" s="38"/>
      <c r="AF21" s="7"/>
      <c r="AG21" s="15"/>
      <c r="AH21" s="15" t="str">
        <f t="shared" si="15"/>
        <v/>
      </c>
      <c r="AI21" s="15" t="str">
        <f t="shared" si="16"/>
        <v/>
      </c>
      <c r="AJ21" s="14">
        <f t="shared" si="3"/>
        <v>0</v>
      </c>
      <c r="AK21" s="14"/>
      <c r="AL21" s="14">
        <f t="shared" si="18"/>
        <v>0</v>
      </c>
      <c r="AM21" s="124" t="e">
        <f t="shared" si="4"/>
        <v>#DIV/0!</v>
      </c>
      <c r="AN21" s="57" t="e">
        <f t="shared" si="19"/>
        <v>#DIV/0!</v>
      </c>
      <c r="AO21" s="57" t="e">
        <f t="shared" si="20"/>
        <v>#DIV/0!</v>
      </c>
    </row>
    <row r="22" spans="2:41" x14ac:dyDescent="0.3">
      <c r="B22" s="3" t="s">
        <v>9</v>
      </c>
      <c r="C22" s="6">
        <v>2</v>
      </c>
      <c r="D22" s="38"/>
      <c r="E22" s="38"/>
      <c r="F22" s="7"/>
      <c r="G22" s="8">
        <f t="shared" si="5"/>
        <v>100</v>
      </c>
      <c r="H22" s="125">
        <v>1</v>
      </c>
      <c r="I22" s="7">
        <f t="shared" si="21"/>
        <v>-2.44</v>
      </c>
      <c r="J22" s="7">
        <f t="shared" si="6"/>
        <v>-0.45185185185185184</v>
      </c>
      <c r="K22" s="7">
        <f t="shared" si="7"/>
        <v>-45.185185185185183</v>
      </c>
      <c r="L22" s="6"/>
      <c r="M22" s="31"/>
      <c r="N22" s="31"/>
      <c r="O22" s="37"/>
      <c r="P22" s="37" t="str">
        <f t="shared" si="9"/>
        <v/>
      </c>
      <c r="Q22" s="37" t="str">
        <f t="shared" si="10"/>
        <v/>
      </c>
      <c r="R22" s="14">
        <f t="shared" si="22"/>
        <v>0</v>
      </c>
      <c r="S22" s="7"/>
      <c r="T22" s="7"/>
      <c r="U22" s="36"/>
      <c r="V22" s="36" t="str">
        <f t="shared" si="11"/>
        <v/>
      </c>
      <c r="W22" s="36" t="str">
        <f t="shared" si="12"/>
        <v/>
      </c>
      <c r="X22" s="14">
        <f t="shared" si="23"/>
        <v>0</v>
      </c>
      <c r="Y22" s="7"/>
      <c r="Z22" s="38"/>
      <c r="AA22" s="7"/>
      <c r="AB22" s="7" t="str">
        <f t="shared" si="13"/>
        <v/>
      </c>
      <c r="AC22" s="7" t="str">
        <f t="shared" si="14"/>
        <v/>
      </c>
      <c r="AD22" s="14">
        <f t="shared" si="24"/>
        <v>0</v>
      </c>
      <c r="AE22" s="38"/>
      <c r="AF22" s="7"/>
      <c r="AG22" s="15"/>
      <c r="AH22" s="15" t="str">
        <f t="shared" si="15"/>
        <v/>
      </c>
      <c r="AI22" s="15" t="str">
        <f t="shared" si="16"/>
        <v/>
      </c>
      <c r="AJ22" s="14">
        <f t="shared" si="3"/>
        <v>0</v>
      </c>
      <c r="AK22" s="14">
        <f t="shared" si="17"/>
        <v>0</v>
      </c>
      <c r="AL22" s="14">
        <f t="shared" si="18"/>
        <v>0</v>
      </c>
      <c r="AM22" s="124" t="e">
        <f t="shared" si="4"/>
        <v>#DIV/0!</v>
      </c>
      <c r="AN22" s="57" t="e">
        <f t="shared" si="19"/>
        <v>#DIV/0!</v>
      </c>
      <c r="AO22" s="57" t="e">
        <f t="shared" si="20"/>
        <v>#DIV/0!</v>
      </c>
    </row>
    <row r="23" spans="2:41" x14ac:dyDescent="0.3">
      <c r="B23" s="3" t="s">
        <v>9</v>
      </c>
      <c r="C23" s="6">
        <v>3</v>
      </c>
      <c r="D23" s="38"/>
      <c r="E23" s="38"/>
      <c r="F23" s="7"/>
      <c r="G23" s="8">
        <f>AVERAGE(G14,G32,G41)</f>
        <v>100</v>
      </c>
      <c r="H23" s="125">
        <v>1</v>
      </c>
      <c r="I23" s="7">
        <f>(D23-$E$5)*(G23/100)</f>
        <v>-2.44</v>
      </c>
      <c r="J23" s="7">
        <f>I23/($E$7*H23)</f>
        <v>-0.45185185185185184</v>
      </c>
      <c r="K23" s="7">
        <f>J23*10000/100</f>
        <v>-45.185185185185183</v>
      </c>
      <c r="L23" s="6"/>
      <c r="M23" s="31"/>
      <c r="N23" s="31"/>
      <c r="O23" s="37"/>
      <c r="P23" s="37" t="str">
        <f t="shared" si="9"/>
        <v/>
      </c>
      <c r="Q23" s="37" t="str">
        <f t="shared" si="10"/>
        <v/>
      </c>
      <c r="R23" s="14">
        <f t="shared" si="22"/>
        <v>0</v>
      </c>
      <c r="S23" s="7"/>
      <c r="T23" s="38"/>
      <c r="U23" s="36"/>
      <c r="V23" s="36" t="str">
        <f t="shared" si="11"/>
        <v/>
      </c>
      <c r="W23" s="36" t="str">
        <f t="shared" si="12"/>
        <v/>
      </c>
      <c r="X23" s="14">
        <f t="shared" si="23"/>
        <v>0</v>
      </c>
      <c r="Y23" s="7"/>
      <c r="Z23" s="7"/>
      <c r="AA23" s="7"/>
      <c r="AB23" s="7" t="str">
        <f t="shared" si="13"/>
        <v/>
      </c>
      <c r="AC23" s="7" t="str">
        <f t="shared" si="14"/>
        <v/>
      </c>
      <c r="AD23" s="14">
        <f t="shared" si="24"/>
        <v>0</v>
      </c>
      <c r="AE23" s="38"/>
      <c r="AF23" s="7"/>
      <c r="AG23" s="15"/>
      <c r="AH23" s="15" t="str">
        <f t="shared" si="15"/>
        <v/>
      </c>
      <c r="AI23" s="15" t="str">
        <f t="shared" si="16"/>
        <v/>
      </c>
      <c r="AJ23" s="14">
        <f t="shared" si="3"/>
        <v>0</v>
      </c>
      <c r="AK23" s="14">
        <f t="shared" si="17"/>
        <v>0</v>
      </c>
      <c r="AL23" s="14">
        <f t="shared" si="18"/>
        <v>0</v>
      </c>
      <c r="AM23" s="124" t="e">
        <f t="shared" si="4"/>
        <v>#DIV/0!</v>
      </c>
      <c r="AN23" s="57" t="e">
        <f t="shared" si="19"/>
        <v>#DIV/0!</v>
      </c>
      <c r="AO23" s="57" t="e">
        <f t="shared" si="20"/>
        <v>#DIV/0!</v>
      </c>
    </row>
    <row r="24" spans="2:41" x14ac:dyDescent="0.3">
      <c r="B24" s="3" t="s">
        <v>9</v>
      </c>
      <c r="C24" s="6">
        <v>4</v>
      </c>
      <c r="D24" s="38"/>
      <c r="E24" s="38"/>
      <c r="F24" s="7"/>
      <c r="G24" s="8">
        <f t="shared" si="5"/>
        <v>100</v>
      </c>
      <c r="H24" s="125">
        <v>1</v>
      </c>
      <c r="I24" s="7">
        <f t="shared" si="21"/>
        <v>-2.44</v>
      </c>
      <c r="J24" s="7">
        <f t="shared" si="6"/>
        <v>-0.45185185185185184</v>
      </c>
      <c r="K24" s="7">
        <f t="shared" si="7"/>
        <v>-45.185185185185183</v>
      </c>
      <c r="L24" s="6"/>
      <c r="M24" s="31"/>
      <c r="N24" s="31"/>
      <c r="O24" s="37"/>
      <c r="P24" s="37" t="str">
        <f t="shared" si="9"/>
        <v/>
      </c>
      <c r="Q24" s="37" t="str">
        <f t="shared" si="10"/>
        <v/>
      </c>
      <c r="R24" s="14">
        <f t="shared" si="22"/>
        <v>0</v>
      </c>
      <c r="S24" s="7"/>
      <c r="T24" s="38"/>
      <c r="U24" s="36"/>
      <c r="V24" s="36" t="str">
        <f t="shared" si="11"/>
        <v/>
      </c>
      <c r="W24" s="36" t="str">
        <f t="shared" si="12"/>
        <v/>
      </c>
      <c r="X24" s="14">
        <f t="shared" si="23"/>
        <v>0</v>
      </c>
      <c r="Y24" s="7"/>
      <c r="Z24" s="38"/>
      <c r="AA24" s="7"/>
      <c r="AB24" s="7" t="str">
        <f t="shared" si="13"/>
        <v/>
      </c>
      <c r="AC24" s="7" t="str">
        <f t="shared" si="14"/>
        <v/>
      </c>
      <c r="AD24" s="14">
        <f t="shared" si="24"/>
        <v>0</v>
      </c>
      <c r="AE24" s="38"/>
      <c r="AF24" s="7"/>
      <c r="AG24" s="15"/>
      <c r="AH24" s="15" t="str">
        <f t="shared" si="15"/>
        <v/>
      </c>
      <c r="AI24" s="15" t="str">
        <f t="shared" si="16"/>
        <v/>
      </c>
      <c r="AJ24" s="14">
        <f t="shared" si="3"/>
        <v>0</v>
      </c>
      <c r="AK24" s="14">
        <f t="shared" si="17"/>
        <v>0</v>
      </c>
      <c r="AL24" s="14">
        <f t="shared" si="18"/>
        <v>0</v>
      </c>
      <c r="AM24" s="124" t="e">
        <f t="shared" si="4"/>
        <v>#DIV/0!</v>
      </c>
      <c r="AN24" s="57" t="e">
        <f t="shared" si="19"/>
        <v>#DIV/0!</v>
      </c>
      <c r="AO24" s="57" t="e">
        <f t="shared" si="20"/>
        <v>#DIV/0!</v>
      </c>
    </row>
    <row r="25" spans="2:41" x14ac:dyDescent="0.3">
      <c r="B25" s="3" t="s">
        <v>9</v>
      </c>
      <c r="C25" s="6">
        <v>5</v>
      </c>
      <c r="D25" s="38"/>
      <c r="E25" s="38"/>
      <c r="F25" s="7"/>
      <c r="G25" s="8">
        <f t="shared" si="5"/>
        <v>100</v>
      </c>
      <c r="H25" s="125">
        <v>1</v>
      </c>
      <c r="I25" s="7">
        <f t="shared" si="21"/>
        <v>-2.44</v>
      </c>
      <c r="J25" s="7">
        <f t="shared" si="6"/>
        <v>-0.45185185185185184</v>
      </c>
      <c r="K25" s="7">
        <f t="shared" si="7"/>
        <v>-45.185185185185183</v>
      </c>
      <c r="L25" s="6"/>
      <c r="M25" s="31"/>
      <c r="N25" s="31"/>
      <c r="O25" s="37"/>
      <c r="P25" s="37" t="str">
        <f t="shared" si="9"/>
        <v/>
      </c>
      <c r="Q25" s="37" t="str">
        <f t="shared" si="10"/>
        <v/>
      </c>
      <c r="R25" s="14">
        <f t="shared" si="22"/>
        <v>0</v>
      </c>
      <c r="S25" s="31"/>
      <c r="T25" s="31"/>
      <c r="U25" s="37"/>
      <c r="V25" s="37" t="str">
        <f t="shared" si="11"/>
        <v/>
      </c>
      <c r="W25" s="37" t="str">
        <f t="shared" si="12"/>
        <v/>
      </c>
      <c r="X25" s="14">
        <f t="shared" si="23"/>
        <v>0</v>
      </c>
      <c r="Y25" s="7"/>
      <c r="Z25" s="38"/>
      <c r="AA25" s="7"/>
      <c r="AB25" s="7" t="str">
        <f t="shared" si="13"/>
        <v/>
      </c>
      <c r="AC25" s="7" t="str">
        <f t="shared" si="14"/>
        <v/>
      </c>
      <c r="AD25" s="14">
        <f t="shared" si="24"/>
        <v>0</v>
      </c>
      <c r="AE25" s="38"/>
      <c r="AF25" s="7"/>
      <c r="AG25" s="15"/>
      <c r="AH25" s="15" t="str">
        <f t="shared" si="15"/>
        <v/>
      </c>
      <c r="AI25" s="15" t="str">
        <f t="shared" si="16"/>
        <v/>
      </c>
      <c r="AJ25" s="14">
        <f t="shared" si="3"/>
        <v>0</v>
      </c>
      <c r="AK25" s="14">
        <f t="shared" si="17"/>
        <v>0</v>
      </c>
      <c r="AL25" s="14"/>
      <c r="AM25" s="124"/>
      <c r="AN25" s="57" t="e">
        <f t="shared" si="19"/>
        <v>#DIV/0!</v>
      </c>
      <c r="AO25" s="57" t="e">
        <f t="shared" si="20"/>
        <v>#DIV/0!</v>
      </c>
    </row>
    <row r="26" spans="2:41" x14ac:dyDescent="0.3">
      <c r="B26" s="3" t="s">
        <v>9</v>
      </c>
      <c r="C26" s="6">
        <v>6</v>
      </c>
      <c r="D26" s="38"/>
      <c r="E26" s="38"/>
      <c r="F26" s="7"/>
      <c r="G26" s="8">
        <f t="shared" si="5"/>
        <v>100</v>
      </c>
      <c r="H26" s="125">
        <v>1</v>
      </c>
      <c r="I26" s="7">
        <f t="shared" si="21"/>
        <v>-2.44</v>
      </c>
      <c r="J26" s="7">
        <f t="shared" si="6"/>
        <v>-0.45185185185185184</v>
      </c>
      <c r="K26" s="7">
        <f t="shared" si="7"/>
        <v>-45.185185185185183</v>
      </c>
      <c r="L26" s="6"/>
      <c r="M26" s="7"/>
      <c r="N26" s="38"/>
      <c r="O26" s="36"/>
      <c r="P26" s="36" t="str">
        <f t="shared" si="9"/>
        <v/>
      </c>
      <c r="Q26" s="36" t="str">
        <f t="shared" si="10"/>
        <v/>
      </c>
      <c r="R26" s="14">
        <f t="shared" si="22"/>
        <v>0</v>
      </c>
      <c r="S26" s="7"/>
      <c r="T26" s="38"/>
      <c r="U26" s="36"/>
      <c r="V26" s="36" t="str">
        <f t="shared" si="11"/>
        <v/>
      </c>
      <c r="W26" s="36" t="str">
        <f t="shared" si="12"/>
        <v/>
      </c>
      <c r="X26" s="14">
        <f t="shared" si="23"/>
        <v>0</v>
      </c>
      <c r="Y26" s="31"/>
      <c r="Z26" s="31"/>
      <c r="AA26" s="31"/>
      <c r="AB26" s="31" t="str">
        <f t="shared" si="13"/>
        <v/>
      </c>
      <c r="AC26" s="31" t="str">
        <f t="shared" si="14"/>
        <v/>
      </c>
      <c r="AD26" s="14">
        <f t="shared" si="24"/>
        <v>0</v>
      </c>
      <c r="AE26" s="38"/>
      <c r="AF26" s="7"/>
      <c r="AG26" s="15"/>
      <c r="AH26" s="15" t="str">
        <f t="shared" si="15"/>
        <v/>
      </c>
      <c r="AI26" s="15" t="str">
        <f t="shared" si="16"/>
        <v/>
      </c>
      <c r="AJ26" s="14">
        <f t="shared" si="3"/>
        <v>0</v>
      </c>
      <c r="AK26" s="14">
        <f t="shared" si="17"/>
        <v>0</v>
      </c>
      <c r="AL26" s="14">
        <f t="shared" si="18"/>
        <v>0</v>
      </c>
      <c r="AM26" s="124" t="e">
        <f t="shared" si="4"/>
        <v>#DIV/0!</v>
      </c>
      <c r="AN26" s="57" t="e">
        <f t="shared" si="19"/>
        <v>#DIV/0!</v>
      </c>
      <c r="AO26" s="57" t="e">
        <f t="shared" si="20"/>
        <v>#DIV/0!</v>
      </c>
    </row>
    <row r="27" spans="2:41" x14ac:dyDescent="0.3">
      <c r="B27" s="3" t="s">
        <v>9</v>
      </c>
      <c r="C27" s="6">
        <v>7</v>
      </c>
      <c r="D27" s="38"/>
      <c r="E27" s="38"/>
      <c r="F27" s="7"/>
      <c r="G27" s="8">
        <f t="shared" si="5"/>
        <v>100</v>
      </c>
      <c r="H27" s="125">
        <v>1</v>
      </c>
      <c r="I27" s="7">
        <f t="shared" si="21"/>
        <v>-2.44</v>
      </c>
      <c r="J27" s="7">
        <f t="shared" si="6"/>
        <v>-0.45185185185185184</v>
      </c>
      <c r="K27" s="7">
        <f t="shared" si="7"/>
        <v>-45.185185185185183</v>
      </c>
      <c r="L27" s="6"/>
      <c r="M27" s="7"/>
      <c r="N27" s="7"/>
      <c r="O27" s="36"/>
      <c r="P27" s="36" t="str">
        <f t="shared" si="9"/>
        <v/>
      </c>
      <c r="Q27" s="36" t="str">
        <f t="shared" si="10"/>
        <v/>
      </c>
      <c r="R27" s="14">
        <f t="shared" si="22"/>
        <v>0</v>
      </c>
      <c r="S27" s="7"/>
      <c r="T27" s="38"/>
      <c r="U27" s="36"/>
      <c r="V27" s="36" t="str">
        <f t="shared" si="11"/>
        <v/>
      </c>
      <c r="W27" s="36" t="str">
        <f t="shared" si="12"/>
        <v/>
      </c>
      <c r="X27" s="14">
        <f t="shared" si="23"/>
        <v>0</v>
      </c>
      <c r="Y27" s="31"/>
      <c r="Z27" s="31"/>
      <c r="AA27" s="31"/>
      <c r="AB27" s="31" t="str">
        <f t="shared" si="13"/>
        <v/>
      </c>
      <c r="AC27" s="31" t="str">
        <f t="shared" si="14"/>
        <v/>
      </c>
      <c r="AD27" s="14">
        <f t="shared" si="24"/>
        <v>0</v>
      </c>
      <c r="AE27" s="38"/>
      <c r="AF27" s="7"/>
      <c r="AG27" s="15"/>
      <c r="AH27" s="15" t="str">
        <f t="shared" si="15"/>
        <v/>
      </c>
      <c r="AI27" s="15" t="str">
        <f t="shared" si="16"/>
        <v/>
      </c>
      <c r="AJ27" s="14">
        <f t="shared" si="3"/>
        <v>0</v>
      </c>
      <c r="AK27" s="14">
        <f t="shared" si="17"/>
        <v>0</v>
      </c>
      <c r="AL27" s="14">
        <f t="shared" si="18"/>
        <v>0</v>
      </c>
      <c r="AM27" s="124" t="e">
        <f t="shared" si="4"/>
        <v>#DIV/0!</v>
      </c>
      <c r="AN27" s="57" t="e">
        <f t="shared" si="19"/>
        <v>#DIV/0!</v>
      </c>
      <c r="AO27" s="57" t="e">
        <f t="shared" si="20"/>
        <v>#DIV/0!</v>
      </c>
    </row>
    <row r="28" spans="2:41" x14ac:dyDescent="0.3">
      <c r="B28" s="3" t="s">
        <v>9</v>
      </c>
      <c r="C28" s="6">
        <v>8</v>
      </c>
      <c r="D28" s="38"/>
      <c r="E28" s="38"/>
      <c r="F28" s="7"/>
      <c r="G28" s="8">
        <f t="shared" si="5"/>
        <v>100</v>
      </c>
      <c r="H28" s="125">
        <v>1</v>
      </c>
      <c r="I28" s="7">
        <f t="shared" si="21"/>
        <v>-2.44</v>
      </c>
      <c r="J28" s="7">
        <f t="shared" si="6"/>
        <v>-0.45185185185185184</v>
      </c>
      <c r="K28" s="7">
        <f t="shared" si="7"/>
        <v>-45.185185185185183</v>
      </c>
      <c r="L28" s="6"/>
      <c r="M28" s="7"/>
      <c r="N28" s="7"/>
      <c r="O28" s="36"/>
      <c r="P28" s="36" t="str">
        <f t="shared" si="9"/>
        <v/>
      </c>
      <c r="Q28" s="36" t="str">
        <f t="shared" si="10"/>
        <v/>
      </c>
      <c r="R28" s="14">
        <f t="shared" si="22"/>
        <v>0</v>
      </c>
      <c r="S28" s="7"/>
      <c r="T28" s="7"/>
      <c r="U28" s="36"/>
      <c r="V28" s="36" t="str">
        <f t="shared" si="11"/>
        <v/>
      </c>
      <c r="W28" s="36" t="str">
        <f t="shared" si="12"/>
        <v/>
      </c>
      <c r="X28" s="14">
        <f t="shared" si="23"/>
        <v>0</v>
      </c>
      <c r="Y28" s="31"/>
      <c r="Z28" s="31"/>
      <c r="AA28" s="31"/>
      <c r="AB28" s="31" t="str">
        <f t="shared" si="13"/>
        <v/>
      </c>
      <c r="AC28" s="31" t="str">
        <f t="shared" si="14"/>
        <v/>
      </c>
      <c r="AD28" s="14">
        <f t="shared" si="24"/>
        <v>0</v>
      </c>
      <c r="AE28" s="38"/>
      <c r="AF28" s="7"/>
      <c r="AG28" s="15"/>
      <c r="AH28" s="15" t="str">
        <f t="shared" si="15"/>
        <v/>
      </c>
      <c r="AI28" s="15" t="str">
        <f t="shared" si="16"/>
        <v/>
      </c>
      <c r="AJ28" s="14">
        <f t="shared" si="3"/>
        <v>0</v>
      </c>
      <c r="AK28" s="14">
        <f t="shared" si="17"/>
        <v>0</v>
      </c>
      <c r="AL28" s="14">
        <f t="shared" si="18"/>
        <v>0</v>
      </c>
      <c r="AM28" s="124" t="e">
        <f t="shared" si="4"/>
        <v>#DIV/0!</v>
      </c>
      <c r="AN28" s="57" t="e">
        <f t="shared" si="19"/>
        <v>#DIV/0!</v>
      </c>
      <c r="AO28" s="57" t="e">
        <f t="shared" si="20"/>
        <v>#DIV/0!</v>
      </c>
    </row>
    <row r="29" spans="2:41" x14ac:dyDescent="0.3">
      <c r="B29" s="16" t="s">
        <v>9</v>
      </c>
      <c r="C29" s="17">
        <v>9</v>
      </c>
      <c r="D29" s="41"/>
      <c r="E29" s="41"/>
      <c r="F29" s="18"/>
      <c r="G29" s="19">
        <f t="shared" si="5"/>
        <v>100</v>
      </c>
      <c r="H29" s="125">
        <v>1</v>
      </c>
      <c r="I29" s="18">
        <f t="shared" si="21"/>
        <v>-2.44</v>
      </c>
      <c r="J29" s="18">
        <f t="shared" si="6"/>
        <v>-0.45185185185185184</v>
      </c>
      <c r="K29" s="18">
        <f t="shared" si="7"/>
        <v>-45.185185185185183</v>
      </c>
      <c r="L29" s="17"/>
      <c r="M29" s="18"/>
      <c r="N29" s="18"/>
      <c r="O29" s="18"/>
      <c r="P29" s="18" t="str">
        <f t="shared" si="9"/>
        <v/>
      </c>
      <c r="Q29" s="18" t="str">
        <f t="shared" si="10"/>
        <v/>
      </c>
      <c r="R29" s="14">
        <f t="shared" si="22"/>
        <v>0</v>
      </c>
      <c r="S29" s="33"/>
      <c r="T29" s="33"/>
      <c r="U29" s="33"/>
      <c r="V29" s="33" t="str">
        <f t="shared" si="11"/>
        <v/>
      </c>
      <c r="W29" s="33" t="str">
        <f t="shared" si="12"/>
        <v/>
      </c>
      <c r="X29" s="14">
        <f t="shared" si="23"/>
        <v>0</v>
      </c>
      <c r="Y29" s="33"/>
      <c r="Z29" s="33"/>
      <c r="AA29" s="33"/>
      <c r="AB29" s="33" t="str">
        <f t="shared" si="13"/>
        <v/>
      </c>
      <c r="AC29" s="33" t="str">
        <f t="shared" si="14"/>
        <v/>
      </c>
      <c r="AD29" s="14">
        <f t="shared" si="24"/>
        <v>0</v>
      </c>
      <c r="AE29" s="41"/>
      <c r="AF29" s="18"/>
      <c r="AG29" s="41"/>
      <c r="AH29" s="41" t="str">
        <f t="shared" si="15"/>
        <v/>
      </c>
      <c r="AI29" s="41" t="str">
        <f t="shared" si="16"/>
        <v/>
      </c>
      <c r="AJ29" s="14">
        <f t="shared" si="3"/>
        <v>0</v>
      </c>
      <c r="AK29" s="14">
        <f t="shared" si="17"/>
        <v>0</v>
      </c>
      <c r="AL29" s="14"/>
      <c r="AM29" s="124"/>
      <c r="AN29" s="57" t="e">
        <f t="shared" si="19"/>
        <v>#DIV/0!</v>
      </c>
      <c r="AO29" s="57" t="e">
        <f t="shared" si="20"/>
        <v>#DIV/0!</v>
      </c>
    </row>
    <row r="30" spans="2:41" x14ac:dyDescent="0.3">
      <c r="B30" s="3" t="s">
        <v>10</v>
      </c>
      <c r="C30" s="6">
        <v>1</v>
      </c>
      <c r="D30" s="38"/>
      <c r="E30" s="38"/>
      <c r="F30" s="7"/>
      <c r="G30" s="8">
        <f t="shared" si="5"/>
        <v>100</v>
      </c>
      <c r="H30" s="125">
        <v>1</v>
      </c>
      <c r="I30" s="7">
        <f t="shared" si="21"/>
        <v>-2.44</v>
      </c>
      <c r="J30" s="7">
        <f t="shared" si="6"/>
        <v>-0.45185185185185184</v>
      </c>
      <c r="K30" s="7">
        <f t="shared" si="7"/>
        <v>-45.185185185185183</v>
      </c>
      <c r="L30" s="6"/>
      <c r="M30" s="31"/>
      <c r="N30" s="31"/>
      <c r="O30" s="37"/>
      <c r="P30" s="37" t="str">
        <f t="shared" si="9"/>
        <v/>
      </c>
      <c r="Q30" s="37" t="str">
        <f t="shared" si="10"/>
        <v/>
      </c>
      <c r="R30" s="14">
        <f t="shared" si="22"/>
        <v>0</v>
      </c>
      <c r="S30" s="7"/>
      <c r="T30" s="7"/>
      <c r="U30" s="36"/>
      <c r="V30" s="36" t="str">
        <f t="shared" si="11"/>
        <v/>
      </c>
      <c r="W30" s="36" t="str">
        <f t="shared" si="12"/>
        <v/>
      </c>
      <c r="X30" s="14">
        <f t="shared" si="23"/>
        <v>0</v>
      </c>
      <c r="Y30" s="31"/>
      <c r="Z30" s="31"/>
      <c r="AA30" s="31"/>
      <c r="AB30" s="31" t="str">
        <f t="shared" si="13"/>
        <v/>
      </c>
      <c r="AC30" s="31" t="str">
        <f t="shared" si="14"/>
        <v/>
      </c>
      <c r="AD30" s="14">
        <f t="shared" si="24"/>
        <v>0</v>
      </c>
      <c r="AE30" s="38"/>
      <c r="AF30" s="38"/>
      <c r="AG30" s="38"/>
      <c r="AH30" s="40" t="str">
        <f t="shared" si="15"/>
        <v/>
      </c>
      <c r="AI30" s="40" t="str">
        <f t="shared" si="16"/>
        <v/>
      </c>
      <c r="AJ30" s="14">
        <f t="shared" si="3"/>
        <v>0</v>
      </c>
      <c r="AK30" s="14">
        <f t="shared" si="17"/>
        <v>0</v>
      </c>
      <c r="AL30" s="14">
        <f t="shared" ref="AL30" si="25">X30</f>
        <v>0</v>
      </c>
      <c r="AM30" s="124" t="e">
        <f t="shared" si="4"/>
        <v>#DIV/0!</v>
      </c>
      <c r="AN30" s="57" t="e">
        <f t="shared" si="19"/>
        <v>#DIV/0!</v>
      </c>
      <c r="AO30" s="57" t="e">
        <f t="shared" si="20"/>
        <v>#DIV/0!</v>
      </c>
    </row>
    <row r="31" spans="2:41" x14ac:dyDescent="0.3">
      <c r="B31" s="3" t="s">
        <v>10</v>
      </c>
      <c r="C31" s="6">
        <v>2</v>
      </c>
      <c r="D31" s="38"/>
      <c r="E31" s="38"/>
      <c r="F31" s="7"/>
      <c r="G31" s="8">
        <f t="shared" si="5"/>
        <v>100</v>
      </c>
      <c r="H31" s="125">
        <v>1</v>
      </c>
      <c r="I31" s="7">
        <f t="shared" si="21"/>
        <v>-2.44</v>
      </c>
      <c r="J31" s="7">
        <f t="shared" si="6"/>
        <v>-0.45185185185185184</v>
      </c>
      <c r="K31" s="7">
        <f t="shared" si="7"/>
        <v>-45.185185185185183</v>
      </c>
      <c r="L31" s="6"/>
      <c r="M31" s="31"/>
      <c r="N31" s="31"/>
      <c r="O31" s="37"/>
      <c r="P31" s="37" t="str">
        <f t="shared" si="9"/>
        <v/>
      </c>
      <c r="Q31" s="37" t="str">
        <f t="shared" si="10"/>
        <v/>
      </c>
      <c r="R31" s="14">
        <f t="shared" si="22"/>
        <v>0</v>
      </c>
      <c r="S31" s="7"/>
      <c r="T31" s="7"/>
      <c r="U31" s="36"/>
      <c r="V31" s="36" t="str">
        <f t="shared" si="11"/>
        <v/>
      </c>
      <c r="W31" s="36" t="str">
        <f t="shared" si="12"/>
        <v/>
      </c>
      <c r="X31" s="14">
        <f t="shared" si="23"/>
        <v>0</v>
      </c>
      <c r="Y31" s="7"/>
      <c r="Z31" s="7"/>
      <c r="AA31" s="7"/>
      <c r="AB31" s="7" t="str">
        <f t="shared" si="13"/>
        <v/>
      </c>
      <c r="AC31" s="7" t="str">
        <f t="shared" si="14"/>
        <v/>
      </c>
      <c r="AD31" s="14">
        <f t="shared" si="24"/>
        <v>0</v>
      </c>
      <c r="AE31" s="38"/>
      <c r="AF31" s="54"/>
      <c r="AG31" s="54"/>
      <c r="AH31" s="54" t="str">
        <f t="shared" si="15"/>
        <v/>
      </c>
      <c r="AI31" s="54" t="str">
        <f t="shared" si="16"/>
        <v/>
      </c>
      <c r="AJ31" s="14">
        <f t="shared" si="3"/>
        <v>0</v>
      </c>
      <c r="AK31" s="14">
        <f t="shared" si="17"/>
        <v>0</v>
      </c>
      <c r="AL31" s="14">
        <f t="shared" si="18"/>
        <v>0</v>
      </c>
      <c r="AM31" s="124" t="e">
        <f t="shared" si="4"/>
        <v>#DIV/0!</v>
      </c>
      <c r="AN31" s="57" t="e">
        <f t="shared" si="19"/>
        <v>#DIV/0!</v>
      </c>
      <c r="AO31" s="57" t="e">
        <f t="shared" si="20"/>
        <v>#DIV/0!</v>
      </c>
    </row>
    <row r="32" spans="2:41" x14ac:dyDescent="0.3">
      <c r="B32" s="3" t="s">
        <v>10</v>
      </c>
      <c r="C32" s="6">
        <v>3</v>
      </c>
      <c r="D32" s="38"/>
      <c r="E32" s="38"/>
      <c r="F32" s="7"/>
      <c r="G32" s="8">
        <f t="shared" si="5"/>
        <v>100</v>
      </c>
      <c r="H32" s="125">
        <v>1</v>
      </c>
      <c r="I32" s="7">
        <f t="shared" si="21"/>
        <v>-2.44</v>
      </c>
      <c r="J32" s="7">
        <f t="shared" si="6"/>
        <v>-0.45185185185185184</v>
      </c>
      <c r="K32" s="7">
        <f t="shared" si="7"/>
        <v>-45.185185185185183</v>
      </c>
      <c r="L32" s="6"/>
      <c r="M32" s="31"/>
      <c r="N32" s="31"/>
      <c r="O32" s="37"/>
      <c r="P32" s="37" t="str">
        <f t="shared" si="9"/>
        <v/>
      </c>
      <c r="Q32" s="37" t="str">
        <f t="shared" si="10"/>
        <v/>
      </c>
      <c r="R32" s="14">
        <f t="shared" si="22"/>
        <v>0</v>
      </c>
      <c r="S32" s="7"/>
      <c r="T32" s="7"/>
      <c r="U32" s="36"/>
      <c r="V32" s="36" t="str">
        <f t="shared" si="11"/>
        <v/>
      </c>
      <c r="W32" s="36" t="str">
        <f t="shared" si="12"/>
        <v/>
      </c>
      <c r="X32" s="14">
        <f t="shared" si="23"/>
        <v>0</v>
      </c>
      <c r="Y32" s="7"/>
      <c r="Z32" s="38"/>
      <c r="AA32" s="7"/>
      <c r="AB32" s="7" t="str">
        <f t="shared" si="13"/>
        <v/>
      </c>
      <c r="AC32" s="7" t="str">
        <f t="shared" si="14"/>
        <v/>
      </c>
      <c r="AD32" s="14">
        <f t="shared" si="24"/>
        <v>0</v>
      </c>
      <c r="AE32" s="38"/>
      <c r="AF32" s="54"/>
      <c r="AG32" s="54"/>
      <c r="AH32" s="54" t="str">
        <f t="shared" si="15"/>
        <v/>
      </c>
      <c r="AI32" s="54" t="str">
        <f t="shared" si="16"/>
        <v/>
      </c>
      <c r="AJ32" s="14">
        <f t="shared" si="3"/>
        <v>0</v>
      </c>
      <c r="AK32" s="14">
        <f t="shared" si="17"/>
        <v>0</v>
      </c>
      <c r="AL32" s="14">
        <f t="shared" si="18"/>
        <v>0</v>
      </c>
      <c r="AM32" s="124" t="e">
        <f t="shared" si="4"/>
        <v>#DIV/0!</v>
      </c>
      <c r="AN32" s="57" t="e">
        <f t="shared" si="19"/>
        <v>#DIV/0!</v>
      </c>
      <c r="AO32" s="57" t="e">
        <f t="shared" si="20"/>
        <v>#DIV/0!</v>
      </c>
    </row>
    <row r="33" spans="2:41" x14ac:dyDescent="0.3">
      <c r="B33" s="3" t="s">
        <v>10</v>
      </c>
      <c r="C33" s="6">
        <v>4</v>
      </c>
      <c r="D33" s="38"/>
      <c r="E33" s="38"/>
      <c r="F33" s="7"/>
      <c r="G33" s="8">
        <f t="shared" si="5"/>
        <v>100</v>
      </c>
      <c r="H33" s="125">
        <v>1</v>
      </c>
      <c r="I33" s="7">
        <f t="shared" si="21"/>
        <v>-2.44</v>
      </c>
      <c r="J33" s="7">
        <f t="shared" si="6"/>
        <v>-0.45185185185185184</v>
      </c>
      <c r="K33" s="7">
        <f t="shared" si="7"/>
        <v>-45.185185185185183</v>
      </c>
      <c r="L33" s="6"/>
      <c r="M33" s="31"/>
      <c r="N33" s="31"/>
      <c r="O33" s="37"/>
      <c r="P33" s="37" t="str">
        <f t="shared" si="9"/>
        <v/>
      </c>
      <c r="Q33" s="37" t="str">
        <f t="shared" si="10"/>
        <v/>
      </c>
      <c r="R33" s="14">
        <f t="shared" si="22"/>
        <v>0</v>
      </c>
      <c r="S33" s="38"/>
      <c r="T33" s="7"/>
      <c r="U33" s="36"/>
      <c r="V33" s="36" t="str">
        <f t="shared" si="11"/>
        <v/>
      </c>
      <c r="W33" s="36" t="str">
        <f t="shared" si="12"/>
        <v/>
      </c>
      <c r="X33" s="14">
        <f t="shared" si="23"/>
        <v>0</v>
      </c>
      <c r="Y33" s="7"/>
      <c r="Z33" s="38"/>
      <c r="AA33" s="7"/>
      <c r="AB33" s="7" t="str">
        <f t="shared" si="13"/>
        <v/>
      </c>
      <c r="AC33" s="7" t="str">
        <f t="shared" si="14"/>
        <v/>
      </c>
      <c r="AD33" s="14">
        <f t="shared" si="24"/>
        <v>0</v>
      </c>
      <c r="AE33" s="38"/>
      <c r="AF33" s="54"/>
      <c r="AG33" s="54"/>
      <c r="AH33" s="54" t="str">
        <f t="shared" si="15"/>
        <v/>
      </c>
      <c r="AI33" s="54" t="str">
        <f t="shared" si="16"/>
        <v/>
      </c>
      <c r="AJ33" s="14">
        <f t="shared" si="3"/>
        <v>0</v>
      </c>
      <c r="AK33" s="14">
        <f t="shared" si="17"/>
        <v>0</v>
      </c>
      <c r="AL33" s="14">
        <f t="shared" si="18"/>
        <v>0</v>
      </c>
      <c r="AM33" s="124" t="e">
        <f t="shared" si="4"/>
        <v>#DIV/0!</v>
      </c>
      <c r="AN33" s="57" t="e">
        <f t="shared" si="19"/>
        <v>#DIV/0!</v>
      </c>
      <c r="AO33" s="57" t="e">
        <f t="shared" si="20"/>
        <v>#DIV/0!</v>
      </c>
    </row>
    <row r="34" spans="2:41" x14ac:dyDescent="0.3">
      <c r="B34" s="3" t="s">
        <v>10</v>
      </c>
      <c r="C34" s="6">
        <v>5</v>
      </c>
      <c r="D34" s="38"/>
      <c r="E34" s="38"/>
      <c r="F34" s="7"/>
      <c r="G34" s="8">
        <f t="shared" si="5"/>
        <v>100</v>
      </c>
      <c r="H34" s="125">
        <v>1</v>
      </c>
      <c r="I34" s="7">
        <f t="shared" si="21"/>
        <v>-2.44</v>
      </c>
      <c r="J34" s="7">
        <f t="shared" si="6"/>
        <v>-0.45185185185185184</v>
      </c>
      <c r="K34" s="7">
        <f t="shared" si="7"/>
        <v>-45.185185185185183</v>
      </c>
      <c r="L34" s="6"/>
      <c r="M34" s="31"/>
      <c r="N34" s="31"/>
      <c r="O34" s="37"/>
      <c r="P34" s="37" t="str">
        <f t="shared" si="9"/>
        <v/>
      </c>
      <c r="Q34" s="37" t="str">
        <f t="shared" si="10"/>
        <v/>
      </c>
      <c r="R34" s="14">
        <f t="shared" si="22"/>
        <v>0</v>
      </c>
      <c r="S34" s="31"/>
      <c r="T34" s="31"/>
      <c r="U34" s="37"/>
      <c r="V34" s="37" t="str">
        <f t="shared" si="11"/>
        <v/>
      </c>
      <c r="W34" s="37" t="str">
        <f t="shared" si="12"/>
        <v/>
      </c>
      <c r="X34" s="14">
        <f t="shared" si="23"/>
        <v>0</v>
      </c>
      <c r="Y34" s="7"/>
      <c r="Z34" s="38"/>
      <c r="AA34" s="7"/>
      <c r="AB34" s="7" t="str">
        <f t="shared" si="13"/>
        <v/>
      </c>
      <c r="AC34" s="7" t="str">
        <f t="shared" si="14"/>
        <v/>
      </c>
      <c r="AD34" s="14">
        <f t="shared" si="24"/>
        <v>0</v>
      </c>
      <c r="AE34" s="38"/>
      <c r="AF34" s="54"/>
      <c r="AG34" s="54"/>
      <c r="AH34" s="54" t="str">
        <f t="shared" si="15"/>
        <v/>
      </c>
      <c r="AI34" s="54" t="str">
        <f t="shared" si="16"/>
        <v/>
      </c>
      <c r="AJ34" s="14">
        <f t="shared" si="3"/>
        <v>0</v>
      </c>
      <c r="AK34" s="14">
        <f t="shared" si="17"/>
        <v>0</v>
      </c>
      <c r="AL34" s="14"/>
      <c r="AM34" s="124"/>
      <c r="AN34" s="57" t="e">
        <f t="shared" si="19"/>
        <v>#DIV/0!</v>
      </c>
      <c r="AO34" s="57" t="e">
        <f t="shared" si="20"/>
        <v>#DIV/0!</v>
      </c>
    </row>
    <row r="35" spans="2:41" x14ac:dyDescent="0.3">
      <c r="B35" s="3" t="s">
        <v>10</v>
      </c>
      <c r="C35" s="6">
        <v>6</v>
      </c>
      <c r="D35" s="38"/>
      <c r="E35" s="38"/>
      <c r="F35" s="7"/>
      <c r="G35" s="8">
        <f t="shared" si="5"/>
        <v>100</v>
      </c>
      <c r="H35" s="125">
        <v>1</v>
      </c>
      <c r="I35" s="7">
        <f t="shared" si="21"/>
        <v>-2.44</v>
      </c>
      <c r="J35" s="7">
        <f t="shared" si="6"/>
        <v>-0.45185185185185184</v>
      </c>
      <c r="K35" s="7">
        <f t="shared" si="7"/>
        <v>-45.185185185185183</v>
      </c>
      <c r="L35" s="6"/>
      <c r="M35" s="7"/>
      <c r="N35" s="7"/>
      <c r="O35" s="36"/>
      <c r="P35" s="36" t="str">
        <f t="shared" si="9"/>
        <v/>
      </c>
      <c r="Q35" s="36" t="str">
        <f t="shared" si="10"/>
        <v/>
      </c>
      <c r="R35" s="14">
        <f t="shared" si="22"/>
        <v>0</v>
      </c>
      <c r="S35" s="7"/>
      <c r="T35" s="7"/>
      <c r="U35" s="36"/>
      <c r="V35" s="36" t="str">
        <f t="shared" si="11"/>
        <v/>
      </c>
      <c r="W35" s="36" t="str">
        <f t="shared" si="12"/>
        <v/>
      </c>
      <c r="X35" s="14">
        <f t="shared" si="23"/>
        <v>0</v>
      </c>
      <c r="Y35" s="31"/>
      <c r="Z35" s="31"/>
      <c r="AA35" s="31"/>
      <c r="AB35" s="31" t="str">
        <f t="shared" si="13"/>
        <v/>
      </c>
      <c r="AC35" s="31" t="str">
        <f t="shared" si="14"/>
        <v/>
      </c>
      <c r="AD35" s="14">
        <f t="shared" si="24"/>
        <v>0</v>
      </c>
      <c r="AE35" s="38"/>
      <c r="AF35" s="54"/>
      <c r="AG35" s="54"/>
      <c r="AH35" s="54" t="str">
        <f t="shared" si="15"/>
        <v/>
      </c>
      <c r="AI35" s="54" t="str">
        <f t="shared" si="16"/>
        <v/>
      </c>
      <c r="AJ35" s="14">
        <f t="shared" si="3"/>
        <v>0</v>
      </c>
      <c r="AK35" s="14">
        <f t="shared" si="17"/>
        <v>0</v>
      </c>
      <c r="AL35" s="14">
        <f t="shared" si="18"/>
        <v>0</v>
      </c>
      <c r="AM35" s="124" t="e">
        <f>IF((100/SUM(AJ35:AL35)*AL35),(100/SUM(AJ35:AL35)*AL35),(100/SUM(AJ35:AL35)*AL35))</f>
        <v>#DIV/0!</v>
      </c>
      <c r="AN35" s="57" t="e">
        <f t="shared" si="19"/>
        <v>#DIV/0!</v>
      </c>
      <c r="AO35" s="57" t="e">
        <f t="shared" si="20"/>
        <v>#DIV/0!</v>
      </c>
    </row>
    <row r="36" spans="2:41" x14ac:dyDescent="0.3">
      <c r="B36" s="3" t="s">
        <v>10</v>
      </c>
      <c r="C36" s="6">
        <v>7</v>
      </c>
      <c r="D36" s="38"/>
      <c r="E36" s="38"/>
      <c r="F36" s="7"/>
      <c r="G36" s="8">
        <f t="shared" si="5"/>
        <v>100</v>
      </c>
      <c r="H36" s="125">
        <v>1</v>
      </c>
      <c r="I36" s="7">
        <f t="shared" si="21"/>
        <v>-2.44</v>
      </c>
      <c r="J36" s="7">
        <f t="shared" si="6"/>
        <v>-0.45185185185185184</v>
      </c>
      <c r="K36" s="7">
        <f t="shared" si="7"/>
        <v>-45.185185185185183</v>
      </c>
      <c r="L36" s="6"/>
      <c r="M36" s="7"/>
      <c r="N36" s="38"/>
      <c r="O36" s="36"/>
      <c r="P36" s="36" t="str">
        <f t="shared" si="9"/>
        <v/>
      </c>
      <c r="Q36" s="36" t="str">
        <f t="shared" si="10"/>
        <v/>
      </c>
      <c r="R36" s="14">
        <f t="shared" si="22"/>
        <v>0</v>
      </c>
      <c r="S36" s="38"/>
      <c r="T36" s="38"/>
      <c r="U36" s="36"/>
      <c r="V36" s="36" t="str">
        <f t="shared" si="11"/>
        <v/>
      </c>
      <c r="W36" s="36" t="str">
        <f t="shared" si="12"/>
        <v/>
      </c>
      <c r="X36" s="14">
        <f t="shared" si="23"/>
        <v>0</v>
      </c>
      <c r="Y36" s="31"/>
      <c r="Z36" s="31"/>
      <c r="AA36" s="31"/>
      <c r="AB36" s="31" t="str">
        <f t="shared" si="13"/>
        <v/>
      </c>
      <c r="AC36" s="31" t="str">
        <f t="shared" si="14"/>
        <v/>
      </c>
      <c r="AD36" s="14">
        <f t="shared" si="24"/>
        <v>0</v>
      </c>
      <c r="AE36" s="38"/>
      <c r="AF36" s="54"/>
      <c r="AG36" s="54"/>
      <c r="AH36" s="54" t="str">
        <f t="shared" si="15"/>
        <v/>
      </c>
      <c r="AI36" s="54" t="str">
        <f t="shared" si="16"/>
        <v/>
      </c>
      <c r="AJ36" s="14">
        <f t="shared" si="3"/>
        <v>0</v>
      </c>
      <c r="AK36" s="14">
        <f t="shared" si="17"/>
        <v>0</v>
      </c>
      <c r="AL36" s="14">
        <f t="shared" si="18"/>
        <v>0</v>
      </c>
      <c r="AM36" s="124" t="e">
        <f t="shared" ref="AM36:AM46" si="26">IF((100/SUM(AJ36:AL36)*AL36),(100/SUM(AJ36:AL36)*AL36),(100/SUM(AJ36:AL36)*AL36))</f>
        <v>#DIV/0!</v>
      </c>
      <c r="AN36" s="57" t="e">
        <f t="shared" si="19"/>
        <v>#DIV/0!</v>
      </c>
      <c r="AO36" s="57" t="e">
        <f t="shared" si="20"/>
        <v>#DIV/0!</v>
      </c>
    </row>
    <row r="37" spans="2:41" x14ac:dyDescent="0.3">
      <c r="B37" s="3" t="s">
        <v>10</v>
      </c>
      <c r="C37" s="6">
        <v>8</v>
      </c>
      <c r="D37" s="38"/>
      <c r="E37" s="38"/>
      <c r="F37" s="7"/>
      <c r="G37" s="8">
        <f t="shared" si="5"/>
        <v>100</v>
      </c>
      <c r="H37" s="125">
        <v>1</v>
      </c>
      <c r="I37" s="7">
        <f t="shared" si="21"/>
        <v>-2.44</v>
      </c>
      <c r="J37" s="7">
        <f t="shared" si="6"/>
        <v>-0.45185185185185184</v>
      </c>
      <c r="K37" s="7">
        <f t="shared" si="7"/>
        <v>-45.185185185185183</v>
      </c>
      <c r="L37" s="6"/>
      <c r="M37" s="7"/>
      <c r="N37" s="38"/>
      <c r="O37" s="36"/>
      <c r="P37" s="36" t="str">
        <f t="shared" si="9"/>
        <v/>
      </c>
      <c r="Q37" s="36" t="str">
        <f t="shared" si="10"/>
        <v/>
      </c>
      <c r="R37" s="14">
        <f t="shared" si="22"/>
        <v>0</v>
      </c>
      <c r="S37" s="7"/>
      <c r="T37" s="38"/>
      <c r="U37" s="36"/>
      <c r="V37" s="36" t="str">
        <f t="shared" si="11"/>
        <v/>
      </c>
      <c r="W37" s="36" t="str">
        <f t="shared" si="12"/>
        <v/>
      </c>
      <c r="X37" s="14">
        <f t="shared" si="23"/>
        <v>0</v>
      </c>
      <c r="Y37" s="31"/>
      <c r="Z37" s="31"/>
      <c r="AA37" s="31"/>
      <c r="AB37" s="31" t="str">
        <f t="shared" si="13"/>
        <v/>
      </c>
      <c r="AC37" s="31" t="str">
        <f t="shared" si="14"/>
        <v/>
      </c>
      <c r="AD37" s="14">
        <f t="shared" si="24"/>
        <v>0</v>
      </c>
      <c r="AE37" s="38"/>
      <c r="AF37" s="54"/>
      <c r="AG37" s="54"/>
      <c r="AH37" s="54" t="str">
        <f t="shared" si="15"/>
        <v/>
      </c>
      <c r="AI37" s="54" t="str">
        <f t="shared" si="16"/>
        <v/>
      </c>
      <c r="AJ37" s="14">
        <f t="shared" si="3"/>
        <v>0</v>
      </c>
      <c r="AK37" s="14">
        <f t="shared" si="17"/>
        <v>0</v>
      </c>
      <c r="AL37" s="14">
        <f t="shared" si="18"/>
        <v>0</v>
      </c>
      <c r="AM37" s="124" t="e">
        <f t="shared" si="26"/>
        <v>#DIV/0!</v>
      </c>
      <c r="AN37" s="57" t="e">
        <f t="shared" si="19"/>
        <v>#DIV/0!</v>
      </c>
      <c r="AO37" s="57" t="e">
        <f t="shared" si="20"/>
        <v>#DIV/0!</v>
      </c>
    </row>
    <row r="38" spans="2:41" x14ac:dyDescent="0.3">
      <c r="B38" s="16" t="s">
        <v>10</v>
      </c>
      <c r="C38" s="17">
        <v>9</v>
      </c>
      <c r="D38" s="41"/>
      <c r="E38" s="41"/>
      <c r="F38" s="18"/>
      <c r="G38" s="19">
        <f t="shared" si="5"/>
        <v>100</v>
      </c>
      <c r="H38" s="125">
        <v>1</v>
      </c>
      <c r="I38" s="18">
        <f t="shared" si="21"/>
        <v>-2.44</v>
      </c>
      <c r="J38" s="18">
        <f t="shared" si="6"/>
        <v>-0.45185185185185184</v>
      </c>
      <c r="K38" s="18">
        <f t="shared" si="7"/>
        <v>-45.185185185185183</v>
      </c>
      <c r="L38" s="17"/>
      <c r="M38" s="18"/>
      <c r="N38" s="38"/>
      <c r="O38" s="18"/>
      <c r="P38" s="18" t="str">
        <f t="shared" si="9"/>
        <v/>
      </c>
      <c r="Q38" s="18" t="str">
        <f t="shared" si="10"/>
        <v/>
      </c>
      <c r="R38" s="14">
        <f t="shared" si="22"/>
        <v>0</v>
      </c>
      <c r="S38" s="33"/>
      <c r="T38" s="33"/>
      <c r="U38" s="33"/>
      <c r="V38" s="33" t="str">
        <f t="shared" si="11"/>
        <v/>
      </c>
      <c r="W38" s="33" t="str">
        <f t="shared" si="12"/>
        <v/>
      </c>
      <c r="X38" s="14">
        <f t="shared" si="23"/>
        <v>0</v>
      </c>
      <c r="Y38" s="33"/>
      <c r="Z38" s="33"/>
      <c r="AA38" s="33"/>
      <c r="AB38" s="33" t="str">
        <f t="shared" si="13"/>
        <v/>
      </c>
      <c r="AC38" s="33" t="str">
        <f t="shared" si="14"/>
        <v/>
      </c>
      <c r="AD38" s="14">
        <f t="shared" si="24"/>
        <v>0</v>
      </c>
      <c r="AE38" s="41"/>
      <c r="AF38" s="55"/>
      <c r="AG38" s="55"/>
      <c r="AH38" s="55" t="str">
        <f t="shared" si="15"/>
        <v/>
      </c>
      <c r="AI38" s="55" t="str">
        <f t="shared" si="16"/>
        <v/>
      </c>
      <c r="AJ38" s="14">
        <f t="shared" si="3"/>
        <v>0</v>
      </c>
      <c r="AK38" s="14">
        <f t="shared" si="17"/>
        <v>0</v>
      </c>
      <c r="AL38" s="14"/>
      <c r="AM38" s="124"/>
      <c r="AN38" s="57" t="e">
        <f t="shared" si="19"/>
        <v>#DIV/0!</v>
      </c>
      <c r="AO38" s="57" t="e">
        <f t="shared" si="20"/>
        <v>#DIV/0!</v>
      </c>
    </row>
    <row r="39" spans="2:41" x14ac:dyDescent="0.3">
      <c r="B39" s="3" t="s">
        <v>11</v>
      </c>
      <c r="C39" s="6">
        <v>1</v>
      </c>
      <c r="D39" s="38"/>
      <c r="E39" s="38"/>
      <c r="F39" s="7"/>
      <c r="G39" s="8">
        <f t="shared" si="5"/>
        <v>100</v>
      </c>
      <c r="H39" s="125">
        <v>1</v>
      </c>
      <c r="I39" s="7">
        <f t="shared" si="21"/>
        <v>-2.44</v>
      </c>
      <c r="J39" s="7">
        <f t="shared" si="6"/>
        <v>-0.45185185185185184</v>
      </c>
      <c r="K39" s="7">
        <f t="shared" si="7"/>
        <v>-45.185185185185183</v>
      </c>
      <c r="L39" s="6"/>
      <c r="M39" s="31"/>
      <c r="N39" s="31"/>
      <c r="O39" s="37"/>
      <c r="P39" s="37" t="str">
        <f t="shared" si="9"/>
        <v/>
      </c>
      <c r="Q39" s="37" t="str">
        <f t="shared" si="10"/>
        <v/>
      </c>
      <c r="R39" s="14">
        <f t="shared" si="22"/>
        <v>0</v>
      </c>
      <c r="S39" s="7"/>
      <c r="T39" s="7"/>
      <c r="U39" s="36"/>
      <c r="V39" s="36" t="str">
        <f t="shared" si="11"/>
        <v/>
      </c>
      <c r="W39" s="36" t="str">
        <f t="shared" si="12"/>
        <v/>
      </c>
      <c r="X39" s="14">
        <f t="shared" si="23"/>
        <v>0</v>
      </c>
      <c r="Y39" s="31"/>
      <c r="Z39" s="31"/>
      <c r="AA39" s="31"/>
      <c r="AB39" s="31" t="str">
        <f t="shared" si="13"/>
        <v/>
      </c>
      <c r="AC39" s="31" t="str">
        <f t="shared" si="14"/>
        <v/>
      </c>
      <c r="AD39" s="14">
        <f t="shared" si="24"/>
        <v>0</v>
      </c>
      <c r="AE39" s="38"/>
      <c r="AF39" s="54"/>
      <c r="AG39" s="54"/>
      <c r="AH39" s="54" t="str">
        <f t="shared" si="15"/>
        <v/>
      </c>
      <c r="AI39" s="54" t="str">
        <f t="shared" si="16"/>
        <v/>
      </c>
      <c r="AJ39" s="14">
        <f t="shared" si="3"/>
        <v>0</v>
      </c>
      <c r="AK39" s="14"/>
      <c r="AL39" s="14">
        <f t="shared" si="18"/>
        <v>0</v>
      </c>
      <c r="AM39" s="124" t="e">
        <f t="shared" si="26"/>
        <v>#DIV/0!</v>
      </c>
      <c r="AN39" s="57" t="e">
        <f t="shared" si="19"/>
        <v>#DIV/0!</v>
      </c>
      <c r="AO39" s="57" t="e">
        <f t="shared" si="20"/>
        <v>#DIV/0!</v>
      </c>
    </row>
    <row r="40" spans="2:41" x14ac:dyDescent="0.3">
      <c r="B40" s="3" t="s">
        <v>11</v>
      </c>
      <c r="C40" s="6">
        <v>2</v>
      </c>
      <c r="D40" s="38"/>
      <c r="E40" s="38"/>
      <c r="F40" s="7"/>
      <c r="G40" s="8">
        <f t="shared" si="5"/>
        <v>100</v>
      </c>
      <c r="H40" s="125">
        <v>1</v>
      </c>
      <c r="I40" s="7">
        <f t="shared" si="21"/>
        <v>-2.44</v>
      </c>
      <c r="J40" s="7">
        <f t="shared" si="6"/>
        <v>-0.45185185185185184</v>
      </c>
      <c r="K40" s="7">
        <f t="shared" si="7"/>
        <v>-45.185185185185183</v>
      </c>
      <c r="L40" s="6"/>
      <c r="M40" s="31"/>
      <c r="N40" s="31"/>
      <c r="O40" s="37"/>
      <c r="P40" s="37" t="str">
        <f t="shared" si="9"/>
        <v/>
      </c>
      <c r="Q40" s="37" t="str">
        <f t="shared" si="10"/>
        <v/>
      </c>
      <c r="R40" s="14">
        <f t="shared" si="22"/>
        <v>0</v>
      </c>
      <c r="S40" s="7"/>
      <c r="T40" s="7"/>
      <c r="U40" s="36"/>
      <c r="V40" s="36" t="str">
        <f t="shared" si="11"/>
        <v/>
      </c>
      <c r="W40" s="36" t="str">
        <f t="shared" si="12"/>
        <v/>
      </c>
      <c r="X40" s="14">
        <f t="shared" si="23"/>
        <v>0</v>
      </c>
      <c r="Y40" s="7"/>
      <c r="Z40" s="38"/>
      <c r="AA40" s="7"/>
      <c r="AB40" s="7" t="str">
        <f t="shared" si="13"/>
        <v/>
      </c>
      <c r="AC40" s="7" t="str">
        <f t="shared" si="14"/>
        <v/>
      </c>
      <c r="AD40" s="14">
        <f t="shared" si="24"/>
        <v>0</v>
      </c>
      <c r="AE40" s="38"/>
      <c r="AF40" s="40"/>
      <c r="AG40" s="40"/>
      <c r="AH40" s="40" t="str">
        <f t="shared" si="15"/>
        <v/>
      </c>
      <c r="AI40" s="40" t="str">
        <f t="shared" si="16"/>
        <v/>
      </c>
      <c r="AJ40" s="14">
        <f t="shared" si="3"/>
        <v>0</v>
      </c>
      <c r="AK40" s="14">
        <f t="shared" si="17"/>
        <v>0</v>
      </c>
      <c r="AL40" s="14">
        <f t="shared" si="18"/>
        <v>0</v>
      </c>
      <c r="AM40" s="124" t="e">
        <f t="shared" si="26"/>
        <v>#DIV/0!</v>
      </c>
      <c r="AN40" s="57" t="e">
        <f t="shared" si="19"/>
        <v>#DIV/0!</v>
      </c>
      <c r="AO40" s="57" t="e">
        <f t="shared" si="20"/>
        <v>#DIV/0!</v>
      </c>
    </row>
    <row r="41" spans="2:41" x14ac:dyDescent="0.3">
      <c r="B41" s="3" t="s">
        <v>11</v>
      </c>
      <c r="C41" s="6">
        <v>3</v>
      </c>
      <c r="D41" s="38"/>
      <c r="E41" s="38"/>
      <c r="F41" s="7"/>
      <c r="G41" s="8">
        <f t="shared" si="5"/>
        <v>100</v>
      </c>
      <c r="H41" s="125">
        <v>1</v>
      </c>
      <c r="I41" s="7">
        <f t="shared" si="21"/>
        <v>-2.44</v>
      </c>
      <c r="J41" s="7">
        <f t="shared" si="6"/>
        <v>-0.45185185185185184</v>
      </c>
      <c r="K41" s="7">
        <f t="shared" si="7"/>
        <v>-45.185185185185183</v>
      </c>
      <c r="L41" s="6"/>
      <c r="M41" s="31"/>
      <c r="N41" s="31"/>
      <c r="O41" s="37"/>
      <c r="P41" s="37" t="str">
        <f t="shared" si="9"/>
        <v/>
      </c>
      <c r="Q41" s="37" t="str">
        <f t="shared" si="10"/>
        <v/>
      </c>
      <c r="R41" s="14">
        <f t="shared" si="22"/>
        <v>0</v>
      </c>
      <c r="S41" s="7"/>
      <c r="T41" s="38"/>
      <c r="U41" s="36"/>
      <c r="V41" s="36" t="str">
        <f t="shared" si="11"/>
        <v/>
      </c>
      <c r="W41" s="36" t="str">
        <f t="shared" si="12"/>
        <v/>
      </c>
      <c r="X41" s="14">
        <f t="shared" si="23"/>
        <v>0</v>
      </c>
      <c r="Y41" s="7"/>
      <c r="Z41" s="38"/>
      <c r="AA41" s="7"/>
      <c r="AB41" s="7" t="str">
        <f t="shared" si="13"/>
        <v/>
      </c>
      <c r="AC41" s="7" t="str">
        <f t="shared" si="14"/>
        <v/>
      </c>
      <c r="AD41" s="14">
        <f t="shared" si="24"/>
        <v>0</v>
      </c>
      <c r="AE41" s="38"/>
      <c r="AF41" s="40"/>
      <c r="AG41" s="40"/>
      <c r="AH41" s="40" t="str">
        <f t="shared" si="15"/>
        <v/>
      </c>
      <c r="AI41" s="40" t="str">
        <f t="shared" si="16"/>
        <v/>
      </c>
      <c r="AJ41" s="14">
        <f t="shared" si="3"/>
        <v>0</v>
      </c>
      <c r="AK41" s="14">
        <f t="shared" si="17"/>
        <v>0</v>
      </c>
      <c r="AL41" s="14">
        <f>X41</f>
        <v>0</v>
      </c>
      <c r="AM41" s="124" t="e">
        <f t="shared" si="26"/>
        <v>#DIV/0!</v>
      </c>
      <c r="AN41" s="57" t="e">
        <f t="shared" si="19"/>
        <v>#DIV/0!</v>
      </c>
      <c r="AO41" s="57" t="e">
        <f t="shared" si="20"/>
        <v>#DIV/0!</v>
      </c>
    </row>
    <row r="42" spans="2:41" x14ac:dyDescent="0.3">
      <c r="B42" s="3" t="s">
        <v>11</v>
      </c>
      <c r="C42" s="6">
        <v>4</v>
      </c>
      <c r="D42" s="38"/>
      <c r="E42" s="38"/>
      <c r="F42" s="7"/>
      <c r="G42" s="8">
        <f t="shared" si="5"/>
        <v>100</v>
      </c>
      <c r="H42" s="125">
        <v>1</v>
      </c>
      <c r="I42" s="7">
        <f t="shared" si="21"/>
        <v>-2.44</v>
      </c>
      <c r="J42" s="7">
        <f t="shared" si="6"/>
        <v>-0.45185185185185184</v>
      </c>
      <c r="K42" s="7">
        <f t="shared" si="7"/>
        <v>-45.185185185185183</v>
      </c>
      <c r="L42" s="6"/>
      <c r="M42" s="31"/>
      <c r="N42" s="31"/>
      <c r="O42" s="37"/>
      <c r="P42" s="37" t="str">
        <f t="shared" si="9"/>
        <v/>
      </c>
      <c r="Q42" s="37" t="str">
        <f t="shared" si="10"/>
        <v/>
      </c>
      <c r="R42" s="14">
        <f t="shared" si="22"/>
        <v>0</v>
      </c>
      <c r="S42" s="7"/>
      <c r="T42" s="38"/>
      <c r="U42" s="36"/>
      <c r="V42" s="36" t="str">
        <f t="shared" si="11"/>
        <v/>
      </c>
      <c r="W42" s="36" t="str">
        <f t="shared" si="12"/>
        <v/>
      </c>
      <c r="X42" s="14">
        <f t="shared" si="23"/>
        <v>0</v>
      </c>
      <c r="Y42" s="7"/>
      <c r="Z42" s="38"/>
      <c r="AA42" s="7"/>
      <c r="AB42" s="7" t="str">
        <f t="shared" si="13"/>
        <v/>
      </c>
      <c r="AC42" s="7" t="str">
        <f t="shared" si="14"/>
        <v/>
      </c>
      <c r="AD42" s="14">
        <f t="shared" si="24"/>
        <v>0</v>
      </c>
      <c r="AE42" s="38"/>
      <c r="AF42" s="40"/>
      <c r="AG42" s="40"/>
      <c r="AH42" s="40" t="str">
        <f t="shared" si="15"/>
        <v/>
      </c>
      <c r="AI42" s="40" t="str">
        <f t="shared" si="16"/>
        <v/>
      </c>
      <c r="AJ42" s="14"/>
      <c r="AK42" s="14">
        <f t="shared" si="17"/>
        <v>0</v>
      </c>
      <c r="AL42" s="14">
        <f t="shared" si="18"/>
        <v>0</v>
      </c>
      <c r="AM42" s="124" t="e">
        <f t="shared" si="26"/>
        <v>#DIV/0!</v>
      </c>
      <c r="AN42" s="57" t="e">
        <f t="shared" si="19"/>
        <v>#DIV/0!</v>
      </c>
      <c r="AO42" s="57" t="e">
        <f t="shared" si="20"/>
        <v>#DIV/0!</v>
      </c>
    </row>
    <row r="43" spans="2:41" x14ac:dyDescent="0.3">
      <c r="B43" s="3" t="s">
        <v>11</v>
      </c>
      <c r="C43" s="6">
        <v>5</v>
      </c>
      <c r="D43" s="38"/>
      <c r="E43" s="38"/>
      <c r="F43" s="7"/>
      <c r="G43" s="8">
        <f t="shared" si="5"/>
        <v>100</v>
      </c>
      <c r="H43" s="125">
        <v>1</v>
      </c>
      <c r="I43" s="7">
        <f t="shared" si="21"/>
        <v>-2.44</v>
      </c>
      <c r="J43" s="7">
        <f t="shared" si="6"/>
        <v>-0.45185185185185184</v>
      </c>
      <c r="K43" s="7">
        <f t="shared" si="7"/>
        <v>-45.185185185185183</v>
      </c>
      <c r="L43" s="6"/>
      <c r="M43" s="31"/>
      <c r="N43" s="31"/>
      <c r="O43" s="37"/>
      <c r="P43" s="37" t="str">
        <f t="shared" si="9"/>
        <v/>
      </c>
      <c r="Q43" s="37" t="str">
        <f t="shared" si="10"/>
        <v/>
      </c>
      <c r="R43" s="14">
        <f t="shared" si="22"/>
        <v>0</v>
      </c>
      <c r="S43" s="31"/>
      <c r="T43" s="31"/>
      <c r="U43" s="37"/>
      <c r="V43" s="37" t="str">
        <f t="shared" si="11"/>
        <v/>
      </c>
      <c r="W43" s="37" t="str">
        <f t="shared" si="12"/>
        <v/>
      </c>
      <c r="X43" s="14">
        <f t="shared" si="23"/>
        <v>0</v>
      </c>
      <c r="Y43" s="7"/>
      <c r="Z43" s="38"/>
      <c r="AA43" s="7"/>
      <c r="AB43" s="7" t="str">
        <f t="shared" si="13"/>
        <v/>
      </c>
      <c r="AC43" s="7" t="str">
        <f t="shared" si="14"/>
        <v/>
      </c>
      <c r="AD43" s="14">
        <f t="shared" si="24"/>
        <v>0</v>
      </c>
      <c r="AE43" s="38"/>
      <c r="AF43" s="40"/>
      <c r="AG43" s="40"/>
      <c r="AH43" s="40" t="str">
        <f t="shared" si="15"/>
        <v/>
      </c>
      <c r="AI43" s="40" t="str">
        <f t="shared" si="16"/>
        <v/>
      </c>
      <c r="AJ43" s="14">
        <f t="shared" ref="AJ43" si="27">IF(AF43&gt;0,AI43*10000/100,0)</f>
        <v>0</v>
      </c>
      <c r="AK43" s="14">
        <f t="shared" si="17"/>
        <v>0</v>
      </c>
      <c r="AL43" s="14"/>
      <c r="AM43" s="124"/>
      <c r="AN43" s="57" t="e">
        <f t="shared" si="19"/>
        <v>#DIV/0!</v>
      </c>
      <c r="AO43" s="57" t="e">
        <f t="shared" si="20"/>
        <v>#DIV/0!</v>
      </c>
    </row>
    <row r="44" spans="2:41" x14ac:dyDescent="0.3">
      <c r="B44" s="3" t="s">
        <v>11</v>
      </c>
      <c r="C44" s="6">
        <v>6</v>
      </c>
      <c r="D44" s="38"/>
      <c r="E44" s="38"/>
      <c r="F44" s="7"/>
      <c r="G44" s="8">
        <f t="shared" si="5"/>
        <v>100</v>
      </c>
      <c r="H44" s="125">
        <v>1</v>
      </c>
      <c r="I44" s="7">
        <f t="shared" si="21"/>
        <v>-2.44</v>
      </c>
      <c r="J44" s="7">
        <f t="shared" si="6"/>
        <v>-0.45185185185185184</v>
      </c>
      <c r="K44" s="7">
        <f t="shared" si="7"/>
        <v>-45.185185185185183</v>
      </c>
      <c r="L44" s="6"/>
      <c r="M44" s="7"/>
      <c r="N44" s="7"/>
      <c r="O44" s="36"/>
      <c r="P44" s="36" t="str">
        <f t="shared" si="9"/>
        <v/>
      </c>
      <c r="Q44" s="36" t="str">
        <f t="shared" si="10"/>
        <v/>
      </c>
      <c r="R44" s="14">
        <f t="shared" si="22"/>
        <v>0</v>
      </c>
      <c r="S44" s="7"/>
      <c r="T44" s="38"/>
      <c r="U44" s="36"/>
      <c r="V44" s="36" t="str">
        <f t="shared" si="11"/>
        <v/>
      </c>
      <c r="W44" s="36" t="str">
        <f t="shared" si="12"/>
        <v/>
      </c>
      <c r="X44" s="14">
        <f t="shared" si="23"/>
        <v>0</v>
      </c>
      <c r="Y44" s="31"/>
      <c r="Z44" s="31"/>
      <c r="AA44" s="31"/>
      <c r="AB44" s="31" t="str">
        <f t="shared" si="13"/>
        <v/>
      </c>
      <c r="AC44" s="31" t="str">
        <f t="shared" si="14"/>
        <v/>
      </c>
      <c r="AD44" s="14">
        <f t="shared" si="24"/>
        <v>0</v>
      </c>
      <c r="AE44" s="38"/>
      <c r="AF44" s="40"/>
      <c r="AG44" s="40"/>
      <c r="AH44" s="40" t="str">
        <f t="shared" si="15"/>
        <v/>
      </c>
      <c r="AI44" s="40" t="str">
        <f t="shared" si="16"/>
        <v/>
      </c>
      <c r="AJ44" s="14">
        <f t="shared" si="3"/>
        <v>0</v>
      </c>
      <c r="AK44" s="14">
        <f t="shared" si="17"/>
        <v>0</v>
      </c>
      <c r="AL44" s="14">
        <f t="shared" si="18"/>
        <v>0</v>
      </c>
      <c r="AM44" s="124" t="e">
        <f t="shared" si="26"/>
        <v>#DIV/0!</v>
      </c>
      <c r="AN44" s="57" t="e">
        <f t="shared" si="19"/>
        <v>#DIV/0!</v>
      </c>
      <c r="AO44" s="57" t="e">
        <f t="shared" si="20"/>
        <v>#DIV/0!</v>
      </c>
    </row>
    <row r="45" spans="2:41" x14ac:dyDescent="0.3">
      <c r="B45" s="3" t="s">
        <v>11</v>
      </c>
      <c r="C45" s="6">
        <v>7</v>
      </c>
      <c r="D45" s="38"/>
      <c r="E45" s="38"/>
      <c r="F45" s="7"/>
      <c r="G45" s="8">
        <f t="shared" si="5"/>
        <v>100</v>
      </c>
      <c r="H45" s="125">
        <v>1</v>
      </c>
      <c r="I45" s="7">
        <f t="shared" si="21"/>
        <v>-2.44</v>
      </c>
      <c r="J45" s="7">
        <f t="shared" si="6"/>
        <v>-0.45185185185185184</v>
      </c>
      <c r="K45" s="7">
        <f t="shared" si="7"/>
        <v>-45.185185185185183</v>
      </c>
      <c r="L45" s="6"/>
      <c r="M45" s="7"/>
      <c r="N45" s="7"/>
      <c r="O45" s="36"/>
      <c r="P45" s="36" t="str">
        <f t="shared" si="9"/>
        <v/>
      </c>
      <c r="Q45" s="36" t="str">
        <f t="shared" si="10"/>
        <v/>
      </c>
      <c r="R45" s="14">
        <f t="shared" si="22"/>
        <v>0</v>
      </c>
      <c r="S45" s="7"/>
      <c r="T45" s="38"/>
      <c r="U45" s="36"/>
      <c r="V45" s="36" t="str">
        <f t="shared" si="11"/>
        <v/>
      </c>
      <c r="W45" s="36" t="str">
        <f t="shared" si="12"/>
        <v/>
      </c>
      <c r="X45" s="14">
        <f t="shared" si="23"/>
        <v>0</v>
      </c>
      <c r="Y45" s="31"/>
      <c r="Z45" s="31"/>
      <c r="AA45" s="31"/>
      <c r="AB45" s="31" t="str">
        <f t="shared" si="13"/>
        <v/>
      </c>
      <c r="AC45" s="31" t="str">
        <f t="shared" si="14"/>
        <v/>
      </c>
      <c r="AD45" s="14">
        <f t="shared" si="24"/>
        <v>0</v>
      </c>
      <c r="AE45" s="38"/>
      <c r="AF45" s="40"/>
      <c r="AG45" s="40"/>
      <c r="AH45" s="40" t="str">
        <f t="shared" si="15"/>
        <v/>
      </c>
      <c r="AI45" s="40" t="str">
        <f t="shared" si="16"/>
        <v/>
      </c>
      <c r="AJ45" s="14">
        <f t="shared" si="3"/>
        <v>0</v>
      </c>
      <c r="AK45" s="14">
        <f t="shared" si="17"/>
        <v>0</v>
      </c>
      <c r="AL45" s="14">
        <f t="shared" si="18"/>
        <v>0</v>
      </c>
      <c r="AM45" s="124" t="e">
        <f t="shared" si="26"/>
        <v>#DIV/0!</v>
      </c>
      <c r="AN45" s="57" t="e">
        <f t="shared" si="19"/>
        <v>#DIV/0!</v>
      </c>
      <c r="AO45" s="57" t="e">
        <f t="shared" si="20"/>
        <v>#DIV/0!</v>
      </c>
    </row>
    <row r="46" spans="2:41" x14ac:dyDescent="0.3">
      <c r="B46" s="3" t="s">
        <v>11</v>
      </c>
      <c r="C46" s="6">
        <v>8</v>
      </c>
      <c r="D46" s="38"/>
      <c r="E46" s="38"/>
      <c r="F46" s="7"/>
      <c r="G46" s="8">
        <f t="shared" si="5"/>
        <v>100</v>
      </c>
      <c r="H46" s="125">
        <v>1</v>
      </c>
      <c r="I46" s="7">
        <f t="shared" si="21"/>
        <v>-2.44</v>
      </c>
      <c r="J46" s="7">
        <f t="shared" si="6"/>
        <v>-0.45185185185185184</v>
      </c>
      <c r="K46" s="7">
        <f t="shared" si="7"/>
        <v>-45.185185185185183</v>
      </c>
      <c r="L46" s="6"/>
      <c r="M46" s="7"/>
      <c r="N46" s="7"/>
      <c r="O46" s="36"/>
      <c r="P46" s="36" t="str">
        <f t="shared" si="9"/>
        <v/>
      </c>
      <c r="Q46" s="36" t="str">
        <f t="shared" si="10"/>
        <v/>
      </c>
      <c r="R46" s="14">
        <f t="shared" si="22"/>
        <v>0</v>
      </c>
      <c r="S46" s="7"/>
      <c r="T46" s="38"/>
      <c r="U46" s="36"/>
      <c r="V46" s="36" t="str">
        <f t="shared" si="11"/>
        <v/>
      </c>
      <c r="W46" s="36" t="str">
        <f t="shared" si="12"/>
        <v/>
      </c>
      <c r="X46" s="14">
        <f t="shared" si="23"/>
        <v>0</v>
      </c>
      <c r="Y46" s="31"/>
      <c r="Z46" s="31"/>
      <c r="AA46" s="31"/>
      <c r="AB46" s="31" t="str">
        <f t="shared" si="13"/>
        <v/>
      </c>
      <c r="AC46" s="31" t="str">
        <f t="shared" si="14"/>
        <v/>
      </c>
      <c r="AD46" s="14">
        <f t="shared" si="24"/>
        <v>0</v>
      </c>
      <c r="AE46" s="38"/>
      <c r="AF46" s="40"/>
      <c r="AG46" s="40"/>
      <c r="AH46" s="40" t="str">
        <f t="shared" si="15"/>
        <v/>
      </c>
      <c r="AI46" s="40" t="str">
        <f t="shared" si="16"/>
        <v/>
      </c>
      <c r="AJ46" s="14">
        <f t="shared" si="3"/>
        <v>0</v>
      </c>
      <c r="AK46" s="14">
        <f t="shared" si="17"/>
        <v>0</v>
      </c>
      <c r="AL46" s="14">
        <f t="shared" si="18"/>
        <v>0</v>
      </c>
      <c r="AM46" s="124" t="e">
        <f t="shared" si="26"/>
        <v>#DIV/0!</v>
      </c>
      <c r="AN46" s="57" t="e">
        <f t="shared" si="19"/>
        <v>#DIV/0!</v>
      </c>
      <c r="AO46" s="57" t="e">
        <f t="shared" si="20"/>
        <v>#DIV/0!</v>
      </c>
    </row>
    <row r="47" spans="2:41" x14ac:dyDescent="0.3">
      <c r="B47" s="3" t="s">
        <v>11</v>
      </c>
      <c r="C47" s="6">
        <v>9</v>
      </c>
      <c r="D47" s="38"/>
      <c r="E47" s="38"/>
      <c r="F47" s="7"/>
      <c r="G47" s="8">
        <f t="shared" si="5"/>
        <v>100</v>
      </c>
      <c r="H47" s="125">
        <v>1</v>
      </c>
      <c r="I47" s="7">
        <f t="shared" si="21"/>
        <v>-2.44</v>
      </c>
      <c r="J47" s="7">
        <f t="shared" si="6"/>
        <v>-0.45185185185185184</v>
      </c>
      <c r="K47" s="7">
        <f t="shared" si="7"/>
        <v>-45.185185185185183</v>
      </c>
      <c r="L47" s="6"/>
      <c r="M47" s="7"/>
      <c r="N47" s="7"/>
      <c r="O47" s="36"/>
      <c r="P47" s="36" t="str">
        <f t="shared" si="9"/>
        <v/>
      </c>
      <c r="Q47" s="36" t="str">
        <f t="shared" si="10"/>
        <v/>
      </c>
      <c r="R47" s="14">
        <f t="shared" si="22"/>
        <v>0</v>
      </c>
      <c r="S47" s="31"/>
      <c r="T47" s="31"/>
      <c r="U47" s="37"/>
      <c r="V47" s="37" t="str">
        <f t="shared" si="11"/>
        <v/>
      </c>
      <c r="W47" s="37" t="str">
        <f t="shared" si="12"/>
        <v/>
      </c>
      <c r="X47" s="14">
        <f t="shared" si="23"/>
        <v>0</v>
      </c>
      <c r="Y47" s="31" t="str">
        <f t="shared" ref="Y47" si="28">IF(Z47&gt;0,Z47-$N$5,"")</f>
        <v/>
      </c>
      <c r="Z47" s="31"/>
      <c r="AA47" s="31"/>
      <c r="AB47" s="31" t="str">
        <f t="shared" si="13"/>
        <v/>
      </c>
      <c r="AC47" s="31" t="str">
        <f t="shared" si="14"/>
        <v/>
      </c>
      <c r="AD47" s="14">
        <f t="shared" si="24"/>
        <v>0</v>
      </c>
      <c r="AE47" s="38"/>
      <c r="AF47" s="40"/>
      <c r="AG47" s="40"/>
      <c r="AH47" s="40" t="str">
        <f t="shared" si="15"/>
        <v/>
      </c>
      <c r="AI47" s="40" t="str">
        <f t="shared" si="16"/>
        <v/>
      </c>
      <c r="AJ47" s="14">
        <f t="shared" si="3"/>
        <v>0</v>
      </c>
      <c r="AK47" s="14">
        <f t="shared" si="17"/>
        <v>0</v>
      </c>
      <c r="AL47" s="14"/>
      <c r="AM47" s="124"/>
      <c r="AN47" s="57" t="e">
        <f t="shared" si="19"/>
        <v>#DIV/0!</v>
      </c>
      <c r="AO47" s="57" t="e">
        <f t="shared" si="20"/>
        <v>#DIV/0!</v>
      </c>
    </row>
  </sheetData>
  <autoFilter ref="B11:AK11" xr:uid="{00000000-0009-0000-0000-000001000000}"/>
  <conditionalFormatting sqref="G12:G47">
    <cfRule type="colorScale" priority="19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8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6369-A8C8-4DAE-AD8A-9634E9778588}">
  <dimension ref="B2:S47"/>
  <sheetViews>
    <sheetView topLeftCell="A4" zoomScale="80" zoomScaleNormal="80" workbookViewId="0">
      <selection activeCell="E21" sqref="E21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1.08203125" style="3" customWidth="1"/>
    <col min="6" max="6" width="10.08203125" style="3" customWidth="1"/>
    <col min="7" max="7" width="11.6640625" style="3" customWidth="1"/>
    <col min="8" max="8" width="15.4140625" style="3" customWidth="1"/>
    <col min="9" max="9" width="11" style="3" customWidth="1"/>
    <col min="10" max="10" width="10.4140625" style="3" customWidth="1"/>
    <col min="11" max="11" width="9.58203125" style="3" customWidth="1"/>
    <col min="12" max="12" width="11.6640625" style="3" customWidth="1"/>
    <col min="13" max="14" width="8.08203125" style="3" bestFit="1" customWidth="1"/>
    <col min="15" max="15" width="8.08203125" style="3" customWidth="1"/>
    <col min="16" max="16" width="12.4140625" style="3" bestFit="1" customWidth="1"/>
    <col min="17" max="17" width="11.6640625" style="3" bestFit="1" customWidth="1"/>
    <col min="18" max="18" width="9.9140625" style="3" customWidth="1"/>
    <col min="19" max="19" width="8.9140625" style="3" customWidth="1"/>
  </cols>
  <sheetData>
    <row r="2" spans="2:19" ht="18" x14ac:dyDescent="0.3">
      <c r="B2" s="4" t="s">
        <v>0</v>
      </c>
      <c r="E2" s="12" t="s">
        <v>19</v>
      </c>
      <c r="H2" s="3">
        <f>100/12.5</f>
        <v>8</v>
      </c>
    </row>
    <row r="3" spans="2:19" x14ac:dyDescent="0.3">
      <c r="B3" s="1" t="s">
        <v>37</v>
      </c>
    </row>
    <row r="4" spans="2:19" ht="14.5" thickBot="1" x14ac:dyDescent="0.35"/>
    <row r="5" spans="2:19" x14ac:dyDescent="0.3">
      <c r="D5" s="25" t="s">
        <v>87</v>
      </c>
      <c r="E5" s="26">
        <v>12.5</v>
      </c>
      <c r="F5" s="27" t="s">
        <v>88</v>
      </c>
      <c r="L5" s="25" t="s">
        <v>21</v>
      </c>
      <c r="M5" s="26">
        <v>4.68</v>
      </c>
      <c r="N5" s="27" t="s">
        <v>22</v>
      </c>
      <c r="O5" s="35"/>
      <c r="P5" s="34" t="s">
        <v>33</v>
      </c>
      <c r="Q5" s="32"/>
      <c r="R5" s="32"/>
    </row>
    <row r="6" spans="2:19" x14ac:dyDescent="0.3">
      <c r="D6" s="29" t="s">
        <v>32</v>
      </c>
      <c r="E6" s="21">
        <v>4</v>
      </c>
      <c r="F6" s="30" t="s">
        <v>22</v>
      </c>
      <c r="L6" s="29"/>
      <c r="M6" s="20"/>
      <c r="N6" s="30"/>
      <c r="O6" s="35"/>
      <c r="P6" s="35"/>
      <c r="Q6" s="35"/>
    </row>
    <row r="7" spans="2:19" ht="28.5" thickBot="1" x14ac:dyDescent="0.35">
      <c r="D7" s="22" t="s">
        <v>89</v>
      </c>
      <c r="E7" s="23">
        <f>100/E5</f>
        <v>8</v>
      </c>
      <c r="F7" s="24"/>
      <c r="L7" s="22" t="s">
        <v>24</v>
      </c>
      <c r="M7" s="23">
        <v>1</v>
      </c>
      <c r="N7" s="24" t="s">
        <v>23</v>
      </c>
      <c r="O7" s="35"/>
      <c r="P7" s="35"/>
      <c r="Q7" s="35"/>
    </row>
    <row r="9" spans="2:19" x14ac:dyDescent="0.3">
      <c r="C9" s="6"/>
      <c r="D9" s="266" t="s">
        <v>4</v>
      </c>
      <c r="E9" s="267"/>
      <c r="F9" s="267"/>
      <c r="G9" s="267"/>
      <c r="H9" s="267"/>
      <c r="I9" s="267"/>
      <c r="J9" s="267"/>
      <c r="K9" s="268"/>
      <c r="L9" s="266" t="s">
        <v>37</v>
      </c>
      <c r="M9" s="267"/>
      <c r="N9" s="267"/>
      <c r="O9" s="267"/>
      <c r="P9" s="267"/>
      <c r="Q9" s="267"/>
      <c r="R9" s="267"/>
      <c r="S9" s="268"/>
    </row>
    <row r="10" spans="2:19" x14ac:dyDescent="0.3">
      <c r="C10" s="6"/>
      <c r="D10" s="262" t="s">
        <v>85</v>
      </c>
      <c r="E10" s="263"/>
      <c r="F10" s="263"/>
      <c r="G10" s="263"/>
      <c r="H10" s="264" t="s">
        <v>86</v>
      </c>
      <c r="I10" s="264"/>
      <c r="J10" s="264"/>
      <c r="K10" s="265"/>
      <c r="L10" s="262" t="s">
        <v>85</v>
      </c>
      <c r="M10" s="263"/>
      <c r="N10" s="263"/>
      <c r="O10" s="263"/>
      <c r="P10" s="264" t="s">
        <v>86</v>
      </c>
      <c r="Q10" s="264"/>
      <c r="R10" s="264"/>
      <c r="S10" s="265"/>
    </row>
    <row r="11" spans="2:19" s="2" customFormat="1" ht="44.5" thickBot="1" x14ac:dyDescent="0.35">
      <c r="B11" s="9" t="s">
        <v>1</v>
      </c>
      <c r="C11" s="10" t="s">
        <v>3</v>
      </c>
      <c r="D11" s="11" t="s">
        <v>84</v>
      </c>
      <c r="E11" s="11" t="s">
        <v>27</v>
      </c>
      <c r="F11" s="11"/>
      <c r="G11" s="11" t="s">
        <v>28</v>
      </c>
      <c r="H11" s="11" t="s">
        <v>84</v>
      </c>
      <c r="I11" s="11" t="s">
        <v>83</v>
      </c>
      <c r="J11" s="11"/>
      <c r="K11" s="11" t="s">
        <v>28</v>
      </c>
      <c r="L11" s="11" t="s">
        <v>84</v>
      </c>
      <c r="M11" s="11" t="s">
        <v>83</v>
      </c>
      <c r="N11" s="11"/>
      <c r="O11" s="11" t="s">
        <v>28</v>
      </c>
      <c r="P11" s="11" t="s">
        <v>84</v>
      </c>
      <c r="Q11" s="11" t="s">
        <v>83</v>
      </c>
      <c r="R11" s="11"/>
      <c r="S11" s="11" t="s">
        <v>28</v>
      </c>
    </row>
    <row r="12" spans="2:19" x14ac:dyDescent="0.3">
      <c r="B12" s="3" t="s">
        <v>2</v>
      </c>
      <c r="C12" s="6">
        <v>1</v>
      </c>
      <c r="D12" s="7"/>
      <c r="E12" s="7"/>
      <c r="F12" s="7"/>
      <c r="G12" s="7">
        <f>F12*10000/100</f>
        <v>0</v>
      </c>
      <c r="H12" s="7">
        <v>23.26</v>
      </c>
      <c r="I12" s="7"/>
      <c r="J12" s="7"/>
      <c r="K12" s="7">
        <f t="shared" ref="K12:K47" si="0">J12*10000/100</f>
        <v>0</v>
      </c>
      <c r="L12" s="7">
        <v>24.9</v>
      </c>
      <c r="M12" s="7"/>
      <c r="N12" s="7"/>
      <c r="O12" s="7">
        <f t="shared" ref="O12:O47" si="1">N12*10000/100</f>
        <v>0</v>
      </c>
      <c r="P12" s="7">
        <v>16.2</v>
      </c>
      <c r="Q12" s="7"/>
      <c r="R12" s="7"/>
      <c r="S12" s="7">
        <f t="shared" ref="S12:S47" si="2">R12*10000/100</f>
        <v>0</v>
      </c>
    </row>
    <row r="13" spans="2:19" x14ac:dyDescent="0.3">
      <c r="B13" s="3" t="s">
        <v>2</v>
      </c>
      <c r="C13" s="6">
        <v>2</v>
      </c>
      <c r="D13" s="7">
        <v>45.67</v>
      </c>
      <c r="E13" s="7">
        <f>D13*2.5*((100/E5)-1)/1000</f>
        <v>0.79922500000000019</v>
      </c>
      <c r="F13" s="7"/>
      <c r="G13" s="7">
        <f>E13*10000</f>
        <v>7992.2500000000018</v>
      </c>
      <c r="H13" s="7">
        <v>43.02</v>
      </c>
      <c r="I13" s="7" t="e">
        <f>(#REF!-$E$5)*(#REF!/100)</f>
        <v>#REF!</v>
      </c>
      <c r="J13" s="7"/>
      <c r="K13" s="7">
        <f t="shared" si="0"/>
        <v>0</v>
      </c>
      <c r="L13" s="7">
        <v>40.880000000000003</v>
      </c>
      <c r="M13" s="7" t="e">
        <f>(#REF!-$E$5)*(#REF!/100)</f>
        <v>#REF!</v>
      </c>
      <c r="N13" s="7"/>
      <c r="O13" s="7">
        <f t="shared" si="1"/>
        <v>0</v>
      </c>
      <c r="P13" s="7">
        <v>42.71</v>
      </c>
      <c r="Q13" s="7" t="e">
        <f>(#REF!-$E$5)*(#REF!/100)</f>
        <v>#REF!</v>
      </c>
      <c r="R13" s="7"/>
      <c r="S13" s="7">
        <f t="shared" si="2"/>
        <v>0</v>
      </c>
    </row>
    <row r="14" spans="2:19" x14ac:dyDescent="0.3">
      <c r="B14" s="3" t="s">
        <v>2</v>
      </c>
      <c r="C14" s="6">
        <v>3</v>
      </c>
      <c r="D14" s="7">
        <v>40.17</v>
      </c>
      <c r="E14" s="7" t="e">
        <f>(#REF!-$E$5)*(#REF!/100)</f>
        <v>#REF!</v>
      </c>
      <c r="F14" s="7"/>
      <c r="G14" s="7">
        <f t="shared" ref="G14:G47" si="3">F14*10000/100</f>
        <v>0</v>
      </c>
      <c r="H14" s="7">
        <v>75.959999999999994</v>
      </c>
      <c r="I14" s="7" t="e">
        <f>(#REF!-$E$5)*(#REF!/100)</f>
        <v>#REF!</v>
      </c>
      <c r="J14" s="7"/>
      <c r="K14" s="7">
        <f t="shared" si="0"/>
        <v>0</v>
      </c>
      <c r="L14" s="7">
        <v>27.97</v>
      </c>
      <c r="M14" s="7" t="e">
        <f>(#REF!-$E$5)*(#REF!/100)</f>
        <v>#REF!</v>
      </c>
      <c r="N14" s="7"/>
      <c r="O14" s="7">
        <f t="shared" si="1"/>
        <v>0</v>
      </c>
      <c r="P14" s="7">
        <v>37.74</v>
      </c>
      <c r="Q14" s="7" t="e">
        <f>(#REF!-$E$5)*(#REF!/100)</f>
        <v>#REF!</v>
      </c>
      <c r="R14" s="7"/>
      <c r="S14" s="7">
        <f t="shared" si="2"/>
        <v>0</v>
      </c>
    </row>
    <row r="15" spans="2:19" x14ac:dyDescent="0.3">
      <c r="B15" s="3" t="s">
        <v>2</v>
      </c>
      <c r="C15" s="6">
        <v>4</v>
      </c>
      <c r="D15" s="7">
        <v>56.9</v>
      </c>
      <c r="E15" s="7" t="e">
        <f>(#REF!-$E$5)*(#REF!/100)</f>
        <v>#REF!</v>
      </c>
      <c r="F15" s="7"/>
      <c r="G15" s="7">
        <f t="shared" si="3"/>
        <v>0</v>
      </c>
      <c r="H15" s="7">
        <v>50.21</v>
      </c>
      <c r="I15" s="7" t="e">
        <f>(#REF!-$E$5)*(#REF!/100)</f>
        <v>#REF!</v>
      </c>
      <c r="J15" s="7"/>
      <c r="K15" s="7">
        <f t="shared" si="0"/>
        <v>0</v>
      </c>
      <c r="L15" s="7">
        <v>35.71</v>
      </c>
      <c r="M15" s="7" t="e">
        <f>(#REF!-$E$5)*(#REF!/100)</f>
        <v>#REF!</v>
      </c>
      <c r="N15" s="7"/>
      <c r="O15" s="7">
        <f t="shared" si="1"/>
        <v>0</v>
      </c>
      <c r="P15" s="7">
        <v>44.48</v>
      </c>
      <c r="Q15" s="7" t="e">
        <f>(#REF!-$E$5)*(#REF!/100)</f>
        <v>#REF!</v>
      </c>
      <c r="R15" s="7"/>
      <c r="S15" s="7">
        <f t="shared" si="2"/>
        <v>0</v>
      </c>
    </row>
    <row r="16" spans="2:19" x14ac:dyDescent="0.3">
      <c r="B16" s="3" t="s">
        <v>2</v>
      </c>
      <c r="C16" s="6">
        <v>5</v>
      </c>
      <c r="D16" s="7">
        <v>43.53</v>
      </c>
      <c r="E16" s="7" t="e">
        <f>(#REF!-$E$5)*(#REF!/100)</f>
        <v>#REF!</v>
      </c>
      <c r="F16" s="7"/>
      <c r="G16" s="7">
        <f t="shared" si="3"/>
        <v>0</v>
      </c>
      <c r="H16" s="7">
        <v>44.24</v>
      </c>
      <c r="I16" s="7" t="e">
        <f>(#REF!-$E$5)*(#REF!/100)</f>
        <v>#REF!</v>
      </c>
      <c r="J16" s="7"/>
      <c r="K16" s="7">
        <f t="shared" si="0"/>
        <v>0</v>
      </c>
      <c r="L16" s="7">
        <v>40.98</v>
      </c>
      <c r="M16" s="7" t="e">
        <f>(#REF!-$E$5)*(#REF!/100)</f>
        <v>#REF!</v>
      </c>
      <c r="N16" s="7"/>
      <c r="O16" s="7">
        <f t="shared" si="1"/>
        <v>0</v>
      </c>
      <c r="P16" s="7">
        <v>65.25</v>
      </c>
      <c r="Q16" s="7" t="e">
        <f>(#REF!-$E$5)*(#REF!/100)</f>
        <v>#REF!</v>
      </c>
      <c r="R16" s="7"/>
      <c r="S16" s="7">
        <f t="shared" si="2"/>
        <v>0</v>
      </c>
    </row>
    <row r="17" spans="2:19" x14ac:dyDescent="0.3">
      <c r="B17" s="3" t="s">
        <v>2</v>
      </c>
      <c r="C17" s="6">
        <v>6</v>
      </c>
      <c r="D17" s="7">
        <v>29.02</v>
      </c>
      <c r="E17" s="7" t="e">
        <f>(#REF!-$E$5)*(#REF!/100)</f>
        <v>#REF!</v>
      </c>
      <c r="F17" s="7"/>
      <c r="G17" s="7">
        <f t="shared" si="3"/>
        <v>0</v>
      </c>
      <c r="H17" s="7">
        <v>13.13</v>
      </c>
      <c r="I17" s="7" t="e">
        <f>(#REF!-$E$5)*(#REF!/100)</f>
        <v>#REF!</v>
      </c>
      <c r="J17" s="7"/>
      <c r="K17" s="7">
        <f t="shared" si="0"/>
        <v>0</v>
      </c>
      <c r="L17" s="7">
        <v>34.479999999999997</v>
      </c>
      <c r="M17" s="7" t="e">
        <f>(#REF!-$E$5)*(#REF!/100)</f>
        <v>#REF!</v>
      </c>
      <c r="N17" s="7"/>
      <c r="O17" s="7">
        <f t="shared" si="1"/>
        <v>0</v>
      </c>
      <c r="P17" s="7">
        <v>16.809999999999999</v>
      </c>
      <c r="Q17" s="7" t="e">
        <f>(#REF!-$E$5)*(#REF!/100)</f>
        <v>#REF!</v>
      </c>
      <c r="R17" s="7"/>
      <c r="S17" s="7">
        <f t="shared" si="2"/>
        <v>0</v>
      </c>
    </row>
    <row r="18" spans="2:19" x14ac:dyDescent="0.3">
      <c r="B18" s="3" t="s">
        <v>2</v>
      </c>
      <c r="C18" s="6">
        <v>7</v>
      </c>
      <c r="D18" s="7">
        <v>43.12</v>
      </c>
      <c r="E18" s="7" t="e">
        <f>(#REF!-$E$5)*(#REF!/100)</f>
        <v>#REF!</v>
      </c>
      <c r="F18" s="7"/>
      <c r="G18" s="7">
        <f t="shared" si="3"/>
        <v>0</v>
      </c>
      <c r="H18" s="7">
        <v>21.98</v>
      </c>
      <c r="I18" s="7" t="e">
        <f>(#REF!-$E$5)*(#REF!/100)</f>
        <v>#REF!</v>
      </c>
      <c r="J18" s="7"/>
      <c r="K18" s="7">
        <f t="shared" si="0"/>
        <v>0</v>
      </c>
      <c r="L18" s="7">
        <v>27.65</v>
      </c>
      <c r="M18" s="7" t="e">
        <f>(#REF!-$E$5)*(#REF!/100)</f>
        <v>#REF!</v>
      </c>
      <c r="N18" s="7"/>
      <c r="O18" s="7">
        <f t="shared" si="1"/>
        <v>0</v>
      </c>
      <c r="P18" s="7">
        <v>18.57</v>
      </c>
      <c r="Q18" s="7" t="e">
        <f>(#REF!-$E$5)*(#REF!/100)</f>
        <v>#REF!</v>
      </c>
      <c r="R18" s="7"/>
      <c r="S18" s="7">
        <f t="shared" si="2"/>
        <v>0</v>
      </c>
    </row>
    <row r="19" spans="2:19" x14ac:dyDescent="0.3">
      <c r="B19" s="3" t="s">
        <v>2</v>
      </c>
      <c r="C19" s="6">
        <v>8</v>
      </c>
      <c r="D19" s="7">
        <v>43.33</v>
      </c>
      <c r="E19" s="7" t="e">
        <f>(#REF!-$E$5)*(#REF!/100)</f>
        <v>#REF!</v>
      </c>
      <c r="F19" s="7"/>
      <c r="G19" s="7">
        <f t="shared" si="3"/>
        <v>0</v>
      </c>
      <c r="H19" s="7">
        <v>41.08</v>
      </c>
      <c r="I19" s="7" t="e">
        <f>(#REF!-$E$5)*(#REF!/100)</f>
        <v>#REF!</v>
      </c>
      <c r="J19" s="7"/>
      <c r="K19" s="7">
        <f t="shared" si="0"/>
        <v>0</v>
      </c>
      <c r="L19" s="7">
        <v>30.82</v>
      </c>
      <c r="M19" s="7" t="e">
        <f>(#REF!-$E$5)*(#REF!/100)</f>
        <v>#REF!</v>
      </c>
      <c r="N19" s="7"/>
      <c r="O19" s="7">
        <f t="shared" si="1"/>
        <v>0</v>
      </c>
      <c r="P19" s="7">
        <v>18.420000000000002</v>
      </c>
      <c r="Q19" s="7" t="e">
        <f>(#REF!-$E$5)*(#REF!/100)</f>
        <v>#REF!</v>
      </c>
      <c r="R19" s="7"/>
      <c r="S19" s="7">
        <f t="shared" si="2"/>
        <v>0</v>
      </c>
    </row>
    <row r="20" spans="2:19" x14ac:dyDescent="0.3">
      <c r="B20" s="16" t="s">
        <v>2</v>
      </c>
      <c r="C20" s="17">
        <v>9</v>
      </c>
      <c r="D20" s="18">
        <v>45.88</v>
      </c>
      <c r="E20" s="18" t="e">
        <f>(#REF!-$E$5)*(#REF!/100)</f>
        <v>#REF!</v>
      </c>
      <c r="F20" s="18"/>
      <c r="G20" s="18">
        <f t="shared" si="3"/>
        <v>0</v>
      </c>
      <c r="H20" s="18">
        <v>25.26</v>
      </c>
      <c r="I20" s="18" t="e">
        <f>(#REF!-$E$5)*(#REF!/100)</f>
        <v>#REF!</v>
      </c>
      <c r="J20" s="18"/>
      <c r="K20" s="18">
        <f t="shared" si="0"/>
        <v>0</v>
      </c>
      <c r="L20" s="18">
        <v>36.409999999999997</v>
      </c>
      <c r="M20" s="18" t="e">
        <f>(#REF!-$E$5)*(#REF!/100)</f>
        <v>#REF!</v>
      </c>
      <c r="N20" s="18"/>
      <c r="O20" s="18">
        <f t="shared" si="1"/>
        <v>0</v>
      </c>
      <c r="P20" s="18">
        <v>16.87</v>
      </c>
      <c r="Q20" s="18" t="e">
        <f>(#REF!-$E$5)*(#REF!/100)</f>
        <v>#REF!</v>
      </c>
      <c r="R20" s="18"/>
      <c r="S20" s="18">
        <f t="shared" si="2"/>
        <v>0</v>
      </c>
    </row>
    <row r="21" spans="2:19" x14ac:dyDescent="0.3">
      <c r="B21" s="3" t="s">
        <v>9</v>
      </c>
      <c r="C21" s="6">
        <v>1</v>
      </c>
      <c r="D21" s="7">
        <v>34.340000000000003</v>
      </c>
      <c r="E21" s="7" t="e">
        <f>(#REF!-$E$5)*(#REF!/100)</f>
        <v>#REF!</v>
      </c>
      <c r="F21" s="7"/>
      <c r="G21" s="7">
        <f t="shared" si="3"/>
        <v>0</v>
      </c>
      <c r="H21" s="7">
        <v>19.440000000000001</v>
      </c>
      <c r="I21" s="7" t="e">
        <f>(#REF!-$E$5)*(#REF!/100)</f>
        <v>#REF!</v>
      </c>
      <c r="J21" s="7"/>
      <c r="K21" s="7">
        <f t="shared" si="0"/>
        <v>0</v>
      </c>
      <c r="L21" s="7">
        <v>27.43</v>
      </c>
      <c r="M21" s="7" t="e">
        <f>(#REF!-$E$5)*(#REF!/100)</f>
        <v>#REF!</v>
      </c>
      <c r="N21" s="7"/>
      <c r="O21" s="7">
        <f t="shared" si="1"/>
        <v>0</v>
      </c>
      <c r="P21" s="7">
        <v>17.2</v>
      </c>
      <c r="Q21" s="7" t="e">
        <f>(#REF!-$E$5)*(#REF!/100)</f>
        <v>#REF!</v>
      </c>
      <c r="R21" s="7"/>
      <c r="S21" s="7">
        <f t="shared" si="2"/>
        <v>0</v>
      </c>
    </row>
    <row r="22" spans="2:19" x14ac:dyDescent="0.3">
      <c r="B22" s="3" t="s">
        <v>9</v>
      </c>
      <c r="C22" s="6">
        <v>2</v>
      </c>
      <c r="D22" s="7">
        <v>48.07</v>
      </c>
      <c r="E22" s="7" t="e">
        <f>(#REF!-$E$5)*(#REF!/100)</f>
        <v>#REF!</v>
      </c>
      <c r="F22" s="7"/>
      <c r="G22" s="7">
        <f t="shared" si="3"/>
        <v>0</v>
      </c>
      <c r="H22" s="7">
        <v>46.39</v>
      </c>
      <c r="I22" s="7" t="e">
        <f>(#REF!-$E$5)*(#REF!/100)</f>
        <v>#REF!</v>
      </c>
      <c r="J22" s="7"/>
      <c r="K22" s="7">
        <f t="shared" si="0"/>
        <v>0</v>
      </c>
      <c r="L22" s="7">
        <v>38.28</v>
      </c>
      <c r="M22" s="7" t="e">
        <f>(#REF!-$E$5)*(#REF!/100)</f>
        <v>#REF!</v>
      </c>
      <c r="N22" s="7"/>
      <c r="O22" s="7">
        <f t="shared" si="1"/>
        <v>0</v>
      </c>
      <c r="P22" s="7">
        <v>33.83</v>
      </c>
      <c r="Q22" s="7" t="e">
        <f>(#REF!-$E$5)*(#REF!/100)</f>
        <v>#REF!</v>
      </c>
      <c r="R22" s="7"/>
      <c r="S22" s="7">
        <f t="shared" si="2"/>
        <v>0</v>
      </c>
    </row>
    <row r="23" spans="2:19" x14ac:dyDescent="0.3">
      <c r="B23" s="3" t="s">
        <v>9</v>
      </c>
      <c r="C23" s="6">
        <v>3</v>
      </c>
      <c r="D23" s="7">
        <v>19.04</v>
      </c>
      <c r="E23" s="7" t="e">
        <f>(#REF!-$E$5)*(#REF!/100)</f>
        <v>#REF!</v>
      </c>
      <c r="F23" s="7"/>
      <c r="G23" s="7">
        <f t="shared" si="3"/>
        <v>0</v>
      </c>
      <c r="H23" s="7">
        <v>16.2</v>
      </c>
      <c r="I23" s="7" t="e">
        <f>(#REF!-$E$5)*(#REF!/100)</f>
        <v>#REF!</v>
      </c>
      <c r="J23" s="7"/>
      <c r="K23" s="7">
        <f t="shared" si="0"/>
        <v>0</v>
      </c>
      <c r="L23" s="7">
        <v>35.340000000000003</v>
      </c>
      <c r="M23" s="7" t="e">
        <f>(#REF!-$E$5)*(#REF!/100)</f>
        <v>#REF!</v>
      </c>
      <c r="N23" s="7"/>
      <c r="O23" s="7">
        <f t="shared" si="1"/>
        <v>0</v>
      </c>
      <c r="P23" s="7">
        <v>33.9</v>
      </c>
      <c r="Q23" s="7" t="e">
        <f>(#REF!-$E$5)*(#REF!/100)</f>
        <v>#REF!</v>
      </c>
      <c r="R23" s="7"/>
      <c r="S23" s="7">
        <f t="shared" si="2"/>
        <v>0</v>
      </c>
    </row>
    <row r="24" spans="2:19" x14ac:dyDescent="0.3">
      <c r="B24" s="3" t="s">
        <v>9</v>
      </c>
      <c r="C24" s="6">
        <v>4</v>
      </c>
      <c r="D24" s="7">
        <v>47.58</v>
      </c>
      <c r="E24" s="7" t="e">
        <f>(#REF!-$E$5)*(#REF!/100)</f>
        <v>#REF!</v>
      </c>
      <c r="F24" s="7"/>
      <c r="G24" s="7">
        <f t="shared" si="3"/>
        <v>0</v>
      </c>
      <c r="H24" s="7">
        <v>41.71</v>
      </c>
      <c r="I24" s="7" t="e">
        <f>(#REF!-$E$5)*(#REF!/100)</f>
        <v>#REF!</v>
      </c>
      <c r="J24" s="7"/>
      <c r="K24" s="7">
        <f t="shared" si="0"/>
        <v>0</v>
      </c>
      <c r="L24" s="7">
        <v>51.24</v>
      </c>
      <c r="M24" s="7" t="e">
        <f>(#REF!-$E$5)*(#REF!/100)</f>
        <v>#REF!</v>
      </c>
      <c r="N24" s="7"/>
      <c r="O24" s="7">
        <f t="shared" si="1"/>
        <v>0</v>
      </c>
      <c r="P24" s="7">
        <v>71.97</v>
      </c>
      <c r="Q24" s="7" t="e">
        <f>(#REF!-$E$5)*(#REF!/100)</f>
        <v>#REF!</v>
      </c>
      <c r="R24" s="7"/>
      <c r="S24" s="7">
        <f t="shared" si="2"/>
        <v>0</v>
      </c>
    </row>
    <row r="25" spans="2:19" x14ac:dyDescent="0.3">
      <c r="B25" s="3" t="s">
        <v>9</v>
      </c>
      <c r="C25" s="6">
        <v>5</v>
      </c>
      <c r="D25" s="7">
        <v>35.85</v>
      </c>
      <c r="E25" s="7" t="e">
        <f>(#REF!-$E$5)*(#REF!/100)</f>
        <v>#REF!</v>
      </c>
      <c r="F25" s="7"/>
      <c r="G25" s="7">
        <f t="shared" si="3"/>
        <v>0</v>
      </c>
      <c r="H25" s="7">
        <v>47.58</v>
      </c>
      <c r="I25" s="7" t="e">
        <f>(#REF!-$E$5)*(#REF!/100)</f>
        <v>#REF!</v>
      </c>
      <c r="J25" s="7"/>
      <c r="K25" s="7">
        <f t="shared" si="0"/>
        <v>0</v>
      </c>
      <c r="L25" s="7">
        <v>32.67</v>
      </c>
      <c r="M25" s="7" t="e">
        <f>(#REF!-$E$5)*(#REF!/100)</f>
        <v>#REF!</v>
      </c>
      <c r="N25" s="7"/>
      <c r="O25" s="7">
        <f t="shared" si="1"/>
        <v>0</v>
      </c>
      <c r="P25" s="7">
        <v>56.15</v>
      </c>
      <c r="Q25" s="7" t="e">
        <f>(#REF!-$E$5)*(#REF!/100)</f>
        <v>#REF!</v>
      </c>
      <c r="R25" s="7"/>
      <c r="S25" s="7">
        <f t="shared" si="2"/>
        <v>0</v>
      </c>
    </row>
    <row r="26" spans="2:19" x14ac:dyDescent="0.3">
      <c r="B26" s="3" t="s">
        <v>9</v>
      </c>
      <c r="C26" s="6">
        <v>6</v>
      </c>
      <c r="D26" s="7">
        <v>48.94</v>
      </c>
      <c r="E26" s="7" t="e">
        <f>(#REF!-$E$5)*(#REF!/100)</f>
        <v>#REF!</v>
      </c>
      <c r="F26" s="7"/>
      <c r="G26" s="7">
        <f t="shared" si="3"/>
        <v>0</v>
      </c>
      <c r="H26" s="7">
        <v>25.09</v>
      </c>
      <c r="I26" s="7" t="e">
        <f>(#REF!-$E$5)*(#REF!/100)</f>
        <v>#REF!</v>
      </c>
      <c r="J26" s="7"/>
      <c r="K26" s="7">
        <f t="shared" si="0"/>
        <v>0</v>
      </c>
      <c r="L26" s="7">
        <v>33.159999999999997</v>
      </c>
      <c r="M26" s="7" t="e">
        <f>(#REF!-$E$5)*(#REF!/100)</f>
        <v>#REF!</v>
      </c>
      <c r="N26" s="7"/>
      <c r="O26" s="7">
        <f t="shared" si="1"/>
        <v>0</v>
      </c>
      <c r="P26" s="7">
        <v>26.65</v>
      </c>
      <c r="Q26" s="7" t="e">
        <f>(#REF!-$E$5)*(#REF!/100)</f>
        <v>#REF!</v>
      </c>
      <c r="R26" s="7"/>
      <c r="S26" s="7">
        <f t="shared" si="2"/>
        <v>0</v>
      </c>
    </row>
    <row r="27" spans="2:19" x14ac:dyDescent="0.3">
      <c r="B27" s="3" t="s">
        <v>9</v>
      </c>
      <c r="C27" s="6">
        <v>7</v>
      </c>
      <c r="D27" s="7">
        <v>37.44</v>
      </c>
      <c r="E27" s="7" t="e">
        <f>(#REF!-$E$5)*(#REF!/100)</f>
        <v>#REF!</v>
      </c>
      <c r="F27" s="7"/>
      <c r="G27" s="7">
        <f t="shared" si="3"/>
        <v>0</v>
      </c>
      <c r="H27" s="7">
        <v>18.91</v>
      </c>
      <c r="I27" s="7" t="e">
        <f>(#REF!-$E$5)*(#REF!/100)</f>
        <v>#REF!</v>
      </c>
      <c r="J27" s="7"/>
      <c r="K27" s="7">
        <f t="shared" si="0"/>
        <v>0</v>
      </c>
      <c r="L27" s="7">
        <v>28.78</v>
      </c>
      <c r="M27" s="7" t="e">
        <f>(#REF!-$E$5)*(#REF!/100)</f>
        <v>#REF!</v>
      </c>
      <c r="N27" s="7"/>
      <c r="O27" s="7">
        <f t="shared" si="1"/>
        <v>0</v>
      </c>
      <c r="P27" s="7">
        <v>23.13</v>
      </c>
      <c r="Q27" s="7" t="e">
        <f>(#REF!-$E$5)*(#REF!/100)</f>
        <v>#REF!</v>
      </c>
      <c r="R27" s="7"/>
      <c r="S27" s="7">
        <f t="shared" si="2"/>
        <v>0</v>
      </c>
    </row>
    <row r="28" spans="2:19" x14ac:dyDescent="0.3">
      <c r="B28" s="3" t="s">
        <v>9</v>
      </c>
      <c r="C28" s="6">
        <v>8</v>
      </c>
      <c r="D28" s="7">
        <v>33.42</v>
      </c>
      <c r="E28" s="7" t="e">
        <f>(#REF!-$E$5)*(#REF!/100)</f>
        <v>#REF!</v>
      </c>
      <c r="F28" s="7"/>
      <c r="G28" s="7">
        <f t="shared" si="3"/>
        <v>0</v>
      </c>
      <c r="H28" s="7">
        <v>22.25</v>
      </c>
      <c r="I28" s="7" t="e">
        <f>(#REF!-$E$5)*(#REF!/100)</f>
        <v>#REF!</v>
      </c>
      <c r="J28" s="7"/>
      <c r="K28" s="7">
        <f t="shared" si="0"/>
        <v>0</v>
      </c>
      <c r="L28" s="7">
        <v>28.8</v>
      </c>
      <c r="M28" s="7" t="e">
        <f>(#REF!-$E$5)*(#REF!/100)</f>
        <v>#REF!</v>
      </c>
      <c r="N28" s="7"/>
      <c r="O28" s="7">
        <f t="shared" si="1"/>
        <v>0</v>
      </c>
      <c r="P28" s="7">
        <v>19.010000000000002</v>
      </c>
      <c r="Q28" s="7" t="e">
        <f>(#REF!-$E$5)*(#REF!/100)</f>
        <v>#REF!</v>
      </c>
      <c r="R28" s="7"/>
      <c r="S28" s="7">
        <f t="shared" si="2"/>
        <v>0</v>
      </c>
    </row>
    <row r="29" spans="2:19" x14ac:dyDescent="0.3">
      <c r="B29" s="16" t="s">
        <v>9</v>
      </c>
      <c r="C29" s="17">
        <v>9</v>
      </c>
      <c r="D29" s="18">
        <v>50.01</v>
      </c>
      <c r="E29" s="18" t="e">
        <f>(#REF!-$E$5)*(#REF!/100)</f>
        <v>#REF!</v>
      </c>
      <c r="F29" s="18"/>
      <c r="G29" s="18">
        <f t="shared" si="3"/>
        <v>0</v>
      </c>
      <c r="H29" s="18">
        <v>16.54</v>
      </c>
      <c r="I29" s="18" t="e">
        <f>(#REF!-$E$5)*(#REF!/100)</f>
        <v>#REF!</v>
      </c>
      <c r="J29" s="18"/>
      <c r="K29" s="18">
        <f t="shared" si="0"/>
        <v>0</v>
      </c>
      <c r="L29" s="18">
        <v>41.49</v>
      </c>
      <c r="M29" s="18" t="e">
        <f>(#REF!-$E$5)*(#REF!/100)</f>
        <v>#REF!</v>
      </c>
      <c r="N29" s="18"/>
      <c r="O29" s="18">
        <f t="shared" si="1"/>
        <v>0</v>
      </c>
      <c r="P29" s="18">
        <v>19.7</v>
      </c>
      <c r="Q29" s="18" t="e">
        <f>(#REF!-$E$5)*(#REF!/100)</f>
        <v>#REF!</v>
      </c>
      <c r="R29" s="18"/>
      <c r="S29" s="18">
        <f t="shared" si="2"/>
        <v>0</v>
      </c>
    </row>
    <row r="30" spans="2:19" x14ac:dyDescent="0.3">
      <c r="B30" s="3" t="s">
        <v>10</v>
      </c>
      <c r="C30" s="6">
        <v>1</v>
      </c>
      <c r="D30" s="7">
        <v>47.28</v>
      </c>
      <c r="E30" s="7" t="e">
        <f>(#REF!-$E$5)*(#REF!/100)</f>
        <v>#REF!</v>
      </c>
      <c r="F30" s="7"/>
      <c r="G30" s="7">
        <f t="shared" si="3"/>
        <v>0</v>
      </c>
      <c r="H30" s="7">
        <v>24.63</v>
      </c>
      <c r="I30" s="7" t="e">
        <f>(#REF!-$E$5)*(#REF!/100)</f>
        <v>#REF!</v>
      </c>
      <c r="J30" s="7"/>
      <c r="K30" s="7">
        <f t="shared" si="0"/>
        <v>0</v>
      </c>
      <c r="L30" s="7">
        <v>37.92</v>
      </c>
      <c r="M30" s="7" t="e">
        <f>(#REF!-$E$5)*(#REF!/100)</f>
        <v>#REF!</v>
      </c>
      <c r="N30" s="7"/>
      <c r="O30" s="7">
        <f t="shared" si="1"/>
        <v>0</v>
      </c>
      <c r="P30" s="7">
        <v>25.36</v>
      </c>
      <c r="Q30" s="7" t="e">
        <f>(#REF!-$E$5)*(#REF!/100)</f>
        <v>#REF!</v>
      </c>
      <c r="R30" s="7"/>
      <c r="S30" s="7">
        <f t="shared" si="2"/>
        <v>0</v>
      </c>
    </row>
    <row r="31" spans="2:19" x14ac:dyDescent="0.3">
      <c r="B31" s="3" t="s">
        <v>10</v>
      </c>
      <c r="C31" s="6">
        <v>2</v>
      </c>
      <c r="D31" s="7">
        <v>42.04</v>
      </c>
      <c r="E31" s="7" t="e">
        <f>(#REF!-$E$5)*(#REF!/100)</f>
        <v>#REF!</v>
      </c>
      <c r="F31" s="7"/>
      <c r="G31" s="7">
        <f t="shared" si="3"/>
        <v>0</v>
      </c>
      <c r="H31" s="7">
        <v>31.97</v>
      </c>
      <c r="I31" s="7" t="e">
        <f>(#REF!-$E$5)*(#REF!/100)</f>
        <v>#REF!</v>
      </c>
      <c r="J31" s="7"/>
      <c r="K31" s="7">
        <f t="shared" si="0"/>
        <v>0</v>
      </c>
      <c r="L31" s="7">
        <v>35.159999999999997</v>
      </c>
      <c r="M31" s="7" t="e">
        <f>(#REF!-$E$5)*(#REF!/100)</f>
        <v>#REF!</v>
      </c>
      <c r="N31" s="7"/>
      <c r="O31" s="7">
        <f t="shared" si="1"/>
        <v>0</v>
      </c>
      <c r="P31" s="7">
        <v>50.69</v>
      </c>
      <c r="Q31" s="7" t="e">
        <f>(#REF!-$E$5)*(#REF!/100)</f>
        <v>#REF!</v>
      </c>
      <c r="R31" s="7"/>
      <c r="S31" s="7">
        <f t="shared" si="2"/>
        <v>0</v>
      </c>
    </row>
    <row r="32" spans="2:19" x14ac:dyDescent="0.3">
      <c r="B32" s="3" t="s">
        <v>10</v>
      </c>
      <c r="C32" s="6">
        <v>3</v>
      </c>
      <c r="D32" s="7">
        <v>31.12</v>
      </c>
      <c r="E32" s="7" t="e">
        <f>(#REF!-$E$5)*(#REF!/100)</f>
        <v>#REF!</v>
      </c>
      <c r="F32" s="7"/>
      <c r="G32" s="7">
        <f t="shared" si="3"/>
        <v>0</v>
      </c>
      <c r="H32" s="7">
        <v>27.87</v>
      </c>
      <c r="I32" s="7" t="e">
        <f>(#REF!-$E$5)*(#REF!/100)</f>
        <v>#REF!</v>
      </c>
      <c r="J32" s="7"/>
      <c r="K32" s="7">
        <f t="shared" si="0"/>
        <v>0</v>
      </c>
      <c r="L32" s="7">
        <v>22.12</v>
      </c>
      <c r="M32" s="7" t="e">
        <f>(#REF!-$E$5)*(#REF!/100)</f>
        <v>#REF!</v>
      </c>
      <c r="N32" s="7"/>
      <c r="O32" s="7">
        <f t="shared" si="1"/>
        <v>0</v>
      </c>
      <c r="P32" s="7">
        <v>20.95</v>
      </c>
      <c r="Q32" s="7" t="e">
        <f>(#REF!-$E$5)*(#REF!/100)</f>
        <v>#REF!</v>
      </c>
      <c r="R32" s="7"/>
      <c r="S32" s="7">
        <f t="shared" si="2"/>
        <v>0</v>
      </c>
    </row>
    <row r="33" spans="2:19" x14ac:dyDescent="0.3">
      <c r="B33" s="3" t="s">
        <v>10</v>
      </c>
      <c r="C33" s="6">
        <v>4</v>
      </c>
      <c r="D33" s="7">
        <v>51.22</v>
      </c>
      <c r="E33" s="7" t="e">
        <f>(#REF!-$E$5)*(#REF!/100)</f>
        <v>#REF!</v>
      </c>
      <c r="F33" s="7"/>
      <c r="G33" s="7">
        <f t="shared" si="3"/>
        <v>0</v>
      </c>
      <c r="H33" s="7">
        <v>51.55</v>
      </c>
      <c r="I33" s="7" t="e">
        <f>(#REF!-$E$5)*(#REF!/100)</f>
        <v>#REF!</v>
      </c>
      <c r="J33" s="7"/>
      <c r="K33" s="7">
        <f t="shared" si="0"/>
        <v>0</v>
      </c>
      <c r="L33" s="7">
        <v>38.11</v>
      </c>
      <c r="M33" s="7" t="e">
        <f>(#REF!-$E$5)*(#REF!/100)</f>
        <v>#REF!</v>
      </c>
      <c r="N33" s="7"/>
      <c r="O33" s="7">
        <f t="shared" si="1"/>
        <v>0</v>
      </c>
      <c r="P33" s="7">
        <v>75.66</v>
      </c>
      <c r="Q33" s="7" t="e">
        <f>(#REF!-$E$5)*(#REF!/100)</f>
        <v>#REF!</v>
      </c>
      <c r="R33" s="7"/>
      <c r="S33" s="7">
        <f t="shared" si="2"/>
        <v>0</v>
      </c>
    </row>
    <row r="34" spans="2:19" x14ac:dyDescent="0.3">
      <c r="B34" s="3" t="s">
        <v>10</v>
      </c>
      <c r="C34" s="6">
        <v>5</v>
      </c>
      <c r="D34" s="7">
        <v>46.33</v>
      </c>
      <c r="E34" s="7" t="e">
        <f>(#REF!-$E$5)*(#REF!/100)</f>
        <v>#REF!</v>
      </c>
      <c r="F34" s="7"/>
      <c r="G34" s="7">
        <f t="shared" si="3"/>
        <v>0</v>
      </c>
      <c r="H34" s="7">
        <v>37.75</v>
      </c>
      <c r="I34" s="7" t="e">
        <f>(#REF!-$E$5)*(#REF!/100)</f>
        <v>#REF!</v>
      </c>
      <c r="J34" s="7"/>
      <c r="K34" s="7">
        <f t="shared" si="0"/>
        <v>0</v>
      </c>
      <c r="L34" s="7">
        <v>20.79</v>
      </c>
      <c r="M34" s="7" t="e">
        <f>(#REF!-$E$5)*(#REF!/100)</f>
        <v>#REF!</v>
      </c>
      <c r="N34" s="7"/>
      <c r="O34" s="7">
        <f t="shared" si="1"/>
        <v>0</v>
      </c>
      <c r="P34" s="7">
        <v>23.27</v>
      </c>
      <c r="Q34" s="7" t="e">
        <f>(#REF!-$E$5)*(#REF!/100)</f>
        <v>#REF!</v>
      </c>
      <c r="R34" s="7"/>
      <c r="S34" s="7">
        <f t="shared" si="2"/>
        <v>0</v>
      </c>
    </row>
    <row r="35" spans="2:19" x14ac:dyDescent="0.3">
      <c r="B35" s="3" t="s">
        <v>10</v>
      </c>
      <c r="C35" s="6">
        <v>6</v>
      </c>
      <c r="D35" s="7">
        <v>35.090000000000003</v>
      </c>
      <c r="E35" s="7" t="e">
        <f>(#REF!-$E$5)*(#REF!/100)</f>
        <v>#REF!</v>
      </c>
      <c r="F35" s="7"/>
      <c r="G35" s="7">
        <f t="shared" si="3"/>
        <v>0</v>
      </c>
      <c r="H35" s="7">
        <v>24.92</v>
      </c>
      <c r="I35" s="7" t="e">
        <f>(#REF!-$E$5)*(#REF!/100)</f>
        <v>#REF!</v>
      </c>
      <c r="J35" s="7"/>
      <c r="K35" s="7">
        <f t="shared" si="0"/>
        <v>0</v>
      </c>
      <c r="L35" s="7">
        <v>38.950000000000003</v>
      </c>
      <c r="M35" s="7" t="e">
        <f>(#REF!-$E$5)*(#REF!/100)</f>
        <v>#REF!</v>
      </c>
      <c r="N35" s="7"/>
      <c r="O35" s="7">
        <f t="shared" si="1"/>
        <v>0</v>
      </c>
      <c r="P35" s="7">
        <v>26.98</v>
      </c>
      <c r="Q35" s="7" t="e">
        <f>(#REF!-$E$5)*(#REF!/100)</f>
        <v>#REF!</v>
      </c>
      <c r="R35" s="7"/>
      <c r="S35" s="7">
        <f t="shared" si="2"/>
        <v>0</v>
      </c>
    </row>
    <row r="36" spans="2:19" x14ac:dyDescent="0.3">
      <c r="B36" s="3" t="s">
        <v>10</v>
      </c>
      <c r="C36" s="6">
        <v>7</v>
      </c>
      <c r="D36" s="7">
        <v>27.96</v>
      </c>
      <c r="E36" s="7" t="e">
        <f>(#REF!-$E$5)*(#REF!/100)</f>
        <v>#REF!</v>
      </c>
      <c r="F36" s="7"/>
      <c r="G36" s="7">
        <f t="shared" si="3"/>
        <v>0</v>
      </c>
      <c r="H36" s="7">
        <v>12.22</v>
      </c>
      <c r="I36" s="7" t="e">
        <f>(#REF!-$E$5)*(#REF!/100)</f>
        <v>#REF!</v>
      </c>
      <c r="J36" s="7"/>
      <c r="K36" s="7">
        <f t="shared" si="0"/>
        <v>0</v>
      </c>
      <c r="L36" s="7">
        <v>29.48</v>
      </c>
      <c r="M36" s="7" t="e">
        <f>(#REF!-$E$5)*(#REF!/100)</f>
        <v>#REF!</v>
      </c>
      <c r="N36" s="7"/>
      <c r="O36" s="7">
        <f t="shared" si="1"/>
        <v>0</v>
      </c>
      <c r="P36" s="7">
        <v>17.420000000000002</v>
      </c>
      <c r="Q36" s="7" t="e">
        <f>(#REF!-$E$5)*(#REF!/100)</f>
        <v>#REF!</v>
      </c>
      <c r="R36" s="7"/>
      <c r="S36" s="7">
        <f t="shared" si="2"/>
        <v>0</v>
      </c>
    </row>
    <row r="37" spans="2:19" x14ac:dyDescent="0.3">
      <c r="B37" s="3" t="s">
        <v>10</v>
      </c>
      <c r="C37" s="6">
        <v>8</v>
      </c>
      <c r="D37" s="7">
        <v>36.01</v>
      </c>
      <c r="E37" s="7" t="e">
        <f>(#REF!-$E$5)*(#REF!/100)</f>
        <v>#REF!</v>
      </c>
      <c r="F37" s="7"/>
      <c r="G37" s="7">
        <f t="shared" si="3"/>
        <v>0</v>
      </c>
      <c r="H37" s="7">
        <v>24.51</v>
      </c>
      <c r="I37" s="7" t="e">
        <f>(#REF!-$E$5)*(#REF!/100)</f>
        <v>#REF!</v>
      </c>
      <c r="J37" s="7"/>
      <c r="K37" s="7">
        <f t="shared" si="0"/>
        <v>0</v>
      </c>
      <c r="L37" s="7">
        <v>22.25</v>
      </c>
      <c r="M37" s="7" t="e">
        <f>(#REF!-$E$5)*(#REF!/100)</f>
        <v>#REF!</v>
      </c>
      <c r="N37" s="7"/>
      <c r="O37" s="7">
        <f t="shared" si="1"/>
        <v>0</v>
      </c>
      <c r="P37" s="7">
        <v>15.5</v>
      </c>
      <c r="Q37" s="7" t="e">
        <f>(#REF!-$E$5)*(#REF!/100)</f>
        <v>#REF!</v>
      </c>
      <c r="R37" s="7"/>
      <c r="S37" s="7">
        <f t="shared" si="2"/>
        <v>0</v>
      </c>
    </row>
    <row r="38" spans="2:19" x14ac:dyDescent="0.3">
      <c r="B38" s="16" t="s">
        <v>10</v>
      </c>
      <c r="C38" s="17">
        <v>9</v>
      </c>
      <c r="D38" s="18">
        <v>31.86</v>
      </c>
      <c r="E38" s="18" t="e">
        <f>(#REF!-$E$5)*(#REF!/100)</f>
        <v>#REF!</v>
      </c>
      <c r="F38" s="18"/>
      <c r="G38" s="18">
        <f t="shared" si="3"/>
        <v>0</v>
      </c>
      <c r="H38" s="18">
        <v>18.809999999999999</v>
      </c>
      <c r="I38" s="18" t="e">
        <f>(#REF!-$E$5)*(#REF!/100)</f>
        <v>#REF!</v>
      </c>
      <c r="J38" s="18"/>
      <c r="K38" s="18">
        <f t="shared" si="0"/>
        <v>0</v>
      </c>
      <c r="L38" s="18">
        <v>21.31</v>
      </c>
      <c r="M38" s="18" t="e">
        <f>(#REF!-$E$5)*(#REF!/100)</f>
        <v>#REF!</v>
      </c>
      <c r="N38" s="18"/>
      <c r="O38" s="18">
        <f t="shared" si="1"/>
        <v>0</v>
      </c>
      <c r="P38" s="18">
        <v>20.09</v>
      </c>
      <c r="Q38" s="18" t="e">
        <f>(#REF!-$E$5)*(#REF!/100)</f>
        <v>#REF!</v>
      </c>
      <c r="R38" s="18"/>
      <c r="S38" s="18">
        <f t="shared" si="2"/>
        <v>0</v>
      </c>
    </row>
    <row r="39" spans="2:19" x14ac:dyDescent="0.3">
      <c r="B39" s="3" t="s">
        <v>11</v>
      </c>
      <c r="C39" s="6">
        <v>1</v>
      </c>
      <c r="D39" s="7">
        <v>19.989999999999998</v>
      </c>
      <c r="E39" s="7" t="e">
        <f>(#REF!-$E$5)*(#REF!/100)</f>
        <v>#REF!</v>
      </c>
      <c r="F39" s="7"/>
      <c r="G39" s="7">
        <f t="shared" si="3"/>
        <v>0</v>
      </c>
      <c r="H39" s="7">
        <v>19.489999999999998</v>
      </c>
      <c r="I39" s="7" t="e">
        <f>(#REF!-$E$5)*(#REF!/100)</f>
        <v>#REF!</v>
      </c>
      <c r="J39" s="7"/>
      <c r="K39" s="7">
        <f t="shared" si="0"/>
        <v>0</v>
      </c>
      <c r="L39" s="7">
        <v>18.46</v>
      </c>
      <c r="M39" s="7" t="e">
        <f>(#REF!-$E$5)*(#REF!/100)</f>
        <v>#REF!</v>
      </c>
      <c r="N39" s="7"/>
      <c r="O39" s="7">
        <f t="shared" si="1"/>
        <v>0</v>
      </c>
      <c r="P39" s="7">
        <v>14.39</v>
      </c>
      <c r="Q39" s="7" t="e">
        <f>(#REF!-$E$5)*(#REF!/100)</f>
        <v>#REF!</v>
      </c>
      <c r="R39" s="7"/>
      <c r="S39" s="7">
        <f t="shared" si="2"/>
        <v>0</v>
      </c>
    </row>
    <row r="40" spans="2:19" x14ac:dyDescent="0.3">
      <c r="B40" s="3" t="s">
        <v>11</v>
      </c>
      <c r="C40" s="6">
        <v>2</v>
      </c>
      <c r="D40" s="7">
        <v>25.76</v>
      </c>
      <c r="E40" s="7" t="e">
        <f>(#REF!-$E$5)*(#REF!/100)</f>
        <v>#REF!</v>
      </c>
      <c r="F40" s="7"/>
      <c r="G40" s="7">
        <f t="shared" si="3"/>
        <v>0</v>
      </c>
      <c r="H40" s="7">
        <v>32.369999999999997</v>
      </c>
      <c r="I40" s="7" t="e">
        <f>(#REF!-$E$5)*(#REF!/100)</f>
        <v>#REF!</v>
      </c>
      <c r="J40" s="7"/>
      <c r="K40" s="7">
        <f t="shared" si="0"/>
        <v>0</v>
      </c>
      <c r="L40" s="7">
        <v>30.87</v>
      </c>
      <c r="M40" s="7" t="e">
        <f>(#REF!-$E$5)*(#REF!/100)</f>
        <v>#REF!</v>
      </c>
      <c r="N40" s="7"/>
      <c r="O40" s="7">
        <f t="shared" si="1"/>
        <v>0</v>
      </c>
      <c r="P40" s="7">
        <v>37.04</v>
      </c>
      <c r="Q40" s="7" t="e">
        <f>(#REF!-$E$5)*(#REF!/100)</f>
        <v>#REF!</v>
      </c>
      <c r="R40" s="7"/>
      <c r="S40" s="7">
        <f t="shared" si="2"/>
        <v>0</v>
      </c>
    </row>
    <row r="41" spans="2:19" x14ac:dyDescent="0.3">
      <c r="B41" s="3" t="s">
        <v>11</v>
      </c>
      <c r="C41" s="6">
        <v>3</v>
      </c>
      <c r="D41" s="7">
        <v>22.73</v>
      </c>
      <c r="E41" s="7" t="e">
        <f>(#REF!-$E$5)*(#REF!/100)</f>
        <v>#REF!</v>
      </c>
      <c r="F41" s="7"/>
      <c r="G41" s="7">
        <f t="shared" si="3"/>
        <v>0</v>
      </c>
      <c r="H41" s="7">
        <v>15.11</v>
      </c>
      <c r="I41" s="7" t="e">
        <f>(#REF!-$E$5)*(#REF!/100)</f>
        <v>#REF!</v>
      </c>
      <c r="J41" s="7"/>
      <c r="K41" s="7">
        <f t="shared" si="0"/>
        <v>0</v>
      </c>
      <c r="L41" s="7">
        <v>36.54</v>
      </c>
      <c r="M41" s="7" t="e">
        <f>(#REF!-$E$5)*(#REF!/100)</f>
        <v>#REF!</v>
      </c>
      <c r="N41" s="7"/>
      <c r="O41" s="7">
        <f t="shared" si="1"/>
        <v>0</v>
      </c>
      <c r="P41" s="7">
        <v>60.04</v>
      </c>
      <c r="Q41" s="7" t="e">
        <f>(#REF!-$E$5)*(#REF!/100)</f>
        <v>#REF!</v>
      </c>
      <c r="R41" s="7"/>
      <c r="S41" s="7">
        <f t="shared" si="2"/>
        <v>0</v>
      </c>
    </row>
    <row r="42" spans="2:19" x14ac:dyDescent="0.3">
      <c r="B42" s="3" t="s">
        <v>11</v>
      </c>
      <c r="C42" s="6">
        <v>4</v>
      </c>
      <c r="D42" s="7">
        <v>35.71</v>
      </c>
      <c r="E42" s="7" t="e">
        <f>(#REF!-$E$5)*(#REF!/100)</f>
        <v>#REF!</v>
      </c>
      <c r="F42" s="7"/>
      <c r="G42" s="7">
        <f t="shared" si="3"/>
        <v>0</v>
      </c>
      <c r="H42" s="7">
        <v>62.07</v>
      </c>
      <c r="I42" s="7" t="e">
        <f>(#REF!-$E$5)*(#REF!/100)</f>
        <v>#REF!</v>
      </c>
      <c r="J42" s="7"/>
      <c r="K42" s="7">
        <f t="shared" si="0"/>
        <v>0</v>
      </c>
      <c r="L42" s="7">
        <v>42.81</v>
      </c>
      <c r="M42" s="7" t="e">
        <f>(#REF!-$E$5)*(#REF!/100)</f>
        <v>#REF!</v>
      </c>
      <c r="N42" s="7"/>
      <c r="O42" s="7">
        <f t="shared" si="1"/>
        <v>0</v>
      </c>
      <c r="P42" s="7">
        <v>39.090000000000003</v>
      </c>
      <c r="Q42" s="7" t="e">
        <f>(#REF!-$E$5)*(#REF!/100)</f>
        <v>#REF!</v>
      </c>
      <c r="R42" s="7"/>
      <c r="S42" s="7">
        <f t="shared" si="2"/>
        <v>0</v>
      </c>
    </row>
    <row r="43" spans="2:19" x14ac:dyDescent="0.3">
      <c r="B43" s="3" t="s">
        <v>11</v>
      </c>
      <c r="C43" s="6">
        <v>5</v>
      </c>
      <c r="D43" s="7">
        <v>25.8</v>
      </c>
      <c r="E43" s="7" t="e">
        <f>(#REF!-$E$5)*(#REF!/100)</f>
        <v>#REF!</v>
      </c>
      <c r="F43" s="7"/>
      <c r="G43" s="7">
        <f t="shared" si="3"/>
        <v>0</v>
      </c>
      <c r="H43" s="7">
        <v>19.7</v>
      </c>
      <c r="I43" s="7" t="e">
        <f>(#REF!-$E$5)*(#REF!/100)</f>
        <v>#REF!</v>
      </c>
      <c r="J43" s="7"/>
      <c r="K43" s="7">
        <f t="shared" si="0"/>
        <v>0</v>
      </c>
      <c r="L43" s="7">
        <v>21.35</v>
      </c>
      <c r="M43" s="7" t="e">
        <f>(#REF!-$E$5)*(#REF!/100)</f>
        <v>#REF!</v>
      </c>
      <c r="N43" s="7"/>
      <c r="O43" s="7">
        <f t="shared" si="1"/>
        <v>0</v>
      </c>
      <c r="P43" s="7">
        <v>23.88</v>
      </c>
      <c r="Q43" s="7" t="e">
        <f>(#REF!-$E$5)*(#REF!/100)</f>
        <v>#REF!</v>
      </c>
      <c r="R43" s="7"/>
      <c r="S43" s="7">
        <f t="shared" si="2"/>
        <v>0</v>
      </c>
    </row>
    <row r="44" spans="2:19" x14ac:dyDescent="0.3">
      <c r="B44" s="3" t="s">
        <v>11</v>
      </c>
      <c r="C44" s="6">
        <v>6</v>
      </c>
      <c r="D44" s="7">
        <v>29.2</v>
      </c>
      <c r="E44" s="7" t="e">
        <f>(#REF!-$E$5)*(#REF!/100)</f>
        <v>#REF!</v>
      </c>
      <c r="F44" s="7"/>
      <c r="G44" s="7">
        <f t="shared" si="3"/>
        <v>0</v>
      </c>
      <c r="H44" s="7">
        <v>19</v>
      </c>
      <c r="I44" s="7" t="e">
        <f>(#REF!-$E$5)*(#REF!/100)</f>
        <v>#REF!</v>
      </c>
      <c r="J44" s="7"/>
      <c r="K44" s="7">
        <f t="shared" si="0"/>
        <v>0</v>
      </c>
      <c r="L44" s="7">
        <v>35.58</v>
      </c>
      <c r="M44" s="7" t="e">
        <f>(#REF!-$E$5)*(#REF!/100)</f>
        <v>#REF!</v>
      </c>
      <c r="N44" s="7"/>
      <c r="O44" s="7">
        <f t="shared" si="1"/>
        <v>0</v>
      </c>
      <c r="P44" s="7">
        <v>26.02</v>
      </c>
      <c r="Q44" s="7" t="e">
        <f>(#REF!-$E$5)*(#REF!/100)</f>
        <v>#REF!</v>
      </c>
      <c r="R44" s="7"/>
      <c r="S44" s="7">
        <f t="shared" si="2"/>
        <v>0</v>
      </c>
    </row>
    <row r="45" spans="2:19" x14ac:dyDescent="0.3">
      <c r="B45" s="3" t="s">
        <v>11</v>
      </c>
      <c r="C45" s="6">
        <v>7</v>
      </c>
      <c r="D45" s="7">
        <v>60.82</v>
      </c>
      <c r="E45" s="7" t="e">
        <f>(#REF!-$E$5)*(#REF!/100)</f>
        <v>#REF!</v>
      </c>
      <c r="F45" s="7"/>
      <c r="G45" s="7">
        <f t="shared" si="3"/>
        <v>0</v>
      </c>
      <c r="H45" s="7">
        <v>22.29</v>
      </c>
      <c r="I45" s="7" t="e">
        <f>(#REF!-$E$5)*(#REF!/100)</f>
        <v>#REF!</v>
      </c>
      <c r="J45" s="7"/>
      <c r="K45" s="7">
        <f t="shared" si="0"/>
        <v>0</v>
      </c>
      <c r="L45" s="7">
        <v>32.119999999999997</v>
      </c>
      <c r="M45" s="7" t="e">
        <f>(#REF!-$E$5)*(#REF!/100)</f>
        <v>#REF!</v>
      </c>
      <c r="N45" s="7"/>
      <c r="O45" s="7">
        <f t="shared" si="1"/>
        <v>0</v>
      </c>
      <c r="P45" s="7">
        <v>18.59</v>
      </c>
      <c r="Q45" s="7" t="e">
        <f>(#REF!-$E$5)*(#REF!/100)</f>
        <v>#REF!</v>
      </c>
      <c r="R45" s="7"/>
      <c r="S45" s="7">
        <f t="shared" si="2"/>
        <v>0</v>
      </c>
    </row>
    <row r="46" spans="2:19" x14ac:dyDescent="0.3">
      <c r="B46" s="3" t="s">
        <v>11</v>
      </c>
      <c r="C46" s="6">
        <v>8</v>
      </c>
      <c r="D46" s="7">
        <v>65.849999999999994</v>
      </c>
      <c r="E46" s="7" t="e">
        <f>(#REF!-$E$5)*(#REF!/100)</f>
        <v>#REF!</v>
      </c>
      <c r="F46" s="7"/>
      <c r="G46" s="7">
        <f t="shared" si="3"/>
        <v>0</v>
      </c>
      <c r="H46" s="7">
        <v>42.97</v>
      </c>
      <c r="I46" s="7" t="e">
        <f>(#REF!-$E$5)*(#REF!/100)</f>
        <v>#REF!</v>
      </c>
      <c r="J46" s="7"/>
      <c r="K46" s="7">
        <f t="shared" si="0"/>
        <v>0</v>
      </c>
      <c r="L46" s="7">
        <v>31.9</v>
      </c>
      <c r="M46" s="7" t="e">
        <f>(#REF!-$E$5)*(#REF!/100)</f>
        <v>#REF!</v>
      </c>
      <c r="N46" s="7"/>
      <c r="O46" s="7">
        <f t="shared" si="1"/>
        <v>0</v>
      </c>
      <c r="P46" s="7">
        <v>31.68</v>
      </c>
      <c r="Q46" s="7" t="e">
        <f>(#REF!-$E$5)*(#REF!/100)</f>
        <v>#REF!</v>
      </c>
      <c r="R46" s="7"/>
      <c r="S46" s="7">
        <f t="shared" si="2"/>
        <v>0</v>
      </c>
    </row>
    <row r="47" spans="2:19" x14ac:dyDescent="0.3">
      <c r="B47" s="3" t="s">
        <v>11</v>
      </c>
      <c r="C47" s="6">
        <v>9</v>
      </c>
      <c r="D47" s="7">
        <v>56.63</v>
      </c>
      <c r="E47" s="7" t="e">
        <f>(#REF!-$E$5)*(#REF!/100)</f>
        <v>#REF!</v>
      </c>
      <c r="F47" s="7"/>
      <c r="G47" s="7">
        <f t="shared" si="3"/>
        <v>0</v>
      </c>
      <c r="H47" s="7">
        <v>29.97</v>
      </c>
      <c r="I47" s="7" t="e">
        <f>(#REF!-$E$5)*(#REF!/100)</f>
        <v>#REF!</v>
      </c>
      <c r="J47" s="7"/>
      <c r="K47" s="7">
        <f t="shared" si="0"/>
        <v>0</v>
      </c>
      <c r="L47" s="7">
        <v>38.770000000000003</v>
      </c>
      <c r="M47" s="7" t="e">
        <f>(#REF!-$E$5)*(#REF!/100)</f>
        <v>#REF!</v>
      </c>
      <c r="N47" s="7"/>
      <c r="O47" s="7">
        <f t="shared" si="1"/>
        <v>0</v>
      </c>
      <c r="P47" s="7">
        <v>19.3</v>
      </c>
      <c r="Q47" s="7" t="e">
        <f>(#REF!-$E$5)*(#REF!/100)</f>
        <v>#REF!</v>
      </c>
      <c r="R47" s="7"/>
      <c r="S47" s="7">
        <f t="shared" si="2"/>
        <v>0</v>
      </c>
    </row>
  </sheetData>
  <autoFilter ref="B11:S11" xr:uid="{00000000-0009-0000-0000-000001000000}"/>
  <mergeCells count="6">
    <mergeCell ref="D10:G10"/>
    <mergeCell ref="H10:K10"/>
    <mergeCell ref="D9:K9"/>
    <mergeCell ref="L9:S9"/>
    <mergeCell ref="L10:O10"/>
    <mergeCell ref="P10:S10"/>
  </mergeCells>
  <conditionalFormatting sqref="G12:G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4"/>
  <sheetViews>
    <sheetView topLeftCell="A13" zoomScale="72" zoomScaleNormal="65" workbookViewId="0">
      <selection activeCell="M57" sqref="M57"/>
    </sheetView>
  </sheetViews>
  <sheetFormatPr baseColWidth="10" defaultRowHeight="14" x14ac:dyDescent="0.3"/>
  <sheetData>
    <row r="1" spans="1:37" ht="14.5" thickBot="1" x14ac:dyDescent="0.35">
      <c r="A1" s="79" t="s">
        <v>52</v>
      </c>
      <c r="B1" s="79"/>
    </row>
    <row r="2" spans="1:37" x14ac:dyDescent="0.3">
      <c r="C2" s="269" t="s">
        <v>50</v>
      </c>
      <c r="D2" s="270"/>
      <c r="E2" s="270"/>
      <c r="F2" s="271"/>
      <c r="G2" s="83"/>
      <c r="H2" s="114"/>
      <c r="I2" s="269" t="s">
        <v>51</v>
      </c>
      <c r="J2" s="270"/>
      <c r="K2" s="270"/>
      <c r="L2" s="271"/>
      <c r="M2" s="83"/>
      <c r="N2" s="114"/>
      <c r="O2" s="269" t="s">
        <v>82</v>
      </c>
      <c r="P2" s="270"/>
      <c r="Q2" s="270"/>
      <c r="R2" s="271"/>
      <c r="S2" s="121"/>
      <c r="T2" s="121"/>
      <c r="U2" s="269" t="s">
        <v>54</v>
      </c>
      <c r="V2" s="270"/>
      <c r="W2" s="270"/>
      <c r="X2" s="271"/>
      <c r="Y2" s="83"/>
      <c r="Z2" s="114"/>
      <c r="AA2" s="269" t="s">
        <v>53</v>
      </c>
      <c r="AB2" s="270"/>
      <c r="AC2" s="270"/>
      <c r="AD2" s="271"/>
      <c r="AE2" s="85"/>
      <c r="AG2" s="269" t="s">
        <v>90</v>
      </c>
      <c r="AH2" s="270"/>
      <c r="AI2" s="270"/>
      <c r="AJ2" s="271"/>
      <c r="AK2" s="85"/>
    </row>
    <row r="3" spans="1:37" x14ac:dyDescent="0.3">
      <c r="C3" s="73" t="s">
        <v>38</v>
      </c>
      <c r="D3" s="74" t="s">
        <v>17</v>
      </c>
      <c r="E3" s="74" t="s">
        <v>39</v>
      </c>
      <c r="F3" s="64" t="s">
        <v>40</v>
      </c>
      <c r="G3" s="84" t="s">
        <v>55</v>
      </c>
      <c r="H3" s="84"/>
      <c r="I3" s="73" t="s">
        <v>38</v>
      </c>
      <c r="J3" s="74" t="s">
        <v>17</v>
      </c>
      <c r="K3" s="74" t="s">
        <v>39</v>
      </c>
      <c r="L3" s="64" t="s">
        <v>40</v>
      </c>
      <c r="M3" s="84" t="s">
        <v>51</v>
      </c>
      <c r="N3" s="84"/>
      <c r="O3" s="73" t="s">
        <v>38</v>
      </c>
      <c r="P3" s="74" t="s">
        <v>17</v>
      </c>
      <c r="Q3" s="74" t="s">
        <v>39</v>
      </c>
      <c r="R3" s="64" t="s">
        <v>40</v>
      </c>
      <c r="S3" s="84" t="s">
        <v>82</v>
      </c>
      <c r="T3" s="84"/>
      <c r="U3" s="73" t="s">
        <v>38</v>
      </c>
      <c r="V3" s="74" t="s">
        <v>17</v>
      </c>
      <c r="W3" s="74" t="s">
        <v>39</v>
      </c>
      <c r="X3" s="64" t="s">
        <v>40</v>
      </c>
      <c r="Y3" s="84" t="s">
        <v>54</v>
      </c>
      <c r="Z3" s="84"/>
      <c r="AA3" s="73" t="s">
        <v>38</v>
      </c>
      <c r="AB3" s="74" t="s">
        <v>17</v>
      </c>
      <c r="AC3" s="74" t="s">
        <v>39</v>
      </c>
      <c r="AD3" s="64" t="s">
        <v>40</v>
      </c>
      <c r="AE3" s="84" t="s">
        <v>53</v>
      </c>
      <c r="AG3" s="73" t="s">
        <v>38</v>
      </c>
      <c r="AH3" s="74" t="s">
        <v>17</v>
      </c>
      <c r="AI3" s="74" t="s">
        <v>39</v>
      </c>
      <c r="AJ3" s="64" t="s">
        <v>40</v>
      </c>
      <c r="AK3" s="84" t="s">
        <v>90</v>
      </c>
    </row>
    <row r="4" spans="1:37" x14ac:dyDescent="0.3">
      <c r="B4" s="70" t="s">
        <v>41</v>
      </c>
      <c r="C4" s="80">
        <f>AVERAGE('Struppen 1. Schnitt 2021'!U12,'Struppen 1. Schnitt 2021'!U21,'Struppen 1. Schnitt 2021'!U30,'Struppen 1. Schnitt 2021'!U39)</f>
        <v>0</v>
      </c>
      <c r="D4" s="57">
        <f>AVERAGE('Struppen 1. Schnitt 2021'!AC12,'Struppen 1. Schnitt 2021'!AC21,'Struppen 1. Schnitt 2021'!AC30,'Struppen 1. Schnitt 2021'!AC39)</f>
        <v>51.002737545445918</v>
      </c>
      <c r="E4" s="57">
        <f>AVERAGE('Struppen 1. Schnitt 2021'!AK12,'Struppen 1. Schnitt 2021'!AK21,'Struppen 1. Schnitt 2021'!AK30,'Struppen 1. Schnitt 2021'!AK39)</f>
        <v>0</v>
      </c>
      <c r="F4" s="67">
        <f>AVERAGE('Struppen 1. Schnitt 2021'!AQ12,'Struppen 1. Schnitt 2021'!AQ21,'Struppen 1. Schnitt 2021'!AQ30,'Struppen 1. Schnitt 2021'!AQ39)</f>
        <v>0.64023809694208533</v>
      </c>
      <c r="G4" s="57">
        <f>AVERAGE('Struppen 1. Schnitt 2021'!M12,'Struppen 1. Schnitt 2021'!M21,'Struppen 1. Schnitt 2021'!M30,'Struppen 1. Schnitt 2021'!M39)</f>
        <v>57.661963371445289</v>
      </c>
      <c r="H4" s="57"/>
      <c r="I4" s="80">
        <f>AVERAGE('Struppen 2. Schnitt 2021'!R12,'Struppen 2. Schnitt 2021'!R21,'Struppen 2. Schnitt 2021'!R30,'Struppen 2. Schnitt 2021'!R39)</f>
        <v>0</v>
      </c>
      <c r="J4" s="81">
        <f>AVERAGE('Struppen 2. Schnitt 2021'!X12,'Struppen 2. Schnitt 2021'!X21,'Struppen 2. Schnitt 2021'!X30,'Struppen 2. Schnitt 2021'!X39)</f>
        <v>34.608202867529194</v>
      </c>
      <c r="K4" s="81">
        <f>AVERAGE('Struppen 2. Schnitt 2021'!AD12,'Struppen 2. Schnitt 2021'!AD21,'Struppen 2. Schnitt 2021'!AD30,'Struppen 2. Schnitt 2021'!AD39)</f>
        <v>0</v>
      </c>
      <c r="L4" s="82">
        <f>AVERAGE('Struppen 2. Schnitt 2021'!AJ12,'Struppen 2. Schnitt 2021'!AJ21,'Struppen 2. Schnitt 2021'!AJ21,'Struppen 2. Schnitt 2021'!AJ39)</f>
        <v>0</v>
      </c>
      <c r="M4" s="81">
        <f>AVERAGE('Struppen 2. Schnitt 2021'!K12,'Struppen 2. Schnitt 2021'!K21,'Struppen 2. Schnitt 2021'!K30,'Struppen 2. Schnitt 2021'!K39)</f>
        <v>60.716790441076434</v>
      </c>
      <c r="N4" s="81"/>
      <c r="O4" s="80">
        <f>AVERAGE('Struppen 3. Schnitt 2021'!R12,'Struppen 3. Schnitt 2021'!R21,,'Struppen 3. Schnitt 2021'!R39)</f>
        <v>0</v>
      </c>
      <c r="P4" s="81">
        <f>AVERAGE('Struppen 3. Schnitt 2021'!X12,'Struppen 3. Schnitt 2021'!X21,'Struppen 3. Schnitt 2021'!X30,'Struppen 3. Schnitt 2021'!X39)</f>
        <v>0</v>
      </c>
      <c r="Q4" s="81">
        <f>AVERAGE('Struppen 3. Schnitt 2021'!AD12,'Struppen 3. Schnitt 2021'!AD21,'Struppen 3. Schnitt 2021'!AD30,'Struppen 3. Schnitt 2021'!AD39)</f>
        <v>0</v>
      </c>
      <c r="R4" s="82">
        <f>AVERAGE('Struppen 3. Schnitt 2021'!AJ12,'Struppen 3. Schnitt 2021'!AJ21,'Struppen 3. Schnitt 2021'!AJ21,'Struppen 3. Schnitt 2021'!AJ39)</f>
        <v>0</v>
      </c>
      <c r="S4" s="81">
        <f>AVERAGE('Struppen 3. Schnitt 2021'!K12,'Struppen 3. Schnitt 2021'!K21,'Struppen 3. Schnitt 2021'!K30,'Struppen 3. Schnitt 2021'!K39)</f>
        <v>0</v>
      </c>
      <c r="T4" s="57"/>
      <c r="U4" s="80">
        <f>AVERAGE('Bautzen 1. Schnitt 2021'!S12,'Bautzen 1. Schnitt 2021'!S21,'Bautzen 1. Schnitt 2021'!S30,'Bautzen 1. Schnitt 2021'!S39)</f>
        <v>0</v>
      </c>
      <c r="V4" s="81">
        <f>AVERAGE('Bautzen 1. Schnitt 2021'!Z12,'Bautzen 1. Schnitt 2021'!Z21,'Bautzen 1. Schnitt 2021'!Z30,'Bautzen 1. Schnitt 2021'!Z39)</f>
        <v>26.704648090118624</v>
      </c>
      <c r="W4" s="81">
        <f>AVERAGE('Bautzen 1. Schnitt 2021'!AG12,'Bautzen 1. Schnitt 2021'!AG21,'Bautzen 1. Schnitt 2021'!AG30,'Bautzen 1. Schnitt 2021'!AG39)</f>
        <v>0</v>
      </c>
      <c r="X4" s="82">
        <f>AVERAGE('Bautzen 1. Schnitt 2021'!AL12,'Bautzen 1. Schnitt 2021'!AL21,'Bautzen 1. Schnitt 2021'!AL30,'Bautzen 1. Schnitt 2021'!AL39)</f>
        <v>3.9557111208722713</v>
      </c>
      <c r="Y4" s="57">
        <f>AVERAGE('Bautzen 1. Schnitt 2021'!K12,'Bautzen 1. Schnitt 2021'!K21,'Bautzen 1. Schnitt 2021'!K30,'Bautzen 1. Schnitt 2021'!K39)</f>
        <v>50.752083644555498</v>
      </c>
      <c r="Z4" s="57"/>
      <c r="AA4" s="80">
        <f>AVERAGE('Bautzen 2. Schnitt 2021'!R12,'Bautzen 2. Schnitt 2021'!R21,'Bautzen 2. Schnitt 2021'!R30,'Bautzen 2. Schnitt 2021'!R39)</f>
        <v>0</v>
      </c>
      <c r="AB4" s="81">
        <f>AVERAGE('Bautzen 2. Schnitt 2021'!X12,'Bautzen 2. Schnitt 2021'!X21,'Bautzen 2. Schnitt 2021'!X30,'Bautzen 2. Schnitt 2021'!X39)</f>
        <v>18.439540980257853</v>
      </c>
      <c r="AC4" s="81">
        <f>AVERAGE('Bautzen 2. Schnitt 2021'!AD12,'Bautzen 2. Schnitt 2021'!AD21,'Bautzen 2. Schnitt 2021'!AD30,'Bautzen 2. Schnitt 2021'!AD39)</f>
        <v>0</v>
      </c>
      <c r="AD4" s="82">
        <f>AVERAGE('Bautzen 2. Schnitt 2021'!AJ12,'Bautzen 2. Schnitt 2021'!AJ21,'Bautzen 2. Schnitt 2021'!AJ30,'Bautzen 2. Schnitt 2021'!AJ39)</f>
        <v>0.5520746461532744</v>
      </c>
      <c r="AE4" s="57">
        <f>AVERAGE('Bautzen 2. Schnitt 2021'!K12,'Bautzen 2. Schnitt 2021'!K21,'Bautzen 2. Schnitt 2021'!K30,'Bautzen 2. Schnitt 2021'!K39)</f>
        <v>23.080021119617712</v>
      </c>
      <c r="AG4" s="80">
        <f>AVERAGE('Bautzen 3. Schnitt 2021'!R12,'Bautzen 3. Schnitt 2021'!R21,'Bautzen 3. Schnitt 2021'!R30,'Bautzen 3. Schnitt 2021'!R39)</f>
        <v>0</v>
      </c>
      <c r="AH4" s="81">
        <f>AVERAGE('Bautzen 3. Schnitt 2021'!X12,'Bautzen 3. Schnitt 2021'!X21,'Bautzen 3. Schnitt 2021'!X30,'Bautzen 3. Schnitt 2021'!X39)</f>
        <v>0</v>
      </c>
      <c r="AI4" s="81">
        <f>AVERAGE('Bautzen 3. Schnitt 2021'!AD12,'Bautzen 3. Schnitt 2021'!AD21,'Bautzen 3. Schnitt 2021'!AD30,'Bautzen 3. Schnitt 2021'!AD39)</f>
        <v>0</v>
      </c>
      <c r="AJ4" s="82"/>
      <c r="AK4" s="57">
        <f>AVERAGE('Bautzen 3. Schnitt 2021'!K12,'Bautzen 3. Schnitt 2021'!K21,'Bautzen 3. Schnitt 2021'!K30,'Bautzen 3. Schnitt 2021'!K39)</f>
        <v>-45.185185185185183</v>
      </c>
    </row>
    <row r="5" spans="1:37" x14ac:dyDescent="0.3">
      <c r="B5" s="70" t="s">
        <v>42</v>
      </c>
      <c r="C5" s="59">
        <f>AVERAGE('Struppen 1. Schnitt 2021'!U13,'Struppen 1. Schnitt 2021'!U22,'Struppen 1. Schnitt 2021'!U31,'Struppen 1. Schnitt 2021'!U40)</f>
        <v>0</v>
      </c>
      <c r="D5" s="57">
        <f>AVERAGE('Struppen 1. Schnitt 2021'!AC13,'Struppen 1. Schnitt 2021'!AC22,'Struppen 1. Schnitt 2021'!AC31,'Struppen 1. Schnitt 2021'!AC40)</f>
        <v>23.496233907451916</v>
      </c>
      <c r="E5" s="57">
        <f>AVERAGE('Struppen 1. Schnitt 2021'!AK13,'Struppen 1. Schnitt 2021'!AK22,'Struppen 1. Schnitt 2021'!AK31,'Struppen 1. Schnitt 2021'!AK40)</f>
        <v>51.636719541914609</v>
      </c>
      <c r="F5" s="67">
        <f>AVERAGE('Struppen 1. Schnitt 2021'!AQ13,'Struppen 1. Schnitt 2021'!AQ22,'Struppen 1. Schnitt 2021'!AQ31,'Struppen 1. Schnitt 2021'!AQ40)</f>
        <v>0.48845540559201772</v>
      </c>
      <c r="G5" s="57">
        <f>AVERAGE('Struppen 1. Schnitt 2021'!M13,'Struppen 1. Schnitt 2021'!M22,'Struppen 1. Schnitt 2021'!M31,'Struppen 1. Schnitt 2021'!M40)</f>
        <v>77.978000358183891</v>
      </c>
      <c r="H5" s="57"/>
      <c r="I5" s="80">
        <f>AVERAGE('Struppen 2. Schnitt 2021'!R13,'Struppen 2. Schnitt 2021'!R22,'Struppen 2. Schnitt 2021'!R31,'Struppen 2. Schnitt 2021'!R40)</f>
        <v>0</v>
      </c>
      <c r="J5" s="81">
        <f>AVERAGE('Struppen 2. Schnitt 2021'!X13,'Struppen 2. Schnitt 2021'!X22,'Struppen 2. Schnitt 2021'!X31,'Struppen 2. Schnitt 2021'!X40)</f>
        <v>16.929165221403668</v>
      </c>
      <c r="K5" s="81">
        <f>AVERAGE('Struppen 2. Schnitt 2021'!AD13,'Struppen 2. Schnitt 2021'!AD22,'Struppen 2. Schnitt 2021'!AD31,'Struppen 2. Schnitt 2021'!AD40)</f>
        <v>15.31168294569764</v>
      </c>
      <c r="L5" s="82">
        <f>AVERAGE('Struppen 2. Schnitt 2021'!AJ13,'Struppen 2. Schnitt 2021'!AJ22,'Struppen 2. Schnitt 2021'!AJ22,'Struppen 2. Schnitt 2021'!AJ40)</f>
        <v>0</v>
      </c>
      <c r="M5" s="81">
        <f>AVERAGE('Struppen 2. Schnitt 2021'!K13,'Struppen 2. Schnitt 2021'!K22,'Struppen 2. Schnitt 2021'!K31,'Struppen 2. Schnitt 2021'!K40)</f>
        <v>57.48414031830071</v>
      </c>
      <c r="N5" s="81"/>
      <c r="O5" s="80">
        <f>AVERAGE('Struppen 3. Schnitt 2021'!R13,'Struppen 3. Schnitt 2021'!R22,'Struppen 3. Schnitt 2021'!R31,'Struppen 3. Schnitt 2021'!R40)</f>
        <v>0</v>
      </c>
      <c r="P5" s="81">
        <f>AVERAGE('Struppen 3. Schnitt 2021'!X13,'Struppen 3. Schnitt 2021'!X22,'Struppen 3. Schnitt 2021'!X31,'Struppen 3. Schnitt 2021'!X40)</f>
        <v>0</v>
      </c>
      <c r="Q5" s="81">
        <f>AVERAGE('Struppen 3. Schnitt 2021'!AD13,'Struppen 3. Schnitt 2021'!AD22,'Struppen 3. Schnitt 2021'!AD31,'Struppen 3. Schnitt 2021'!AD40)</f>
        <v>0</v>
      </c>
      <c r="R5" s="82">
        <f>AVERAGE('Struppen 3. Schnitt 2021'!AJ13,'Struppen 3. Schnitt 2021'!AJ22,'Struppen 3. Schnitt 2021'!AJ22,'Struppen 3. Schnitt 2021'!AJ40)</f>
        <v>0</v>
      </c>
      <c r="S5" s="81">
        <f>AVERAGE('Struppen 3. Schnitt 2021'!K13,'Struppen 3. Schnitt 2021'!K22,'Struppen 3. Schnitt 2021'!K31,'Struppen 3. Schnitt 2021'!K40)</f>
        <v>0</v>
      </c>
      <c r="T5" s="57"/>
      <c r="U5" s="80">
        <f>AVERAGE('Bautzen 1. Schnitt 2021'!S13,'Bautzen 1. Schnitt 2021'!S22,'Bautzen 1. Schnitt 2021'!S31,'Bautzen 1. Schnitt 2021'!S40)</f>
        <v>0</v>
      </c>
      <c r="V5" s="81">
        <f>AVERAGE('Bautzen 1. Schnitt 2021'!Z13,'Bautzen 1. Schnitt 2021'!Z22,'Bautzen 1. Schnitt 2021'!Z31,'Bautzen 1. Schnitt 2021'!Z40)</f>
        <v>19.861453596417917</v>
      </c>
      <c r="W5" s="81">
        <f>AVERAGE('Bautzen 1. Schnitt 2021'!AG13,'Bautzen 1. Schnitt 2021'!AG22,'Bautzen 1. Schnitt 2021'!AG31,'Bautzen 1. Schnitt 2021'!AG40)</f>
        <v>16.673787136693296</v>
      </c>
      <c r="X5" s="82">
        <f>AVERAGE('Bautzen 1. Schnitt 2021'!AL13,'Bautzen 1. Schnitt 2021'!AL22,'Bautzen 1. Schnitt 2021'!AL31,'Bautzen 1. Schnitt 2021'!AL40)</f>
        <v>1.2866287687931455</v>
      </c>
      <c r="Y5" s="57">
        <f>AVERAGE('Bautzen 1. Schnitt 2021'!K13,'Bautzen 1. Schnitt 2021'!K22,'Bautzen 1. Schnitt 2021'!K31,'Bautzen 1. Schnitt 2021'!K40)</f>
        <v>54.761368783801231</v>
      </c>
      <c r="Z5" s="57"/>
      <c r="AA5" s="80">
        <f>AVERAGE('Bautzen 2. Schnitt 2021'!R13,'Bautzen 2. Schnitt 2021'!R22,'Bautzen 2. Schnitt 2021'!R31,'Bautzen 2. Schnitt 2021'!R40)</f>
        <v>0</v>
      </c>
      <c r="AB5" s="81">
        <f>AVERAGE('Bautzen 2. Schnitt 2021'!X13,'Bautzen 2. Schnitt 2021'!X22,'Bautzen 2. Schnitt 2021'!X31,'Bautzen 2. Schnitt 2021'!X40)</f>
        <v>15.810690296234291</v>
      </c>
      <c r="AC5" s="81">
        <f>AVERAGE('Bautzen 2. Schnitt 2021'!AD13,'Bautzen 2. Schnitt 2021'!AD22,'Bautzen 2. Schnitt 2021'!AD31,'Bautzen 2. Schnitt 2021'!AD40)</f>
        <v>5.2999702297627387</v>
      </c>
      <c r="AD5" s="82">
        <f>AVERAGE('Bautzen 2. Schnitt 2021'!AJ13,'Bautzen 2. Schnitt 2021'!AJ22,'Bautzen 2. Schnitt 2021'!AJ31,'Bautzen 2. Schnitt 2021'!AJ40)</f>
        <v>-6.5575523987808443E-2</v>
      </c>
      <c r="AE5" s="57">
        <f>AVERAGE('Bautzen 2. Schnitt 2021'!K13,'Bautzen 2. Schnitt 2021'!K22,'Bautzen 2. Schnitt 2021'!K31,'Bautzen 2. Schnitt 2021'!K40)</f>
        <v>45.501254735806008</v>
      </c>
      <c r="AG5" s="80">
        <f>AVERAGE('Bautzen 3. Schnitt 2021'!R13,'Bautzen 3. Schnitt 2021'!R22,'Bautzen 3. Schnitt 2021'!R31,'Bautzen 3. Schnitt 2021'!R40)</f>
        <v>0</v>
      </c>
      <c r="AH5" s="81">
        <f>AVERAGE('Bautzen 3. Schnitt 2021'!X13,'Bautzen 3. Schnitt 2021'!X22,'Bautzen 3. Schnitt 2021'!X31,'Bautzen 3. Schnitt 2021'!X40)</f>
        <v>0</v>
      </c>
      <c r="AI5" s="81">
        <f>AVERAGE('Bautzen 3. Schnitt 2021'!AD13,'Bautzen 3. Schnitt 2021'!AD22,'Bautzen 3. Schnitt 2021'!AD31,'Bautzen 3. Schnitt 2021'!AD40)</f>
        <v>0</v>
      </c>
      <c r="AJ5" s="82"/>
      <c r="AK5" s="57">
        <f>AVERAGE('Bautzen 3. Schnitt 2021'!K13,'Bautzen 3. Schnitt 2021'!K22,'Bautzen 3. Schnitt 2021'!K31,'Bautzen 3. Schnitt 2021'!K40)</f>
        <v>-45.185185185185183</v>
      </c>
    </row>
    <row r="6" spans="1:37" x14ac:dyDescent="0.3">
      <c r="B6" s="70" t="s">
        <v>43</v>
      </c>
      <c r="C6" s="59">
        <f>AVERAGE('Struppen 1. Schnitt 2021'!U14,'Struppen 1. Schnitt 2021'!U23,'Struppen 1. Schnitt 2021'!U32,'Struppen 1. Schnitt 2021'!U41)</f>
        <v>0</v>
      </c>
      <c r="D6" s="57">
        <f>AVERAGE('Struppen 1. Schnitt 2021'!AC14,'Struppen 1. Schnitt 2021'!AC23,'Struppen 1. Schnitt 2021'!AC32,'Struppen 1. Schnitt 2021'!AC41)</f>
        <v>7.7221478410561915</v>
      </c>
      <c r="E6" s="57">
        <f>AVERAGE('Struppen 1. Schnitt 2021'!AK14,'Struppen 1. Schnitt 2021'!AK23,'Struppen 1. Schnitt 2021'!AK32,'Struppen 1. Schnitt 2021'!AK41)</f>
        <v>56.184841140271352</v>
      </c>
      <c r="F6" s="67">
        <f>AVERAGE('Struppen 1. Schnitt 2021'!AQ14,'Struppen 1. Schnitt 2021'!AQ23,'Struppen 1. Schnitt 2021'!AQ32,'Struppen 1. Schnitt 2021'!AQ41)</f>
        <v>0.16421934615779196</v>
      </c>
      <c r="G6" s="57">
        <f>AVERAGE('Struppen 1. Schnitt 2021'!M14,'Struppen 1. Schnitt 2021'!M23,'Struppen 1. Schnitt 2021'!M32,'Struppen 1. Schnitt 2021'!M41)</f>
        <v>76.566845680178616</v>
      </c>
      <c r="H6" s="57"/>
      <c r="I6" s="80">
        <f>AVERAGE('Struppen 2. Schnitt 2021'!R14,'Struppen 2. Schnitt 2021'!R23,'Struppen 2. Schnitt 2021'!R32,'Struppen 2. Schnitt 2021'!R41)</f>
        <v>0</v>
      </c>
      <c r="J6" s="81">
        <f>AVERAGE('Struppen 2. Schnitt 2021'!X14,'Struppen 2. Schnitt 2021'!X23,'Struppen 2. Schnitt 2021'!X32,'Struppen 2. Schnitt 2021'!X41)</f>
        <v>8.2387385957728405</v>
      </c>
      <c r="K6" s="81">
        <f>AVERAGE('Struppen 2. Schnitt 2021'!AD14,'Struppen 2. Schnitt 2021'!AD23,'Struppen 2. Schnitt 2021'!AD32,'Struppen 2. Schnitt 2021'!AD41)</f>
        <v>18.744756324767678</v>
      </c>
      <c r="L6" s="82">
        <f>AVERAGE('Struppen 2. Schnitt 2021'!AJ14,'Struppen 2. Schnitt 2021'!AJ23,'Struppen 2. Schnitt 2021'!AJ23,'Struppen 2. Schnitt 2021'!AJ41)</f>
        <v>0</v>
      </c>
      <c r="M6" s="81">
        <f>AVERAGE('Struppen 2. Schnitt 2021'!K14,'Struppen 2. Schnitt 2021'!K23,'Struppen 2. Schnitt 2021'!K32,'Struppen 2. Schnitt 2021'!K41)</f>
        <v>47.593097582057666</v>
      </c>
      <c r="N6" s="81"/>
      <c r="O6" s="80">
        <f>AVERAGE('Struppen 3. Schnitt 2021'!R14,'Struppen 3. Schnitt 2021'!R23,'Struppen 3. Schnitt 2021'!R32,'Struppen 3. Schnitt 2021'!R41)</f>
        <v>0</v>
      </c>
      <c r="P6" s="81">
        <f>AVERAGE('Struppen 3. Schnitt 2021'!X14,'Struppen 3. Schnitt 2021'!X23,'Struppen 3. Schnitt 2021'!X32,'Struppen 3. Schnitt 2021'!X41)</f>
        <v>0</v>
      </c>
      <c r="Q6" s="81">
        <f>AVERAGE('Struppen 3. Schnitt 2021'!AD14,'Struppen 3. Schnitt 2021'!AD23,'Struppen 3. Schnitt 2021'!AD32,'Struppen 3. Schnitt 2021'!AD41)</f>
        <v>0</v>
      </c>
      <c r="R6" s="82">
        <f>AVERAGE('Struppen 3. Schnitt 2021'!AJ14,'Struppen 3. Schnitt 2021'!AJ23,'Struppen 3. Schnitt 2021'!AJ23,'Struppen 3. Schnitt 2021'!AJ41)</f>
        <v>0</v>
      </c>
      <c r="S6" s="81">
        <f>AVERAGE('Struppen 3. Schnitt 2021'!K14,'Struppen 3. Schnitt 2021'!K23,'Struppen 3. Schnitt 2021'!K32,'Struppen 3. Schnitt 2021'!K41)</f>
        <v>0</v>
      </c>
      <c r="T6" s="57"/>
      <c r="U6" s="80">
        <f>AVERAGE('Bautzen 1. Schnitt 2021'!S14,'Bautzen 1. Schnitt 2021'!S23,'Bautzen 1. Schnitt 2021'!S32,'Bautzen 1. Schnitt 2021'!S41)</f>
        <v>0</v>
      </c>
      <c r="V6" s="81">
        <f>AVERAGE('Bautzen 1. Schnitt 2021'!Z14,'Bautzen 1. Schnitt 2021'!Z23,'Bautzen 1. Schnitt 2021'!Z32,'Bautzen 1. Schnitt 2021'!Z41)</f>
        <v>14.390009250226312</v>
      </c>
      <c r="W6" s="81">
        <f>AVERAGE('Bautzen 1. Schnitt 2021'!AG14,'Bautzen 1. Schnitt 2021'!AG23,'Bautzen 1. Schnitt 2021'!AG32,'Bautzen 1. Schnitt 2021'!AG41)</f>
        <v>32.630072865073103</v>
      </c>
      <c r="X6" s="82">
        <f>AVERAGE('Bautzen 1. Schnitt 2021'!AL14,'Bautzen 1. Schnitt 2021'!AL23,'Bautzen 1. Schnitt 2021'!AL32,'Bautzen 1. Schnitt 2021'!AL41)</f>
        <v>0.94626369204969785</v>
      </c>
      <c r="Y6" s="57">
        <f>AVERAGE('Bautzen 1. Schnitt 2021'!K14,'Bautzen 1. Schnitt 2021'!K23,'Bautzen 1. Schnitt 2021'!K32,'Bautzen 1. Schnitt 2021'!K41)</f>
        <v>59.108633857323383</v>
      </c>
      <c r="Z6" s="57"/>
      <c r="AA6" s="80">
        <f>AVERAGE('Bautzen 2. Schnitt 2021'!R14,'Bautzen 2. Schnitt 2021'!R23,'Bautzen 2. Schnitt 2021'!R32,'Bautzen 2. Schnitt 2021'!R41)</f>
        <v>0</v>
      </c>
      <c r="AB6" s="81">
        <f>AVERAGE('Bautzen 2. Schnitt 2021'!X14,'Bautzen 2. Schnitt 2021'!X23,'Bautzen 2. Schnitt 2021'!X32,'Bautzen 2. Schnitt 2021'!X41)</f>
        <v>9.1185429169014593</v>
      </c>
      <c r="AC6" s="81">
        <f>AVERAGE('Bautzen 2. Schnitt 2021'!AD14,'Bautzen 2. Schnitt 2021'!AD23,'Bautzen 2. Schnitt 2021'!AD32,'Bautzen 2. Schnitt 2021'!AD41)</f>
        <v>6.9214773935479208</v>
      </c>
      <c r="AD6" s="82">
        <f>AVERAGE('Bautzen 2. Schnitt 2021'!AJ14,'Bautzen 2. Schnitt 2021'!AJ23,'Bautzen 2. Schnitt 2021'!AJ32,'Bautzen 2. Schnitt 2021'!AJ41)</f>
        <v>7.4558823529411846E-3</v>
      </c>
      <c r="AE6" s="57">
        <f>AVERAGE('Bautzen 2. Schnitt 2021'!K14,'Bautzen 2. Schnitt 2021'!K23,'Bautzen 2. Schnitt 2021'!K32,'Bautzen 2. Schnitt 2021'!K41)</f>
        <v>50.717224310146129</v>
      </c>
      <c r="AG6" s="80">
        <f>AVERAGE('Bautzen 3. Schnitt 2021'!R14,'Bautzen 3. Schnitt 2021'!R23,'Bautzen 3. Schnitt 2021'!R32,'Bautzen 3. Schnitt 2021'!R41)</f>
        <v>0</v>
      </c>
      <c r="AH6" s="81">
        <f>AVERAGE('Bautzen 3. Schnitt 2021'!X14,'Bautzen 3. Schnitt 2021'!X23,'Bautzen 3. Schnitt 2021'!X32,'Bautzen 3. Schnitt 2021'!X41)</f>
        <v>0</v>
      </c>
      <c r="AI6" s="81">
        <f>AVERAGE('Bautzen 3. Schnitt 2021'!AD14,'Bautzen 3. Schnitt 2021'!AD23,'Bautzen 3. Schnitt 2021'!AD32,'Bautzen 3. Schnitt 2021'!AD41)</f>
        <v>0</v>
      </c>
      <c r="AJ6" s="82"/>
      <c r="AK6" s="57">
        <f>AVERAGE('Bautzen 3. Schnitt 2021'!K14,'Bautzen 3. Schnitt 2021'!K23,'Bautzen 3. Schnitt 2021'!K32,'Bautzen 3. Schnitt 2021'!K41)</f>
        <v>-45.185185185185183</v>
      </c>
    </row>
    <row r="7" spans="1:37" x14ac:dyDescent="0.3">
      <c r="B7" s="70" t="s">
        <v>44</v>
      </c>
      <c r="C7" s="59">
        <f>AVERAGE('Struppen 1. Schnitt 2021'!U15,'Struppen 1. Schnitt 2021'!U24,'Struppen 1. Schnitt 2021'!U33,'Struppen 1. Schnitt 2021'!U42)</f>
        <v>0</v>
      </c>
      <c r="D7" s="57">
        <f>AVERAGE('Struppen 1. Schnitt 2021'!AC15,'Struppen 1. Schnitt 2021'!AC24,'Struppen 1. Schnitt 2021'!AC33,'Struppen 1. Schnitt 2021'!AC42)</f>
        <v>0.64291265614289284</v>
      </c>
      <c r="E7" s="57">
        <f>AVERAGE('Struppen 1. Schnitt 2021'!AK15,'Struppen 1. Schnitt 2021'!AK24,'Struppen 1. Schnitt 2021'!AK33,'Struppen 1. Schnitt 2021'!AK42)</f>
        <v>77.722394910785823</v>
      </c>
      <c r="F7" s="67">
        <f>AVERAGE('Struppen 1. Schnitt 2021'!AQ15,'Struppen 1. Schnitt 2021'!AQ24,'Struppen 1. Schnitt 2021'!AQ33,'Struppen 1. Schnitt 2021'!AQ42)</f>
        <v>0.2801576487289954</v>
      </c>
      <c r="G7" s="57">
        <f>AVERAGE('Struppen 1. Schnitt 2021'!M15,'Struppen 1. Schnitt 2021'!M24,'Struppen 1. Schnitt 2021'!M33,'Struppen 1. Schnitt 2021'!M42)</f>
        <v>77.816075206362555</v>
      </c>
      <c r="H7" s="57"/>
      <c r="I7" s="80">
        <f>AVERAGE('Struppen 2. Schnitt 2021'!R15,'Struppen 2. Schnitt 2021'!R24,'Struppen 2. Schnitt 2021'!R33,'Struppen 2. Schnitt 2021'!R42)</f>
        <v>0</v>
      </c>
      <c r="J7" s="81">
        <f>AVERAGE('Struppen 2. Schnitt 2021'!X15,'Struppen 2. Schnitt 2021'!X24,'Struppen 2. Schnitt 2021'!X33,'Struppen 2. Schnitt 2021'!X42)</f>
        <v>2.3627773865233399</v>
      </c>
      <c r="K7" s="81">
        <f>AVERAGE('Struppen 2. Schnitt 2021'!AD15,'Struppen 2. Schnitt 2021'!AD24,'Struppen 2. Schnitt 2021'!AD33,'Struppen 2. Schnitt 2021'!AD42)</f>
        <v>17.982696604476999</v>
      </c>
      <c r="L7" s="82">
        <f>AVERAGE('Struppen 2. Schnitt 2021'!AJ15,'Struppen 2. Schnitt 2021'!AJ24,'Struppen 2. Schnitt 2021'!AJ24,'Struppen 2. Schnitt 2021'!AJ42)</f>
        <v>0</v>
      </c>
      <c r="M7" s="81">
        <f>AVERAGE('Struppen 2. Schnitt 2021'!K15,'Struppen 2. Schnitt 2021'!K24,'Struppen 2. Schnitt 2021'!K33,'Struppen 2. Schnitt 2021'!K42)</f>
        <v>38.801484096262215</v>
      </c>
      <c r="N7" s="81"/>
      <c r="O7" s="80">
        <f>AVERAGE('Struppen 3. Schnitt 2021'!R15,'Struppen 3. Schnitt 2021'!R24,'Struppen 3. Schnitt 2021'!R33,'Struppen 3. Schnitt 2021'!R42)</f>
        <v>0</v>
      </c>
      <c r="P7" s="81">
        <f>AVERAGE('Struppen 3. Schnitt 2021'!X15,'Struppen 3. Schnitt 2021'!X24,'Struppen 3. Schnitt 2021'!X33,'Struppen 3. Schnitt 2021'!X42)</f>
        <v>0</v>
      </c>
      <c r="Q7" s="81">
        <f>AVERAGE('Struppen 3. Schnitt 2021'!AD15,'Struppen 3. Schnitt 2021'!AD24,'Struppen 3. Schnitt 2021'!AD33,'Struppen 3. Schnitt 2021'!AD42)</f>
        <v>0</v>
      </c>
      <c r="R7" s="82">
        <f>AVERAGE('Struppen 3. Schnitt 2021'!AJ15,'Struppen 3. Schnitt 2021'!AJ24,'Struppen 3. Schnitt 2021'!AJ24,'Struppen 3. Schnitt 2021'!AJ42)</f>
        <v>0</v>
      </c>
      <c r="S7" s="81">
        <f>AVERAGE('Struppen 3. Schnitt 2021'!K15,'Struppen 3. Schnitt 2021'!K24,'Struppen 3. Schnitt 2021'!K33,'Struppen 3. Schnitt 2021'!K42)</f>
        <v>0</v>
      </c>
      <c r="T7" s="57"/>
      <c r="U7" s="80">
        <f>AVERAGE('Bautzen 1. Schnitt 2021'!S15,'Bautzen 1. Schnitt 2021'!S24,'Bautzen 1. Schnitt 2021'!S33,'Bautzen 1. Schnitt 2021'!S42)</f>
        <v>0</v>
      </c>
      <c r="V7" s="81">
        <f>AVERAGE('Bautzen 1. Schnitt 2021'!Z15,'Bautzen 1. Schnitt 2021'!Z24,'Bautzen 1. Schnitt 2021'!Z33,'Bautzen 1. Schnitt 2021'!Z42)</f>
        <v>5.3060738493924937</v>
      </c>
      <c r="W7" s="81">
        <f>AVERAGE('Bautzen 1. Schnitt 2021'!AG15,'Bautzen 1. Schnitt 2021'!AG24,'Bautzen 1. Schnitt 2021'!AG33,'Bautzen 1. Schnitt 2021'!AG42)</f>
        <v>24.943008134874461</v>
      </c>
      <c r="X7" s="82">
        <f>AVERAGE('Bautzen 1. Schnitt 2021'!AL15,'Bautzen 1. Schnitt 2021'!AL24,'Bautzen 1. Schnitt 2021'!AL33,'Bautzen 1. Schnitt 2021'!AL42)</f>
        <v>0.73516063991889924</v>
      </c>
      <c r="Y7" s="57">
        <f>AVERAGE('Bautzen 1. Schnitt 2021'!K15,'Bautzen 1. Schnitt 2021'!K24,'Bautzen 1. Schnitt 2021'!K33,'Bautzen 1. Schnitt 2021'!K42)</f>
        <v>47.662047456210395</v>
      </c>
      <c r="Z7" s="57"/>
      <c r="AA7" s="80">
        <f>AVERAGE('Bautzen 2. Schnitt 2021'!R15,'Bautzen 2. Schnitt 2021'!R24,'Bautzen 2. Schnitt 2021'!R33,'Bautzen 2. Schnitt 2021'!R42)</f>
        <v>0</v>
      </c>
      <c r="AB7" s="81">
        <f>AVERAGE('Bautzen 2. Schnitt 2021'!X15,'Bautzen 2. Schnitt 2021'!X24,'Bautzen 2. Schnitt 2021'!X33,'Bautzen 2. Schnitt 2021'!X42)</f>
        <v>6.2049973117679986</v>
      </c>
      <c r="AC7" s="81">
        <f>AVERAGE('Bautzen 2. Schnitt 2021'!AD15,'Bautzen 2. Schnitt 2021'!AD24,'Bautzen 2. Schnitt 2021'!AD33,'Bautzen 2. Schnitt 2021'!AD42)</f>
        <v>8.6323628958895053</v>
      </c>
      <c r="AD7" s="82">
        <f>AVERAGE('Bautzen 2. Schnitt 2021'!AJ15,'Bautzen 2. Schnitt 2021'!AJ24,'Bautzen 2. Schnitt 2021'!AJ33,'Bautzen 2. Schnitt 2021'!AJ42)</f>
        <v>5.3827586206896538E-2</v>
      </c>
      <c r="AE7" s="57">
        <f>AVERAGE('Bautzen 2. Schnitt 2021'!K15,'Bautzen 2. Schnitt 2021'!K24,'Bautzen 2. Schnitt 2021'!K33,'Bautzen 2. Schnitt 2021'!K42)</f>
        <v>48.431720498793872</v>
      </c>
      <c r="AG7" s="80">
        <f>AVERAGE('Bautzen 3. Schnitt 2021'!R15,'Bautzen 3. Schnitt 2021'!R24,'Bautzen 3. Schnitt 2021'!R33,'Bautzen 3. Schnitt 2021'!R42)</f>
        <v>0</v>
      </c>
      <c r="AH7" s="81">
        <f>AVERAGE('Bautzen 3. Schnitt 2021'!X15,'Bautzen 3. Schnitt 2021'!X24,'Bautzen 3. Schnitt 2021'!X33,'Bautzen 3. Schnitt 2021'!X42)</f>
        <v>0</v>
      </c>
      <c r="AI7" s="81">
        <f>AVERAGE('Bautzen 3. Schnitt 2021'!AD15,'Bautzen 3. Schnitt 2021'!AD24,'Bautzen 3. Schnitt 2021'!AD33,'Bautzen 3. Schnitt 2021'!AD42)</f>
        <v>0</v>
      </c>
      <c r="AJ7" s="82"/>
      <c r="AK7" s="57">
        <f>AVERAGE('Bautzen 3. Schnitt 2021'!K15,'Bautzen 3. Schnitt 2021'!K24,'Bautzen 3. Schnitt 2021'!K33,'Bautzen 3. Schnitt 2021'!K42)</f>
        <v>-45.185185185185183</v>
      </c>
    </row>
    <row r="8" spans="1:37" x14ac:dyDescent="0.3">
      <c r="B8" s="71" t="s">
        <v>45</v>
      </c>
      <c r="C8" s="59">
        <f>AVERAGE('Struppen 1. Schnitt 2021'!U16,'Struppen 1. Schnitt 2021'!U25,'Struppen 1. Schnitt 2021'!U34,'Struppen 1. Schnitt 2021'!U43)</f>
        <v>0</v>
      </c>
      <c r="D8" s="81">
        <f>AVERAGE('Struppen 1. Schnitt 2021'!AC16,'Struppen 1. Schnitt 2021'!AC25,'Struppen 1. Schnitt 2021'!AC34,'Struppen 1. Schnitt 2021'!AC43)</f>
        <v>0</v>
      </c>
      <c r="E8" s="57">
        <f>AVERAGE('Struppen 1. Schnitt 2021'!AK16,'Struppen 1. Schnitt 2021'!AK25,'Struppen 1. Schnitt 2021'!AK34,'Struppen 1. Schnitt 2021'!AK43)</f>
        <v>55.799283190090435</v>
      </c>
      <c r="F8" s="67">
        <f>AVERAGE('Struppen 1. Schnitt 2021'!AQ16,'Struppen 1. Schnitt 2021'!AQ25,'Struppen 1. Schnitt 2021'!AQ34,'Struppen 1. Schnitt 2021'!AQ43)</f>
        <v>0.24084915546083849</v>
      </c>
      <c r="G8" s="57">
        <f>AVERAGE('Struppen 1. Schnitt 2021'!M16,'Struppen 1. Schnitt 2021'!M25,'Struppen 1. Schnitt 2021'!M34,'Struppen 1. Schnitt 2021'!M43)</f>
        <v>79.32083234288848</v>
      </c>
      <c r="H8" s="57"/>
      <c r="I8" s="80">
        <f>AVERAGE('Struppen 2. Schnitt 2021'!R16,'Struppen 2. Schnitt 2021'!R25,'Struppen 2. Schnitt 2021'!R34,'Struppen 2. Schnitt 2021'!R43)</f>
        <v>0</v>
      </c>
      <c r="J8" s="81">
        <f>AVERAGE('Struppen 2. Schnitt 2021'!X16,'Struppen 2. Schnitt 2021'!X25,'Struppen 2. Schnitt 2021'!X34,'Struppen 2. Schnitt 2021'!X43)</f>
        <v>0</v>
      </c>
      <c r="K8" s="81">
        <f>AVERAGE('Struppen 2. Schnitt 2021'!AD16,'Struppen 2. Schnitt 2021'!AD25,'Struppen 2. Schnitt 2021'!AD34,'Struppen 2. Schnitt 2021'!AD43)</f>
        <v>18.622019989569409</v>
      </c>
      <c r="L8" s="82">
        <f>AVERAGE('Struppen 2. Schnitt 2021'!AJ16,'Struppen 2. Schnitt 2021'!AJ25,'Struppen 2. Schnitt 2021'!AJ25,'Struppen 2. Schnitt 2021'!AJ43)</f>
        <v>0</v>
      </c>
      <c r="M8" s="81">
        <f>AVERAGE('Struppen 2. Schnitt 2021'!K16,'Struppen 2. Schnitt 2021'!K25,'Struppen 2. Schnitt 2021'!K34,'Struppen 2. Schnitt 2021'!K43)</f>
        <v>33.69958003563179</v>
      </c>
      <c r="N8" s="81"/>
      <c r="O8" s="80">
        <f>AVERAGE('Struppen 3. Schnitt 2021'!R16,'Struppen 3. Schnitt 2021'!R25,'Struppen 3. Schnitt 2021'!R34,'Struppen 3. Schnitt 2021'!R43)</f>
        <v>0</v>
      </c>
      <c r="P8" s="81">
        <f>AVERAGE('Struppen 3. Schnitt 2021'!X16,'Struppen 3. Schnitt 2021'!X25,'Struppen 3. Schnitt 2021'!X34,'Struppen 3. Schnitt 2021'!X43)</f>
        <v>0</v>
      </c>
      <c r="Q8" s="81">
        <f>AVERAGE('Struppen 3. Schnitt 2021'!AD16,'Struppen 3. Schnitt 2021'!AD25,'Struppen 3. Schnitt 2021'!AD34,'Struppen 3. Schnitt 2021'!AD43)</f>
        <v>0</v>
      </c>
      <c r="R8" s="82">
        <f>AVERAGE('Struppen 3. Schnitt 2021'!AJ16,'Struppen 3. Schnitt 2021'!AJ25,'Struppen 3. Schnitt 2021'!AJ25,'Struppen 3. Schnitt 2021'!AJ43)</f>
        <v>0</v>
      </c>
      <c r="S8" s="81">
        <f>AVERAGE('Struppen 3. Schnitt 2021'!K16,'Struppen 3. Schnitt 2021'!K25,'Struppen 3. Schnitt 2021'!K34,'Struppen 3. Schnitt 2021'!K43)</f>
        <v>0</v>
      </c>
      <c r="T8" s="57"/>
      <c r="U8" s="80">
        <f>AVERAGE('Bautzen 1. Schnitt 2021'!S16,'Bautzen 1. Schnitt 2021'!S25,'Bautzen 1. Schnitt 2021'!S34,'Bautzen 1. Schnitt 2021'!S43)</f>
        <v>0</v>
      </c>
      <c r="V8" s="81">
        <f>AVERAGE('Bautzen 1. Schnitt 2021'!Z16,'Bautzen 1. Schnitt 2021'!Z25,'Bautzen 1. Schnitt 2021'!Z34,'Bautzen 1. Schnitt 2021'!Z43)</f>
        <v>0</v>
      </c>
      <c r="W8" s="81">
        <f>AVERAGE('Bautzen 1. Schnitt 2021'!AG16,'Bautzen 1. Schnitt 2021'!AG25,'Bautzen 1. Schnitt 2021'!AG34,'Bautzen 1. Schnitt 2021'!AG43)</f>
        <v>29.407920437376905</v>
      </c>
      <c r="X8" s="82">
        <f>AVERAGE('Bautzen 1. Schnitt 2021'!AL16,'Bautzen 1. Schnitt 2021'!AL25,'Bautzen 1. Schnitt 2021'!AL34,'Bautzen 1. Schnitt 2021'!AL43)</f>
        <v>0.42181139394862177</v>
      </c>
      <c r="Y8" s="57">
        <f>AVERAGE('Bautzen 1. Schnitt 2021'!K16,'Bautzen 1. Schnitt 2021'!K25,'Bautzen 1. Schnitt 2021'!K34,'Bautzen 1. Schnitt 2021'!K43)</f>
        <v>41.083066417534695</v>
      </c>
      <c r="Z8" s="57"/>
      <c r="AA8" s="80">
        <f>AVERAGE('Bautzen 2. Schnitt 2021'!R16,'Bautzen 2. Schnitt 2021'!R25,'Bautzen 2. Schnitt 2021'!R34,'Bautzen 2. Schnitt 2021'!R43)</f>
        <v>0</v>
      </c>
      <c r="AB8" s="81">
        <f>AVERAGE('Bautzen 2. Schnitt 2021'!X16,'Bautzen 2. Schnitt 2021'!X25,'Bautzen 2. Schnitt 2021'!X34,'Bautzen 2. Schnitt 2021'!X43)</f>
        <v>0</v>
      </c>
      <c r="AC8" s="81">
        <f>AVERAGE('Bautzen 2. Schnitt 2021'!AD16,'Bautzen 2. Schnitt 2021'!AD25,'Bautzen 2. Schnitt 2021'!AD34,'Bautzen 2. Schnitt 2021'!AD43)</f>
        <v>12.392084824502499</v>
      </c>
      <c r="AD8" s="82">
        <f>AVERAGE('Bautzen 2. Schnitt 2021'!AJ16,'Bautzen 2. Schnitt 2021'!AJ25,'Bautzen 2. Schnitt 2021'!AJ34,'Bautzen 2. Schnitt 2021'!AJ43)</f>
        <v>0.28632166083041521</v>
      </c>
      <c r="AE8" s="57">
        <f>AVERAGE('Bautzen 2. Schnitt 2021'!K16,'Bautzen 2. Schnitt 2021'!K25,'Bautzen 2. Schnitt 2021'!K34,'Bautzen 2. Schnitt 2021'!K43)</f>
        <v>45.730222377465537</v>
      </c>
      <c r="AG8" s="80">
        <f>AVERAGE('Bautzen 3. Schnitt 2021'!R16,'Bautzen 3. Schnitt 2021'!R25,'Bautzen 3. Schnitt 2021'!R34,'Bautzen 3. Schnitt 2021'!R43)</f>
        <v>0</v>
      </c>
      <c r="AH8" s="81">
        <f>AVERAGE('Bautzen 3. Schnitt 2021'!X16,'Bautzen 3. Schnitt 2021'!X25,'Bautzen 3. Schnitt 2021'!X34,'Bautzen 3. Schnitt 2021'!X43)</f>
        <v>0</v>
      </c>
      <c r="AI8" s="81">
        <f>AVERAGE('Bautzen 3. Schnitt 2021'!AD16,'Bautzen 3. Schnitt 2021'!AD25,'Bautzen 3. Schnitt 2021'!AD34,'Bautzen 3. Schnitt 2021'!AD43)</f>
        <v>0</v>
      </c>
      <c r="AJ8" s="82"/>
      <c r="AK8" s="57">
        <f>AVERAGE('Bautzen 3. Schnitt 2021'!K16,'Bautzen 3. Schnitt 2021'!K25,'Bautzen 3. Schnitt 2021'!K34,'Bautzen 3. Schnitt 2021'!K43)</f>
        <v>-45.185185185185183</v>
      </c>
    </row>
    <row r="9" spans="1:37" x14ac:dyDescent="0.3">
      <c r="B9" s="70" t="s">
        <v>46</v>
      </c>
      <c r="C9" s="59">
        <f>AVERAGE('Struppen 1. Schnitt 2021'!U17,'Struppen 1. Schnitt 2021'!U26,'Struppen 1. Schnitt 2021'!U35,'Struppen 1. Schnitt 2021'!U44)</f>
        <v>9.5490298145646051</v>
      </c>
      <c r="D9" s="57">
        <f>AVERAGE('Struppen 1. Schnitt 2021'!AC17,'Struppen 1. Schnitt 2021'!AC26,'Struppen 1. Schnitt 2021'!AC35,'Struppen 1. Schnitt 2021'!AC44)</f>
        <v>38.845783508656723</v>
      </c>
      <c r="E9" s="57">
        <f>AVERAGE('Struppen 1. Schnitt 2021'!AK17,'Struppen 1. Schnitt 2021'!AK26,'Struppen 1. Schnitt 2021'!AK35,'Struppen 1. Schnitt 2021'!AK44)</f>
        <v>0</v>
      </c>
      <c r="F9" s="67">
        <f>AVERAGE('Struppen 1. Schnitt 2021'!AQ17,'Struppen 1. Schnitt 2021'!AQ26,'Struppen 1. Schnitt 2021'!AQ35,'Struppen 1. Schnitt 2021'!AQ44)</f>
        <v>0.57445288096340708</v>
      </c>
      <c r="G9" s="57">
        <f>AVERAGE('Struppen 1. Schnitt 2021'!M17,'Struppen 1. Schnitt 2021'!M26,'Struppen 1. Schnitt 2021'!M35,'Struppen 1. Schnitt 2021'!M44)</f>
        <v>83.425781535213588</v>
      </c>
      <c r="H9" s="57"/>
      <c r="I9" s="80">
        <f>AVERAGE('Struppen 2. Schnitt 2021'!R17,'Struppen 2. Schnitt 2021'!R26,'Struppen 2. Schnitt 2021'!R35,'Struppen 2. Schnitt 2021'!R44)</f>
        <v>10.816684511156696</v>
      </c>
      <c r="J9" s="81">
        <f>AVERAGE('Struppen 2. Schnitt 2021'!X17,'Struppen 2. Schnitt 2021'!X26,'Struppen 2. Schnitt 2021'!X35,'Struppen 2. Schnitt 2021'!X44)</f>
        <v>26.322281294443446</v>
      </c>
      <c r="K9" s="81">
        <f>AVERAGE('Struppen 2. Schnitt 2021'!AD17,'Struppen 2. Schnitt 2021'!AD26,'Struppen 2. Schnitt 2021'!AD35,'Struppen 2. Schnitt 2021'!AD44)</f>
        <v>0</v>
      </c>
      <c r="L9" s="82">
        <f>AVERAGE('Struppen 2. Schnitt 2021'!AJ17,'Struppen 2. Schnitt 2021'!AJ26,'Struppen 2. Schnitt 2021'!AJ26,'Struppen 2. Schnitt 2021'!AJ44)</f>
        <v>0</v>
      </c>
      <c r="M9" s="81">
        <f>AVERAGE('Struppen 2. Schnitt 2021'!K17,'Struppen 2. Schnitt 2021'!K26,'Struppen 2. Schnitt 2021'!K35,'Struppen 2. Schnitt 2021'!K44)</f>
        <v>73.662875815517225</v>
      </c>
      <c r="N9" s="81"/>
      <c r="O9" s="80">
        <f>AVERAGE('Struppen 3. Schnitt 2021'!R17,'Struppen 3. Schnitt 2021'!R26,'Struppen 3. Schnitt 2021'!R35,'Struppen 3. Schnitt 2021'!R44)</f>
        <v>0</v>
      </c>
      <c r="P9" s="81">
        <f>AVERAGE('Struppen 3. Schnitt 2021'!X17,'Struppen 3. Schnitt 2021'!X26,'Struppen 3. Schnitt 2021'!X35,'Struppen 3. Schnitt 2021'!X44)</f>
        <v>0</v>
      </c>
      <c r="Q9" s="81">
        <f>AVERAGE('Struppen 3. Schnitt 2021'!AD17,'Struppen 3. Schnitt 2021'!AD26,'Struppen 3. Schnitt 2021'!AD35,'Struppen 3. Schnitt 2021'!AD44)</f>
        <v>0</v>
      </c>
      <c r="R9" s="82">
        <f>AVERAGE('Struppen 3. Schnitt 2021'!AJ17,'Struppen 3. Schnitt 2021'!AJ26,'Struppen 3. Schnitt 2021'!AJ26,'Struppen 3. Schnitt 2021'!AJ44)</f>
        <v>0</v>
      </c>
      <c r="S9" s="81">
        <f>AVERAGE('Struppen 3. Schnitt 2021'!K17,'Struppen 3. Schnitt 2021'!K26,'Struppen 3. Schnitt 2021'!K35,'Struppen 3. Schnitt 2021'!K44)</f>
        <v>0</v>
      </c>
      <c r="T9" s="57"/>
      <c r="U9" s="80">
        <f>AVERAGE('Bautzen 1. Schnitt 2021'!S17,'Bautzen 1. Schnitt 2021'!S26,'Bautzen 1. Schnitt 2021'!S35,'Bautzen 1. Schnitt 2021'!S44)</f>
        <v>10.097196821317072</v>
      </c>
      <c r="V9" s="81">
        <f>AVERAGE('Bautzen 1. Schnitt 2021'!Z17,'Bautzen 1. Schnitt 2021'!Z26,'Bautzen 1. Schnitt 2021'!Z35,'Bautzen 1. Schnitt 2021'!Z44)</f>
        <v>28.483880926242833</v>
      </c>
      <c r="W9" s="81">
        <f>AVERAGE('Bautzen 1. Schnitt 2021'!AG17,'Bautzen 1. Schnitt 2021'!AG26,'Bautzen 1. Schnitt 2021'!AG35,'Bautzen 1. Schnitt 2021'!AG44)</f>
        <v>0</v>
      </c>
      <c r="X9" s="82">
        <f>AVERAGE('Bautzen 1. Schnitt 2021'!AL17,'Bautzen 1. Schnitt 2021'!AL26,'Bautzen 1. Schnitt 2021'!AL35,'Bautzen 1. Schnitt 2021'!AL44)</f>
        <v>2.761549613890681</v>
      </c>
      <c r="Y9" s="57">
        <f>AVERAGE('Bautzen 1. Schnitt 2021'!K17,'Bautzen 1. Schnitt 2021'!K26,'Bautzen 1. Schnitt 2021'!K35,'Bautzen 1. Schnitt 2021'!K44)</f>
        <v>49.958544648946976</v>
      </c>
      <c r="Z9" s="57"/>
      <c r="AA9" s="80">
        <f>AVERAGE('Bautzen 2. Schnitt 2021'!R17,'Bautzen 2. Schnitt 2021'!R26,'Bautzen 2. Schnitt 2021'!R35,'Bautzen 2. Schnitt 2021'!R44)</f>
        <v>4.1440620987645564</v>
      </c>
      <c r="AB9" s="81">
        <f>AVERAGE('Bautzen 2. Schnitt 2021'!X17,'Bautzen 2. Schnitt 2021'!X26,'Bautzen 2. Schnitt 2021'!X35,'Bautzen 2. Schnitt 2021'!X44)</f>
        <v>11.735733680617301</v>
      </c>
      <c r="AC9" s="81">
        <f>AVERAGE('Bautzen 2. Schnitt 2021'!AD17,'Bautzen 2. Schnitt 2021'!AD26,'Bautzen 2. Schnitt 2021'!AD35,'Bautzen 2. Schnitt 2021'!AD44)</f>
        <v>0</v>
      </c>
      <c r="AD9" s="82">
        <f>AVERAGE('Bautzen 2. Schnitt 2021'!AJ17,'Bautzen 2. Schnitt 2021'!AJ26,'Bautzen 2. Schnitt 2021'!AJ35,'Bautzen 2. Schnitt 2021'!AJ44)</f>
        <v>0.35060149632975723</v>
      </c>
      <c r="AE9" s="57">
        <f>AVERAGE('Bautzen 2. Schnitt 2021'!K17,'Bautzen 2. Schnitt 2021'!K26,'Bautzen 2. Schnitt 2021'!K35,'Bautzen 2. Schnitt 2021'!K44)</f>
        <v>28.502278728768712</v>
      </c>
      <c r="AG9" s="80">
        <f>AVERAGE('Bautzen 3. Schnitt 2021'!R17,'Bautzen 3. Schnitt 2021'!R26,'Bautzen 3. Schnitt 2021'!R35,'Bautzen 3. Schnitt 2021'!R44)</f>
        <v>0</v>
      </c>
      <c r="AH9" s="81">
        <f>AVERAGE('Bautzen 3. Schnitt 2021'!X17,'Bautzen 3. Schnitt 2021'!X26,'Bautzen 3. Schnitt 2021'!X35,'Bautzen 3. Schnitt 2021'!X44)</f>
        <v>0</v>
      </c>
      <c r="AI9" s="81">
        <f>AVERAGE('Bautzen 3. Schnitt 2021'!AD17,'Bautzen 3. Schnitt 2021'!AD26,'Bautzen 3. Schnitt 2021'!AD35,'Bautzen 3. Schnitt 2021'!AD44)</f>
        <v>0</v>
      </c>
      <c r="AJ9" s="82"/>
      <c r="AK9" s="57">
        <f>AVERAGE('Bautzen 3. Schnitt 2021'!K17,'Bautzen 3. Schnitt 2021'!K26,'Bautzen 3. Schnitt 2021'!K35,'Bautzen 3. Schnitt 2021'!K44)</f>
        <v>-45.185185185185183</v>
      </c>
    </row>
    <row r="10" spans="1:37" x14ac:dyDescent="0.3">
      <c r="B10" s="70" t="s">
        <v>47</v>
      </c>
      <c r="C10" s="59">
        <f>AVERAGE('Struppen 1. Schnitt 2021'!U18,'Struppen 1. Schnitt 2021'!U27,'Struppen 1. Schnitt 2021'!U36,'Struppen 1. Schnitt 2021'!U45)</f>
        <v>20.417685002075686</v>
      </c>
      <c r="D10" s="57">
        <f>AVERAGE('Struppen 1. Schnitt 2021'!AC18,'Struppen 1. Schnitt 2021'!AC27,'Struppen 1. Schnitt 2021'!AC36,'Struppen 1. Schnitt 2021'!AC45)</f>
        <v>26.41948323681909</v>
      </c>
      <c r="E10" s="57">
        <f>AVERAGE('Struppen 1. Schnitt 2021'!AK18,'Struppen 1. Schnitt 2021'!AK27,'Struppen 1. Schnitt 2021'!AK36,'Struppen 1. Schnitt 2021'!AK45)</f>
        <v>0</v>
      </c>
      <c r="F10" s="67">
        <f>AVERAGE('Struppen 1. Schnitt 2021'!AQ18,'Struppen 1. Schnitt 2021'!AQ27,'Struppen 1. Schnitt 2021'!AQ36,'Struppen 1. Schnitt 2021'!AQ45)</f>
        <v>0.37816001084593553</v>
      </c>
      <c r="G10" s="57">
        <f>AVERAGE('Struppen 1. Schnitt 2021'!M18,'Struppen 1. Schnitt 2021'!M27,'Struppen 1. Schnitt 2021'!M36,'Struppen 1. Schnitt 2021'!M45)</f>
        <v>53.22714348193503</v>
      </c>
      <c r="H10" s="57"/>
      <c r="I10" s="80">
        <f>AVERAGE('Struppen 2. Schnitt 2021'!R18,'Struppen 2. Schnitt 2021'!R27,'Struppen 2. Schnitt 2021'!R36,'Struppen 2. Schnitt 2021'!R45)</f>
        <v>19.874814146100206</v>
      </c>
      <c r="J10" s="81">
        <f>AVERAGE('Struppen 2. Schnitt 2021'!X18,'Struppen 2. Schnitt 2021'!X27,'Struppen 2. Schnitt 2021'!X36,'Struppen 2. Schnitt 2021'!X45)</f>
        <v>15.180368743483481</v>
      </c>
      <c r="K10" s="81">
        <f>AVERAGE('Struppen 2. Schnitt 2021'!AD18,'Struppen 2. Schnitt 2021'!AD27,'Struppen 2. Schnitt 2021'!AD36,'Struppen 2. Schnitt 2021'!AD45)</f>
        <v>0</v>
      </c>
      <c r="L10" s="82">
        <f>AVERAGE('Struppen 2. Schnitt 2021'!AJ18,'Struppen 2. Schnitt 2021'!AJ27,'Struppen 2. Schnitt 2021'!AJ27,'Struppen 2. Schnitt 2021'!AJ45)</f>
        <v>0</v>
      </c>
      <c r="M10" s="81">
        <f>AVERAGE('Struppen 2. Schnitt 2021'!K18,'Struppen 2. Schnitt 2021'!K27,'Struppen 2. Schnitt 2021'!K36,'Struppen 2. Schnitt 2021'!K45)</f>
        <v>72.415523264854983</v>
      </c>
      <c r="N10" s="81"/>
      <c r="O10" s="80">
        <f>AVERAGE('Struppen 3. Schnitt 2021'!R18,'Struppen 3. Schnitt 2021'!R27,'Struppen 3. Schnitt 2021'!R36,'Struppen 3. Schnitt 2021'!R45)</f>
        <v>0</v>
      </c>
      <c r="P10" s="81">
        <f>AVERAGE('Struppen 3. Schnitt 2021'!X18,'Struppen 3. Schnitt 2021'!X27,'Struppen 3. Schnitt 2021'!X36,'Struppen 3. Schnitt 2021'!X45)</f>
        <v>0</v>
      </c>
      <c r="Q10" s="81">
        <f>AVERAGE('Struppen 3. Schnitt 2021'!AD18,'Struppen 3. Schnitt 2021'!AD27,'Struppen 3. Schnitt 2021'!AD36,'Struppen 3. Schnitt 2021'!AD45)</f>
        <v>0</v>
      </c>
      <c r="R10" s="82">
        <f>AVERAGE('Struppen 3. Schnitt 2021'!AJ18,'Struppen 3. Schnitt 2021'!AJ27,'Struppen 3. Schnitt 2021'!AJ27,'Struppen 3. Schnitt 2021'!AJ45)</f>
        <v>0</v>
      </c>
      <c r="S10" s="81">
        <f>AVERAGE('Struppen 3. Schnitt 2021'!K18,'Struppen 3. Schnitt 2021'!K27,'Struppen 3. Schnitt 2021'!K36,'Struppen 3. Schnitt 2021'!K45)</f>
        <v>0</v>
      </c>
      <c r="T10" s="57"/>
      <c r="U10" s="80">
        <f>AVERAGE('Bautzen 1. Schnitt 2021'!S18,'Bautzen 1. Schnitt 2021'!S27,'Bautzen 1. Schnitt 2021'!S36,'Bautzen 1. Schnitt 2021'!S45)</f>
        <v>11.130444862589078</v>
      </c>
      <c r="V10" s="81">
        <f>AVERAGE('Bautzen 1. Schnitt 2021'!Z18,'Bautzen 1. Schnitt 2021'!Z27,'Bautzen 1. Schnitt 2021'!Z36,'Bautzen 1. Schnitt 2021'!Z45)</f>
        <v>23.173853684058408</v>
      </c>
      <c r="W10" s="81">
        <f>AVERAGE('Bautzen 1. Schnitt 2021'!AG18,'Bautzen 1. Schnitt 2021'!AG27,'Bautzen 1. Schnitt 2021'!AG36,'Bautzen 1. Schnitt 2021'!AG45)</f>
        <v>0</v>
      </c>
      <c r="X10" s="82">
        <f>AVERAGE('Bautzen 1. Schnitt 2021'!AL18,'Bautzen 1. Schnitt 2021'!AL27,'Bautzen 1. Schnitt 2021'!AL36,'Bautzen 1. Schnitt 2021'!AL45)</f>
        <v>1.383347311691699</v>
      </c>
      <c r="Y10" s="57">
        <f>AVERAGE('Bautzen 1. Schnitt 2021'!K18,'Bautzen 1. Schnitt 2021'!K27,'Bautzen 1. Schnitt 2021'!K36,'Bautzen 1. Schnitt 2021'!K45)</f>
        <v>52.040053715141191</v>
      </c>
      <c r="Z10" s="57"/>
      <c r="AA10" s="80">
        <f>AVERAGE('Bautzen 2. Schnitt 2021'!R18,'Bautzen 2. Schnitt 2021'!R27,'Bautzen 2. Schnitt 2021'!R36,'Bautzen 2. Schnitt 2021'!R45)</f>
        <v>7.1224186703905339</v>
      </c>
      <c r="AB10" s="81">
        <f>AVERAGE('Bautzen 2. Schnitt 2021'!X18,'Bautzen 2. Schnitt 2021'!X27,'Bautzen 2. Schnitt 2021'!X36,'Bautzen 2. Schnitt 2021'!X45)</f>
        <v>8.6180053688997447</v>
      </c>
      <c r="AC10" s="81">
        <f>AVERAGE('Bautzen 2. Schnitt 2021'!AD18,'Bautzen 2. Schnitt 2021'!AD27,'Bautzen 2. Schnitt 2021'!AD36,'Bautzen 2. Schnitt 2021'!AD45)</f>
        <v>0</v>
      </c>
      <c r="AD10" s="82">
        <f>AVERAGE('Bautzen 2. Schnitt 2021'!AJ18,'Bautzen 2. Schnitt 2021'!AJ27,'Bautzen 2. Schnitt 2021'!AJ36,'Bautzen 2. Schnitt 2021'!AJ45)</f>
        <v>0.31574999999999998</v>
      </c>
      <c r="AE10" s="57">
        <f>AVERAGE('Bautzen 2. Schnitt 2021'!K18,'Bautzen 2. Schnitt 2021'!K27,'Bautzen 2. Schnitt 2021'!K36,'Bautzen 2. Schnitt 2021'!K45)</f>
        <v>24.974365825729901</v>
      </c>
      <c r="AG10" s="80">
        <f>AVERAGE('Bautzen 3. Schnitt 2021'!R18,'Bautzen 3. Schnitt 2021'!R27,'Bautzen 3. Schnitt 2021'!R36,'Bautzen 3. Schnitt 2021'!R45)</f>
        <v>0</v>
      </c>
      <c r="AH10" s="81">
        <f>AVERAGE('Bautzen 3. Schnitt 2021'!X18,'Bautzen 3. Schnitt 2021'!X27,'Bautzen 3. Schnitt 2021'!X36,'Bautzen 3. Schnitt 2021'!X45)</f>
        <v>0</v>
      </c>
      <c r="AI10" s="81">
        <f>AVERAGE('Bautzen 3. Schnitt 2021'!AD18,'Bautzen 3. Schnitt 2021'!AD27,'Bautzen 3. Schnitt 2021'!AD36,'Bautzen 3. Schnitt 2021'!AD45)</f>
        <v>0</v>
      </c>
      <c r="AJ10" s="82"/>
      <c r="AK10" s="57">
        <f>AVERAGE('Bautzen 3. Schnitt 2021'!K18,'Bautzen 3. Schnitt 2021'!K27,'Bautzen 3. Schnitt 2021'!K36,'Bautzen 3. Schnitt 2021'!K45)</f>
        <v>-45.185185185185183</v>
      </c>
    </row>
    <row r="11" spans="1:37" x14ac:dyDescent="0.3">
      <c r="B11" s="70" t="s">
        <v>48</v>
      </c>
      <c r="C11" s="59">
        <f>AVERAGE('Struppen 1. Schnitt 2021'!U19,'Struppen 1. Schnitt 2021'!U28,'Struppen 1. Schnitt 2021'!U37,'Struppen 1. Schnitt 2021'!U46)</f>
        <v>25.662788657016776</v>
      </c>
      <c r="D11" s="57">
        <f>AVERAGE('Struppen 1. Schnitt 2021'!AC19,'Struppen 1. Schnitt 2021'!AC28,'Struppen 1. Schnitt 2021'!AC37,'Struppen 1. Schnitt 2021'!AC46)</f>
        <v>11.958397029250717</v>
      </c>
      <c r="E11" s="57">
        <f>AVERAGE('Struppen 1. Schnitt 2021'!AK19,'Struppen 1. Schnitt 2021'!AK28,'Struppen 1. Schnitt 2021'!AK37,'Struppen 1. Schnitt 2021'!AK46)</f>
        <v>0</v>
      </c>
      <c r="F11" s="67">
        <f>AVERAGE('Struppen 1. Schnitt 2021'!AQ19,'Struppen 1. Schnitt 2021'!AQ28,'Struppen 1. Schnitt 2021'!AQ37,'Struppen 1. Schnitt 2021'!AQ46)</f>
        <v>0.49321822753541944</v>
      </c>
      <c r="G11" s="57">
        <f>AVERAGE('Struppen 1. Schnitt 2021'!M19,'Struppen 1. Schnitt 2021'!M28,'Struppen 1. Schnitt 2021'!M37,'Struppen 1. Schnitt 2021'!M46)</f>
        <v>50.954296567432188</v>
      </c>
      <c r="H11" s="57"/>
      <c r="I11" s="80">
        <f>AVERAGE('Struppen 2. Schnitt 2021'!R19,'Struppen 2. Schnitt 2021'!R28,'Struppen 2. Schnitt 2021'!R37,'Struppen 2. Schnitt 2021'!R46)</f>
        <v>22.946215884903047</v>
      </c>
      <c r="J11" s="81">
        <f>AVERAGE('Struppen 2. Schnitt 2021'!X19,'Struppen 2. Schnitt 2021'!X28,'Struppen 2. Schnitt 2021'!X37,'Struppen 2. Schnitt 2021'!X46)</f>
        <v>11.149305716794748</v>
      </c>
      <c r="K11" s="81">
        <f>AVERAGE('Struppen 2. Schnitt 2021'!AD19,'Struppen 2. Schnitt 2021'!AD28,'Struppen 2. Schnitt 2021'!AD37,'Struppen 2. Schnitt 2021'!AD46)</f>
        <v>0</v>
      </c>
      <c r="L11" s="82">
        <f>AVERAGE('Struppen 2. Schnitt 2021'!AJ19,'Struppen 2. Schnitt 2021'!AJ28,'Struppen 2. Schnitt 2021'!AJ28,'Struppen 2. Schnitt 2021'!AJ46)</f>
        <v>0</v>
      </c>
      <c r="M11" s="81">
        <f>AVERAGE('Struppen 2. Schnitt 2021'!K19,'Struppen 2. Schnitt 2021'!K28,'Struppen 2. Schnitt 2021'!K37,'Struppen 2. Schnitt 2021'!K46)</f>
        <v>61.372510514248717</v>
      </c>
      <c r="N11" s="81"/>
      <c r="O11" s="80">
        <f>AVERAGE('Struppen 3. Schnitt 2021'!R19,'Struppen 3. Schnitt 2021'!R28,'Struppen 3. Schnitt 2021'!R37,'Struppen 3. Schnitt 2021'!R46)</f>
        <v>0</v>
      </c>
      <c r="P11" s="81">
        <f>AVERAGE('Struppen 3. Schnitt 2021'!X19,'Struppen 3. Schnitt 2021'!X28,'Struppen 3. Schnitt 2021'!X37,'Struppen 3. Schnitt 2021'!X46)</f>
        <v>0</v>
      </c>
      <c r="Q11" s="81">
        <f>AVERAGE('Struppen 3. Schnitt 2021'!AD19,'Struppen 3. Schnitt 2021'!AD28,'Struppen 3. Schnitt 2021'!AD37,'Struppen 3. Schnitt 2021'!AD46)</f>
        <v>0</v>
      </c>
      <c r="R11" s="82">
        <f>AVERAGE('Struppen 3. Schnitt 2021'!AJ19,'Struppen 3. Schnitt 2021'!AJ28,'Struppen 3. Schnitt 2021'!AJ28,'Struppen 3. Schnitt 2021'!AJ46)</f>
        <v>0</v>
      </c>
      <c r="S11" s="81">
        <f>AVERAGE('Struppen 3. Schnitt 2021'!K19,'Struppen 3. Schnitt 2021'!K28,'Struppen 3. Schnitt 2021'!K37,'Struppen 3. Schnitt 2021'!K46)</f>
        <v>0</v>
      </c>
      <c r="T11" s="57"/>
      <c r="U11" s="80">
        <f>AVERAGE('Bautzen 1. Schnitt 2021'!S19,'Bautzen 1. Schnitt 2021'!S28,'Bautzen 1. Schnitt 2021'!S37,'Bautzen 1. Schnitt 2021'!S46)</f>
        <v>13.670756262639289</v>
      </c>
      <c r="V11" s="81">
        <f>AVERAGE('Bautzen 1. Schnitt 2021'!Z19,'Bautzen 1. Schnitt 2021'!Z28,'Bautzen 1. Schnitt 2021'!Z37,'Bautzen 1. Schnitt 2021'!Z46)</f>
        <v>10.181054290422063</v>
      </c>
      <c r="W11" s="81">
        <f>AVERAGE('Bautzen 1. Schnitt 2021'!AG19,'Bautzen 1. Schnitt 2021'!AG28,'Bautzen 1. Schnitt 2021'!AG37,'Bautzen 1. Schnitt 2021'!AG46)</f>
        <v>0</v>
      </c>
      <c r="X11" s="82">
        <f>AVERAGE('Bautzen 1. Schnitt 2021'!AL19,'Bautzen 1. Schnitt 2021'!AL28,'Bautzen 1. Schnitt 2021'!AL37,'Bautzen 1. Schnitt 2021'!AL46)</f>
        <v>1.1154238476721521</v>
      </c>
      <c r="Y11" s="57">
        <f>AVERAGE('Bautzen 1. Schnitt 2021'!K19,'Bautzen 1. Schnitt 2021'!K28,'Bautzen 1. Schnitt 2021'!K37,'Bautzen 1. Schnitt 2021'!K46)</f>
        <v>31.092829175563473</v>
      </c>
      <c r="Z11" s="57"/>
      <c r="AA11" s="80">
        <f>AVERAGE('Bautzen 2. Schnitt 2021'!R19,'Bautzen 2. Schnitt 2021'!R28,'Bautzen 2. Schnitt 2021'!R37,'Bautzen 2. Schnitt 2021'!R46)</f>
        <v>10.585679960476796</v>
      </c>
      <c r="AB11" s="81">
        <f>AVERAGE('Bautzen 2. Schnitt 2021'!X19,'Bautzen 2. Schnitt 2021'!X28,'Bautzen 2. Schnitt 2021'!X37,'Bautzen 2. Schnitt 2021'!X46)</f>
        <v>4.0783273508584603</v>
      </c>
      <c r="AC11" s="81">
        <f>AVERAGE('Bautzen 2. Schnitt 2021'!AD19,'Bautzen 2. Schnitt 2021'!AD28,'Bautzen 2. Schnitt 2021'!AD37,'Bautzen 2. Schnitt 2021'!AD46)</f>
        <v>0</v>
      </c>
      <c r="AD11" s="82">
        <f>AVERAGE('Bautzen 2. Schnitt 2021'!AJ19,'Bautzen 2. Schnitt 2021'!AJ28,'Bautzen 2. Schnitt 2021'!AJ37,'Bautzen 2. Schnitt 2021'!AJ46)</f>
        <v>0.17444844150256764</v>
      </c>
      <c r="AE11" s="57">
        <f>AVERAGE('Bautzen 2. Schnitt 2021'!K19,'Bautzen 2. Schnitt 2021'!K28,'Bautzen 2. Schnitt 2021'!K37,'Bautzen 2. Schnitt 2021'!K46)</f>
        <v>30.537245723620615</v>
      </c>
      <c r="AG11" s="80">
        <f>AVERAGE('Bautzen 3. Schnitt 2021'!R19,'Bautzen 3. Schnitt 2021'!R28,'Bautzen 3. Schnitt 2021'!R37,'Bautzen 3. Schnitt 2021'!R46)</f>
        <v>0</v>
      </c>
      <c r="AH11" s="81">
        <f>AVERAGE('Bautzen 3. Schnitt 2021'!X19,'Bautzen 3. Schnitt 2021'!X28,'Bautzen 3. Schnitt 2021'!X37,'Bautzen 3. Schnitt 2021'!X46)</f>
        <v>0</v>
      </c>
      <c r="AI11" s="81">
        <f>AVERAGE('Bautzen 3. Schnitt 2021'!AD19,'Bautzen 3. Schnitt 2021'!AD28,'Bautzen 3. Schnitt 2021'!AD37,'Bautzen 3. Schnitt 2021'!AD46)</f>
        <v>0</v>
      </c>
      <c r="AJ11" s="82"/>
      <c r="AK11" s="57">
        <f>AVERAGE('Bautzen 3. Schnitt 2021'!K19,'Bautzen 3. Schnitt 2021'!K28,'Bautzen 3. Schnitt 2021'!K37,'Bautzen 3. Schnitt 2021'!K46)</f>
        <v>-45.185185185185183</v>
      </c>
    </row>
    <row r="12" spans="1:37" ht="14.5" thickBot="1" x14ac:dyDescent="0.35">
      <c r="B12" s="72" t="s">
        <v>49</v>
      </c>
      <c r="C12" s="75">
        <f>AVERAGE('Struppen 1. Schnitt 2021'!U20,'Struppen 1. Schnitt 2021'!U29,'Struppen 1. Schnitt 2021'!U38,'Struppen 1. Schnitt 2021'!U47)</f>
        <v>27.092638956864405</v>
      </c>
      <c r="D12" s="76">
        <f>AVERAGE('Struppen 1. Schnitt 2021'!AC20,'Struppen 1. Schnitt 2021'!AC29,'Struppen 1. Schnitt 2021'!AC38,'Struppen 1. Schnitt 2021'!AC47)</f>
        <v>0</v>
      </c>
      <c r="E12" s="76">
        <f>AVERAGE('Struppen 1. Schnitt 2021'!AK20,'Struppen 1. Schnitt 2021'!AK29,'Struppen 1. Schnitt 2021'!AK38,'Struppen 1. Schnitt 2021'!AK47)</f>
        <v>0</v>
      </c>
      <c r="F12" s="77">
        <f>AVERAGE('Struppen 1. Schnitt 2021'!AQ20,'Struppen 1. Schnitt 2021'!AQ29,'Struppen 1. Schnitt 2021'!AQ38,'Struppen 1. Schnitt 2021'!AQ47)</f>
        <v>0.44937256209861481</v>
      </c>
      <c r="G12" s="57">
        <f>AVERAGE('Struppen 1. Schnitt 2021'!M20,'Struppen 1. Schnitt 2021'!M29,'Struppen 1. Schnitt 2021'!M38,'Struppen 1. Schnitt 2021'!M47)</f>
        <v>33.549452804845593</v>
      </c>
      <c r="H12" s="57"/>
      <c r="I12" s="176">
        <f>AVERAGE('Struppen 2. Schnitt 2021'!R20,'Struppen 2. Schnitt 2021'!R29,'Struppen 2. Schnitt 2021'!R38,'Struppen 2. Schnitt 2021'!R47)</f>
        <v>22.823898213210665</v>
      </c>
      <c r="J12" s="81">
        <f>AVERAGE('Struppen 2. Schnitt 2021'!X20,'Struppen 2. Schnitt 2021'!X29,'Struppen 2. Schnitt 2021'!X38,'Struppen 2. Schnitt 2021'!X47)</f>
        <v>0</v>
      </c>
      <c r="K12" s="177">
        <f>AVERAGE('Struppen 2. Schnitt 2021'!AD20,'Struppen 2. Schnitt 2021'!AD29,'Struppen 2. Schnitt 2021'!AD38,'Struppen 2. Schnitt 2021'!AD47)</f>
        <v>0</v>
      </c>
      <c r="L12" s="178">
        <f>AVERAGE('Struppen 2. Schnitt 2021'!AJ20,'Struppen 2. Schnitt 2021'!AJ29,'Struppen 2. Schnitt 2021'!AJ29,'Struppen 2. Schnitt 2021'!AJ47)</f>
        <v>0</v>
      </c>
      <c r="M12" s="81">
        <f>AVERAGE('Struppen 2. Schnitt 2021'!K20,'Struppen 2. Schnitt 2021'!K29,'Struppen 2. Schnitt 2021'!K38,'Struppen 2. Schnitt 2021'!K47)</f>
        <v>45.523765087940504</v>
      </c>
      <c r="N12" s="81"/>
      <c r="O12" s="80">
        <f>AVERAGE('Struppen 3. Schnitt 2021'!R20,'Struppen 3. Schnitt 2021'!R29,'Struppen 3. Schnitt 2021'!R38,'Struppen 3. Schnitt 2021'!R47)</f>
        <v>0</v>
      </c>
      <c r="P12" s="81"/>
      <c r="Q12" s="81">
        <f>AVERAGE('Struppen 3. Schnitt 2021'!AD20,'Struppen 3. Schnitt 2021'!AD29,'Struppen 3. Schnitt 2021'!AD38,'Struppen 3. Schnitt 2021'!AD47)</f>
        <v>0</v>
      </c>
      <c r="R12" s="82">
        <f>AVERAGE('Struppen 3. Schnitt 2021'!AJ20,'Struppen 3. Schnitt 2021'!AJ29,'Struppen 3. Schnitt 2021'!AJ29,'Struppen 3. Schnitt 2021'!AJ47)</f>
        <v>0</v>
      </c>
      <c r="S12" s="81">
        <f>AVERAGE('Struppen 3. Schnitt 2021'!K20,'Struppen 3. Schnitt 2021'!K29,'Struppen 3. Schnitt 2021'!K38,'Struppen 3. Schnitt 2021'!K47)</f>
        <v>0</v>
      </c>
      <c r="T12" s="57"/>
      <c r="U12" s="80">
        <f>AVERAGE('Bautzen 1. Schnitt 2021'!S20,'Bautzen 1. Schnitt 2021'!S29,'Bautzen 1. Schnitt 2021'!S38)</f>
        <v>14.872173562854107</v>
      </c>
      <c r="V12" s="81">
        <f>AVERAGE('Bautzen 1. Schnitt 2021'!Z20,'Bautzen 1. Schnitt 2021'!Z29,'Bautzen 1. Schnitt 2021'!Z38,'Bautzen 1. Schnitt 2021'!Z47)</f>
        <v>0</v>
      </c>
      <c r="W12" s="81">
        <f>AVERAGE('Bautzen 1. Schnitt 2021'!AG20,'Bautzen 1. Schnitt 2021'!AG29,'Bautzen 1. Schnitt 2021'!AG38,'Bautzen 1. Schnitt 2021'!AG47)</f>
        <v>0</v>
      </c>
      <c r="X12" s="82">
        <f>AVERAGE('Bautzen 1. Schnitt 2021'!AL20,'Bautzen 1. Schnitt 2021'!AL29,'Bautzen 1. Schnitt 2021'!AL38,'Bautzen 1. Schnitt 2021'!AL47)</f>
        <v>1.292222409376323</v>
      </c>
      <c r="Y12" s="57">
        <f>AVERAGE('Bautzen 1. Schnitt 2021'!K20,'Bautzen 1. Schnitt 2021'!K29,'Bautzen 1. Schnitt 2021'!K38,'Bautzen 1. Schnitt 2021'!K47)</f>
        <v>21.073454509805376</v>
      </c>
      <c r="Z12" s="57"/>
      <c r="AA12" s="80">
        <f>AVERAGE('Bautzen 2. Schnitt 2021'!R20,'Bautzen 2. Schnitt 2021'!R29,'Bautzen 2. Schnitt 2021'!R38,'Bautzen 2. Schnitt 2021'!R47)</f>
        <v>14.088065912915276</v>
      </c>
      <c r="AB12" s="81">
        <f>AVERAGE('Bautzen 2. Schnitt 2021'!X20,'Bautzen 2. Schnitt 2021'!X29,'Bautzen 2. Schnitt 2021'!X38,'Bautzen 2. Schnitt 2021'!X47)</f>
        <v>0</v>
      </c>
      <c r="AC12" s="81">
        <f>AVERAGE('Bautzen 2. Schnitt 2021'!AD20,'Bautzen 2. Schnitt 2021'!AD29,'Bautzen 2. Schnitt 2021'!AD38,'Bautzen 2. Schnitt 2021'!AD47)</f>
        <v>0</v>
      </c>
      <c r="AD12" s="82">
        <f>AVERAGE('Bautzen 2. Schnitt 2021'!AJ20,'Bautzen 2. Schnitt 2021'!AJ29,'Bautzen 2. Schnitt 2021'!AJ38,'Bautzen 2. Schnitt 2021'!AJ47)</f>
        <v>0.18791129787773372</v>
      </c>
      <c r="AE12" s="57">
        <f>AVERAGE('Bautzen 2. Schnitt 2021'!K20,'Bautzen 2. Schnitt 2021'!K29,'Bautzen 2. Schnitt 2021'!K38,'Bautzen 2. Schnitt 2021'!K47)</f>
        <v>26.507732554269275</v>
      </c>
      <c r="AG12" s="80">
        <f>AVERAGE('Bautzen 3. Schnitt 2021'!R20,'Bautzen 3. Schnitt 2021'!R29,'Bautzen 3. Schnitt 2021'!R38,'Bautzen 3. Schnitt 2021'!R47)</f>
        <v>0</v>
      </c>
      <c r="AH12" s="81">
        <f>AVERAGE('Bautzen 3. Schnitt 2021'!X20,'Bautzen 3. Schnitt 2021'!X29,'Bautzen 3. Schnitt 2021'!X38,'Bautzen 3. Schnitt 2021'!X47)</f>
        <v>0</v>
      </c>
      <c r="AI12" s="81">
        <f>AVERAGE('Bautzen 3. Schnitt 2021'!AD20,'Bautzen 3. Schnitt 2021'!AD29,'Bautzen 3. Schnitt 2021'!AD38,'Bautzen 3. Schnitt 2021'!AD47)</f>
        <v>0</v>
      </c>
      <c r="AJ12" s="82"/>
      <c r="AK12" s="57">
        <f>AVERAGE('Bautzen 3. Schnitt 2021'!K20,'Bautzen 3. Schnitt 2021'!K29,'Bautzen 3. Schnitt 2021'!K38,'Bautzen 3. Schnitt 2021'!K47)</f>
        <v>-45.185185185185183</v>
      </c>
    </row>
    <row r="13" spans="1:37" x14ac:dyDescent="0.3"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37" x14ac:dyDescent="0.3"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44" spans="30:30" x14ac:dyDescent="0.3">
      <c r="AD44" t="s">
        <v>74</v>
      </c>
    </row>
  </sheetData>
  <mergeCells count="6">
    <mergeCell ref="AG2:AJ2"/>
    <mergeCell ref="C2:F2"/>
    <mergeCell ref="I2:L2"/>
    <mergeCell ref="U2:X2"/>
    <mergeCell ref="AA2:AD2"/>
    <mergeCell ref="O2:R2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09C9-24A9-454F-90BB-55D6837664EC}">
  <dimension ref="A3:Q30"/>
  <sheetViews>
    <sheetView topLeftCell="B5" zoomScale="76" workbookViewId="0">
      <selection activeCell="K30" sqref="K30"/>
    </sheetView>
  </sheetViews>
  <sheetFormatPr baseColWidth="10" defaultRowHeight="14" x14ac:dyDescent="0.3"/>
  <sheetData>
    <row r="3" spans="1:17" ht="14.5" thickBot="1" x14ac:dyDescent="0.35"/>
    <row r="4" spans="1:17" ht="78" thickBot="1" x14ac:dyDescent="0.4">
      <c r="A4" s="89" t="s">
        <v>56</v>
      </c>
      <c r="B4" s="90" t="s">
        <v>57</v>
      </c>
      <c r="C4" s="90" t="s">
        <v>58</v>
      </c>
      <c r="D4" s="91" t="s">
        <v>59</v>
      </c>
      <c r="E4" s="92" t="s">
        <v>60</v>
      </c>
      <c r="F4" s="92" t="s">
        <v>61</v>
      </c>
      <c r="G4" s="111" t="s">
        <v>62</v>
      </c>
      <c r="H4" s="92" t="s">
        <v>63</v>
      </c>
      <c r="I4" s="92" t="s">
        <v>64</v>
      </c>
      <c r="J4" s="92" t="s">
        <v>65</v>
      </c>
      <c r="K4" s="92" t="s">
        <v>66</v>
      </c>
      <c r="L4" s="92" t="s">
        <v>67</v>
      </c>
      <c r="M4" s="92" t="s">
        <v>68</v>
      </c>
      <c r="N4" s="93" t="s">
        <v>69</v>
      </c>
      <c r="O4" s="108" t="s">
        <v>70</v>
      </c>
      <c r="P4" s="92" t="s">
        <v>71</v>
      </c>
      <c r="Q4" s="92" t="s">
        <v>72</v>
      </c>
    </row>
    <row r="5" spans="1:17" ht="20" x14ac:dyDescent="0.4">
      <c r="A5" s="101" t="s">
        <v>2</v>
      </c>
      <c r="B5" s="95">
        <v>3</v>
      </c>
      <c r="C5" s="96" t="s">
        <v>73</v>
      </c>
      <c r="D5" s="97">
        <v>202022688</v>
      </c>
      <c r="E5" s="102">
        <v>296.2107829348335</v>
      </c>
      <c r="F5" s="103">
        <v>85.654657293497365</v>
      </c>
      <c r="G5" s="113">
        <v>75.131810193321613</v>
      </c>
      <c r="H5" s="103">
        <v>237.56590509666077</v>
      </c>
      <c r="I5" s="103">
        <v>12.016695957820737</v>
      </c>
      <c r="J5" s="103">
        <v>274.37390158172224</v>
      </c>
      <c r="K5" s="99">
        <v>279.76713532513173</v>
      </c>
      <c r="L5" s="104">
        <v>53.372144112478033</v>
      </c>
      <c r="M5" s="100">
        <v>20.716374269005858</v>
      </c>
      <c r="N5" s="104">
        <v>9.8431932117750449</v>
      </c>
      <c r="O5" s="110">
        <v>5.8982579807667825</v>
      </c>
      <c r="P5" s="103">
        <v>118.96757303569859</v>
      </c>
      <c r="Q5" s="104">
        <v>-7.0137220547803167</v>
      </c>
    </row>
    <row r="6" spans="1:17" ht="20" x14ac:dyDescent="0.4">
      <c r="A6" s="101" t="s">
        <v>9</v>
      </c>
      <c r="B6" s="95">
        <v>3</v>
      </c>
      <c r="C6" s="96" t="s">
        <v>73</v>
      </c>
      <c r="D6" s="97">
        <v>202022690</v>
      </c>
      <c r="E6" s="102">
        <v>265.30428519985594</v>
      </c>
      <c r="F6" s="103">
        <v>102.19714964370546</v>
      </c>
      <c r="G6" s="113">
        <v>99.748218527315913</v>
      </c>
      <c r="H6" s="103">
        <v>228.97862232779099</v>
      </c>
      <c r="I6" s="103">
        <v>18.764845605700714</v>
      </c>
      <c r="J6" s="103">
        <v>233.3729216152019</v>
      </c>
      <c r="K6" s="99">
        <v>311.84085510688834</v>
      </c>
      <c r="L6" s="104">
        <v>56.068883610451309</v>
      </c>
      <c r="M6" s="100">
        <v>28.537410106205645</v>
      </c>
      <c r="N6" s="104">
        <v>9.9841465558194749</v>
      </c>
      <c r="O6" s="110">
        <v>6.0024684479930261</v>
      </c>
      <c r="P6" s="103">
        <v>124.30818624679333</v>
      </c>
      <c r="Q6" s="104">
        <v>-3.9295948351163861</v>
      </c>
    </row>
    <row r="7" spans="1:17" ht="20" x14ac:dyDescent="0.4">
      <c r="A7" s="101" t="s">
        <v>10</v>
      </c>
      <c r="B7" s="95">
        <v>3</v>
      </c>
      <c r="C7" s="96" t="s">
        <v>73</v>
      </c>
      <c r="D7" s="97">
        <v>202022691</v>
      </c>
      <c r="E7" s="102">
        <v>224.26615494466259</v>
      </c>
      <c r="F7" s="103">
        <v>105.4473832301632</v>
      </c>
      <c r="G7" s="113">
        <v>120.02250984805852</v>
      </c>
      <c r="H7" s="103">
        <v>217.32132808103546</v>
      </c>
      <c r="I7" s="103">
        <v>18.007878446820484</v>
      </c>
      <c r="J7" s="103">
        <v>197.14124929656722</v>
      </c>
      <c r="K7" s="99">
        <v>269.53292065278555</v>
      </c>
      <c r="L7" s="104">
        <v>57.580191333708491</v>
      </c>
      <c r="M7" s="100">
        <v>31.048387096774192</v>
      </c>
      <c r="N7" s="104">
        <v>10.537666854248734</v>
      </c>
      <c r="O7" s="110">
        <v>6.4135982438429275</v>
      </c>
      <c r="P7" s="103">
        <v>133.47781015081597</v>
      </c>
      <c r="Q7" s="104">
        <v>-2.152848048441192</v>
      </c>
    </row>
    <row r="8" spans="1:17" ht="20" x14ac:dyDescent="0.4">
      <c r="A8" s="101" t="s">
        <v>11</v>
      </c>
      <c r="B8" s="95">
        <v>3</v>
      </c>
      <c r="C8" s="96" t="s">
        <v>73</v>
      </c>
      <c r="D8" s="97">
        <v>202022689</v>
      </c>
      <c r="E8" s="102">
        <v>207.25613577023498</v>
      </c>
      <c r="F8" s="103">
        <v>119.68830586388609</v>
      </c>
      <c r="G8" s="113">
        <v>151.75468101805134</v>
      </c>
      <c r="H8" s="103">
        <v>187.81253503756025</v>
      </c>
      <c r="I8" s="103">
        <v>23.231303957842808</v>
      </c>
      <c r="J8" s="103">
        <v>158.77340509025677</v>
      </c>
      <c r="K8" s="99">
        <v>246.29442762641551</v>
      </c>
      <c r="L8" s="104">
        <v>58.403408453862546</v>
      </c>
      <c r="M8" s="100">
        <v>33.032877724418171</v>
      </c>
      <c r="N8" s="104">
        <v>11.01674795380648</v>
      </c>
      <c r="O8" s="110">
        <v>6.778641014731063</v>
      </c>
      <c r="P8" s="103">
        <v>143.6057681494562</v>
      </c>
      <c r="Q8" s="104">
        <v>1.3038260589752235</v>
      </c>
    </row>
    <row r="9" spans="1:17" ht="20" x14ac:dyDescent="0.4">
      <c r="A9" s="94" t="s">
        <v>2</v>
      </c>
      <c r="B9" s="95">
        <v>7</v>
      </c>
      <c r="C9" s="96" t="s">
        <v>73</v>
      </c>
      <c r="D9" s="97">
        <v>202022681</v>
      </c>
      <c r="E9" s="98">
        <v>172.898198198198</v>
      </c>
      <c r="F9" s="99">
        <v>139.34110721159291</v>
      </c>
      <c r="G9" s="112">
        <v>173.29333182384241</v>
      </c>
      <c r="H9" s="99">
        <v>155.88135401335902</v>
      </c>
      <c r="I9" s="99">
        <v>34.167327068946001</v>
      </c>
      <c r="J9" s="99">
        <v>123.3442771425337</v>
      </c>
      <c r="K9" s="99">
        <v>211.85327748216915</v>
      </c>
      <c r="L9" s="100">
        <v>56.073814106192692</v>
      </c>
      <c r="M9" s="100">
        <v>31.619520480825763</v>
      </c>
      <c r="N9" s="100">
        <v>11.380652213291068</v>
      </c>
      <c r="O9" s="109">
        <v>7.0643962916438081</v>
      </c>
      <c r="P9" s="99">
        <v>150.90259345714932</v>
      </c>
      <c r="Q9" s="100">
        <v>3.5825181386708937</v>
      </c>
    </row>
    <row r="10" spans="1:17" ht="20" x14ac:dyDescent="0.4">
      <c r="A10" s="101" t="s">
        <v>9</v>
      </c>
      <c r="B10" s="95">
        <v>7</v>
      </c>
      <c r="C10" s="96" t="s">
        <v>73</v>
      </c>
      <c r="D10" s="97">
        <v>202022682</v>
      </c>
      <c r="E10" s="102">
        <v>160.45135135135129</v>
      </c>
      <c r="F10" s="103">
        <v>139.40260929274433</v>
      </c>
      <c r="G10" s="113">
        <v>208.94941634241249</v>
      </c>
      <c r="H10" s="103">
        <v>154.79514763103685</v>
      </c>
      <c r="I10" s="103">
        <v>35.236896314946215</v>
      </c>
      <c r="J10" s="103">
        <v>85.374227512016475</v>
      </c>
      <c r="K10" s="99">
        <v>223.64385442893112</v>
      </c>
      <c r="L10" s="104">
        <v>57.198443579766533</v>
      </c>
      <c r="M10" s="100">
        <v>33.453828458757812</v>
      </c>
      <c r="N10" s="104">
        <v>11.589204394598305</v>
      </c>
      <c r="O10" s="110">
        <v>7.2010748537776541</v>
      </c>
      <c r="P10" s="103">
        <v>158.68613715678646</v>
      </c>
      <c r="Q10" s="104">
        <v>8.0421246697001649</v>
      </c>
    </row>
    <row r="11" spans="1:17" ht="20" x14ac:dyDescent="0.4">
      <c r="A11" s="94" t="s">
        <v>10</v>
      </c>
      <c r="B11" s="95">
        <v>7</v>
      </c>
      <c r="C11" s="96" t="s">
        <v>73</v>
      </c>
      <c r="D11" s="97">
        <v>202022683</v>
      </c>
      <c r="E11" s="102">
        <v>136.1547600000001</v>
      </c>
      <c r="F11" s="103">
        <v>129.23958001909003</v>
      </c>
      <c r="G11" s="113">
        <v>180.84632516703786</v>
      </c>
      <c r="H11" s="103">
        <v>173.67695407784493</v>
      </c>
      <c r="I11" s="103">
        <v>32.103086223353479</v>
      </c>
      <c r="J11" s="103">
        <v>117.54162689574716</v>
      </c>
      <c r="K11" s="99">
        <v>197.36981652349132</v>
      </c>
      <c r="L11" s="104">
        <v>53.112737299819699</v>
      </c>
      <c r="M11" s="100">
        <v>27.586206896551722</v>
      </c>
      <c r="N11" s="104">
        <v>11.319466963622865</v>
      </c>
      <c r="O11" s="110">
        <v>6.9940715810422498</v>
      </c>
      <c r="P11" s="103">
        <v>151.40218341054194</v>
      </c>
      <c r="Q11" s="104">
        <v>4.7110626810393477</v>
      </c>
    </row>
    <row r="12" spans="1:17" ht="20" x14ac:dyDescent="0.4">
      <c r="A12" s="101" t="s">
        <v>11</v>
      </c>
      <c r="B12" s="95">
        <v>7</v>
      </c>
      <c r="C12" s="96" t="s">
        <v>73</v>
      </c>
      <c r="D12" s="97">
        <v>202022684</v>
      </c>
      <c r="E12" s="102">
        <v>142.91349480968861</v>
      </c>
      <c r="F12" s="103">
        <v>132.08981001727116</v>
      </c>
      <c r="G12" s="113">
        <v>187.41508347725966</v>
      </c>
      <c r="H12" s="103">
        <v>165.23891767415083</v>
      </c>
      <c r="I12" s="103">
        <v>35.164075993091537</v>
      </c>
      <c r="J12" s="103">
        <v>113.97812320092113</v>
      </c>
      <c r="K12" s="99">
        <v>224.69775474956825</v>
      </c>
      <c r="L12" s="104">
        <v>56.695451928612556</v>
      </c>
      <c r="M12" s="100">
        <v>29.083983535049455</v>
      </c>
      <c r="N12" s="104">
        <v>11.447455382843982</v>
      </c>
      <c r="O12" s="110">
        <v>7.0892591417303858</v>
      </c>
      <c r="P12" s="103">
        <v>153.81302625791594</v>
      </c>
      <c r="Q12" s="104">
        <v>5.3763291550949956</v>
      </c>
    </row>
    <row r="13" spans="1:17" ht="20" x14ac:dyDescent="0.4">
      <c r="A13" s="94" t="s">
        <v>2</v>
      </c>
      <c r="B13" s="95">
        <v>9</v>
      </c>
      <c r="C13" s="96" t="s">
        <v>73</v>
      </c>
      <c r="D13" s="97">
        <v>202022685</v>
      </c>
      <c r="E13" s="102">
        <v>169.52209302325588</v>
      </c>
      <c r="F13" s="103">
        <v>120.61189801699716</v>
      </c>
      <c r="G13" s="113">
        <v>144.30594900849857</v>
      </c>
      <c r="H13" s="103">
        <v>125.21246458923513</v>
      </c>
      <c r="I13" s="103">
        <v>27.875354107648729</v>
      </c>
      <c r="J13" s="103">
        <v>162.96883852691218</v>
      </c>
      <c r="K13" s="99">
        <v>187.17280453257791</v>
      </c>
      <c r="L13" s="104">
        <v>56.509915014164299</v>
      </c>
      <c r="M13" s="100">
        <v>31.103258735767568</v>
      </c>
      <c r="N13" s="104">
        <v>11.407431614730879</v>
      </c>
      <c r="O13" s="110">
        <v>7.0933683287792562</v>
      </c>
      <c r="P13" s="103">
        <v>146.71612574368271</v>
      </c>
      <c r="Q13" s="104">
        <v>-0.385628277629462</v>
      </c>
    </row>
    <row r="14" spans="1:17" ht="20" x14ac:dyDescent="0.4">
      <c r="A14" s="101" t="s">
        <v>11</v>
      </c>
      <c r="B14" s="95">
        <v>9</v>
      </c>
      <c r="C14" s="96" t="s">
        <v>73</v>
      </c>
      <c r="D14" s="97">
        <v>202022686</v>
      </c>
      <c r="E14" s="102">
        <v>163.63224755700315</v>
      </c>
      <c r="F14" s="103">
        <v>118.67374604609128</v>
      </c>
      <c r="G14" s="113">
        <v>139.05784003615003</v>
      </c>
      <c r="H14" s="103">
        <v>134.77180298237687</v>
      </c>
      <c r="I14" s="103">
        <v>24.740171712607321</v>
      </c>
      <c r="J14" s="103">
        <v>145.69588793492997</v>
      </c>
      <c r="K14" s="99">
        <v>203.63759602349751</v>
      </c>
      <c r="L14" s="104">
        <v>58.642114776321741</v>
      </c>
      <c r="M14" s="100">
        <v>33.01054478691082</v>
      </c>
      <c r="N14" s="104">
        <v>11.350067103479443</v>
      </c>
      <c r="O14" s="110">
        <v>7.0532988556327174</v>
      </c>
      <c r="P14" s="103">
        <v>145.27961818323547</v>
      </c>
      <c r="Q14" s="104">
        <v>-0.99548450353367113</v>
      </c>
    </row>
    <row r="15" spans="1:17" ht="20" x14ac:dyDescent="0.4">
      <c r="A15" s="101" t="s">
        <v>10</v>
      </c>
      <c r="B15" s="95">
        <v>9</v>
      </c>
      <c r="C15" s="96" t="s">
        <v>73</v>
      </c>
      <c r="D15" s="97">
        <v>202022687</v>
      </c>
      <c r="E15" s="102">
        <v>160.97669365147013</v>
      </c>
      <c r="F15" s="103">
        <v>107.60785183542197</v>
      </c>
      <c r="G15" s="113">
        <v>123.45569479871354</v>
      </c>
      <c r="H15" s="103">
        <v>134.74548075856714</v>
      </c>
      <c r="I15" s="103">
        <v>24.287457025618274</v>
      </c>
      <c r="J15" s="103">
        <v>140.84507042253523</v>
      </c>
      <c r="K15" s="99">
        <v>201.76333592103805</v>
      </c>
      <c r="L15" s="104">
        <v>59.565265609404456</v>
      </c>
      <c r="M15" s="100">
        <v>36.381602587136186</v>
      </c>
      <c r="N15" s="104">
        <v>11.381171564822003</v>
      </c>
      <c r="O15" s="110">
        <v>7.068832836522537</v>
      </c>
      <c r="P15" s="103">
        <v>143.20834310391481</v>
      </c>
      <c r="Q15" s="104">
        <v>-3.1604237288322041</v>
      </c>
    </row>
    <row r="16" spans="1:17" ht="20" x14ac:dyDescent="0.4">
      <c r="A16" s="101" t="s">
        <v>11</v>
      </c>
      <c r="B16" s="95">
        <v>9</v>
      </c>
      <c r="C16" s="96" t="s">
        <v>73</v>
      </c>
      <c r="D16" s="97">
        <v>202022692</v>
      </c>
      <c r="E16" s="102">
        <v>145.69748971193417</v>
      </c>
      <c r="F16" s="103">
        <v>83.870633357520475</v>
      </c>
      <c r="G16" s="113">
        <v>121.2708614076915</v>
      </c>
      <c r="H16" s="103">
        <v>143.36063024774543</v>
      </c>
      <c r="I16" s="103">
        <v>20.420856224733075</v>
      </c>
      <c r="J16" s="103">
        <v>130.71421167202237</v>
      </c>
      <c r="K16" s="99">
        <v>192.55727169068101</v>
      </c>
      <c r="L16" s="104">
        <v>57.250958847310038</v>
      </c>
      <c r="M16" s="100">
        <v>37.490383793486629</v>
      </c>
      <c r="N16" s="104">
        <v>11.28815403752462</v>
      </c>
      <c r="O16" s="110">
        <v>6.96265340083567</v>
      </c>
      <c r="P16" s="103">
        <v>141.85624417476936</v>
      </c>
      <c r="Q16" s="104">
        <v>-3.2936612427324574</v>
      </c>
    </row>
    <row r="17" spans="2:17" ht="14.5" thickBot="1" x14ac:dyDescent="0.35"/>
    <row r="18" spans="2:17" ht="78" thickBot="1" x14ac:dyDescent="0.4">
      <c r="E18" s="92" t="s">
        <v>60</v>
      </c>
      <c r="F18" s="92" t="s">
        <v>61</v>
      </c>
      <c r="G18" s="111" t="s">
        <v>62</v>
      </c>
      <c r="H18" s="92" t="s">
        <v>63</v>
      </c>
      <c r="I18" s="92" t="s">
        <v>64</v>
      </c>
      <c r="J18" s="92" t="s">
        <v>65</v>
      </c>
      <c r="K18" s="92" t="s">
        <v>66</v>
      </c>
      <c r="L18" s="92" t="s">
        <v>67</v>
      </c>
      <c r="M18" s="92" t="s">
        <v>68</v>
      </c>
      <c r="N18" s="93" t="s">
        <v>69</v>
      </c>
      <c r="O18" s="108" t="s">
        <v>70</v>
      </c>
      <c r="P18" s="92" t="s">
        <v>71</v>
      </c>
      <c r="Q18" s="92" t="s">
        <v>72</v>
      </c>
    </row>
    <row r="19" spans="2:17" x14ac:dyDescent="0.3">
      <c r="B19" t="s">
        <v>4</v>
      </c>
      <c r="D19" s="116" t="s">
        <v>80</v>
      </c>
      <c r="E19" s="118">
        <f>AVERAGE(E5:E8)</f>
        <v>248.25933971239678</v>
      </c>
      <c r="F19" s="118">
        <f t="shared" ref="F19:Q19" si="0">AVERAGE(F5:F8)</f>
        <v>103.24687400781303</v>
      </c>
      <c r="G19" s="118">
        <f t="shared" si="0"/>
        <v>111.66430489668684</v>
      </c>
      <c r="H19" s="118">
        <f t="shared" si="0"/>
        <v>217.91959763576185</v>
      </c>
      <c r="I19" s="118">
        <f t="shared" si="0"/>
        <v>18.005180992046185</v>
      </c>
      <c r="J19" s="118">
        <f t="shared" si="0"/>
        <v>215.91536939593703</v>
      </c>
      <c r="K19" s="118">
        <f t="shared" si="0"/>
        <v>276.85883467780525</v>
      </c>
      <c r="L19" s="118">
        <f t="shared" si="0"/>
        <v>56.356156877625089</v>
      </c>
      <c r="M19" s="118">
        <f t="shared" si="0"/>
        <v>28.333762299100968</v>
      </c>
      <c r="N19" s="118">
        <f t="shared" si="0"/>
        <v>10.345438643912434</v>
      </c>
      <c r="O19" s="119">
        <f t="shared" si="0"/>
        <v>6.2732414218334505</v>
      </c>
      <c r="P19" s="118">
        <f t="shared" si="0"/>
        <v>130.08983439569101</v>
      </c>
      <c r="Q19" s="118">
        <f t="shared" si="0"/>
        <v>-2.9480847198406681</v>
      </c>
    </row>
    <row r="20" spans="2:17" x14ac:dyDescent="0.3">
      <c r="D20" s="116" t="s">
        <v>79</v>
      </c>
      <c r="E20" s="118">
        <f>AVERAGE(E9:E12)</f>
        <v>153.10445108980949</v>
      </c>
      <c r="F20" s="118">
        <f t="shared" ref="F20:Q20" si="1">AVERAGE(F9:F12)</f>
        <v>135.0182766351746</v>
      </c>
      <c r="G20" s="118">
        <f t="shared" si="1"/>
        <v>187.62603920263808</v>
      </c>
      <c r="H20" s="118">
        <f t="shared" si="1"/>
        <v>162.39809334909791</v>
      </c>
      <c r="I20" s="118">
        <f t="shared" si="1"/>
        <v>34.167846400084308</v>
      </c>
      <c r="J20" s="118">
        <f t="shared" si="1"/>
        <v>110.05956368780461</v>
      </c>
      <c r="K20" s="118">
        <f t="shared" si="1"/>
        <v>214.39117579603996</v>
      </c>
      <c r="L20" s="118">
        <f t="shared" si="1"/>
        <v>55.770111728597868</v>
      </c>
      <c r="M20" s="118">
        <f t="shared" si="1"/>
        <v>30.435884842796188</v>
      </c>
      <c r="N20" s="118">
        <f t="shared" si="1"/>
        <v>11.434194738589056</v>
      </c>
      <c r="O20" s="119">
        <f t="shared" si="1"/>
        <v>7.0872004670485236</v>
      </c>
      <c r="P20" s="118">
        <f t="shared" si="1"/>
        <v>153.70098507059842</v>
      </c>
      <c r="Q20" s="118">
        <f t="shared" si="1"/>
        <v>5.4280086611263512</v>
      </c>
    </row>
    <row r="21" spans="2:17" x14ac:dyDescent="0.3">
      <c r="D21" s="116" t="s">
        <v>81</v>
      </c>
      <c r="E21" s="118">
        <f>AVERAGE(E13:E16)</f>
        <v>159.95713098591582</v>
      </c>
      <c r="F21" s="118">
        <f t="shared" ref="F21:Q21" si="2">AVERAGE(F13:F16)</f>
        <v>107.69103231400773</v>
      </c>
      <c r="G21" s="118">
        <f t="shared" si="2"/>
        <v>132.02258631276339</v>
      </c>
      <c r="H21" s="118">
        <f t="shared" si="2"/>
        <v>134.52259464448116</v>
      </c>
      <c r="I21" s="118">
        <f t="shared" si="2"/>
        <v>24.330959767651851</v>
      </c>
      <c r="J21" s="118">
        <f t="shared" si="2"/>
        <v>145.05600213909995</v>
      </c>
      <c r="K21" s="118">
        <f t="shared" si="2"/>
        <v>196.28275204194861</v>
      </c>
      <c r="L21" s="118">
        <f t="shared" si="2"/>
        <v>57.992063561800137</v>
      </c>
      <c r="M21" s="118">
        <f t="shared" si="2"/>
        <v>34.496447475825299</v>
      </c>
      <c r="N21" s="118">
        <f t="shared" si="2"/>
        <v>11.356706080139237</v>
      </c>
      <c r="O21" s="119">
        <f t="shared" si="2"/>
        <v>7.0445383554425458</v>
      </c>
      <c r="P21" s="118">
        <f t="shared" si="2"/>
        <v>144.26508280140058</v>
      </c>
      <c r="Q21" s="118">
        <f t="shared" si="2"/>
        <v>-1.9587994381819487</v>
      </c>
    </row>
    <row r="22" spans="2:17" x14ac:dyDescent="0.3">
      <c r="B22" t="s">
        <v>37</v>
      </c>
      <c r="D22" s="116" t="s">
        <v>80</v>
      </c>
      <c r="E22" s="120">
        <f>'FM B 1. Schnitt'!E17</f>
        <v>374.22398141566015</v>
      </c>
      <c r="F22" s="120">
        <f>'FM B 1. Schnitt'!F17</f>
        <v>86.538349497855975</v>
      </c>
      <c r="G22" s="120">
        <f>'FM B 1. Schnitt'!G17</f>
        <v>63.290275864496273</v>
      </c>
      <c r="H22" s="120">
        <f>'FM B 1. Schnitt'!H17</f>
        <v>262.31640398493073</v>
      </c>
      <c r="I22" s="120">
        <f>'FM B 1. Schnitt'!I17</f>
        <v>13.226435803731665</v>
      </c>
      <c r="J22" s="120">
        <f>'FM B 1. Schnitt'!J17</f>
        <v>223.63856041159221</v>
      </c>
      <c r="K22" s="120">
        <f>'FM B 1. Schnitt'!K17</f>
        <v>290.6482028772034</v>
      </c>
      <c r="L22" s="120">
        <f>'FM B 1. Schnitt'!L17</f>
        <v>49.443341427100165</v>
      </c>
      <c r="M22" s="120">
        <f>'FM B 1. Schnitt'!M17</f>
        <v>40.813815524696722</v>
      </c>
      <c r="N22" s="120">
        <f>'FM B 1. Schnitt'!N17</f>
        <v>9.4084561606824053</v>
      </c>
      <c r="O22" s="120">
        <f>'FM B 1. Schnitt'!O17</f>
        <v>5.5820170372353646</v>
      </c>
      <c r="P22" s="120">
        <f>'FM B 1. Schnitt'!P17</f>
        <v>112.39637896562768</v>
      </c>
      <c r="Q22" s="120">
        <f>'FM B 1. Schnitt'!Q17</f>
        <v>-7.8569764961810256</v>
      </c>
    </row>
    <row r="23" spans="2:17" x14ac:dyDescent="0.3">
      <c r="D23" s="116" t="s">
        <v>79</v>
      </c>
      <c r="E23" s="120">
        <f>'FM B 1. Schnitt'!E18</f>
        <v>279.71210979657889</v>
      </c>
      <c r="F23" s="120">
        <f>'FM B 1. Schnitt'!F18</f>
        <v>85.834441869669831</v>
      </c>
      <c r="G23" s="120">
        <f>'FM B 1. Schnitt'!G18</f>
        <v>121.52687088836142</v>
      </c>
      <c r="H23" s="120">
        <f>'FM B 1. Schnitt'!H18</f>
        <v>166.04035396085831</v>
      </c>
      <c r="I23" s="120">
        <f>'FM B 1. Schnitt'!I18</f>
        <v>18.580966013860696</v>
      </c>
      <c r="J23" s="120">
        <f>'FM B 1. Schnitt'!J18</f>
        <v>125.87810451697374</v>
      </c>
      <c r="K23" s="120">
        <f>'FM B 1. Schnitt'!K18</f>
        <v>215.65627290659546</v>
      </c>
      <c r="L23" s="120">
        <f>'FM B 1. Schnitt'!L18</f>
        <v>61.746844060714892</v>
      </c>
      <c r="M23" s="120">
        <f>'FM B 1. Schnitt'!M18</f>
        <v>42.348453380108324</v>
      </c>
      <c r="N23" s="120">
        <f>'FM B 1. Schnitt'!N18</f>
        <v>11.395029613378416</v>
      </c>
      <c r="O23" s="120">
        <f>'FM B 1. Schnitt'!O18</f>
        <v>7.0477888981329508</v>
      </c>
      <c r="P23" s="120">
        <f>'FM B 1. Schnitt'!P18</f>
        <v>143.06148954537022</v>
      </c>
      <c r="Q23" s="120">
        <f>'FM B 1. Schnitt'!Q18</f>
        <v>-3.4455389851214111</v>
      </c>
    </row>
    <row r="24" spans="2:17" x14ac:dyDescent="0.3">
      <c r="D24" s="116" t="s">
        <v>81</v>
      </c>
      <c r="E24" s="120">
        <f>'FM B 1. Schnitt'!E19</f>
        <v>265.82790710853675</v>
      </c>
      <c r="F24" s="120">
        <f>'FM B 1. Schnitt'!F19</f>
        <v>67.452115951627277</v>
      </c>
      <c r="G24" s="120">
        <f>'FM B 1. Schnitt'!G19</f>
        <v>78.322284616883238</v>
      </c>
      <c r="H24" s="120">
        <f>'FM B 1. Schnitt'!H19</f>
        <v>118.5878887508818</v>
      </c>
      <c r="I24" s="120">
        <f>'FM B 1. Schnitt'!I19</f>
        <v>19.26663082681425</v>
      </c>
      <c r="J24" s="120">
        <f>'FM B 1. Schnitt'!J19</f>
        <v>141.5207944240619</v>
      </c>
      <c r="K24" s="120">
        <f>'FM B 1. Schnitt'!K19</f>
        <v>170.49996592185011</v>
      </c>
      <c r="L24" s="120">
        <f>'FM B 1. Schnitt'!L19</f>
        <v>68.181725042634611</v>
      </c>
      <c r="M24" s="120">
        <f>'FM B 1. Schnitt'!M19</f>
        <v>52.307734879059772</v>
      </c>
      <c r="N24" s="120">
        <f>'FM B 1. Schnitt'!N19</f>
        <v>12.096187315086251</v>
      </c>
      <c r="O24" s="120">
        <f>'FM B 1. Schnitt'!O19</f>
        <v>7.6029124036814908</v>
      </c>
      <c r="P24" s="120">
        <f>'FM B 1. Schnitt'!P19</f>
        <v>144.03390801895421</v>
      </c>
      <c r="Q24" s="120">
        <f>'FM B 1. Schnitt'!Q19</f>
        <v>-10.513859744331352</v>
      </c>
    </row>
    <row r="25" spans="2:17" x14ac:dyDescent="0.3">
      <c r="G25" t="s">
        <v>9</v>
      </c>
      <c r="O25" t="s">
        <v>9</v>
      </c>
    </row>
    <row r="26" spans="2:17" x14ac:dyDescent="0.3">
      <c r="G26" t="s">
        <v>2</v>
      </c>
      <c r="O26" t="s">
        <v>2</v>
      </c>
    </row>
    <row r="27" spans="2:17" x14ac:dyDescent="0.3">
      <c r="G27" t="s">
        <v>9</v>
      </c>
      <c r="O27" t="s">
        <v>2</v>
      </c>
    </row>
    <row r="28" spans="2:17" x14ac:dyDescent="0.3">
      <c r="G28" t="s">
        <v>9</v>
      </c>
      <c r="O28" t="s">
        <v>10</v>
      </c>
    </row>
    <row r="29" spans="2:17" x14ac:dyDescent="0.3">
      <c r="G29" t="s">
        <v>2</v>
      </c>
      <c r="O29" t="s">
        <v>9</v>
      </c>
    </row>
    <row r="30" spans="2:17" x14ac:dyDescent="0.3">
      <c r="G30" t="s">
        <v>9</v>
      </c>
      <c r="O30" t="s">
        <v>2</v>
      </c>
    </row>
  </sheetData>
  <autoFilter ref="A4:Q16" xr:uid="{DE21D091-C371-4308-BC8B-2C0BD39A572C}"/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5921-2C82-4A3B-9F96-67F11CE638D4}">
  <dimension ref="A1:Q19"/>
  <sheetViews>
    <sheetView topLeftCell="A15" workbookViewId="0">
      <selection activeCell="E19" sqref="E19"/>
    </sheetView>
  </sheetViews>
  <sheetFormatPr baseColWidth="10" defaultRowHeight="14" x14ac:dyDescent="0.3"/>
  <sheetData>
    <row r="1" spans="1:17" ht="78" thickBot="1" x14ac:dyDescent="0.4">
      <c r="A1" s="89" t="s">
        <v>56</v>
      </c>
      <c r="B1" s="90" t="s">
        <v>57</v>
      </c>
      <c r="C1" s="90" t="s">
        <v>58</v>
      </c>
      <c r="D1" s="91" t="s">
        <v>59</v>
      </c>
      <c r="E1" s="92" t="s">
        <v>60</v>
      </c>
      <c r="F1" s="92" t="s">
        <v>61</v>
      </c>
      <c r="G1" s="92" t="s">
        <v>62</v>
      </c>
      <c r="H1" s="92" t="s">
        <v>63</v>
      </c>
      <c r="I1" s="92" t="s">
        <v>64</v>
      </c>
      <c r="J1" s="92" t="s">
        <v>65</v>
      </c>
      <c r="K1" s="92" t="s">
        <v>66</v>
      </c>
      <c r="L1" s="92" t="s">
        <v>67</v>
      </c>
      <c r="M1" s="92" t="s">
        <v>68</v>
      </c>
      <c r="N1" s="93" t="s">
        <v>69</v>
      </c>
      <c r="O1" s="93" t="s">
        <v>70</v>
      </c>
      <c r="P1" s="105" t="s">
        <v>71</v>
      </c>
      <c r="Q1" s="106" t="s">
        <v>72</v>
      </c>
    </row>
    <row r="2" spans="1:17" ht="20" x14ac:dyDescent="0.4">
      <c r="A2" s="94" t="s">
        <v>2</v>
      </c>
      <c r="B2" s="95">
        <v>3</v>
      </c>
      <c r="C2" s="96" t="s">
        <v>75</v>
      </c>
      <c r="D2" s="97">
        <v>202023648</v>
      </c>
      <c r="E2" s="98">
        <v>289.22307692307692</v>
      </c>
      <c r="F2" s="99">
        <v>90.625660536884382</v>
      </c>
      <c r="G2" s="99">
        <v>71.982667512153881</v>
      </c>
      <c r="H2" s="99">
        <v>251.2153878672585</v>
      </c>
      <c r="I2" s="99">
        <v>15.440710209258082</v>
      </c>
      <c r="J2" s="99">
        <v>231.42041851616992</v>
      </c>
      <c r="K2" s="99">
        <v>280.23673641936165</v>
      </c>
      <c r="L2" s="100">
        <v>51.426759670259983</v>
      </c>
      <c r="M2" s="100">
        <v>33.93040669505212</v>
      </c>
      <c r="N2" s="100">
        <v>9.7203456985838113</v>
      </c>
      <c r="O2" s="100">
        <v>5.8077906006364</v>
      </c>
      <c r="P2" s="99">
        <v>117.1411326650814</v>
      </c>
      <c r="Q2" s="100">
        <v>-7.2253544244684029</v>
      </c>
    </row>
    <row r="3" spans="1:17" ht="20" x14ac:dyDescent="0.4">
      <c r="A3" s="101" t="s">
        <v>9</v>
      </c>
      <c r="B3" s="95">
        <v>3</v>
      </c>
      <c r="C3" s="96" t="s">
        <v>75</v>
      </c>
      <c r="D3" s="97">
        <v>202023653</v>
      </c>
      <c r="E3" s="102">
        <v>362.8541552008806</v>
      </c>
      <c r="F3" s="103">
        <v>88.681886711178109</v>
      </c>
      <c r="G3" s="103">
        <v>60.370450139995697</v>
      </c>
      <c r="H3" s="103">
        <v>259.45509368942493</v>
      </c>
      <c r="I3" s="103">
        <v>12.534998923110059</v>
      </c>
      <c r="J3" s="103">
        <v>230.61598104673703</v>
      </c>
      <c r="K3" s="99">
        <v>295.72474693086366</v>
      </c>
      <c r="L3" s="104">
        <v>50.570751669179408</v>
      </c>
      <c r="M3" s="100">
        <v>30.199785943631824</v>
      </c>
      <c r="N3" s="104">
        <v>9.4136393495584745</v>
      </c>
      <c r="O3" s="104">
        <v>5.5905751442096561</v>
      </c>
      <c r="P3" s="103">
        <v>112.00179893226363</v>
      </c>
      <c r="Q3" s="104">
        <v>-8.2610158067628685</v>
      </c>
    </row>
    <row r="4" spans="1:17" ht="20" x14ac:dyDescent="0.4">
      <c r="A4" s="94" t="s">
        <v>10</v>
      </c>
      <c r="B4" s="95">
        <v>3</v>
      </c>
      <c r="C4" s="96" t="s">
        <v>75</v>
      </c>
      <c r="D4" s="97">
        <v>202023655</v>
      </c>
      <c r="E4" s="102">
        <v>408.28061472094913</v>
      </c>
      <c r="F4" s="103">
        <v>92.20779220779221</v>
      </c>
      <c r="G4" s="103">
        <v>69.386258902387937</v>
      </c>
      <c r="H4" s="103">
        <v>257.58273984080432</v>
      </c>
      <c r="I4" s="103">
        <v>14.212400502723082</v>
      </c>
      <c r="J4" s="103">
        <v>201.95852534562212</v>
      </c>
      <c r="K4" s="99">
        <v>283.91286133221615</v>
      </c>
      <c r="L4" s="104">
        <v>47.999581064097185</v>
      </c>
      <c r="M4" s="100">
        <v>54.158490566037734</v>
      </c>
      <c r="N4" s="104">
        <v>9.3866782572266452</v>
      </c>
      <c r="O4" s="104">
        <v>5.5690347499392976</v>
      </c>
      <c r="P4" s="103">
        <v>113.10067675198997</v>
      </c>
      <c r="Q4" s="104">
        <v>-6.9943068559363244</v>
      </c>
    </row>
    <row r="5" spans="1:17" ht="20" x14ac:dyDescent="0.4">
      <c r="A5" s="101" t="s">
        <v>11</v>
      </c>
      <c r="B5" s="95">
        <v>3</v>
      </c>
      <c r="C5" s="96" t="s">
        <v>75</v>
      </c>
      <c r="D5" s="97">
        <v>202023659</v>
      </c>
      <c r="E5" s="102">
        <v>436.538078817734</v>
      </c>
      <c r="F5" s="103">
        <v>74.638058535569201</v>
      </c>
      <c r="G5" s="103">
        <v>51.421726903447556</v>
      </c>
      <c r="H5" s="103">
        <v>281.0123945422352</v>
      </c>
      <c r="I5" s="103">
        <v>10.717633579835432</v>
      </c>
      <c r="J5" s="103">
        <v>230.55931673783979</v>
      </c>
      <c r="K5" s="99">
        <v>302.71846682637221</v>
      </c>
      <c r="L5" s="104">
        <v>47.77627330486407</v>
      </c>
      <c r="M5" s="100">
        <v>44.966578894065215</v>
      </c>
      <c r="N5" s="104">
        <v>9.1131613373606939</v>
      </c>
      <c r="O5" s="104">
        <v>5.3606676541561029</v>
      </c>
      <c r="P5" s="103">
        <v>107.34190751317573</v>
      </c>
      <c r="Q5" s="104">
        <v>-8.9472288975565064</v>
      </c>
    </row>
    <row r="6" spans="1:17" ht="20" x14ac:dyDescent="0.4">
      <c r="A6" s="94" t="s">
        <v>9</v>
      </c>
      <c r="B6" s="95">
        <v>7</v>
      </c>
      <c r="C6" s="96" t="s">
        <v>75</v>
      </c>
      <c r="D6" s="97">
        <v>202023650</v>
      </c>
      <c r="E6" s="102">
        <v>258.88230865746567</v>
      </c>
      <c r="F6" s="103">
        <v>83.939393939393938</v>
      </c>
      <c r="G6" s="103">
        <v>139.2058516196447</v>
      </c>
      <c r="H6" s="103">
        <v>152.56008359456635</v>
      </c>
      <c r="I6" s="103">
        <v>15.569487983281087</v>
      </c>
      <c r="J6" s="103">
        <v>111.70323928944619</v>
      </c>
      <c r="K6" s="99">
        <v>211.47335423197492</v>
      </c>
      <c r="L6" s="104">
        <v>62.486938349007318</v>
      </c>
      <c r="M6" s="100">
        <v>41.119951959165292</v>
      </c>
      <c r="N6" s="104">
        <v>11.535738766980147</v>
      </c>
      <c r="O6" s="104">
        <v>7.1512272243542254</v>
      </c>
      <c r="P6" s="103">
        <v>147.32760680668758</v>
      </c>
      <c r="Q6" s="104">
        <v>-1.2994808299268608</v>
      </c>
    </row>
    <row r="7" spans="1:17" ht="20" x14ac:dyDescent="0.4">
      <c r="A7" s="101" t="s">
        <v>2</v>
      </c>
      <c r="B7" s="95">
        <v>7</v>
      </c>
      <c r="C7" s="96" t="s">
        <v>75</v>
      </c>
      <c r="D7" s="97">
        <v>202023651</v>
      </c>
      <c r="E7" s="102">
        <v>258.15007194244606</v>
      </c>
      <c r="F7" s="103">
        <v>92.950199621769272</v>
      </c>
      <c r="G7" s="103">
        <v>130.71023324227778</v>
      </c>
      <c r="H7" s="103">
        <v>146.24921201933176</v>
      </c>
      <c r="I7" s="103">
        <v>16.284933809623869</v>
      </c>
      <c r="J7" s="103">
        <v>112.31351124185753</v>
      </c>
      <c r="K7" s="99">
        <v>196.4173145618827</v>
      </c>
      <c r="L7" s="104">
        <v>62.586677873502836</v>
      </c>
      <c r="M7" s="100">
        <v>43.332529539426091</v>
      </c>
      <c r="N7" s="104">
        <v>11.599371191426769</v>
      </c>
      <c r="O7" s="104">
        <v>7.2229581545657355</v>
      </c>
      <c r="P7" s="103">
        <v>146.70907262082369</v>
      </c>
      <c r="Q7" s="104">
        <v>-2.5598143005673455</v>
      </c>
    </row>
    <row r="8" spans="1:17" ht="20" x14ac:dyDescent="0.4">
      <c r="A8" s="101" t="s">
        <v>10</v>
      </c>
      <c r="B8" s="95">
        <v>7</v>
      </c>
      <c r="C8" s="96" t="s">
        <v>75</v>
      </c>
      <c r="D8" s="97">
        <v>202023656</v>
      </c>
      <c r="E8" s="102">
        <v>307.68523617877571</v>
      </c>
      <c r="F8" s="103">
        <v>84.678765123070505</v>
      </c>
      <c r="G8" s="103">
        <v>115.66541510221111</v>
      </c>
      <c r="H8" s="103">
        <v>156.86274509803926</v>
      </c>
      <c r="I8" s="103">
        <v>16.896120150187734</v>
      </c>
      <c r="J8" s="103">
        <v>109.9290780141844</v>
      </c>
      <c r="K8" s="99">
        <v>210.90947017104716</v>
      </c>
      <c r="L8" s="104">
        <v>62.04630788485607</v>
      </c>
      <c r="M8" s="100">
        <v>44.589720468890889</v>
      </c>
      <c r="N8" s="104">
        <v>11.396454213600332</v>
      </c>
      <c r="O8" s="104">
        <v>7.0556709864399494</v>
      </c>
      <c r="P8" s="103">
        <v>142.17143274103043</v>
      </c>
      <c r="Q8" s="104">
        <v>-4.2409628222110909</v>
      </c>
    </row>
    <row r="9" spans="1:17" ht="20" x14ac:dyDescent="0.4">
      <c r="A9" s="101" t="s">
        <v>11</v>
      </c>
      <c r="B9" s="95">
        <v>7</v>
      </c>
      <c r="C9" s="96" t="s">
        <v>75</v>
      </c>
      <c r="D9" s="97">
        <v>202023657</v>
      </c>
      <c r="E9" s="102">
        <v>294.1308224076281</v>
      </c>
      <c r="F9" s="103">
        <v>81.769408794445624</v>
      </c>
      <c r="G9" s="103">
        <v>100.52598358931202</v>
      </c>
      <c r="H9" s="103">
        <v>208.4893751314959</v>
      </c>
      <c r="I9" s="103">
        <v>25.573322112350095</v>
      </c>
      <c r="J9" s="103">
        <v>169.56658952240687</v>
      </c>
      <c r="K9" s="99">
        <v>243.82495266147697</v>
      </c>
      <c r="L9" s="104">
        <v>59.867452135493366</v>
      </c>
      <c r="M9" s="100">
        <v>40.351611552951027</v>
      </c>
      <c r="N9" s="104">
        <v>11.048554281506416</v>
      </c>
      <c r="O9" s="104">
        <v>6.761299227171893</v>
      </c>
      <c r="P9" s="103">
        <v>136.03784601293918</v>
      </c>
      <c r="Q9" s="104">
        <v>-5.6818979877803466</v>
      </c>
    </row>
    <row r="10" spans="1:17" ht="20" x14ac:dyDescent="0.4">
      <c r="A10" s="101" t="s">
        <v>9</v>
      </c>
      <c r="B10" s="95">
        <v>9</v>
      </c>
      <c r="C10" s="96" t="s">
        <v>75</v>
      </c>
      <c r="D10" s="97">
        <v>202023649</v>
      </c>
      <c r="E10" s="102">
        <v>216.65958802293488</v>
      </c>
      <c r="F10" s="103">
        <v>62.358441558441562</v>
      </c>
      <c r="G10" s="103">
        <v>73.205194805194807</v>
      </c>
      <c r="H10" s="103">
        <v>120.20779220779221</v>
      </c>
      <c r="I10" s="103">
        <v>20.155844155844154</v>
      </c>
      <c r="J10" s="103">
        <v>162.80519480519479</v>
      </c>
      <c r="K10" s="99">
        <v>174.20259740259738</v>
      </c>
      <c r="L10" s="104">
        <v>70.358441558441555</v>
      </c>
      <c r="M10" s="100">
        <v>55.1092818620494</v>
      </c>
      <c r="N10" s="104">
        <v>12.237481870129869</v>
      </c>
      <c r="O10" s="104">
        <v>7.7059836178079024</v>
      </c>
      <c r="P10" s="103">
        <v>144.78441735490907</v>
      </c>
      <c r="Q10" s="104">
        <v>-11.452675607954282</v>
      </c>
    </row>
    <row r="11" spans="1:17" ht="20" x14ac:dyDescent="0.4">
      <c r="A11" s="101" t="s">
        <v>2</v>
      </c>
      <c r="B11" s="95">
        <v>9</v>
      </c>
      <c r="C11" s="96" t="s">
        <v>75</v>
      </c>
      <c r="D11" s="97">
        <v>202023652</v>
      </c>
      <c r="E11" s="102">
        <v>232.59511952191218</v>
      </c>
      <c r="F11" s="103">
        <v>64.573804573804566</v>
      </c>
      <c r="G11" s="103">
        <v>75.384615384615387</v>
      </c>
      <c r="H11" s="103">
        <v>126.40332640332642</v>
      </c>
      <c r="I11" s="103">
        <v>20.686070686070682</v>
      </c>
      <c r="J11" s="103">
        <v>155.61330561330561</v>
      </c>
      <c r="K11" s="99">
        <v>174.17879417879416</v>
      </c>
      <c r="L11" s="104">
        <v>68.399168399168403</v>
      </c>
      <c r="M11" s="100">
        <v>55.033094318808608</v>
      </c>
      <c r="N11" s="104">
        <v>12.103448648648648</v>
      </c>
      <c r="O11" s="104">
        <v>7.5991583206068984</v>
      </c>
      <c r="P11" s="103">
        <v>143.65923748773389</v>
      </c>
      <c r="Q11" s="104">
        <v>-10.92393953649896</v>
      </c>
    </row>
    <row r="12" spans="1:17" ht="20" x14ac:dyDescent="0.4">
      <c r="A12" s="101" t="s">
        <v>10</v>
      </c>
      <c r="B12" s="95">
        <v>9</v>
      </c>
      <c r="C12" s="96" t="s">
        <v>75</v>
      </c>
      <c r="D12" s="97">
        <v>202023654</v>
      </c>
      <c r="E12" s="102">
        <v>304.64873449131517</v>
      </c>
      <c r="F12" s="103">
        <v>62.847078325735609</v>
      </c>
      <c r="G12" s="103">
        <v>88.468711147948611</v>
      </c>
      <c r="H12" s="103">
        <v>107.95690012432657</v>
      </c>
      <c r="I12" s="103">
        <v>21.342726895980114</v>
      </c>
      <c r="J12" s="103">
        <v>120.70037297969334</v>
      </c>
      <c r="K12" s="99">
        <v>161.86282635723168</v>
      </c>
      <c r="L12" s="104">
        <v>67.18814753418981</v>
      </c>
      <c r="M12" s="100">
        <v>50.392317601592694</v>
      </c>
      <c r="N12" s="104">
        <v>12.207272378781601</v>
      </c>
      <c r="O12" s="104">
        <v>7.6723618673581173</v>
      </c>
      <c r="P12" s="103">
        <v>146.81313570772897</v>
      </c>
      <c r="Q12" s="104">
        <v>-9.3351079295648578</v>
      </c>
    </row>
    <row r="13" spans="1:17" ht="20" x14ac:dyDescent="0.4">
      <c r="A13" s="101" t="s">
        <v>11</v>
      </c>
      <c r="B13" s="95">
        <v>9</v>
      </c>
      <c r="C13" s="96" t="s">
        <v>75</v>
      </c>
      <c r="D13" s="97">
        <v>202023658</v>
      </c>
      <c r="E13" s="102">
        <v>309.40818639798482</v>
      </c>
      <c r="F13" s="103">
        <v>80.029139348527409</v>
      </c>
      <c r="G13" s="103">
        <v>76.23061712977416</v>
      </c>
      <c r="H13" s="103">
        <v>119.78353626808199</v>
      </c>
      <c r="I13" s="103">
        <v>14.881881569362056</v>
      </c>
      <c r="J13" s="103">
        <v>126.96430429805389</v>
      </c>
      <c r="K13" s="99">
        <v>171.75564574877717</v>
      </c>
      <c r="L13" s="104">
        <v>66.781142678738675</v>
      </c>
      <c r="M13" s="100">
        <v>48.696245733788395</v>
      </c>
      <c r="N13" s="104">
        <v>11.836546362784889</v>
      </c>
      <c r="O13" s="104">
        <v>7.4341458089530432</v>
      </c>
      <c r="P13" s="103">
        <v>140.87884152544487</v>
      </c>
      <c r="Q13" s="104">
        <v>-10.343715903307313</v>
      </c>
    </row>
    <row r="15" spans="1:17" ht="14.5" thickBot="1" x14ac:dyDescent="0.35"/>
    <row r="16" spans="1:17" ht="78" thickBot="1" x14ac:dyDescent="0.4">
      <c r="E16" s="92" t="s">
        <v>60</v>
      </c>
      <c r="F16" s="92" t="s">
        <v>61</v>
      </c>
      <c r="G16" s="111" t="s">
        <v>62</v>
      </c>
      <c r="H16" s="92" t="s">
        <v>63</v>
      </c>
      <c r="I16" s="92" t="s">
        <v>64</v>
      </c>
      <c r="J16" s="92" t="s">
        <v>65</v>
      </c>
      <c r="K16" s="92" t="s">
        <v>66</v>
      </c>
      <c r="L16" s="92" t="s">
        <v>67</v>
      </c>
      <c r="M16" s="92" t="s">
        <v>68</v>
      </c>
      <c r="N16" s="93" t="s">
        <v>69</v>
      </c>
      <c r="O16" s="108" t="s">
        <v>70</v>
      </c>
      <c r="P16" s="92" t="s">
        <v>71</v>
      </c>
      <c r="Q16" s="92" t="s">
        <v>72</v>
      </c>
    </row>
    <row r="17" spans="4:17" x14ac:dyDescent="0.3">
      <c r="D17" s="116" t="s">
        <v>77</v>
      </c>
      <c r="E17" s="115">
        <f>AVERAGE(E2:E5)</f>
        <v>374.22398141566015</v>
      </c>
      <c r="F17" s="115">
        <f t="shared" ref="F17:Q17" si="0">AVERAGE(F2:F5)</f>
        <v>86.538349497855975</v>
      </c>
      <c r="G17" s="115">
        <f t="shared" si="0"/>
        <v>63.290275864496273</v>
      </c>
      <c r="H17" s="115">
        <f t="shared" si="0"/>
        <v>262.31640398493073</v>
      </c>
      <c r="I17" s="115">
        <f t="shared" si="0"/>
        <v>13.226435803731665</v>
      </c>
      <c r="J17" s="115">
        <f t="shared" si="0"/>
        <v>223.63856041159221</v>
      </c>
      <c r="K17" s="115">
        <f t="shared" si="0"/>
        <v>290.6482028772034</v>
      </c>
      <c r="L17" s="115">
        <f t="shared" si="0"/>
        <v>49.443341427100165</v>
      </c>
      <c r="M17" s="115">
        <f t="shared" si="0"/>
        <v>40.813815524696722</v>
      </c>
      <c r="N17" s="115">
        <f t="shared" si="0"/>
        <v>9.4084561606824053</v>
      </c>
      <c r="O17" s="117">
        <f t="shared" si="0"/>
        <v>5.5820170372353646</v>
      </c>
      <c r="P17" s="115">
        <f t="shared" si="0"/>
        <v>112.39637896562768</v>
      </c>
      <c r="Q17" s="115">
        <f t="shared" si="0"/>
        <v>-7.8569764961810256</v>
      </c>
    </row>
    <row r="18" spans="4:17" x14ac:dyDescent="0.3">
      <c r="D18" s="116" t="s">
        <v>76</v>
      </c>
      <c r="E18" s="115">
        <f>AVERAGE(E6:E9)</f>
        <v>279.71210979657889</v>
      </c>
      <c r="F18" s="115">
        <f t="shared" ref="F18:Q18" si="1">AVERAGE(F6:F9)</f>
        <v>85.834441869669831</v>
      </c>
      <c r="G18" s="115">
        <f t="shared" si="1"/>
        <v>121.52687088836142</v>
      </c>
      <c r="H18" s="115">
        <f t="shared" si="1"/>
        <v>166.04035396085831</v>
      </c>
      <c r="I18" s="115">
        <f t="shared" si="1"/>
        <v>18.580966013860696</v>
      </c>
      <c r="J18" s="115">
        <f t="shared" si="1"/>
        <v>125.87810451697374</v>
      </c>
      <c r="K18" s="115">
        <f t="shared" si="1"/>
        <v>215.65627290659546</v>
      </c>
      <c r="L18" s="115">
        <f t="shared" si="1"/>
        <v>61.746844060714892</v>
      </c>
      <c r="M18" s="115">
        <f t="shared" si="1"/>
        <v>42.348453380108324</v>
      </c>
      <c r="N18" s="115">
        <f t="shared" si="1"/>
        <v>11.395029613378416</v>
      </c>
      <c r="O18" s="117">
        <f t="shared" si="1"/>
        <v>7.0477888981329508</v>
      </c>
      <c r="P18" s="115">
        <f t="shared" si="1"/>
        <v>143.06148954537022</v>
      </c>
      <c r="Q18" s="115">
        <f t="shared" si="1"/>
        <v>-3.4455389851214111</v>
      </c>
    </row>
    <row r="19" spans="4:17" x14ac:dyDescent="0.3">
      <c r="D19" s="116" t="s">
        <v>78</v>
      </c>
      <c r="E19" s="115">
        <f>AVERAGE(E10:E13)</f>
        <v>265.82790710853675</v>
      </c>
      <c r="F19" s="115">
        <f t="shared" ref="F19:Q19" si="2">AVERAGE(F10:F13)</f>
        <v>67.452115951627277</v>
      </c>
      <c r="G19" s="115">
        <f t="shared" si="2"/>
        <v>78.322284616883238</v>
      </c>
      <c r="H19" s="115">
        <f t="shared" si="2"/>
        <v>118.5878887508818</v>
      </c>
      <c r="I19" s="115">
        <f t="shared" si="2"/>
        <v>19.26663082681425</v>
      </c>
      <c r="J19" s="115">
        <f t="shared" si="2"/>
        <v>141.5207944240619</v>
      </c>
      <c r="K19" s="115">
        <f t="shared" si="2"/>
        <v>170.49996592185011</v>
      </c>
      <c r="L19" s="115">
        <f t="shared" si="2"/>
        <v>68.181725042634611</v>
      </c>
      <c r="M19" s="115">
        <f t="shared" si="2"/>
        <v>52.307734879059772</v>
      </c>
      <c r="N19" s="115">
        <f t="shared" si="2"/>
        <v>12.096187315086251</v>
      </c>
      <c r="O19" s="117">
        <f t="shared" si="2"/>
        <v>7.6029124036814908</v>
      </c>
      <c r="P19" s="115">
        <f t="shared" si="2"/>
        <v>144.03390801895421</v>
      </c>
      <c r="Q19" s="115">
        <f t="shared" si="2"/>
        <v>-10.513859744331352</v>
      </c>
    </row>
  </sheetData>
  <autoFilter ref="A1:Q1" xr:uid="{8FC0D3A3-47C4-49BD-9160-9A08765BE8F5}">
    <sortState xmlns:xlrd2="http://schemas.microsoft.com/office/spreadsheetml/2017/richdata2" ref="A2:Q13">
      <sortCondition ref="B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53D5-C5C8-41FC-BA8A-B2D250EC3235}">
  <sheetPr>
    <tabColor theme="5" tint="0.79998168889431442"/>
  </sheetPr>
  <dimension ref="B2:AO47"/>
  <sheetViews>
    <sheetView zoomScale="54" zoomScaleNormal="70" workbookViewId="0">
      <selection activeCell="H53" sqref="H53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3" width="9.08203125" style="186" customWidth="1"/>
    <col min="4" max="4" width="14.6640625" style="186" customWidth="1"/>
    <col min="5" max="5" width="10.6640625" style="186"/>
    <col min="6" max="6" width="10.08203125" style="186" customWidth="1"/>
    <col min="7" max="7" width="11.6640625" style="186" customWidth="1"/>
    <col min="8" max="8" width="9.9140625" style="186" customWidth="1"/>
    <col min="9" max="9" width="15.4140625" style="186" customWidth="1"/>
    <col min="10" max="10" width="11" style="186" bestFit="1" customWidth="1"/>
    <col min="11" max="11" width="10.4140625" style="186" bestFit="1" customWidth="1"/>
    <col min="12" max="12" width="9.58203125" style="186" customWidth="1"/>
    <col min="13" max="13" width="11.6640625" style="186" customWidth="1"/>
    <col min="14" max="15" width="8.08203125" style="186" bestFit="1" customWidth="1"/>
    <col min="16" max="16" width="8.08203125" style="186" customWidth="1"/>
    <col min="17" max="17" width="12.4140625" style="186" bestFit="1" customWidth="1"/>
    <col min="18" max="18" width="11.6640625" style="186" bestFit="1" customWidth="1"/>
    <col min="19" max="19" width="9.9140625" style="186" customWidth="1"/>
    <col min="20" max="20" width="8.9140625" style="186" customWidth="1"/>
    <col min="21" max="21" width="8.08203125" style="186" bestFit="1" customWidth="1"/>
    <col min="22" max="22" width="8.08203125" style="186" customWidth="1"/>
    <col min="23" max="23" width="12.4140625" style="186" bestFit="1" customWidth="1"/>
    <col min="24" max="24" width="11.6640625" style="186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37</v>
      </c>
    </row>
    <row r="4" spans="2:41" ht="14.5" thickBot="1" x14ac:dyDescent="0.35"/>
    <row r="5" spans="2:41" x14ac:dyDescent="0.3">
      <c r="D5" s="25" t="s">
        <v>31</v>
      </c>
      <c r="E5" s="26"/>
      <c r="F5" s="27" t="s">
        <v>20</v>
      </c>
      <c r="M5" s="25" t="s">
        <v>21</v>
      </c>
      <c r="N5" s="26">
        <v>4.68</v>
      </c>
      <c r="O5" s="27" t="s">
        <v>22</v>
      </c>
      <c r="P5" s="224"/>
      <c r="Q5" s="34" t="s">
        <v>33</v>
      </c>
      <c r="R5" s="32"/>
      <c r="S5" s="32"/>
    </row>
    <row r="6" spans="2:41" x14ac:dyDescent="0.3">
      <c r="D6" s="29" t="s">
        <v>32</v>
      </c>
      <c r="E6" s="165">
        <v>4</v>
      </c>
      <c r="F6" s="30" t="s">
        <v>22</v>
      </c>
      <c r="M6" s="29"/>
      <c r="O6" s="30"/>
      <c r="P6" s="224"/>
      <c r="Q6" s="224"/>
      <c r="R6" s="224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224"/>
      <c r="Q7" s="224"/>
      <c r="R7" s="224"/>
    </row>
    <row r="9" spans="2:41" x14ac:dyDescent="0.3">
      <c r="C9" s="187"/>
      <c r="D9" s="5" t="s">
        <v>5</v>
      </c>
      <c r="L9" s="187"/>
      <c r="M9" s="5" t="s">
        <v>13</v>
      </c>
      <c r="N9" s="185"/>
      <c r="O9" s="185"/>
      <c r="P9" s="185"/>
      <c r="Q9" s="185"/>
      <c r="R9" s="50"/>
      <c r="S9" s="5" t="s">
        <v>17</v>
      </c>
      <c r="T9" s="185"/>
      <c r="U9" s="185"/>
      <c r="V9" s="185"/>
      <c r="W9" s="185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187"/>
      <c r="D10" s="28" t="s">
        <v>30</v>
      </c>
      <c r="G10" s="28" t="s">
        <v>29</v>
      </c>
      <c r="L10" s="187"/>
      <c r="M10" s="28" t="s">
        <v>30</v>
      </c>
      <c r="N10" s="28"/>
      <c r="O10" s="28"/>
      <c r="P10" s="28" t="s">
        <v>29</v>
      </c>
      <c r="Q10" s="28"/>
      <c r="R10" s="46"/>
      <c r="S10" s="28" t="s">
        <v>30</v>
      </c>
      <c r="T10" s="28"/>
      <c r="U10" s="28"/>
      <c r="V10" s="28" t="s">
        <v>29</v>
      </c>
      <c r="W10" s="28"/>
      <c r="X10" s="46"/>
      <c r="Y10" s="28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186" t="s">
        <v>2</v>
      </c>
      <c r="C12" s="187">
        <v>1</v>
      </c>
      <c r="D12" s="7">
        <v>4.5199999999999996</v>
      </c>
      <c r="E12" s="7">
        <v>277.82</v>
      </c>
      <c r="F12" s="7">
        <v>59.99</v>
      </c>
      <c r="G12" s="8">
        <f>((F12-$E$6)/(E12-$E$6))*100</f>
        <v>20.447739390840699</v>
      </c>
      <c r="H12" s="186">
        <v>1</v>
      </c>
      <c r="I12" s="7">
        <f>(D12)*(G12/100)</f>
        <v>0.92423782046599956</v>
      </c>
      <c r="J12" s="7">
        <f>I12/($E$7*H12)</f>
        <v>0.17115515193814806</v>
      </c>
      <c r="K12" s="7">
        <f>J12*10000/100</f>
        <v>17.115515193814804</v>
      </c>
      <c r="L12" s="187"/>
      <c r="M12" s="58"/>
      <c r="N12" s="31"/>
      <c r="O12" s="31"/>
      <c r="P12" s="31" t="str">
        <f>IF(N12&gt;0,((O12-$N$5)/(N12-$N$5))*100,"")</f>
        <v/>
      </c>
      <c r="Q12" s="31" t="str">
        <f>IF(N12&gt;0,((P12/100)*M12)/$N$7/1000,"")</f>
        <v/>
      </c>
      <c r="R12" s="14">
        <f t="shared" ref="R12:R16" si="0">IF(N12&gt;0,Q12*10000/100,0)</f>
        <v>0</v>
      </c>
      <c r="S12" s="40">
        <v>1050.19</v>
      </c>
      <c r="T12" s="40">
        <v>308.45</v>
      </c>
      <c r="U12" s="40">
        <v>57.77</v>
      </c>
      <c r="V12" s="7">
        <f>IF(T12&gt;0,((U12-$N$5)/(T12-$N$5))*100,"")</f>
        <v>17.477038548902133</v>
      </c>
      <c r="W12" s="7">
        <f>IF(T12&gt;0,((V12/100)*S12)/$N$7/1000,"")</f>
        <v>0.18354211113671531</v>
      </c>
      <c r="X12" s="14">
        <f t="shared" ref="X12:X16" si="1">IF(T12&gt;0,W12*10000/100,0)</f>
        <v>18.354211113671532</v>
      </c>
      <c r="Y12" s="63"/>
      <c r="Z12" s="63"/>
      <c r="AA12" s="63"/>
      <c r="AB12" s="31" t="str">
        <f>IF(Z12&gt;0,((AA12-$N$5)/(Z12-$N$5))*100,"")</f>
        <v/>
      </c>
      <c r="AC12" s="31" t="str">
        <f>IF(Z12&gt;0,((AB12/100)*Y12)/$N$7/1000,"")</f>
        <v/>
      </c>
      <c r="AD12" s="14">
        <f t="shared" ref="AD12:AD16" si="2">IF(Z12&gt;0,AC12*10000/100,0)</f>
        <v>0</v>
      </c>
      <c r="AE12">
        <v>59.12</v>
      </c>
      <c r="AF12">
        <v>59.12</v>
      </c>
      <c r="AG12" s="64">
        <v>17.420000000000002</v>
      </c>
      <c r="AH12" s="7">
        <f>IF(AE12&gt;0,((AG12-$N$5)/(AF12-$N$5))*100,"")</f>
        <v>23.401910360029397</v>
      </c>
      <c r="AI12" s="7">
        <f>IF(AE12&gt;0,((AH12/100)*AE12)/$N$7/1000,"")</f>
        <v>1.3835209404849379E-2</v>
      </c>
      <c r="AJ12" s="14">
        <f>IF(AF12&gt;0,AI12*10000/100,0)</f>
        <v>1.383520940484938</v>
      </c>
      <c r="AK12" s="14"/>
      <c r="AL12" s="14">
        <f>X12</f>
        <v>18.354211113671532</v>
      </c>
      <c r="AM12" s="124">
        <f>IF((100/SUM(AJ12:AL12)*AL12),(100/SUM(AJ12:AL12)*AL12),"")</f>
        <v>92.990476632832852</v>
      </c>
      <c r="AN12" s="40" t="str">
        <f>IF((100/SUM(AJ12:AL12)*AK12),(100/SUM(AJ12:AL12)*AK12),"")</f>
        <v/>
      </c>
      <c r="AO12" s="40">
        <f>(100/SUM(AJ12:AL12)*AJ12)</f>
        <v>7.009523367167148</v>
      </c>
    </row>
    <row r="13" spans="2:41" x14ac:dyDescent="0.3">
      <c r="B13" s="186" t="s">
        <v>2</v>
      </c>
      <c r="C13" s="187">
        <v>2</v>
      </c>
      <c r="D13" s="7">
        <v>15.279999999999996</v>
      </c>
      <c r="E13" s="7">
        <v>310.39</v>
      </c>
      <c r="F13" s="7">
        <v>77.56</v>
      </c>
      <c r="G13" s="8">
        <f t="shared" ref="G13:G47" si="3">((F13-$E$6)/(E13-$E$6))*100</f>
        <v>24.008616469205915</v>
      </c>
      <c r="H13" s="186">
        <v>1</v>
      </c>
      <c r="I13" s="7">
        <f>(D13)*(G13/100)</f>
        <v>3.6685165964946629</v>
      </c>
      <c r="J13" s="7">
        <f t="shared" ref="J13:J47" si="4">I13/($E$7*H13)</f>
        <v>0.67935492527678942</v>
      </c>
      <c r="K13" s="7">
        <f t="shared" ref="K13:K47" si="5">J13*10000/100</f>
        <v>67.935492527678946</v>
      </c>
      <c r="L13" s="187"/>
      <c r="M13" s="58"/>
      <c r="N13" s="31"/>
      <c r="O13" s="31"/>
      <c r="P13" s="31" t="str">
        <f t="shared" ref="P13:P47" si="6">IF(N13&gt;0,((O13-$N$5)/(N13-$N$5))*100,"")</f>
        <v/>
      </c>
      <c r="Q13" s="31" t="str">
        <f t="shared" ref="Q13:Q47" si="7">IF(N13&gt;0,((P13/100)*M13)/$N$7/1000,"")</f>
        <v/>
      </c>
      <c r="R13" s="14">
        <f t="shared" si="0"/>
        <v>0</v>
      </c>
      <c r="S13" s="40">
        <f>447.41+827.56</f>
        <v>1274.97</v>
      </c>
      <c r="T13" s="40">
        <v>208.62</v>
      </c>
      <c r="U13" s="40">
        <v>42.89</v>
      </c>
      <c r="V13" s="7">
        <f t="shared" ref="V13:V47" si="8">IF(T13&gt;0,((U13-$N$5)/(T13-$N$5))*100,"")</f>
        <v>18.735902716485242</v>
      </c>
      <c r="W13" s="7">
        <f t="shared" ref="W13:W47" si="9">IF(T13&gt;0,((V13/100)*S13)/$N$7/1000,"")</f>
        <v>0.2388771388643719</v>
      </c>
      <c r="X13" s="14">
        <f t="shared" si="1"/>
        <v>23.88771388643719</v>
      </c>
      <c r="Y13" s="40">
        <v>921.45</v>
      </c>
      <c r="Z13" s="40">
        <v>266.68</v>
      </c>
      <c r="AA13" s="40">
        <v>87.02</v>
      </c>
      <c r="AB13" s="7">
        <f t="shared" ref="AB13:AB47" si="10">IF(Z13&gt;0,((AA13-$N$5)/(Z13-$N$5))*100,"")</f>
        <v>31.427480916030536</v>
      </c>
      <c r="AC13" s="7">
        <f t="shared" ref="AC13:AC47" si="11">IF(Z13&gt;0,((AB13/100)*Y13)/$N$7/1000,"")</f>
        <v>0.28958852290076337</v>
      </c>
      <c r="AD13" s="14">
        <f t="shared" si="2"/>
        <v>28.958852290076337</v>
      </c>
      <c r="AE13">
        <v>15.36</v>
      </c>
      <c r="AF13">
        <v>15.36</v>
      </c>
      <c r="AG13" s="64">
        <v>6.77</v>
      </c>
      <c r="AH13" s="7">
        <f t="shared" ref="AH13:AH47" si="12">IF(AE13&gt;0,((AG13-$N$5)/(AF13-$N$5))*100,"")</f>
        <v>19.569288389513105</v>
      </c>
      <c r="AI13" s="7">
        <f t="shared" ref="AI13:AI47" si="13">IF(AE13&gt;0,((AH13/100)*AE13)/$N$7/1000,"")</f>
        <v>3.0058426966292125E-3</v>
      </c>
      <c r="AJ13" s="14">
        <f t="shared" ref="AJ13:AJ47" si="14">IF(AF13&gt;0,AI13*10000/100,0)</f>
        <v>0.30058426966292123</v>
      </c>
      <c r="AK13" s="14">
        <f t="shared" ref="AK13:AK47" si="15">R13+AD13</f>
        <v>28.958852290076337</v>
      </c>
      <c r="AL13" s="14">
        <f t="shared" ref="AL13:AL46" si="16">X13</f>
        <v>23.88771388643719</v>
      </c>
      <c r="AM13" s="124">
        <f t="shared" ref="AM13:AM47" si="17">IF((100/SUM(AJ13:AL13)*AL13),(100/SUM(AJ13:AL13)*AL13),"")</f>
        <v>44.946368123026502</v>
      </c>
      <c r="AN13" s="40">
        <f t="shared" ref="AN13:AN47" si="18">IF((100/SUM(AJ13:AL13)*AK13),(100/SUM(AJ13:AL13)*AK13),"")</f>
        <v>54.488062007019074</v>
      </c>
      <c r="AO13" s="40">
        <f t="shared" ref="AO13:AO47" si="19">(100/SUM(AJ13:AL13)*AJ13)</f>
        <v>0.56556986995442216</v>
      </c>
    </row>
    <row r="14" spans="2:41" x14ac:dyDescent="0.3">
      <c r="B14" s="186" t="s">
        <v>2</v>
      </c>
      <c r="C14" s="187">
        <v>3</v>
      </c>
      <c r="D14" s="7">
        <v>11.78</v>
      </c>
      <c r="E14" s="7">
        <v>297.47000000000003</v>
      </c>
      <c r="F14" s="7">
        <v>82.59</v>
      </c>
      <c r="G14" s="8">
        <f>((F14-$E$6)/(E14-$E$6))*100</f>
        <v>26.779568610079394</v>
      </c>
      <c r="H14" s="186">
        <v>1</v>
      </c>
      <c r="I14" s="7">
        <f t="shared" ref="I14:I47" si="20">(D14)*(G14/100)</f>
        <v>3.1546331822673528</v>
      </c>
      <c r="J14" s="7">
        <f t="shared" si="4"/>
        <v>0.58419133004950974</v>
      </c>
      <c r="K14" s="7">
        <f t="shared" si="5"/>
        <v>58.419133004950972</v>
      </c>
      <c r="L14" s="187"/>
      <c r="M14" s="58"/>
      <c r="N14" s="31"/>
      <c r="O14" s="31"/>
      <c r="P14" s="31" t="str">
        <f t="shared" si="6"/>
        <v/>
      </c>
      <c r="Q14" s="31" t="str">
        <f t="shared" si="7"/>
        <v/>
      </c>
      <c r="R14" s="14">
        <f t="shared" si="0"/>
        <v>0</v>
      </c>
      <c r="S14" s="40">
        <v>1167.08</v>
      </c>
      <c r="T14" s="40">
        <v>307.63</v>
      </c>
      <c r="U14" s="40">
        <v>62.47</v>
      </c>
      <c r="V14" s="7">
        <f t="shared" si="8"/>
        <v>19.0757550750949</v>
      </c>
      <c r="W14" s="7">
        <f t="shared" si="9"/>
        <v>0.22262932233041755</v>
      </c>
      <c r="X14" s="14">
        <f t="shared" si="1"/>
        <v>22.262932233041756</v>
      </c>
      <c r="Y14" s="40">
        <v>667.73</v>
      </c>
      <c r="Z14" s="40">
        <v>290.72000000000003</v>
      </c>
      <c r="AA14" s="40">
        <v>108.72</v>
      </c>
      <c r="AB14" s="7">
        <f t="shared" si="10"/>
        <v>36.372535309746887</v>
      </c>
      <c r="AC14" s="7">
        <f t="shared" si="11"/>
        <v>0.2428703300237729</v>
      </c>
      <c r="AD14" s="14">
        <f t="shared" si="2"/>
        <v>24.287033002377289</v>
      </c>
      <c r="AE14">
        <v>22.28</v>
      </c>
      <c r="AF14">
        <v>22.28</v>
      </c>
      <c r="AG14" s="64">
        <v>8.51</v>
      </c>
      <c r="AH14" s="7">
        <f t="shared" si="12"/>
        <v>21.761363636363633</v>
      </c>
      <c r="AI14" s="7">
        <f t="shared" si="13"/>
        <v>4.8484318181818177E-3</v>
      </c>
      <c r="AJ14" s="14">
        <f t="shared" si="14"/>
        <v>0.48484318181818176</v>
      </c>
      <c r="AK14" s="14">
        <f t="shared" si="15"/>
        <v>24.287033002377289</v>
      </c>
      <c r="AL14" s="14">
        <f t="shared" si="16"/>
        <v>22.262932233041756</v>
      </c>
      <c r="AM14" s="124">
        <f t="shared" si="17"/>
        <v>47.332885967242241</v>
      </c>
      <c r="AN14" s="40">
        <f t="shared" si="18"/>
        <v>51.636296223280929</v>
      </c>
      <c r="AO14" s="40">
        <f t="shared" si="19"/>
        <v>1.0308178094768157</v>
      </c>
    </row>
    <row r="15" spans="2:41" x14ac:dyDescent="0.3">
      <c r="B15" s="186" t="s">
        <v>2</v>
      </c>
      <c r="C15" s="187">
        <v>4</v>
      </c>
      <c r="D15" s="7">
        <v>7.0600000000000005</v>
      </c>
      <c r="E15" s="7">
        <v>302.97000000000003</v>
      </c>
      <c r="F15" s="7">
        <v>98.45</v>
      </c>
      <c r="G15" s="8">
        <f t="shared" si="3"/>
        <v>31.591798508211522</v>
      </c>
      <c r="H15" s="186">
        <v>1</v>
      </c>
      <c r="I15" s="7">
        <f t="shared" si="20"/>
        <v>2.2303809746797336</v>
      </c>
      <c r="J15" s="7">
        <f t="shared" si="4"/>
        <v>0.41303351382958026</v>
      </c>
      <c r="K15" s="7">
        <f t="shared" si="5"/>
        <v>41.303351382958027</v>
      </c>
      <c r="L15" s="187"/>
      <c r="M15" s="58"/>
      <c r="N15" s="31"/>
      <c r="O15" s="31"/>
      <c r="P15" s="31" t="str">
        <f t="shared" si="6"/>
        <v/>
      </c>
      <c r="Q15" s="31" t="str">
        <f t="shared" si="7"/>
        <v/>
      </c>
      <c r="R15" s="14">
        <f t="shared" si="0"/>
        <v>0</v>
      </c>
      <c r="S15" s="40">
        <v>306.08</v>
      </c>
      <c r="T15" s="40">
        <v>307.63</v>
      </c>
      <c r="U15" s="40">
        <v>71.400000000000006</v>
      </c>
      <c r="V15" s="7">
        <f t="shared" si="8"/>
        <v>22.023436210595808</v>
      </c>
      <c r="W15" s="7">
        <f t="shared" si="9"/>
        <v>6.7409333553391654E-2</v>
      </c>
      <c r="X15" s="14">
        <f t="shared" si="1"/>
        <v>6.7409333553391653</v>
      </c>
      <c r="Y15" s="40">
        <v>681.36</v>
      </c>
      <c r="Z15" s="40">
        <v>290.38</v>
      </c>
      <c r="AA15" s="40">
        <v>111.72</v>
      </c>
      <c r="AB15" s="7">
        <f t="shared" si="10"/>
        <v>37.465873293664679</v>
      </c>
      <c r="AC15" s="7">
        <f t="shared" si="11"/>
        <v>0.25527747427371367</v>
      </c>
      <c r="AD15" s="14">
        <f t="shared" si="2"/>
        <v>25.52774742737137</v>
      </c>
      <c r="AE15">
        <v>17.34</v>
      </c>
      <c r="AF15">
        <v>17.34</v>
      </c>
      <c r="AG15" s="64">
        <v>7.53</v>
      </c>
      <c r="AH15" s="7">
        <f t="shared" si="12"/>
        <v>22.511848341232231</v>
      </c>
      <c r="AI15" s="7">
        <f t="shared" si="13"/>
        <v>3.9035545023696689E-3</v>
      </c>
      <c r="AJ15" s="14">
        <f t="shared" si="14"/>
        <v>0.39035545023696694</v>
      </c>
      <c r="AK15" s="14">
        <f t="shared" si="15"/>
        <v>25.52774742737137</v>
      </c>
      <c r="AL15" s="14">
        <f t="shared" si="16"/>
        <v>6.7409333553391653</v>
      </c>
      <c r="AM15" s="124">
        <f t="shared" si="17"/>
        <v>20.640331537213864</v>
      </c>
      <c r="AN15" s="40">
        <f t="shared" si="18"/>
        <v>78.164423607877779</v>
      </c>
      <c r="AO15" s="40">
        <f t="shared" si="19"/>
        <v>1.195244854908375</v>
      </c>
    </row>
    <row r="16" spans="2:41" x14ac:dyDescent="0.3">
      <c r="B16" s="186" t="s">
        <v>2</v>
      </c>
      <c r="C16" s="187">
        <v>5</v>
      </c>
      <c r="D16" s="7">
        <v>6.9599999999999991</v>
      </c>
      <c r="E16" s="7">
        <v>284.48</v>
      </c>
      <c r="F16" s="7">
        <v>114.49</v>
      </c>
      <c r="G16" s="8">
        <f t="shared" si="3"/>
        <v>39.39318311466058</v>
      </c>
      <c r="H16" s="186">
        <v>1</v>
      </c>
      <c r="I16" s="7">
        <f t="shared" si="20"/>
        <v>2.7417655447803759</v>
      </c>
      <c r="J16" s="7">
        <f t="shared" si="4"/>
        <v>0.50773436014451401</v>
      </c>
      <c r="K16" s="7">
        <f t="shared" si="5"/>
        <v>50.773436014451399</v>
      </c>
      <c r="L16" s="187"/>
      <c r="M16" s="58"/>
      <c r="N16" s="31"/>
      <c r="O16" s="31"/>
      <c r="P16" s="31" t="str">
        <f t="shared" si="6"/>
        <v/>
      </c>
      <c r="Q16" s="31" t="str">
        <f t="shared" si="7"/>
        <v/>
      </c>
      <c r="R16" s="14">
        <f t="shared" si="0"/>
        <v>0</v>
      </c>
      <c r="S16" s="61"/>
      <c r="T16" s="61"/>
      <c r="U16" s="61"/>
      <c r="V16" s="31" t="str">
        <f t="shared" si="8"/>
        <v/>
      </c>
      <c r="W16" s="31" t="str">
        <f t="shared" si="9"/>
        <v/>
      </c>
      <c r="X16" s="14">
        <f t="shared" si="1"/>
        <v>0</v>
      </c>
      <c r="Y16" s="40">
        <v>678.26</v>
      </c>
      <c r="Z16" s="40">
        <v>275.24</v>
      </c>
      <c r="AA16" s="40">
        <v>109.31</v>
      </c>
      <c r="AB16" s="7">
        <f t="shared" si="10"/>
        <v>38.671643997634533</v>
      </c>
      <c r="AC16" s="7">
        <f t="shared" si="11"/>
        <v>0.26229429257835596</v>
      </c>
      <c r="AD16" s="14">
        <f t="shared" si="2"/>
        <v>26.229429257835594</v>
      </c>
      <c r="AE16">
        <v>4.76</v>
      </c>
      <c r="AF16">
        <v>4.76</v>
      </c>
      <c r="AG16" s="64">
        <v>4.1500000000000004</v>
      </c>
      <c r="AH16" s="7">
        <v>20</v>
      </c>
      <c r="AI16" s="7">
        <f t="shared" si="13"/>
        <v>9.5199999999999994E-4</v>
      </c>
      <c r="AJ16" s="14">
        <f t="shared" si="14"/>
        <v>9.5199999999999993E-2</v>
      </c>
      <c r="AK16" s="14">
        <f t="shared" si="15"/>
        <v>26.229429257835594</v>
      </c>
      <c r="AL16" s="14"/>
      <c r="AM16" s="124" t="str">
        <f t="shared" si="17"/>
        <v/>
      </c>
      <c r="AN16" s="40">
        <f t="shared" si="18"/>
        <v>99.638361478645848</v>
      </c>
      <c r="AO16" s="40">
        <f t="shared" si="19"/>
        <v>0.36163852135415531</v>
      </c>
    </row>
    <row r="17" spans="2:41" x14ac:dyDescent="0.3">
      <c r="B17" s="186" t="s">
        <v>2</v>
      </c>
      <c r="C17" s="187">
        <v>6</v>
      </c>
      <c r="D17" s="7">
        <v>8.1</v>
      </c>
      <c r="E17" s="7">
        <v>311.37</v>
      </c>
      <c r="F17" s="7">
        <v>68.010000000000005</v>
      </c>
      <c r="G17" s="8">
        <f t="shared" si="3"/>
        <v>20.825064254806911</v>
      </c>
      <c r="H17" s="186">
        <v>1</v>
      </c>
      <c r="I17" s="7">
        <f t="shared" si="20"/>
        <v>1.6868302046393597</v>
      </c>
      <c r="J17" s="7">
        <f t="shared" si="4"/>
        <v>0.31237596382210364</v>
      </c>
      <c r="K17" s="7">
        <f t="shared" si="5"/>
        <v>31.237596382210363</v>
      </c>
      <c r="L17" s="187"/>
      <c r="M17" s="59">
        <v>837.93</v>
      </c>
      <c r="N17" s="7">
        <v>256.66000000000003</v>
      </c>
      <c r="O17" s="7">
        <v>55.75</v>
      </c>
      <c r="P17" s="7">
        <f t="shared" si="6"/>
        <v>20.267481546154457</v>
      </c>
      <c r="Q17" s="7">
        <f t="shared" si="7"/>
        <v>0.16982730811969202</v>
      </c>
      <c r="R17" s="14">
        <f>IF(N17&gt;0,Q17*10000/100,0)</f>
        <v>16.982730811969201</v>
      </c>
      <c r="S17" s="40">
        <v>391.46</v>
      </c>
      <c r="T17" s="40">
        <v>236.52</v>
      </c>
      <c r="U17" s="40">
        <v>54.06</v>
      </c>
      <c r="V17" s="7">
        <f t="shared" si="8"/>
        <v>21.299171842650104</v>
      </c>
      <c r="W17" s="7">
        <f t="shared" si="9"/>
        <v>8.3377738095238088E-2</v>
      </c>
      <c r="X17" s="14">
        <f>IF(T17&gt;0,W17*10000/100,0)</f>
        <v>8.3377738095238083</v>
      </c>
      <c r="Y17" s="61"/>
      <c r="Z17" s="61"/>
      <c r="AA17" s="61"/>
      <c r="AB17" s="31" t="str">
        <f t="shared" si="10"/>
        <v/>
      </c>
      <c r="AC17" s="31" t="str">
        <f t="shared" si="11"/>
        <v/>
      </c>
      <c r="AD17" s="14">
        <f>IF(Z17&gt;0,AC17*10000/100,0)</f>
        <v>0</v>
      </c>
      <c r="AE17">
        <v>12.71</v>
      </c>
      <c r="AF17">
        <v>12.71</v>
      </c>
      <c r="AG17" s="64">
        <v>6.37</v>
      </c>
      <c r="AH17" s="7">
        <f t="shared" si="12"/>
        <v>21.046077210460773</v>
      </c>
      <c r="AI17" s="7">
        <f t="shared" si="13"/>
        <v>2.6749564134495641E-3</v>
      </c>
      <c r="AJ17" s="14">
        <f t="shared" si="14"/>
        <v>0.2674956413449564</v>
      </c>
      <c r="AK17" s="14">
        <f t="shared" si="15"/>
        <v>16.982730811969201</v>
      </c>
      <c r="AL17" s="14">
        <f t="shared" si="16"/>
        <v>8.3377738095238083</v>
      </c>
      <c r="AM17" s="124">
        <f t="shared" si="17"/>
        <v>32.584702688286846</v>
      </c>
      <c r="AN17" s="40">
        <f t="shared" si="18"/>
        <v>66.369902444598637</v>
      </c>
      <c r="AO17" s="40">
        <f t="shared" si="19"/>
        <v>1.0453948671145139</v>
      </c>
    </row>
    <row r="18" spans="2:41" x14ac:dyDescent="0.3">
      <c r="B18" s="186" t="s">
        <v>2</v>
      </c>
      <c r="C18" s="187">
        <v>7</v>
      </c>
      <c r="D18" s="7">
        <v>7.8599999999999994</v>
      </c>
      <c r="E18" s="7">
        <v>269.92</v>
      </c>
      <c r="F18" s="7">
        <v>60.71</v>
      </c>
      <c r="G18" s="8">
        <f t="shared" si="3"/>
        <v>21.325962695547531</v>
      </c>
      <c r="H18" s="186">
        <v>1</v>
      </c>
      <c r="I18" s="7">
        <f t="shared" si="20"/>
        <v>1.676220667870036</v>
      </c>
      <c r="J18" s="7">
        <f t="shared" si="4"/>
        <v>0.31041123479074739</v>
      </c>
      <c r="K18" s="7">
        <f t="shared" si="5"/>
        <v>31.041123479074741</v>
      </c>
      <c r="L18" s="187"/>
      <c r="M18" s="59">
        <v>695.97</v>
      </c>
      <c r="N18" s="7">
        <v>259.33999999999997</v>
      </c>
      <c r="O18" s="7">
        <v>58.3</v>
      </c>
      <c r="P18" s="7">
        <f t="shared" si="6"/>
        <v>21.055525013743818</v>
      </c>
      <c r="Q18" s="7">
        <f t="shared" si="7"/>
        <v>0.14654013743815283</v>
      </c>
      <c r="R18" s="14">
        <f t="shared" ref="R18:R47" si="21">IF(N18&gt;0,Q18*10000/100,0)</f>
        <v>14.654013743815282</v>
      </c>
      <c r="S18" s="40">
        <v>385.29</v>
      </c>
      <c r="T18" s="40">
        <v>281.95</v>
      </c>
      <c r="U18" s="40">
        <v>64.12</v>
      </c>
      <c r="V18" s="7">
        <f t="shared" si="8"/>
        <v>21.437587910700763</v>
      </c>
      <c r="W18" s="7">
        <f t="shared" si="9"/>
        <v>8.2596882461138971E-2</v>
      </c>
      <c r="X18" s="14">
        <f t="shared" ref="X18:X47" si="22">IF(T18&gt;0,W18*10000/100,0)</f>
        <v>8.2596882461138961</v>
      </c>
      <c r="Y18" s="61"/>
      <c r="Z18" s="61"/>
      <c r="AA18" s="61"/>
      <c r="AB18" s="31" t="str">
        <f t="shared" si="10"/>
        <v/>
      </c>
      <c r="AC18" s="31" t="str">
        <f t="shared" si="11"/>
        <v/>
      </c>
      <c r="AD18" s="14">
        <f t="shared" ref="AD18:AD47" si="23">IF(Z18&gt;0,AC18*10000/100,0)</f>
        <v>0</v>
      </c>
      <c r="AE18">
        <v>25.68</v>
      </c>
      <c r="AF18">
        <v>25.68</v>
      </c>
      <c r="AG18" s="64">
        <v>11.49</v>
      </c>
      <c r="AH18" s="7">
        <f t="shared" si="12"/>
        <v>32.428571428571431</v>
      </c>
      <c r="AI18" s="7">
        <f t="shared" si="13"/>
        <v>8.3276571428571432E-3</v>
      </c>
      <c r="AJ18" s="14">
        <f t="shared" si="14"/>
        <v>0.83276571428571433</v>
      </c>
      <c r="AK18" s="14">
        <f t="shared" si="15"/>
        <v>14.654013743815282</v>
      </c>
      <c r="AL18" s="14">
        <f t="shared" si="16"/>
        <v>8.2596882461138961</v>
      </c>
      <c r="AM18" s="124">
        <f t="shared" si="17"/>
        <v>34.782807906406383</v>
      </c>
      <c r="AN18" s="40">
        <f t="shared" si="18"/>
        <v>61.710288563103894</v>
      </c>
      <c r="AO18" s="40">
        <f t="shared" si="19"/>
        <v>3.5069035304897245</v>
      </c>
    </row>
    <row r="19" spans="2:41" x14ac:dyDescent="0.3">
      <c r="B19" s="186" t="s">
        <v>2</v>
      </c>
      <c r="C19" s="187">
        <v>8</v>
      </c>
      <c r="D19" s="7">
        <v>4.74</v>
      </c>
      <c r="E19" s="7">
        <v>274.26</v>
      </c>
      <c r="F19" s="7">
        <v>68.47</v>
      </c>
      <c r="G19" s="8">
        <f t="shared" si="3"/>
        <v>23.854806482646339</v>
      </c>
      <c r="H19" s="186">
        <v>1</v>
      </c>
      <c r="I19" s="7">
        <f t="shared" si="20"/>
        <v>1.1307178272774365</v>
      </c>
      <c r="J19" s="7">
        <f t="shared" si="4"/>
        <v>0.2093921902365623</v>
      </c>
      <c r="K19" s="7">
        <f t="shared" si="5"/>
        <v>20.939219023656229</v>
      </c>
      <c r="L19" s="187"/>
      <c r="M19" s="59">
        <v>463.45</v>
      </c>
      <c r="N19" s="7">
        <v>251.92</v>
      </c>
      <c r="O19" s="7">
        <v>64.38</v>
      </c>
      <c r="P19" s="7">
        <f t="shared" si="6"/>
        <v>24.146578223588417</v>
      </c>
      <c r="Q19" s="7">
        <f t="shared" si="7"/>
        <v>0.11190731677722052</v>
      </c>
      <c r="R19" s="14">
        <f t="shared" si="21"/>
        <v>11.19073167772205</v>
      </c>
      <c r="S19" s="40">
        <v>166.84</v>
      </c>
      <c r="T19" s="40">
        <f>S19</f>
        <v>166.84</v>
      </c>
      <c r="U19" s="40">
        <v>46.29</v>
      </c>
      <c r="V19" s="7">
        <f t="shared" si="8"/>
        <v>25.659842131228416</v>
      </c>
      <c r="W19" s="7">
        <f t="shared" si="9"/>
        <v>4.2810880611741486E-2</v>
      </c>
      <c r="X19" s="14">
        <f t="shared" si="22"/>
        <v>4.2810880611741489</v>
      </c>
      <c r="Y19" s="61"/>
      <c r="Z19" s="61"/>
      <c r="AA19" s="61"/>
      <c r="AB19" s="31" t="str">
        <f t="shared" si="10"/>
        <v/>
      </c>
      <c r="AC19" s="31" t="str">
        <f t="shared" si="11"/>
        <v/>
      </c>
      <c r="AD19" s="14">
        <f t="shared" si="23"/>
        <v>0</v>
      </c>
      <c r="AE19">
        <v>11.16</v>
      </c>
      <c r="AF19">
        <v>11.16</v>
      </c>
      <c r="AG19" s="64">
        <v>6.1</v>
      </c>
      <c r="AH19" s="7">
        <f t="shared" si="12"/>
        <v>21.913580246913579</v>
      </c>
      <c r="AI19" s="7">
        <f t="shared" si="13"/>
        <v>2.4455555555555554E-3</v>
      </c>
      <c r="AJ19" s="14">
        <f t="shared" si="14"/>
        <v>0.24455555555555555</v>
      </c>
      <c r="AK19" s="14">
        <f t="shared" si="15"/>
        <v>11.19073167772205</v>
      </c>
      <c r="AL19" s="14">
        <f t="shared" si="16"/>
        <v>4.2810880611741489</v>
      </c>
      <c r="AM19" s="124">
        <f t="shared" si="17"/>
        <v>27.239665514258064</v>
      </c>
      <c r="AN19" s="40">
        <f t="shared" si="18"/>
        <v>71.204278773316375</v>
      </c>
      <c r="AO19" s="40">
        <f t="shared" si="19"/>
        <v>1.5560557124255574</v>
      </c>
    </row>
    <row r="20" spans="2:41" x14ac:dyDescent="0.3">
      <c r="B20" s="16" t="s">
        <v>2</v>
      </c>
      <c r="C20" s="17">
        <v>9</v>
      </c>
      <c r="D20" s="18">
        <v>4.0199999999999996</v>
      </c>
      <c r="E20" s="18">
        <v>230.28</v>
      </c>
      <c r="F20" s="18">
        <v>61.46</v>
      </c>
      <c r="G20" s="19">
        <f t="shared" si="3"/>
        <v>25.393318013081139</v>
      </c>
      <c r="H20" s="16">
        <v>1</v>
      </c>
      <c r="I20" s="7">
        <f t="shared" si="20"/>
        <v>1.0208113841258617</v>
      </c>
      <c r="J20" s="18">
        <f t="shared" si="4"/>
        <v>0.18903914520849288</v>
      </c>
      <c r="K20" s="18">
        <f t="shared" si="5"/>
        <v>18.903914520849288</v>
      </c>
      <c r="L20" s="17"/>
      <c r="M20" s="225">
        <v>616.01</v>
      </c>
      <c r="N20" s="18">
        <v>200.76</v>
      </c>
      <c r="O20" s="18">
        <v>54.48</v>
      </c>
      <c r="P20" s="18">
        <f t="shared" si="6"/>
        <v>25.397796817625462</v>
      </c>
      <c r="Q20" s="18">
        <f t="shared" si="7"/>
        <v>0.15645296817625462</v>
      </c>
      <c r="R20" s="14">
        <f t="shared" si="21"/>
        <v>15.645296817625463</v>
      </c>
      <c r="S20" s="62"/>
      <c r="T20" s="62"/>
      <c r="U20" s="62"/>
      <c r="V20" s="33" t="str">
        <f t="shared" si="8"/>
        <v/>
      </c>
      <c r="W20" s="33" t="str">
        <f t="shared" si="9"/>
        <v/>
      </c>
      <c r="X20" s="14">
        <f t="shared" si="22"/>
        <v>0</v>
      </c>
      <c r="Y20" s="62"/>
      <c r="Z20" s="62"/>
      <c r="AA20" s="62"/>
      <c r="AB20" s="33" t="str">
        <f t="shared" si="10"/>
        <v/>
      </c>
      <c r="AC20" s="33" t="str">
        <f t="shared" si="11"/>
        <v/>
      </c>
      <c r="AD20" s="14">
        <f t="shared" si="23"/>
        <v>0</v>
      </c>
      <c r="AE20" s="230">
        <v>7.32</v>
      </c>
      <c r="AF20" s="230">
        <v>7.32</v>
      </c>
      <c r="AG20" s="65">
        <v>5.0199999999999996</v>
      </c>
      <c r="AH20" s="18">
        <f t="shared" si="12"/>
        <v>12.87878787878787</v>
      </c>
      <c r="AI20" s="7">
        <f t="shared" si="13"/>
        <v>9.4272727272727206E-4</v>
      </c>
      <c r="AJ20" s="14">
        <f t="shared" si="14"/>
        <v>9.4272727272727203E-2</v>
      </c>
      <c r="AK20" s="14">
        <f t="shared" si="15"/>
        <v>15.645296817625463</v>
      </c>
      <c r="AL20" s="14"/>
      <c r="AM20" s="124" t="str">
        <f t="shared" si="17"/>
        <v/>
      </c>
      <c r="AN20" s="40">
        <f t="shared" si="18"/>
        <v>99.401046343714754</v>
      </c>
      <c r="AO20" s="40">
        <f t="shared" si="19"/>
        <v>0.59895365628524877</v>
      </c>
    </row>
    <row r="21" spans="2:41" x14ac:dyDescent="0.3">
      <c r="B21" s="186" t="s">
        <v>9</v>
      </c>
      <c r="C21" s="187">
        <v>1</v>
      </c>
      <c r="D21" s="7">
        <v>6.2999999999999989</v>
      </c>
      <c r="E21" s="7">
        <v>278.76</v>
      </c>
      <c r="F21" s="7">
        <v>68.94</v>
      </c>
      <c r="G21" s="8">
        <f t="shared" si="3"/>
        <v>23.635172514194206</v>
      </c>
      <c r="H21" s="186">
        <v>1</v>
      </c>
      <c r="I21" s="7">
        <f t="shared" si="20"/>
        <v>1.4890158683942347</v>
      </c>
      <c r="J21" s="7">
        <f t="shared" si="4"/>
        <v>0.27574367933226568</v>
      </c>
      <c r="K21" s="7">
        <f t="shared" si="5"/>
        <v>27.574367933226569</v>
      </c>
      <c r="L21" s="187"/>
      <c r="M21" s="58"/>
      <c r="N21" s="7"/>
      <c r="O21" s="7"/>
      <c r="P21" s="31" t="str">
        <f t="shared" si="6"/>
        <v/>
      </c>
      <c r="Q21" s="31" t="str">
        <f t="shared" si="7"/>
        <v/>
      </c>
      <c r="R21" s="14">
        <f t="shared" si="21"/>
        <v>0</v>
      </c>
      <c r="S21" s="40">
        <v>1039.04</v>
      </c>
      <c r="T21" s="40">
        <v>279.95</v>
      </c>
      <c r="U21" s="40">
        <v>64.56</v>
      </c>
      <c r="V21" s="7">
        <f t="shared" si="8"/>
        <v>21.753187779271261</v>
      </c>
      <c r="W21" s="7">
        <f t="shared" si="9"/>
        <v>0.22602432230174008</v>
      </c>
      <c r="X21" s="14">
        <f t="shared" si="22"/>
        <v>22.60243223017401</v>
      </c>
      <c r="Y21" s="63"/>
      <c r="Z21" s="63"/>
      <c r="AA21" s="63"/>
      <c r="AB21" s="31" t="str">
        <f t="shared" si="10"/>
        <v/>
      </c>
      <c r="AC21" s="31" t="str">
        <f t="shared" si="11"/>
        <v/>
      </c>
      <c r="AD21" s="14">
        <f t="shared" si="23"/>
        <v>0</v>
      </c>
      <c r="AE21">
        <v>39.880000000000003</v>
      </c>
      <c r="AF21">
        <v>39.880000000000003</v>
      </c>
      <c r="AG21" s="64">
        <v>13.7</v>
      </c>
      <c r="AH21" s="7">
        <f t="shared" si="12"/>
        <v>25.624999999999996</v>
      </c>
      <c r="AI21" s="7">
        <f t="shared" si="13"/>
        <v>1.0219250000000001E-2</v>
      </c>
      <c r="AJ21" s="14">
        <f t="shared" si="14"/>
        <v>1.0219250000000002</v>
      </c>
      <c r="AK21" s="14"/>
      <c r="AL21" s="14">
        <f t="shared" si="16"/>
        <v>22.60243223017401</v>
      </c>
      <c r="AM21" s="124">
        <f t="shared" si="17"/>
        <v>95.674273843545024</v>
      </c>
      <c r="AN21" s="40" t="str">
        <f t="shared" si="18"/>
        <v/>
      </c>
      <c r="AO21" s="40">
        <f t="shared" si="19"/>
        <v>4.3257261564549792</v>
      </c>
    </row>
    <row r="22" spans="2:41" x14ac:dyDescent="0.3">
      <c r="B22" s="186" t="s">
        <v>9</v>
      </c>
      <c r="C22" s="187">
        <v>2</v>
      </c>
      <c r="D22" s="7">
        <v>7.16</v>
      </c>
      <c r="E22" s="7">
        <v>304.27999999999997</v>
      </c>
      <c r="F22" s="7">
        <v>112.57</v>
      </c>
      <c r="G22" s="8">
        <f t="shared" si="3"/>
        <v>36.156254162781401</v>
      </c>
      <c r="H22" s="186">
        <v>1</v>
      </c>
      <c r="I22" s="7">
        <f t="shared" si="20"/>
        <v>2.5887877980551486</v>
      </c>
      <c r="J22" s="7">
        <f t="shared" si="4"/>
        <v>0.47940514778799043</v>
      </c>
      <c r="K22" s="7">
        <f t="shared" si="5"/>
        <v>47.940514778799042</v>
      </c>
      <c r="L22" s="187"/>
      <c r="M22" s="58"/>
      <c r="N22" s="7"/>
      <c r="O22" s="7"/>
      <c r="P22" s="31" t="str">
        <f t="shared" si="6"/>
        <v/>
      </c>
      <c r="Q22" s="31" t="str">
        <f t="shared" si="7"/>
        <v/>
      </c>
      <c r="R22" s="14">
        <f t="shared" si="21"/>
        <v>0</v>
      </c>
      <c r="S22" s="40">
        <v>366.68</v>
      </c>
      <c r="T22" s="40">
        <v>197.78</v>
      </c>
      <c r="U22" s="40">
        <v>58.28</v>
      </c>
      <c r="V22" s="7">
        <f t="shared" si="8"/>
        <v>27.757638529259452</v>
      </c>
      <c r="W22" s="7">
        <f t="shared" si="9"/>
        <v>0.10178170895908856</v>
      </c>
      <c r="X22" s="14">
        <f t="shared" si="22"/>
        <v>10.178170895908856</v>
      </c>
      <c r="Y22" s="40">
        <v>550.34</v>
      </c>
      <c r="Z22" s="40">
        <v>270.95</v>
      </c>
      <c r="AA22" s="40">
        <v>115.74</v>
      </c>
      <c r="AB22" s="7">
        <f t="shared" si="10"/>
        <v>41.709542945130885</v>
      </c>
      <c r="AC22" s="7">
        <f t="shared" si="11"/>
        <v>0.22954429864423331</v>
      </c>
      <c r="AD22" s="14">
        <f t="shared" si="23"/>
        <v>22.954429864423332</v>
      </c>
      <c r="AE22">
        <v>27.24</v>
      </c>
      <c r="AF22">
        <v>27.24</v>
      </c>
      <c r="AG22" s="64">
        <v>13.47</v>
      </c>
      <c r="AH22" s="7">
        <f t="shared" si="12"/>
        <v>38.962765957446813</v>
      </c>
      <c r="AI22" s="7">
        <f t="shared" si="13"/>
        <v>1.061345744680851E-2</v>
      </c>
      <c r="AJ22" s="14">
        <f t="shared" si="14"/>
        <v>1.061345744680851</v>
      </c>
      <c r="AK22" s="14">
        <f t="shared" si="15"/>
        <v>22.954429864423332</v>
      </c>
      <c r="AL22" s="14">
        <f t="shared" si="16"/>
        <v>10.178170895908856</v>
      </c>
      <c r="AM22" s="124">
        <f t="shared" si="17"/>
        <v>29.766002278843931</v>
      </c>
      <c r="AN22" s="40">
        <f t="shared" si="18"/>
        <v>67.130098191672829</v>
      </c>
      <c r="AO22" s="40">
        <f t="shared" si="19"/>
        <v>3.1038995294832414</v>
      </c>
    </row>
    <row r="23" spans="2:41" x14ac:dyDescent="0.3">
      <c r="B23" s="186" t="s">
        <v>9</v>
      </c>
      <c r="C23" s="187">
        <v>3</v>
      </c>
      <c r="D23" s="7">
        <v>8.36</v>
      </c>
      <c r="E23" s="7">
        <v>277.91000000000003</v>
      </c>
      <c r="F23" s="7">
        <v>97.42</v>
      </c>
      <c r="G23" s="8">
        <f t="shared" si="3"/>
        <v>34.10609324230586</v>
      </c>
      <c r="H23" s="186">
        <v>1</v>
      </c>
      <c r="I23" s="7">
        <f t="shared" si="20"/>
        <v>2.8512693950567698</v>
      </c>
      <c r="J23" s="7">
        <f t="shared" si="4"/>
        <v>0.52801285093643879</v>
      </c>
      <c r="K23" s="7">
        <f t="shared" si="5"/>
        <v>52.801285093643884</v>
      </c>
      <c r="L23" s="187"/>
      <c r="M23" s="58"/>
      <c r="N23" s="7"/>
      <c r="O23" s="7"/>
      <c r="P23" s="31" t="str">
        <f t="shared" si="6"/>
        <v/>
      </c>
      <c r="Q23" s="31" t="str">
        <f t="shared" si="7"/>
        <v/>
      </c>
      <c r="R23" s="14">
        <f t="shared" si="21"/>
        <v>0</v>
      </c>
      <c r="S23" s="40">
        <v>638.22</v>
      </c>
      <c r="T23" s="40">
        <v>276.35000000000002</v>
      </c>
      <c r="U23" s="40">
        <v>68.88</v>
      </c>
      <c r="V23" s="7">
        <f t="shared" si="8"/>
        <v>23.631611882062792</v>
      </c>
      <c r="W23" s="7">
        <f t="shared" si="9"/>
        <v>0.15082167335370117</v>
      </c>
      <c r="X23" s="14">
        <f t="shared" si="22"/>
        <v>15.082167335370116</v>
      </c>
      <c r="Y23" s="40">
        <v>937.15</v>
      </c>
      <c r="Z23" s="40">
        <v>255.14</v>
      </c>
      <c r="AA23" s="40">
        <v>111.05</v>
      </c>
      <c r="AB23" s="7">
        <f t="shared" si="10"/>
        <v>42.469855465942672</v>
      </c>
      <c r="AC23" s="7">
        <f t="shared" si="11"/>
        <v>0.39800625049908178</v>
      </c>
      <c r="AD23" s="14">
        <f t="shared" si="23"/>
        <v>39.800625049908177</v>
      </c>
      <c r="AE23">
        <v>153.29</v>
      </c>
      <c r="AF23">
        <v>153.29</v>
      </c>
      <c r="AG23" s="64">
        <v>54.59</v>
      </c>
      <c r="AH23" s="7">
        <f t="shared" si="12"/>
        <v>33.584550164861049</v>
      </c>
      <c r="AI23" s="7">
        <f t="shared" si="13"/>
        <v>5.1481756947715493E-2</v>
      </c>
      <c r="AJ23" s="14">
        <f t="shared" si="14"/>
        <v>5.1481756947715498</v>
      </c>
      <c r="AK23" s="14">
        <f t="shared" si="15"/>
        <v>39.800625049908177</v>
      </c>
      <c r="AL23" s="14">
        <f t="shared" si="16"/>
        <v>15.082167335370116</v>
      </c>
      <c r="AM23" s="124">
        <f t="shared" si="17"/>
        <v>25.123978202814271</v>
      </c>
      <c r="AN23" s="40">
        <f t="shared" si="18"/>
        <v>66.300155274582622</v>
      </c>
      <c r="AO23" s="40">
        <f t="shared" si="19"/>
        <v>8.5758665226031034</v>
      </c>
    </row>
    <row r="24" spans="2:41" x14ac:dyDescent="0.3">
      <c r="B24" s="186" t="s">
        <v>9</v>
      </c>
      <c r="C24" s="187">
        <v>4</v>
      </c>
      <c r="D24" s="7">
        <v>7.02</v>
      </c>
      <c r="E24" s="7">
        <v>301.88</v>
      </c>
      <c r="F24" s="7">
        <v>120.23</v>
      </c>
      <c r="G24" s="8">
        <f t="shared" si="3"/>
        <v>39.019068081106489</v>
      </c>
      <c r="H24" s="186">
        <v>1</v>
      </c>
      <c r="I24" s="7">
        <f t="shared" si="20"/>
        <v>2.7391385792936753</v>
      </c>
      <c r="J24" s="7">
        <f t="shared" si="4"/>
        <v>0.50724788505438434</v>
      </c>
      <c r="K24" s="7">
        <f t="shared" si="5"/>
        <v>50.72478850543844</v>
      </c>
      <c r="L24" s="187"/>
      <c r="M24" s="58"/>
      <c r="N24" s="7"/>
      <c r="O24" s="7"/>
      <c r="P24" s="31" t="str">
        <f t="shared" si="6"/>
        <v/>
      </c>
      <c r="Q24" s="31" t="str">
        <f t="shared" si="7"/>
        <v/>
      </c>
      <c r="R24" s="14">
        <f t="shared" si="21"/>
        <v>0</v>
      </c>
      <c r="S24" s="40">
        <v>138.69</v>
      </c>
      <c r="T24" s="40">
        <f>S24</f>
        <v>138.69</v>
      </c>
      <c r="U24" s="40">
        <v>40.520000000000003</v>
      </c>
      <c r="V24" s="7">
        <f t="shared" si="8"/>
        <v>26.744272815461539</v>
      </c>
      <c r="W24" s="7">
        <f t="shared" si="9"/>
        <v>3.7091631967763612E-2</v>
      </c>
      <c r="X24" s="14">
        <f t="shared" si="22"/>
        <v>3.7091631967763612</v>
      </c>
      <c r="Y24" s="40">
        <v>746.25</v>
      </c>
      <c r="Z24" s="40">
        <v>153.29</v>
      </c>
      <c r="AA24" s="40">
        <v>127.52</v>
      </c>
      <c r="AB24" s="7">
        <f t="shared" si="10"/>
        <v>82.659309602314792</v>
      </c>
      <c r="AC24" s="7">
        <f t="shared" si="11"/>
        <v>0.61684509790727404</v>
      </c>
      <c r="AD24" s="14">
        <f t="shared" si="23"/>
        <v>61.684509790727404</v>
      </c>
      <c r="AE24">
        <v>6.82</v>
      </c>
      <c r="AF24">
        <v>6.82</v>
      </c>
      <c r="AG24" s="64">
        <v>4.41</v>
      </c>
      <c r="AH24" s="7">
        <v>20</v>
      </c>
      <c r="AI24" s="7">
        <f t="shared" si="13"/>
        <v>1.3640000000000002E-3</v>
      </c>
      <c r="AJ24" s="14">
        <f t="shared" si="14"/>
        <v>0.13640000000000002</v>
      </c>
      <c r="AK24" s="14">
        <f t="shared" si="15"/>
        <v>61.684509790727404</v>
      </c>
      <c r="AL24" s="14">
        <f t="shared" si="16"/>
        <v>3.7091631967763612</v>
      </c>
      <c r="AM24" s="124">
        <f t="shared" si="17"/>
        <v>5.6602457889581146</v>
      </c>
      <c r="AN24" s="40">
        <f t="shared" si="18"/>
        <v>94.131605503461458</v>
      </c>
      <c r="AO24" s="40">
        <f t="shared" si="19"/>
        <v>0.20814870758042764</v>
      </c>
    </row>
    <row r="25" spans="2:41" x14ac:dyDescent="0.3">
      <c r="B25" s="186" t="s">
        <v>9</v>
      </c>
      <c r="C25" s="187">
        <v>5</v>
      </c>
      <c r="D25" s="7">
        <v>6.34</v>
      </c>
      <c r="E25" s="7">
        <v>287.64999999999998</v>
      </c>
      <c r="F25" s="7">
        <v>113.43</v>
      </c>
      <c r="G25" s="8">
        <f t="shared" si="3"/>
        <v>38.579234972677604</v>
      </c>
      <c r="H25" s="186">
        <v>1</v>
      </c>
      <c r="I25" s="7">
        <f t="shared" si="20"/>
        <v>2.4459234972677604</v>
      </c>
      <c r="J25" s="7">
        <f t="shared" si="4"/>
        <v>0.45294879579032599</v>
      </c>
      <c r="K25" s="7">
        <f t="shared" si="5"/>
        <v>45.294879579032596</v>
      </c>
      <c r="L25" s="187"/>
      <c r="M25" s="58"/>
      <c r="N25" s="7"/>
      <c r="O25" s="7"/>
      <c r="P25" s="31" t="str">
        <f t="shared" si="6"/>
        <v/>
      </c>
      <c r="Q25" s="31" t="str">
        <f t="shared" si="7"/>
        <v/>
      </c>
      <c r="R25" s="14">
        <f t="shared" si="21"/>
        <v>0</v>
      </c>
      <c r="S25" s="61"/>
      <c r="T25" s="61"/>
      <c r="U25" s="61"/>
      <c r="V25" s="31" t="str">
        <f t="shared" si="8"/>
        <v/>
      </c>
      <c r="W25" s="31" t="str">
        <f t="shared" si="9"/>
        <v/>
      </c>
      <c r="X25" s="14">
        <f t="shared" si="22"/>
        <v>0</v>
      </c>
      <c r="Y25" s="40">
        <v>835.46</v>
      </c>
      <c r="Z25" s="40">
        <v>251.47</v>
      </c>
      <c r="AA25" s="40">
        <v>109.97</v>
      </c>
      <c r="AB25" s="7">
        <f t="shared" si="10"/>
        <v>42.663803233518372</v>
      </c>
      <c r="AC25" s="7">
        <f t="shared" si="11"/>
        <v>0.35643901049475263</v>
      </c>
      <c r="AD25" s="14">
        <f t="shared" si="23"/>
        <v>35.643901049475261</v>
      </c>
      <c r="AE25">
        <v>8.27</v>
      </c>
      <c r="AF25">
        <v>8.27</v>
      </c>
      <c r="AG25" s="64">
        <v>5.64</v>
      </c>
      <c r="AH25" s="7">
        <f t="shared" si="12"/>
        <v>26.740947075208915</v>
      </c>
      <c r="AI25" s="7">
        <f t="shared" si="13"/>
        <v>2.2114763231197774E-3</v>
      </c>
      <c r="AJ25" s="14">
        <f t="shared" si="14"/>
        <v>0.22114763231197773</v>
      </c>
      <c r="AK25" s="14">
        <f t="shared" si="15"/>
        <v>35.643901049475261</v>
      </c>
      <c r="AL25" s="14"/>
      <c r="AM25" s="124" t="str">
        <f t="shared" si="17"/>
        <v/>
      </c>
      <c r="AN25" s="40">
        <f t="shared" si="18"/>
        <v>99.383389566053268</v>
      </c>
      <c r="AO25" s="40">
        <f t="shared" si="19"/>
        <v>0.61661043394673964</v>
      </c>
    </row>
    <row r="26" spans="2:41" x14ac:dyDescent="0.3">
      <c r="B26" s="186" t="s">
        <v>9</v>
      </c>
      <c r="C26" s="187">
        <v>6</v>
      </c>
      <c r="D26" s="7">
        <v>6.7799999999999994</v>
      </c>
      <c r="E26" s="7">
        <v>246.97</v>
      </c>
      <c r="F26" s="7">
        <v>76.39</v>
      </c>
      <c r="G26" s="8">
        <f t="shared" si="3"/>
        <v>29.793801703914063</v>
      </c>
      <c r="H26" s="186">
        <v>1</v>
      </c>
      <c r="I26" s="7">
        <f t="shared" si="20"/>
        <v>2.0200197555253734</v>
      </c>
      <c r="J26" s="7">
        <f t="shared" si="4"/>
        <v>0.37407773250469872</v>
      </c>
      <c r="K26" s="7">
        <f t="shared" si="5"/>
        <v>37.407773250469873</v>
      </c>
      <c r="L26" s="187"/>
      <c r="M26" s="59">
        <v>361.24</v>
      </c>
      <c r="N26" s="7">
        <v>212.6</v>
      </c>
      <c r="O26" s="7">
        <v>57.71</v>
      </c>
      <c r="P26" s="7">
        <f t="shared" si="6"/>
        <v>25.505001923816856</v>
      </c>
      <c r="Q26" s="7">
        <f t="shared" si="7"/>
        <v>9.2134268949596004E-2</v>
      </c>
      <c r="R26" s="14">
        <f t="shared" si="21"/>
        <v>9.2134268949595999</v>
      </c>
      <c r="S26" s="40">
        <v>617.20000000000005</v>
      </c>
      <c r="T26" s="40">
        <v>261.94</v>
      </c>
      <c r="U26" s="40">
        <v>74.86</v>
      </c>
      <c r="V26" s="7">
        <f t="shared" si="8"/>
        <v>27.279794760164815</v>
      </c>
      <c r="W26" s="7">
        <f t="shared" si="9"/>
        <v>0.16837089325973725</v>
      </c>
      <c r="X26" s="14">
        <f t="shared" si="22"/>
        <v>16.837089325973725</v>
      </c>
      <c r="Y26" s="61"/>
      <c r="Z26" s="61"/>
      <c r="AA26" s="61"/>
      <c r="AB26" s="31" t="str">
        <f t="shared" si="10"/>
        <v/>
      </c>
      <c r="AC26" s="31" t="str">
        <f t="shared" si="11"/>
        <v/>
      </c>
      <c r="AD26" s="14">
        <f t="shared" si="23"/>
        <v>0</v>
      </c>
      <c r="AE26">
        <v>22.83</v>
      </c>
      <c r="AF26">
        <v>22.83</v>
      </c>
      <c r="AG26" s="64">
        <v>9.35</v>
      </c>
      <c r="AH26" s="7">
        <f t="shared" si="12"/>
        <v>25.730027548209367</v>
      </c>
      <c r="AI26" s="7">
        <f t="shared" si="13"/>
        <v>5.8741652892561978E-3</v>
      </c>
      <c r="AJ26" s="14">
        <f t="shared" si="14"/>
        <v>0.5874165289256198</v>
      </c>
      <c r="AK26" s="14">
        <f t="shared" si="15"/>
        <v>9.2134268949595999</v>
      </c>
      <c r="AL26" s="14">
        <f t="shared" si="16"/>
        <v>16.837089325973725</v>
      </c>
      <c r="AM26" s="124">
        <f t="shared" si="17"/>
        <v>63.207192104886154</v>
      </c>
      <c r="AN26" s="40">
        <f t="shared" si="18"/>
        <v>34.58761977319125</v>
      </c>
      <c r="AO26" s="40">
        <f t="shared" si="19"/>
        <v>2.2051881219226006</v>
      </c>
    </row>
    <row r="27" spans="2:41" x14ac:dyDescent="0.3">
      <c r="B27" s="186" t="s">
        <v>9</v>
      </c>
      <c r="C27" s="187">
        <v>7</v>
      </c>
      <c r="D27" s="7">
        <v>4.9000000000000004</v>
      </c>
      <c r="E27" s="7">
        <v>237.55</v>
      </c>
      <c r="F27" s="7">
        <v>64.28</v>
      </c>
      <c r="G27" s="8">
        <f t="shared" si="3"/>
        <v>25.810318989509739</v>
      </c>
      <c r="H27" s="186">
        <v>1</v>
      </c>
      <c r="I27" s="7">
        <f t="shared" si="20"/>
        <v>1.2647056304859774</v>
      </c>
      <c r="J27" s="7">
        <f t="shared" si="4"/>
        <v>0.2342047463862921</v>
      </c>
      <c r="K27" s="7">
        <f t="shared" si="5"/>
        <v>23.420474638629212</v>
      </c>
      <c r="L27" s="187"/>
      <c r="M27" s="59">
        <v>349.63</v>
      </c>
      <c r="N27" s="7">
        <v>241.93</v>
      </c>
      <c r="O27" s="7">
        <v>76.16</v>
      </c>
      <c r="P27" s="7">
        <f t="shared" si="6"/>
        <v>30.128556375131716</v>
      </c>
      <c r="Q27" s="7">
        <f t="shared" si="7"/>
        <v>0.105338471654373</v>
      </c>
      <c r="R27" s="14">
        <f t="shared" si="21"/>
        <v>10.533847165437301</v>
      </c>
      <c r="S27" s="40">
        <v>179.6</v>
      </c>
      <c r="T27" s="40">
        <f>S27</f>
        <v>179.6</v>
      </c>
      <c r="U27" s="40">
        <v>55.68</v>
      </c>
      <c r="V27" s="7">
        <f t="shared" si="8"/>
        <v>29.156185684884523</v>
      </c>
      <c r="W27" s="7">
        <f t="shared" si="9"/>
        <v>5.2364509490052599E-2</v>
      </c>
      <c r="X27" s="14">
        <f t="shared" si="22"/>
        <v>5.2364509490052606</v>
      </c>
      <c r="Y27" s="61"/>
      <c r="Z27" s="61"/>
      <c r="AA27" s="61"/>
      <c r="AB27" s="31" t="str">
        <f t="shared" si="10"/>
        <v/>
      </c>
      <c r="AC27" s="31" t="str">
        <f t="shared" si="11"/>
        <v/>
      </c>
      <c r="AD27" s="14">
        <f t="shared" si="23"/>
        <v>0</v>
      </c>
      <c r="AE27">
        <v>41.81</v>
      </c>
      <c r="AF27">
        <v>41.81</v>
      </c>
      <c r="AG27" s="64">
        <v>19.899999999999999</v>
      </c>
      <c r="AH27" s="7">
        <f t="shared" si="12"/>
        <v>40.991112308106651</v>
      </c>
      <c r="AI27" s="7">
        <f t="shared" si="13"/>
        <v>1.7138384056019394E-2</v>
      </c>
      <c r="AJ27" s="14">
        <f t="shared" si="14"/>
        <v>1.7138384056019393</v>
      </c>
      <c r="AK27" s="14">
        <f t="shared" si="15"/>
        <v>10.533847165437301</v>
      </c>
      <c r="AL27" s="14">
        <f t="shared" si="16"/>
        <v>5.2364509490052606</v>
      </c>
      <c r="AM27" s="124">
        <f t="shared" si="17"/>
        <v>29.949725815752966</v>
      </c>
      <c r="AN27" s="40">
        <f t="shared" si="18"/>
        <v>60.248026280056116</v>
      </c>
      <c r="AO27" s="40">
        <f t="shared" si="19"/>
        <v>9.8022479041909083</v>
      </c>
    </row>
    <row r="28" spans="2:41" x14ac:dyDescent="0.3">
      <c r="B28" s="186" t="s">
        <v>9</v>
      </c>
      <c r="C28" s="187">
        <v>8</v>
      </c>
      <c r="D28" s="7">
        <v>3.48</v>
      </c>
      <c r="E28" s="7">
        <v>291.45</v>
      </c>
      <c r="F28" s="7">
        <v>82.88</v>
      </c>
      <c r="G28" s="8">
        <f t="shared" si="3"/>
        <v>27.441294138110976</v>
      </c>
      <c r="H28" s="186">
        <v>1</v>
      </c>
      <c r="I28" s="7">
        <f t="shared" si="20"/>
        <v>0.95495703600626203</v>
      </c>
      <c r="J28" s="7">
        <f t="shared" si="4"/>
        <v>0.17684389555671517</v>
      </c>
      <c r="K28" s="7">
        <f t="shared" si="5"/>
        <v>17.684389555671515</v>
      </c>
      <c r="L28" s="187"/>
      <c r="M28" s="59">
        <v>313.33999999999997</v>
      </c>
      <c r="N28" s="7">
        <v>313.33999999999997</v>
      </c>
      <c r="O28" s="7">
        <v>83.9</v>
      </c>
      <c r="P28" s="7">
        <f t="shared" si="6"/>
        <v>25.665781118382689</v>
      </c>
      <c r="Q28" s="7">
        <f t="shared" si="7"/>
        <v>8.0421158556340314E-2</v>
      </c>
      <c r="R28" s="14">
        <f t="shared" si="21"/>
        <v>8.0421158556340302</v>
      </c>
      <c r="S28" s="40">
        <v>266.83999999999997</v>
      </c>
      <c r="T28" s="40">
        <f>S28</f>
        <v>266.83999999999997</v>
      </c>
      <c r="U28" s="40">
        <v>73.23</v>
      </c>
      <c r="V28" s="7">
        <f t="shared" si="8"/>
        <v>26.148153799206597</v>
      </c>
      <c r="W28" s="7">
        <f t="shared" si="9"/>
        <v>6.9773733597802867E-2</v>
      </c>
      <c r="X28" s="14">
        <f t="shared" si="22"/>
        <v>6.9773733597802865</v>
      </c>
      <c r="Y28" s="61"/>
      <c r="Z28" s="61"/>
      <c r="AA28" s="61"/>
      <c r="AB28" s="31" t="str">
        <f t="shared" si="10"/>
        <v/>
      </c>
      <c r="AC28" s="31" t="str">
        <f t="shared" si="11"/>
        <v/>
      </c>
      <c r="AD28" s="14">
        <f t="shared" si="23"/>
        <v>0</v>
      </c>
      <c r="AE28">
        <v>20.05</v>
      </c>
      <c r="AF28">
        <v>20.05</v>
      </c>
      <c r="AG28" s="64">
        <v>10.42</v>
      </c>
      <c r="AH28" s="7">
        <f t="shared" si="12"/>
        <v>37.345478204294082</v>
      </c>
      <c r="AI28" s="7">
        <f t="shared" si="13"/>
        <v>7.4877683799609634E-3</v>
      </c>
      <c r="AJ28" s="14">
        <f t="shared" si="14"/>
        <v>0.74877683799609629</v>
      </c>
      <c r="AK28" s="14">
        <f t="shared" si="15"/>
        <v>8.0421158556340302</v>
      </c>
      <c r="AL28" s="14">
        <f t="shared" si="16"/>
        <v>6.9773733597802865</v>
      </c>
      <c r="AM28" s="124">
        <f t="shared" si="17"/>
        <v>44.249464945267057</v>
      </c>
      <c r="AN28" s="40">
        <f t="shared" si="18"/>
        <v>51.001903623351495</v>
      </c>
      <c r="AO28" s="40">
        <f t="shared" si="19"/>
        <v>4.7486314313814377</v>
      </c>
    </row>
    <row r="29" spans="2:41" x14ac:dyDescent="0.3">
      <c r="B29" s="16" t="s">
        <v>9</v>
      </c>
      <c r="C29" s="17">
        <v>9</v>
      </c>
      <c r="D29" s="18">
        <v>6.379999999999999</v>
      </c>
      <c r="E29" s="18">
        <v>288.24</v>
      </c>
      <c r="F29" s="18">
        <v>66.87</v>
      </c>
      <c r="G29" s="19">
        <f t="shared" si="3"/>
        <v>22.118632141851958</v>
      </c>
      <c r="H29" s="186">
        <v>1</v>
      </c>
      <c r="I29" s="7">
        <f t="shared" si="20"/>
        <v>1.4111687306501546</v>
      </c>
      <c r="J29" s="18">
        <f t="shared" si="4"/>
        <v>0.26132754271299158</v>
      </c>
      <c r="K29" s="18">
        <f t="shared" si="5"/>
        <v>26.132754271299159</v>
      </c>
      <c r="L29" s="17"/>
      <c r="M29" s="225">
        <v>500.96</v>
      </c>
      <c r="N29" s="18">
        <v>272.60000000000002</v>
      </c>
      <c r="O29" s="18">
        <v>62.7</v>
      </c>
      <c r="P29" s="18">
        <f t="shared" si="6"/>
        <v>21.655718124813379</v>
      </c>
      <c r="Q29" s="18">
        <f t="shared" si="7"/>
        <v>0.10848648551806511</v>
      </c>
      <c r="R29" s="14">
        <f t="shared" si="21"/>
        <v>10.848648551806512</v>
      </c>
      <c r="S29" s="62"/>
      <c r="T29" s="62"/>
      <c r="U29" s="62"/>
      <c r="V29" s="33" t="str">
        <f t="shared" si="8"/>
        <v/>
      </c>
      <c r="W29" s="33" t="str">
        <f t="shared" si="9"/>
        <v/>
      </c>
      <c r="X29" s="14">
        <f t="shared" si="22"/>
        <v>0</v>
      </c>
      <c r="Y29" s="62"/>
      <c r="Z29" s="62"/>
      <c r="AA29" s="62"/>
      <c r="AB29" s="33" t="str">
        <f t="shared" si="10"/>
        <v/>
      </c>
      <c r="AC29" s="33" t="str">
        <f t="shared" si="11"/>
        <v/>
      </c>
      <c r="AD29" s="14">
        <f t="shared" si="23"/>
        <v>0</v>
      </c>
      <c r="AE29" s="230">
        <v>4.4400000000000004</v>
      </c>
      <c r="AF29" s="230">
        <v>4.4400000000000004</v>
      </c>
      <c r="AG29" s="65">
        <v>4.05</v>
      </c>
      <c r="AH29" s="7">
        <v>20</v>
      </c>
      <c r="AI29" s="7">
        <f t="shared" si="13"/>
        <v>8.8800000000000012E-4</v>
      </c>
      <c r="AJ29" s="14">
        <f t="shared" si="14"/>
        <v>8.8800000000000004E-2</v>
      </c>
      <c r="AK29" s="14">
        <f t="shared" si="15"/>
        <v>10.848648551806512</v>
      </c>
      <c r="AL29" s="14"/>
      <c r="AM29" s="124" t="str">
        <f t="shared" ref="AM29:AM30" si="24">IF((100/SUM(AJ29:AL29)*AL29),(100/SUM(AJ29:AL29)*AL29),"")</f>
        <v/>
      </c>
      <c r="AN29" s="40">
        <f t="shared" si="18"/>
        <v>99.188110466720005</v>
      </c>
      <c r="AO29" s="40">
        <f t="shared" si="19"/>
        <v>0.81188953327998148</v>
      </c>
    </row>
    <row r="30" spans="2:41" x14ac:dyDescent="0.3">
      <c r="B30" s="186" t="s">
        <v>10</v>
      </c>
      <c r="C30" s="187">
        <v>1</v>
      </c>
      <c r="D30" s="7">
        <v>2.2200000000000002</v>
      </c>
      <c r="E30" s="7">
        <v>277.18</v>
      </c>
      <c r="F30" s="7">
        <v>90.07</v>
      </c>
      <c r="G30" s="8">
        <f t="shared" si="3"/>
        <v>31.506698879859428</v>
      </c>
      <c r="H30" s="186">
        <v>1</v>
      </c>
      <c r="I30" s="7">
        <f t="shared" si="20"/>
        <v>0.69944871513287943</v>
      </c>
      <c r="J30" s="7">
        <f t="shared" si="4"/>
        <v>0.12952753983942211</v>
      </c>
      <c r="K30" s="7">
        <f t="shared" si="5"/>
        <v>12.952753983942211</v>
      </c>
      <c r="L30" s="187"/>
      <c r="M30" s="58"/>
      <c r="N30" s="7"/>
      <c r="O30" s="7"/>
      <c r="P30" s="31" t="str">
        <f t="shared" si="6"/>
        <v/>
      </c>
      <c r="Q30" s="31" t="str">
        <f t="shared" si="7"/>
        <v/>
      </c>
      <c r="R30" s="14">
        <f t="shared" si="21"/>
        <v>0</v>
      </c>
      <c r="S30" s="40">
        <v>151.77000000000001</v>
      </c>
      <c r="T30" s="40">
        <f>S30</f>
        <v>151.77000000000001</v>
      </c>
      <c r="U30" s="40">
        <v>53.06</v>
      </c>
      <c r="V30" s="7">
        <f t="shared" si="8"/>
        <v>32.891427017472296</v>
      </c>
      <c r="W30" s="7">
        <f t="shared" si="9"/>
        <v>4.9919318784417702E-2</v>
      </c>
      <c r="X30" s="14">
        <f t="shared" si="22"/>
        <v>4.9919318784417701</v>
      </c>
      <c r="Y30" s="63"/>
      <c r="Z30" s="63"/>
      <c r="AA30" s="63"/>
      <c r="AB30" s="31" t="str">
        <f t="shared" si="10"/>
        <v/>
      </c>
      <c r="AC30" s="31" t="str">
        <f t="shared" si="11"/>
        <v/>
      </c>
      <c r="AD30" s="14">
        <f t="shared" si="23"/>
        <v>0</v>
      </c>
      <c r="AE30">
        <v>83.21</v>
      </c>
      <c r="AF30">
        <v>83.21</v>
      </c>
      <c r="AG30" s="64">
        <v>36.51</v>
      </c>
      <c r="AH30" s="7">
        <f t="shared" si="12"/>
        <v>40.532280657073727</v>
      </c>
      <c r="AI30" s="7">
        <f t="shared" si="13"/>
        <v>3.3726910734751044E-2</v>
      </c>
      <c r="AJ30" s="14">
        <f t="shared" si="14"/>
        <v>3.3726910734751043</v>
      </c>
      <c r="AK30" s="14"/>
      <c r="AL30" s="14">
        <f t="shared" ref="AL30" si="25">X30</f>
        <v>4.9919318784417701</v>
      </c>
      <c r="AM30" s="124">
        <f t="shared" si="24"/>
        <v>59.679102179946987</v>
      </c>
      <c r="AN30" s="40" t="str">
        <f t="shared" si="18"/>
        <v/>
      </c>
      <c r="AO30" s="40">
        <f t="shared" si="19"/>
        <v>40.320897820052998</v>
      </c>
    </row>
    <row r="31" spans="2:41" x14ac:dyDescent="0.3">
      <c r="B31" s="186" t="s">
        <v>10</v>
      </c>
      <c r="C31" s="187">
        <v>2</v>
      </c>
      <c r="D31" s="7">
        <v>5.16</v>
      </c>
      <c r="E31" s="7">
        <v>308.74</v>
      </c>
      <c r="F31" s="7">
        <v>123.96</v>
      </c>
      <c r="G31" s="8">
        <f t="shared" si="3"/>
        <v>39.364704338124298</v>
      </c>
      <c r="H31" s="186">
        <v>1</v>
      </c>
      <c r="I31" s="7">
        <f t="shared" si="20"/>
        <v>2.0312187438472136</v>
      </c>
      <c r="J31" s="7">
        <f t="shared" si="4"/>
        <v>0.37615161923096546</v>
      </c>
      <c r="K31" s="7">
        <f t="shared" si="5"/>
        <v>37.615161923096551</v>
      </c>
      <c r="L31" s="187"/>
      <c r="M31" s="58"/>
      <c r="N31" s="7"/>
      <c r="O31" s="7"/>
      <c r="P31" s="31" t="str">
        <f t="shared" si="6"/>
        <v/>
      </c>
      <c r="Q31" s="31" t="str">
        <f t="shared" si="7"/>
        <v/>
      </c>
      <c r="R31" s="14">
        <f t="shared" si="21"/>
        <v>0</v>
      </c>
      <c r="S31" s="40">
        <v>148.56</v>
      </c>
      <c r="T31" s="40">
        <f>S31</f>
        <v>148.56</v>
      </c>
      <c r="U31" s="40">
        <v>46.97</v>
      </c>
      <c r="V31" s="7">
        <f t="shared" si="8"/>
        <v>29.392549346677789</v>
      </c>
      <c r="W31" s="7">
        <f t="shared" si="9"/>
        <v>4.3665571309424521E-2</v>
      </c>
      <c r="X31" s="14">
        <f t="shared" si="22"/>
        <v>4.3665571309424518</v>
      </c>
      <c r="Y31" s="40">
        <v>564.09</v>
      </c>
      <c r="Z31" s="40">
        <v>165.86</v>
      </c>
      <c r="AA31" s="40">
        <v>125.9</v>
      </c>
      <c r="AB31" s="7">
        <f t="shared" si="10"/>
        <v>75.207842164040201</v>
      </c>
      <c r="AC31" s="7">
        <f t="shared" si="11"/>
        <v>0.42423991686313439</v>
      </c>
      <c r="AD31" s="14">
        <f t="shared" si="23"/>
        <v>42.423991686313435</v>
      </c>
      <c r="AG31" s="64"/>
      <c r="AH31" s="7" t="str">
        <f t="shared" si="12"/>
        <v/>
      </c>
      <c r="AI31" s="7">
        <v>0</v>
      </c>
      <c r="AJ31" s="14">
        <f t="shared" si="14"/>
        <v>0</v>
      </c>
      <c r="AK31" s="14">
        <f t="shared" si="15"/>
        <v>42.423991686313435</v>
      </c>
      <c r="AL31" s="14">
        <f t="shared" si="16"/>
        <v>4.3665571309424518</v>
      </c>
      <c r="AM31" s="124">
        <f t="shared" si="17"/>
        <v>9.3321348890272251</v>
      </c>
      <c r="AN31" s="40">
        <f t="shared" si="18"/>
        <v>90.667865110972784</v>
      </c>
      <c r="AO31" s="40">
        <f t="shared" si="19"/>
        <v>0</v>
      </c>
    </row>
    <row r="32" spans="2:41" x14ac:dyDescent="0.3">
      <c r="B32" s="186" t="s">
        <v>10</v>
      </c>
      <c r="C32" s="187">
        <v>3</v>
      </c>
      <c r="D32" s="7">
        <v>5.2200000000000006</v>
      </c>
      <c r="E32" s="7">
        <v>312.70999999999998</v>
      </c>
      <c r="F32" s="7">
        <v>134.99</v>
      </c>
      <c r="G32" s="8">
        <f t="shared" si="3"/>
        <v>42.431408117650875</v>
      </c>
      <c r="H32" s="186">
        <v>1</v>
      </c>
      <c r="I32" s="7">
        <f t="shared" si="20"/>
        <v>2.2149195037413758</v>
      </c>
      <c r="J32" s="7">
        <f t="shared" si="4"/>
        <v>0.41017027847062515</v>
      </c>
      <c r="K32" s="7">
        <f t="shared" si="5"/>
        <v>41.017027847062515</v>
      </c>
      <c r="L32" s="187"/>
      <c r="M32" s="58"/>
      <c r="N32" s="7"/>
      <c r="O32" s="7"/>
      <c r="P32" s="31" t="str">
        <f t="shared" si="6"/>
        <v/>
      </c>
      <c r="Q32" s="31" t="str">
        <f t="shared" si="7"/>
        <v/>
      </c>
      <c r="R32" s="14">
        <f t="shared" si="21"/>
        <v>0</v>
      </c>
      <c r="S32" s="40">
        <v>99.14</v>
      </c>
      <c r="T32" s="40">
        <f>S32</f>
        <v>99.14</v>
      </c>
      <c r="U32" s="40">
        <v>33.58</v>
      </c>
      <c r="V32" s="7">
        <f t="shared" si="8"/>
        <v>30.594960829980938</v>
      </c>
      <c r="W32" s="7">
        <f t="shared" si="9"/>
        <v>3.0331844166843102E-2</v>
      </c>
      <c r="X32" s="14">
        <f t="shared" si="22"/>
        <v>3.0331844166843105</v>
      </c>
      <c r="Y32" s="40">
        <v>745.1</v>
      </c>
      <c r="Z32" s="40">
        <v>231.84</v>
      </c>
      <c r="AA32" s="40">
        <v>110.07</v>
      </c>
      <c r="AB32" s="7">
        <f t="shared" si="10"/>
        <v>46.394611727416795</v>
      </c>
      <c r="AC32" s="7">
        <f t="shared" si="11"/>
        <v>0.34568625198098257</v>
      </c>
      <c r="AD32" s="14">
        <f t="shared" si="23"/>
        <v>34.56862519809826</v>
      </c>
      <c r="AE32">
        <v>13.25</v>
      </c>
      <c r="AF32">
        <v>13.25</v>
      </c>
      <c r="AG32" s="64">
        <v>7.82</v>
      </c>
      <c r="AH32" s="7">
        <f t="shared" si="12"/>
        <v>36.639439906651113</v>
      </c>
      <c r="AI32" s="7">
        <f t="shared" si="13"/>
        <v>4.8547257876312725E-3</v>
      </c>
      <c r="AJ32" s="14">
        <f t="shared" si="14"/>
        <v>0.48547257876312727</v>
      </c>
      <c r="AK32" s="14">
        <f t="shared" si="15"/>
        <v>34.56862519809826</v>
      </c>
      <c r="AL32" s="14">
        <f t="shared" si="16"/>
        <v>3.0331844166843105</v>
      </c>
      <c r="AM32" s="124">
        <f t="shared" si="17"/>
        <v>7.9637722672643623</v>
      </c>
      <c r="AN32" s="40">
        <f t="shared" si="18"/>
        <v>90.761596016310875</v>
      </c>
      <c r="AO32" s="40">
        <f t="shared" si="19"/>
        <v>1.2746317164247434</v>
      </c>
    </row>
    <row r="33" spans="2:41" x14ac:dyDescent="0.3">
      <c r="B33" s="186" t="s">
        <v>10</v>
      </c>
      <c r="C33" s="187">
        <v>4</v>
      </c>
      <c r="D33" s="7">
        <v>5.1400000000000006</v>
      </c>
      <c r="E33" s="7">
        <v>265.37</v>
      </c>
      <c r="F33" s="7">
        <v>120.27</v>
      </c>
      <c r="G33" s="8">
        <f t="shared" si="3"/>
        <v>44.484829934575501</v>
      </c>
      <c r="H33" s="186">
        <v>1</v>
      </c>
      <c r="I33" s="7">
        <f t="shared" si="20"/>
        <v>2.2865202586371809</v>
      </c>
      <c r="J33" s="7">
        <f t="shared" si="4"/>
        <v>0.42342967752540384</v>
      </c>
      <c r="K33" s="7">
        <f t="shared" si="5"/>
        <v>42.342967752540382</v>
      </c>
      <c r="L33" s="187"/>
      <c r="M33" s="58"/>
      <c r="N33" s="7"/>
      <c r="O33" s="7"/>
      <c r="P33" s="31" t="str">
        <f t="shared" si="6"/>
        <v/>
      </c>
      <c r="Q33" s="31" t="str">
        <f t="shared" si="7"/>
        <v/>
      </c>
      <c r="R33" s="14">
        <f t="shared" si="21"/>
        <v>0</v>
      </c>
      <c r="S33" s="40">
        <v>70.510000000000005</v>
      </c>
      <c r="T33" s="40">
        <f>S33</f>
        <v>70.510000000000005</v>
      </c>
      <c r="U33" s="40">
        <v>24.33</v>
      </c>
      <c r="V33" s="7">
        <f t="shared" si="8"/>
        <v>29.849612638614602</v>
      </c>
      <c r="W33" s="7">
        <f t="shared" si="9"/>
        <v>2.104696187148716E-2</v>
      </c>
      <c r="X33" s="14">
        <f t="shared" si="22"/>
        <v>2.1046961871487158</v>
      </c>
      <c r="Y33" s="40">
        <v>539.29999999999995</v>
      </c>
      <c r="Z33" s="40">
        <v>241.69</v>
      </c>
      <c r="AA33" s="40">
        <v>108.97</v>
      </c>
      <c r="AB33" s="7">
        <f t="shared" si="10"/>
        <v>44.002362769503392</v>
      </c>
      <c r="AC33" s="7">
        <f t="shared" si="11"/>
        <v>0.2373047424159318</v>
      </c>
      <c r="AD33" s="14">
        <f t="shared" si="23"/>
        <v>23.730474241593178</v>
      </c>
      <c r="AE33">
        <v>70.510000000000005</v>
      </c>
      <c r="AF33">
        <v>70.510000000000005</v>
      </c>
      <c r="AG33" s="64"/>
      <c r="AH33" s="7">
        <v>20</v>
      </c>
      <c r="AI33" s="7">
        <f t="shared" si="13"/>
        <v>1.4102000000000002E-2</v>
      </c>
      <c r="AJ33" s="14">
        <f t="shared" si="14"/>
        <v>1.4102000000000001</v>
      </c>
      <c r="AK33" s="14">
        <f t="shared" si="15"/>
        <v>23.730474241593178</v>
      </c>
      <c r="AL33" s="14">
        <f t="shared" si="16"/>
        <v>2.1046961871487158</v>
      </c>
      <c r="AM33" s="124">
        <f>IF((100/SUM(AJ33:AL33)*AL33),(100/SUM(AJ33:AL33)*AL33),(100/SUM(AJ33:AL33)*AL33))</f>
        <v>7.7249681469862255</v>
      </c>
      <c r="AN33" s="40">
        <f t="shared" si="18"/>
        <v>87.099106630458024</v>
      </c>
      <c r="AO33" s="40">
        <f t="shared" si="19"/>
        <v>5.1759252225557599</v>
      </c>
    </row>
    <row r="34" spans="2:41" x14ac:dyDescent="0.3">
      <c r="B34" s="186" t="s">
        <v>10</v>
      </c>
      <c r="C34" s="187">
        <v>5</v>
      </c>
      <c r="D34" s="7">
        <v>4.84</v>
      </c>
      <c r="E34" s="7">
        <v>279.88</v>
      </c>
      <c r="F34" s="7">
        <v>123.51</v>
      </c>
      <c r="G34" s="8">
        <f t="shared" si="3"/>
        <v>43.319559228650142</v>
      </c>
      <c r="H34" s="186">
        <v>1</v>
      </c>
      <c r="I34" s="7">
        <f t="shared" si="20"/>
        <v>2.0966666666666667</v>
      </c>
      <c r="J34" s="7">
        <f t="shared" si="4"/>
        <v>0.38827160493827156</v>
      </c>
      <c r="K34" s="7">
        <f t="shared" si="5"/>
        <v>38.827160493827158</v>
      </c>
      <c r="L34" s="187"/>
      <c r="M34" s="58"/>
      <c r="N34" s="7"/>
      <c r="O34" s="7"/>
      <c r="P34" s="31" t="str">
        <f t="shared" si="6"/>
        <v/>
      </c>
      <c r="Q34" s="31" t="str">
        <f t="shared" si="7"/>
        <v/>
      </c>
      <c r="R34" s="14">
        <f t="shared" si="21"/>
        <v>0</v>
      </c>
      <c r="S34" s="61"/>
      <c r="T34" s="61"/>
      <c r="U34" s="61"/>
      <c r="V34" s="31" t="str">
        <f t="shared" si="8"/>
        <v/>
      </c>
      <c r="W34" s="31" t="str">
        <f t="shared" si="9"/>
        <v/>
      </c>
      <c r="X34" s="14">
        <f t="shared" si="22"/>
        <v>0</v>
      </c>
      <c r="Y34" s="40">
        <v>760.02</v>
      </c>
      <c r="Z34" s="40">
        <v>276.06</v>
      </c>
      <c r="AA34" s="40">
        <v>114.13</v>
      </c>
      <c r="AB34" s="7">
        <f t="shared" si="10"/>
        <v>40.330901319183432</v>
      </c>
      <c r="AC34" s="7">
        <f t="shared" si="11"/>
        <v>0.30652291620605793</v>
      </c>
      <c r="AD34" s="14">
        <f t="shared" si="23"/>
        <v>30.652291620605794</v>
      </c>
      <c r="AE34">
        <v>5.83</v>
      </c>
      <c r="AF34">
        <v>5.83</v>
      </c>
      <c r="AG34" s="64">
        <v>4.8099999999999996</v>
      </c>
      <c r="AH34" s="7">
        <f t="shared" si="12"/>
        <v>11.304347826086945</v>
      </c>
      <c r="AI34" s="7">
        <f t="shared" si="13"/>
        <v>6.5904347826086884E-4</v>
      </c>
      <c r="AJ34" s="14">
        <f t="shared" si="14"/>
        <v>6.5904347826086881E-2</v>
      </c>
      <c r="AK34" s="14">
        <f t="shared" si="15"/>
        <v>30.652291620605794</v>
      </c>
      <c r="AL34" s="14"/>
      <c r="AM34" s="124" t="str">
        <f t="shared" si="17"/>
        <v/>
      </c>
      <c r="AN34" s="40">
        <f t="shared" si="18"/>
        <v>99.785455018602605</v>
      </c>
      <c r="AO34" s="40">
        <f t="shared" si="19"/>
        <v>0.21454498139739292</v>
      </c>
    </row>
    <row r="35" spans="2:41" x14ac:dyDescent="0.3">
      <c r="B35" s="186" t="s">
        <v>10</v>
      </c>
      <c r="C35" s="187">
        <v>6</v>
      </c>
      <c r="D35" s="7">
        <v>2.9999999999999996</v>
      </c>
      <c r="E35" s="7">
        <v>283.25</v>
      </c>
      <c r="F35" s="7">
        <v>85.92</v>
      </c>
      <c r="G35" s="8">
        <f t="shared" si="3"/>
        <v>29.335720680393912</v>
      </c>
      <c r="H35" s="186">
        <v>1</v>
      </c>
      <c r="I35" s="7">
        <f t="shared" si="20"/>
        <v>0.88007162041181719</v>
      </c>
      <c r="J35" s="7">
        <f t="shared" si="4"/>
        <v>0.16297622600218836</v>
      </c>
      <c r="K35" s="7">
        <f t="shared" si="5"/>
        <v>16.297622600218837</v>
      </c>
      <c r="L35" s="187"/>
      <c r="M35" s="59">
        <v>331.99</v>
      </c>
      <c r="N35" s="7">
        <v>331.99</v>
      </c>
      <c r="O35" s="7">
        <v>87.74</v>
      </c>
      <c r="P35" s="7">
        <f t="shared" si="6"/>
        <v>25.376554336867191</v>
      </c>
      <c r="Q35" s="7">
        <f t="shared" si="7"/>
        <v>8.4247622742965392E-2</v>
      </c>
      <c r="R35" s="14">
        <f t="shared" si="21"/>
        <v>8.4247622742965387</v>
      </c>
      <c r="S35" s="40">
        <v>220.91</v>
      </c>
      <c r="T35" s="40">
        <v>220.91</v>
      </c>
      <c r="U35" s="40">
        <v>62.06</v>
      </c>
      <c r="V35" s="7">
        <f t="shared" si="8"/>
        <v>26.536558294408735</v>
      </c>
      <c r="W35" s="7">
        <f t="shared" si="9"/>
        <v>5.8621910928178339E-2</v>
      </c>
      <c r="X35" s="14">
        <f t="shared" si="22"/>
        <v>5.8621910928178345</v>
      </c>
      <c r="Y35" s="61"/>
      <c r="Z35" s="61"/>
      <c r="AA35" s="61"/>
      <c r="AB35" s="31" t="str">
        <f t="shared" si="10"/>
        <v/>
      </c>
      <c r="AC35" s="31" t="str">
        <f t="shared" si="11"/>
        <v/>
      </c>
      <c r="AD35" s="14">
        <f t="shared" si="23"/>
        <v>0</v>
      </c>
      <c r="AE35">
        <v>96.88</v>
      </c>
      <c r="AF35">
        <v>96.88</v>
      </c>
      <c r="AG35" s="64">
        <v>34.840000000000003</v>
      </c>
      <c r="AH35" s="7">
        <f t="shared" si="12"/>
        <v>32.711496746203913</v>
      </c>
      <c r="AI35" s="7">
        <f t="shared" si="13"/>
        <v>3.1690898047722349E-2</v>
      </c>
      <c r="AJ35" s="14">
        <f t="shared" si="14"/>
        <v>3.1690898047722351</v>
      </c>
      <c r="AK35" s="14">
        <f t="shared" si="15"/>
        <v>8.4247622742965387</v>
      </c>
      <c r="AL35" s="14">
        <f t="shared" si="16"/>
        <v>5.8621910928178345</v>
      </c>
      <c r="AM35" s="124">
        <f>IF((100/SUM(AJ35:AL35)*AL35),(100/SUM(AJ35:AL35)*AL35),(100/SUM(AJ35:AL35)*AL35))</f>
        <v>33.582588190770743</v>
      </c>
      <c r="AN35" s="40">
        <f t="shared" si="18"/>
        <v>48.262725930151383</v>
      </c>
      <c r="AO35" s="40">
        <f t="shared" si="19"/>
        <v>18.154685879077871</v>
      </c>
    </row>
    <row r="36" spans="2:41" x14ac:dyDescent="0.3">
      <c r="B36" s="186" t="s">
        <v>10</v>
      </c>
      <c r="C36" s="187">
        <v>7</v>
      </c>
      <c r="D36" s="7">
        <v>2.2399999999999998</v>
      </c>
      <c r="E36" s="7">
        <v>308.51</v>
      </c>
      <c r="F36" s="7">
        <v>103.36</v>
      </c>
      <c r="G36" s="8">
        <f t="shared" si="3"/>
        <v>32.629470296541982</v>
      </c>
      <c r="H36" s="186">
        <v>1</v>
      </c>
      <c r="I36" s="7">
        <f t="shared" si="20"/>
        <v>0.73090013464254022</v>
      </c>
      <c r="J36" s="7">
        <f t="shared" si="4"/>
        <v>0.13535187678565558</v>
      </c>
      <c r="K36" s="7">
        <f t="shared" si="5"/>
        <v>13.535187678565558</v>
      </c>
      <c r="L36" s="187"/>
      <c r="M36" s="59">
        <v>550.53</v>
      </c>
      <c r="N36" s="7">
        <v>226.25</v>
      </c>
      <c r="O36" s="7">
        <v>65.22</v>
      </c>
      <c r="P36" s="7">
        <f t="shared" si="6"/>
        <v>27.323193573137157</v>
      </c>
      <c r="Q36" s="7">
        <f t="shared" si="7"/>
        <v>0.15042237757819196</v>
      </c>
      <c r="R36" s="14">
        <f t="shared" si="21"/>
        <v>15.042237757819196</v>
      </c>
      <c r="S36" s="40">
        <v>324.52999999999997</v>
      </c>
      <c r="T36" s="40">
        <f>S36</f>
        <v>324.52999999999997</v>
      </c>
      <c r="U36" s="40">
        <v>93.02</v>
      </c>
      <c r="V36" s="7">
        <f t="shared" si="8"/>
        <v>27.619196498358612</v>
      </c>
      <c r="W36" s="7">
        <f t="shared" si="9"/>
        <v>8.9632578396123194E-2</v>
      </c>
      <c r="X36" s="14">
        <f t="shared" si="22"/>
        <v>8.9632578396123197</v>
      </c>
      <c r="Y36" s="61"/>
      <c r="Z36" s="61"/>
      <c r="AA36" s="61"/>
      <c r="AB36" s="31" t="str">
        <f t="shared" si="10"/>
        <v/>
      </c>
      <c r="AC36" s="31" t="str">
        <f t="shared" si="11"/>
        <v/>
      </c>
      <c r="AD36" s="14">
        <f t="shared" si="23"/>
        <v>0</v>
      </c>
      <c r="AE36">
        <v>10.82</v>
      </c>
      <c r="AF36">
        <v>10.82</v>
      </c>
      <c r="AG36" s="64">
        <v>6.4</v>
      </c>
      <c r="AH36" s="7">
        <f t="shared" si="12"/>
        <v>28.013029315960917</v>
      </c>
      <c r="AI36" s="7">
        <f t="shared" si="13"/>
        <v>3.0310097719869712E-3</v>
      </c>
      <c r="AJ36" s="14">
        <f t="shared" si="14"/>
        <v>0.30310097719869711</v>
      </c>
      <c r="AK36" s="14">
        <f t="shared" si="15"/>
        <v>15.042237757819196</v>
      </c>
      <c r="AL36" s="14">
        <f t="shared" si="16"/>
        <v>8.9632578396123197</v>
      </c>
      <c r="AM36" s="124">
        <f t="shared" si="17"/>
        <v>36.872790299078261</v>
      </c>
      <c r="AN36" s="40">
        <f t="shared" si="18"/>
        <v>61.880321686353959</v>
      </c>
      <c r="AO36" s="40">
        <f t="shared" si="19"/>
        <v>1.2468880145677761</v>
      </c>
    </row>
    <row r="37" spans="2:41" x14ac:dyDescent="0.3">
      <c r="B37" s="186" t="s">
        <v>10</v>
      </c>
      <c r="C37" s="187">
        <v>8</v>
      </c>
      <c r="D37" s="7">
        <v>1.6999999999999997</v>
      </c>
      <c r="E37" s="7">
        <v>255.74</v>
      </c>
      <c r="F37" s="7">
        <v>93.08</v>
      </c>
      <c r="G37" s="8">
        <f t="shared" si="3"/>
        <v>35.385715420672121</v>
      </c>
      <c r="H37" s="186">
        <v>1</v>
      </c>
      <c r="I37" s="7">
        <f t="shared" si="20"/>
        <v>0.60155716215142596</v>
      </c>
      <c r="J37" s="7">
        <f t="shared" si="4"/>
        <v>0.11139947447248628</v>
      </c>
      <c r="K37" s="7">
        <f t="shared" si="5"/>
        <v>11.139947447248629</v>
      </c>
      <c r="L37" s="187"/>
      <c r="M37" s="59">
        <v>186.08</v>
      </c>
      <c r="N37" s="7">
        <v>186.08</v>
      </c>
      <c r="O37" s="7">
        <v>60.77</v>
      </c>
      <c r="P37" s="7">
        <f t="shared" si="6"/>
        <v>30.920617420066154</v>
      </c>
      <c r="Q37" s="7">
        <f t="shared" si="7"/>
        <v>5.7537084895259105E-2</v>
      </c>
      <c r="R37" s="14">
        <f t="shared" si="21"/>
        <v>5.7537084895259101</v>
      </c>
      <c r="S37" s="40">
        <v>49.92</v>
      </c>
      <c r="T37" s="40">
        <f>S37</f>
        <v>49.92</v>
      </c>
      <c r="U37" s="40">
        <v>17.170000000000002</v>
      </c>
      <c r="V37" s="7">
        <f t="shared" si="8"/>
        <v>27.608311229000886</v>
      </c>
      <c r="W37" s="7">
        <f t="shared" si="9"/>
        <v>1.3782068965517244E-2</v>
      </c>
      <c r="X37" s="14">
        <f t="shared" si="22"/>
        <v>1.3782068965517242</v>
      </c>
      <c r="Y37" s="61"/>
      <c r="Z37" s="61"/>
      <c r="AA37" s="61"/>
      <c r="AB37" s="31" t="str">
        <f t="shared" si="10"/>
        <v/>
      </c>
      <c r="AC37" s="31" t="str">
        <f t="shared" si="11"/>
        <v/>
      </c>
      <c r="AD37" s="14">
        <f t="shared" si="23"/>
        <v>0</v>
      </c>
      <c r="AE37">
        <v>21.14</v>
      </c>
      <c r="AF37">
        <v>21.14</v>
      </c>
      <c r="AG37" s="64">
        <v>10.83</v>
      </c>
      <c r="AH37" s="7">
        <f t="shared" si="12"/>
        <v>37.363304981774</v>
      </c>
      <c r="AI37" s="7">
        <f t="shared" si="13"/>
        <v>7.8986026731470236E-3</v>
      </c>
      <c r="AJ37" s="14">
        <f t="shared" si="14"/>
        <v>0.78986026731470238</v>
      </c>
      <c r="AK37" s="14">
        <f t="shared" si="15"/>
        <v>5.7537084895259101</v>
      </c>
      <c r="AL37" s="14">
        <f t="shared" si="16"/>
        <v>1.3782068965517242</v>
      </c>
      <c r="AM37" s="124">
        <f t="shared" si="17"/>
        <v>17.397701687771676</v>
      </c>
      <c r="AN37" s="40">
        <f t="shared" si="18"/>
        <v>72.63155056735296</v>
      </c>
      <c r="AO37" s="40">
        <f t="shared" si="19"/>
        <v>9.9707477448753696</v>
      </c>
    </row>
    <row r="38" spans="2:41" x14ac:dyDescent="0.3">
      <c r="B38" s="16" t="s">
        <v>10</v>
      </c>
      <c r="C38" s="17">
        <v>9</v>
      </c>
      <c r="D38" s="18">
        <v>1.1800000000000002</v>
      </c>
      <c r="E38" s="18">
        <v>272.95999999999998</v>
      </c>
      <c r="F38" s="18">
        <v>96.49</v>
      </c>
      <c r="G38" s="19">
        <f t="shared" si="3"/>
        <v>34.388013087447952</v>
      </c>
      <c r="H38" s="186">
        <v>1</v>
      </c>
      <c r="I38" s="7">
        <f t="shared" si="20"/>
        <v>0.40577855443188587</v>
      </c>
      <c r="J38" s="18">
        <f t="shared" si="4"/>
        <v>7.514417674664553E-2</v>
      </c>
      <c r="K38" s="18">
        <f t="shared" si="5"/>
        <v>7.5144176746645535</v>
      </c>
      <c r="L38" s="17"/>
      <c r="M38" s="225">
        <v>311.23</v>
      </c>
      <c r="N38" s="18">
        <v>311.23</v>
      </c>
      <c r="O38" s="18">
        <v>104.42</v>
      </c>
      <c r="P38" s="18">
        <f t="shared" si="6"/>
        <v>32.536290980264233</v>
      </c>
      <c r="Q38" s="18">
        <f t="shared" si="7"/>
        <v>0.10126269841787638</v>
      </c>
      <c r="R38" s="14">
        <f t="shared" si="21"/>
        <v>10.126269841787638</v>
      </c>
      <c r="S38" s="62"/>
      <c r="T38" s="62"/>
      <c r="U38" s="62"/>
      <c r="V38" s="33" t="str">
        <f t="shared" si="8"/>
        <v/>
      </c>
      <c r="W38" s="33" t="str">
        <f t="shared" si="9"/>
        <v/>
      </c>
      <c r="X38" s="14">
        <f t="shared" si="22"/>
        <v>0</v>
      </c>
      <c r="Y38" s="62"/>
      <c r="Z38" s="62"/>
      <c r="AA38" s="62"/>
      <c r="AB38" s="33" t="str">
        <f t="shared" si="10"/>
        <v/>
      </c>
      <c r="AC38" s="33" t="str">
        <f t="shared" si="11"/>
        <v/>
      </c>
      <c r="AD38" s="14">
        <f t="shared" si="23"/>
        <v>0</v>
      </c>
      <c r="AE38" s="230"/>
      <c r="AF38" s="230"/>
      <c r="AG38" s="65"/>
      <c r="AH38" s="7" t="str">
        <f t="shared" si="12"/>
        <v/>
      </c>
      <c r="AI38" s="7">
        <v>0</v>
      </c>
      <c r="AJ38" s="14">
        <f t="shared" si="14"/>
        <v>0</v>
      </c>
      <c r="AK38" s="14">
        <f t="shared" si="15"/>
        <v>10.126269841787638</v>
      </c>
      <c r="AL38" s="14"/>
      <c r="AM38" s="124" t="str">
        <f t="shared" si="17"/>
        <v/>
      </c>
      <c r="AN38" s="40">
        <f t="shared" si="18"/>
        <v>100</v>
      </c>
      <c r="AO38" s="40">
        <f t="shared" si="19"/>
        <v>0</v>
      </c>
    </row>
    <row r="39" spans="2:41" x14ac:dyDescent="0.3">
      <c r="B39" s="186" t="s">
        <v>11</v>
      </c>
      <c r="C39" s="187">
        <v>1</v>
      </c>
      <c r="D39" s="7">
        <v>2.0399999999999996</v>
      </c>
      <c r="E39" s="7">
        <v>243.29</v>
      </c>
      <c r="F39" s="7">
        <v>89.45</v>
      </c>
      <c r="G39" s="8">
        <f t="shared" si="3"/>
        <v>35.709808182540016</v>
      </c>
      <c r="H39" s="186">
        <v>1</v>
      </c>
      <c r="I39" s="7">
        <f t="shared" si="20"/>
        <v>0.72848008692381616</v>
      </c>
      <c r="J39" s="7">
        <f t="shared" si="4"/>
        <v>0.1349037198007067</v>
      </c>
      <c r="K39" s="7">
        <f t="shared" si="5"/>
        <v>13.49037198007067</v>
      </c>
      <c r="L39" s="187"/>
      <c r="M39" s="58"/>
      <c r="N39" s="31"/>
      <c r="O39" s="31"/>
      <c r="P39" s="31" t="str">
        <f t="shared" si="6"/>
        <v/>
      </c>
      <c r="Q39" s="31" t="str">
        <f t="shared" si="7"/>
        <v/>
      </c>
      <c r="R39" s="14">
        <f t="shared" si="21"/>
        <v>0</v>
      </c>
      <c r="S39" s="40">
        <v>171.55</v>
      </c>
      <c r="T39" s="40">
        <f>S39</f>
        <v>171.55</v>
      </c>
      <c r="U39" s="40">
        <v>51.97</v>
      </c>
      <c r="V39" s="7">
        <f t="shared" si="8"/>
        <v>28.339425900401512</v>
      </c>
      <c r="W39" s="7">
        <f t="shared" si="9"/>
        <v>4.8616285132138795E-2</v>
      </c>
      <c r="X39" s="14">
        <f t="shared" si="22"/>
        <v>4.8616285132138799</v>
      </c>
      <c r="Y39" s="63"/>
      <c r="Z39" s="63"/>
      <c r="AA39" s="63"/>
      <c r="AB39" s="31" t="str">
        <f t="shared" si="10"/>
        <v/>
      </c>
      <c r="AC39" s="31" t="str">
        <f t="shared" si="11"/>
        <v/>
      </c>
      <c r="AD39" s="14">
        <f t="shared" si="23"/>
        <v>0</v>
      </c>
      <c r="AE39">
        <v>19.71</v>
      </c>
      <c r="AF39">
        <v>19.71</v>
      </c>
      <c r="AG39" s="64">
        <v>9.5399999999999991</v>
      </c>
      <c r="AH39" s="7">
        <f t="shared" si="12"/>
        <v>32.335329341317362</v>
      </c>
      <c r="AI39" s="7">
        <f t="shared" si="13"/>
        <v>6.3732934131736519E-3</v>
      </c>
      <c r="AJ39" s="14">
        <f t="shared" si="14"/>
        <v>0.63732934131736518</v>
      </c>
      <c r="AK39" s="14"/>
      <c r="AL39" s="14">
        <f t="shared" si="16"/>
        <v>4.8616285132138799</v>
      </c>
      <c r="AM39" s="124">
        <f t="shared" si="17"/>
        <v>88.40999770907149</v>
      </c>
      <c r="AN39" s="40" t="str">
        <f t="shared" si="18"/>
        <v/>
      </c>
      <c r="AO39" s="40">
        <f t="shared" si="19"/>
        <v>11.590002290928522</v>
      </c>
    </row>
    <row r="40" spans="2:41" x14ac:dyDescent="0.3">
      <c r="B40" s="186" t="s">
        <v>11</v>
      </c>
      <c r="C40" s="187">
        <v>2</v>
      </c>
      <c r="D40" s="7">
        <v>4.9399999999999995</v>
      </c>
      <c r="E40" s="7">
        <v>268.89</v>
      </c>
      <c r="F40" s="7">
        <v>102.61</v>
      </c>
      <c r="G40" s="8">
        <f t="shared" si="3"/>
        <v>37.226773377628454</v>
      </c>
      <c r="H40" s="186">
        <v>1</v>
      </c>
      <c r="I40" s="7">
        <f t="shared" si="20"/>
        <v>1.8390026048548453</v>
      </c>
      <c r="J40" s="7">
        <f t="shared" si="4"/>
        <v>0.34055603793608247</v>
      </c>
      <c r="K40" s="7">
        <f t="shared" si="5"/>
        <v>34.055603793608249</v>
      </c>
      <c r="L40" s="187"/>
      <c r="M40" s="58"/>
      <c r="N40" s="31"/>
      <c r="O40" s="31"/>
      <c r="P40" s="31" t="str">
        <f t="shared" si="6"/>
        <v/>
      </c>
      <c r="Q40" s="31" t="str">
        <f t="shared" si="7"/>
        <v/>
      </c>
      <c r="R40" s="14">
        <f t="shared" si="21"/>
        <v>0</v>
      </c>
      <c r="S40" s="40">
        <v>291.31</v>
      </c>
      <c r="T40" s="40">
        <f>S40</f>
        <v>291.31</v>
      </c>
      <c r="U40" s="40">
        <v>90.6</v>
      </c>
      <c r="V40" s="7">
        <f t="shared" si="8"/>
        <v>29.975927153473116</v>
      </c>
      <c r="W40" s="7">
        <f t="shared" si="9"/>
        <v>8.7322873390782527E-2</v>
      </c>
      <c r="X40" s="14">
        <f t="shared" si="22"/>
        <v>8.7322873390782529</v>
      </c>
      <c r="Y40" s="40">
        <v>285.60000000000002</v>
      </c>
      <c r="Z40" s="40">
        <f>Y40</f>
        <v>285.60000000000002</v>
      </c>
      <c r="AA40" s="40">
        <v>125.61</v>
      </c>
      <c r="AB40" s="7">
        <f t="shared" si="10"/>
        <v>43.047842802221275</v>
      </c>
      <c r="AC40" s="7">
        <f t="shared" si="11"/>
        <v>0.12294463904314398</v>
      </c>
      <c r="AD40" s="14">
        <f t="shared" si="23"/>
        <v>12.294463904314398</v>
      </c>
      <c r="AE40">
        <v>12.95</v>
      </c>
      <c r="AF40">
        <v>12.95</v>
      </c>
      <c r="AG40" s="64">
        <v>6.77</v>
      </c>
      <c r="AH40" s="7">
        <f t="shared" si="12"/>
        <v>25.272067714631198</v>
      </c>
      <c r="AI40" s="7">
        <f t="shared" si="13"/>
        <v>3.2727327690447398E-3</v>
      </c>
      <c r="AJ40" s="14">
        <f t="shared" si="14"/>
        <v>0.32727327690447394</v>
      </c>
      <c r="AK40" s="14">
        <f t="shared" si="15"/>
        <v>12.294463904314398</v>
      </c>
      <c r="AL40" s="14">
        <f t="shared" si="16"/>
        <v>8.7322873390782529</v>
      </c>
      <c r="AM40" s="124">
        <f t="shared" si="17"/>
        <v>40.892934869388036</v>
      </c>
      <c r="AN40" s="40">
        <f t="shared" si="18"/>
        <v>57.574458119725584</v>
      </c>
      <c r="AO40" s="40">
        <f t="shared" si="19"/>
        <v>1.5326070108863967</v>
      </c>
    </row>
    <row r="41" spans="2:41" x14ac:dyDescent="0.3">
      <c r="B41" s="186" t="s">
        <v>11</v>
      </c>
      <c r="C41" s="187">
        <v>3</v>
      </c>
      <c r="D41" s="7">
        <v>3.8800000000000003</v>
      </c>
      <c r="E41" s="7">
        <v>304.24</v>
      </c>
      <c r="F41" s="7">
        <v>131.66999999999999</v>
      </c>
      <c r="G41" s="8">
        <f t="shared" si="3"/>
        <v>42.522648547828403</v>
      </c>
      <c r="H41" s="186">
        <v>1</v>
      </c>
      <c r="I41" s="7">
        <f t="shared" si="20"/>
        <v>1.6498787636557422</v>
      </c>
      <c r="J41" s="7">
        <f t="shared" si="4"/>
        <v>0.30553310438069298</v>
      </c>
      <c r="K41" s="7">
        <f t="shared" si="5"/>
        <v>30.553310438069296</v>
      </c>
      <c r="L41" s="187"/>
      <c r="M41" s="58"/>
      <c r="N41" s="31"/>
      <c r="O41" s="31"/>
      <c r="P41" s="31" t="str">
        <f t="shared" si="6"/>
        <v/>
      </c>
      <c r="Q41" s="31" t="str">
        <f t="shared" si="7"/>
        <v/>
      </c>
      <c r="R41" s="14">
        <f t="shared" si="21"/>
        <v>0</v>
      </c>
      <c r="S41" s="173">
        <v>16</v>
      </c>
      <c r="T41" s="173">
        <f>S41</f>
        <v>16</v>
      </c>
      <c r="U41" s="173">
        <v>8.14</v>
      </c>
      <c r="V41" s="7">
        <f t="shared" si="8"/>
        <v>30.56537102473499</v>
      </c>
      <c r="W41" s="7">
        <f t="shared" si="9"/>
        <v>4.8904593639575982E-3</v>
      </c>
      <c r="X41" s="14">
        <f t="shared" si="22"/>
        <v>0.48904593639575983</v>
      </c>
      <c r="Y41" s="40">
        <v>646.71</v>
      </c>
      <c r="Z41" s="40">
        <v>294.02999999999997</v>
      </c>
      <c r="AA41" s="40">
        <v>120.08</v>
      </c>
      <c r="AB41" s="7">
        <f t="shared" si="10"/>
        <v>39.882495247969594</v>
      </c>
      <c r="AC41" s="7">
        <f t="shared" si="11"/>
        <v>0.25792408501814418</v>
      </c>
      <c r="AD41" s="14">
        <f t="shared" si="23"/>
        <v>25.792408501814418</v>
      </c>
      <c r="AE41">
        <v>24.55</v>
      </c>
      <c r="AF41">
        <v>24.55</v>
      </c>
      <c r="AG41" s="64">
        <v>12.49</v>
      </c>
      <c r="AH41" s="7">
        <f t="shared" si="12"/>
        <v>39.305485656769001</v>
      </c>
      <c r="AI41" s="7">
        <f t="shared" si="13"/>
        <v>9.6494967287367901E-3</v>
      </c>
      <c r="AJ41" s="14">
        <f t="shared" si="14"/>
        <v>0.96494967287367894</v>
      </c>
      <c r="AK41" s="14">
        <f t="shared" si="15"/>
        <v>25.792408501814418</v>
      </c>
      <c r="AL41" s="14">
        <f>X41</f>
        <v>0.48904593639575983</v>
      </c>
      <c r="AM41" s="124">
        <f>IF((100/SUM(AJ41:AL41)*AL41),(100/SUM(AJ41:AL41)*AL41),(100/SUM(AJ41:AL41)*AL41))</f>
        <v>1.7949008404995932</v>
      </c>
      <c r="AN41" s="40">
        <f t="shared" si="18"/>
        <v>94.663532100083799</v>
      </c>
      <c r="AO41" s="40">
        <f t="shared" si="19"/>
        <v>3.5415670594166104</v>
      </c>
    </row>
    <row r="42" spans="2:41" x14ac:dyDescent="0.3">
      <c r="B42" s="186" t="s">
        <v>11</v>
      </c>
      <c r="C42" s="187">
        <v>4</v>
      </c>
      <c r="D42" s="7">
        <v>4.3000000000000007</v>
      </c>
      <c r="E42" s="7">
        <v>216.07</v>
      </c>
      <c r="F42" s="7">
        <v>101.99</v>
      </c>
      <c r="G42" s="8">
        <f t="shared" si="3"/>
        <v>46.20644126939218</v>
      </c>
      <c r="H42" s="186">
        <v>1</v>
      </c>
      <c r="I42" s="7">
        <f t="shared" si="20"/>
        <v>1.9868769745838639</v>
      </c>
      <c r="J42" s="7">
        <f t="shared" si="4"/>
        <v>0.36794018047849331</v>
      </c>
      <c r="K42" s="7">
        <f t="shared" si="5"/>
        <v>36.794018047849335</v>
      </c>
      <c r="L42" s="187"/>
      <c r="M42" s="58"/>
      <c r="N42" s="31"/>
      <c r="O42" s="31"/>
      <c r="P42" s="31" t="str">
        <f t="shared" si="6"/>
        <v/>
      </c>
      <c r="Q42" s="31" t="str">
        <f t="shared" si="7"/>
        <v/>
      </c>
      <c r="R42" s="14">
        <f t="shared" si="21"/>
        <v>0</v>
      </c>
      <c r="S42" s="40">
        <v>49.73</v>
      </c>
      <c r="T42" s="40">
        <f>S42</f>
        <v>49.73</v>
      </c>
      <c r="U42" s="40">
        <v>17.55</v>
      </c>
      <c r="V42" s="7">
        <f t="shared" si="8"/>
        <v>28.568257491675919</v>
      </c>
      <c r="W42" s="7">
        <f t="shared" si="9"/>
        <v>1.4206994450610435E-2</v>
      </c>
      <c r="X42" s="14">
        <f t="shared" si="22"/>
        <v>1.4206994450610435</v>
      </c>
      <c r="Y42" s="40">
        <v>510.13</v>
      </c>
      <c r="Z42" s="40">
        <v>245.45</v>
      </c>
      <c r="AA42" s="40">
        <v>109.33</v>
      </c>
      <c r="AB42" s="7">
        <f t="shared" si="10"/>
        <v>43.464717365120244</v>
      </c>
      <c r="AC42" s="7">
        <f t="shared" si="11"/>
        <v>0.22172656269468788</v>
      </c>
      <c r="AD42" s="14">
        <f t="shared" si="23"/>
        <v>22.172656269468789</v>
      </c>
      <c r="AG42" s="64"/>
      <c r="AH42" s="7" t="str">
        <f t="shared" si="12"/>
        <v/>
      </c>
      <c r="AI42" s="7">
        <v>0</v>
      </c>
      <c r="AJ42" s="14">
        <f t="shared" si="14"/>
        <v>0</v>
      </c>
      <c r="AK42" s="14">
        <f t="shared" si="15"/>
        <v>22.172656269468789</v>
      </c>
      <c r="AL42" s="14">
        <f t="shared" si="16"/>
        <v>1.4206994450610435</v>
      </c>
      <c r="AM42" s="124">
        <f t="shared" si="17"/>
        <v>6.0216082114428255</v>
      </c>
      <c r="AN42" s="40">
        <f t="shared" si="18"/>
        <v>93.978391788557175</v>
      </c>
      <c r="AO42" s="40">
        <f t="shared" si="19"/>
        <v>0</v>
      </c>
    </row>
    <row r="43" spans="2:41" x14ac:dyDescent="0.3">
      <c r="B43" s="186" t="s">
        <v>11</v>
      </c>
      <c r="C43" s="187">
        <v>5</v>
      </c>
      <c r="D43" s="7">
        <v>4.8599999999999994</v>
      </c>
      <c r="E43" s="7">
        <v>282.64</v>
      </c>
      <c r="F43" s="7">
        <v>116.05</v>
      </c>
      <c r="G43" s="8">
        <f t="shared" si="3"/>
        <v>40.213178294573645</v>
      </c>
      <c r="H43" s="186">
        <v>1</v>
      </c>
      <c r="I43" s="7">
        <f t="shared" si="20"/>
        <v>1.9543604651162787</v>
      </c>
      <c r="J43" s="7">
        <f t="shared" si="4"/>
        <v>0.36191860465116271</v>
      </c>
      <c r="K43" s="7">
        <f t="shared" si="5"/>
        <v>36.191860465116271</v>
      </c>
      <c r="L43" s="187"/>
      <c r="M43" s="58"/>
      <c r="N43" s="31"/>
      <c r="O43" s="31"/>
      <c r="P43" s="31" t="str">
        <f t="shared" si="6"/>
        <v/>
      </c>
      <c r="Q43" s="31" t="str">
        <f t="shared" si="7"/>
        <v/>
      </c>
      <c r="R43" s="14">
        <f t="shared" si="21"/>
        <v>0</v>
      </c>
      <c r="S43" s="61"/>
      <c r="T43" s="61"/>
      <c r="U43" s="61"/>
      <c r="V43" s="31" t="str">
        <f t="shared" si="8"/>
        <v/>
      </c>
      <c r="W43" s="31" t="str">
        <f t="shared" si="9"/>
        <v/>
      </c>
      <c r="X43" s="14">
        <f t="shared" si="22"/>
        <v>0</v>
      </c>
      <c r="Y43" s="40">
        <v>543.29999999999995</v>
      </c>
      <c r="Z43" s="40">
        <v>276.76</v>
      </c>
      <c r="AA43" s="40">
        <v>116.69</v>
      </c>
      <c r="AB43" s="7">
        <f t="shared" si="10"/>
        <v>41.168038812114084</v>
      </c>
      <c r="AC43" s="7">
        <f t="shared" si="11"/>
        <v>0.22366595486621579</v>
      </c>
      <c r="AD43" s="14">
        <f t="shared" si="23"/>
        <v>22.366595486621581</v>
      </c>
      <c r="AE43">
        <v>91.35</v>
      </c>
      <c r="AF43">
        <v>91.35</v>
      </c>
      <c r="AG43" s="64">
        <v>37.549999999999997</v>
      </c>
      <c r="AH43" s="7">
        <f t="shared" si="12"/>
        <v>37.925464405215187</v>
      </c>
      <c r="AI43" s="7">
        <f t="shared" si="13"/>
        <v>3.464491173416407E-2</v>
      </c>
      <c r="AJ43" s="14">
        <f t="shared" si="14"/>
        <v>3.4644911734164072</v>
      </c>
      <c r="AK43" s="14">
        <f t="shared" si="15"/>
        <v>22.366595486621581</v>
      </c>
      <c r="AL43" s="14"/>
      <c r="AM43" s="124" t="str">
        <f t="shared" ref="AM43" si="26">IF((100/SUM(AJ43:AL43)*AL43),(100/SUM(AJ43:AL43)*AL43),"")</f>
        <v/>
      </c>
      <c r="AN43" s="40">
        <f t="shared" si="18"/>
        <v>86.587900001991969</v>
      </c>
      <c r="AO43" s="40">
        <f t="shared" si="19"/>
        <v>13.412099998008028</v>
      </c>
    </row>
    <row r="44" spans="2:41" x14ac:dyDescent="0.3">
      <c r="B44" s="186" t="s">
        <v>11</v>
      </c>
      <c r="C44" s="187">
        <v>6</v>
      </c>
      <c r="D44" s="7">
        <v>2.9200000000000004</v>
      </c>
      <c r="E44" s="7">
        <v>292.64</v>
      </c>
      <c r="F44" s="7">
        <v>96.76</v>
      </c>
      <c r="G44" s="8">
        <f t="shared" si="3"/>
        <v>32.136917960088695</v>
      </c>
      <c r="H44" s="186">
        <v>1</v>
      </c>
      <c r="I44" s="7">
        <f t="shared" si="20"/>
        <v>0.93839800443458998</v>
      </c>
      <c r="J44" s="7">
        <f t="shared" si="4"/>
        <v>0.17377740822862775</v>
      </c>
      <c r="K44" s="7">
        <f t="shared" si="5"/>
        <v>17.377740822862776</v>
      </c>
      <c r="L44" s="187"/>
      <c r="M44" s="60">
        <v>122.42</v>
      </c>
      <c r="N44" s="7">
        <v>122.42</v>
      </c>
      <c r="O44" s="7">
        <v>41.61</v>
      </c>
      <c r="P44" s="7">
        <f t="shared" si="6"/>
        <v>31.365721080346525</v>
      </c>
      <c r="Q44" s="7">
        <f t="shared" si="7"/>
        <v>3.8397915746560214E-2</v>
      </c>
      <c r="R44" s="14">
        <f t="shared" si="21"/>
        <v>3.8397915746560214</v>
      </c>
      <c r="S44" s="40">
        <v>168.11</v>
      </c>
      <c r="T44" s="40">
        <f>S44</f>
        <v>168.11</v>
      </c>
      <c r="U44" s="40">
        <v>54.45</v>
      </c>
      <c r="V44" s="7">
        <f t="shared" si="8"/>
        <v>30.453405127577554</v>
      </c>
      <c r="W44" s="7">
        <f t="shared" si="9"/>
        <v>5.119521935997063E-2</v>
      </c>
      <c r="X44" s="14">
        <f t="shared" si="22"/>
        <v>5.1195219359970627</v>
      </c>
      <c r="Y44" s="61"/>
      <c r="Z44" s="61"/>
      <c r="AA44" s="61"/>
      <c r="AB44" s="31" t="str">
        <f t="shared" si="10"/>
        <v/>
      </c>
      <c r="AC44" s="31" t="str">
        <f t="shared" si="11"/>
        <v/>
      </c>
      <c r="AD44" s="14">
        <f t="shared" si="23"/>
        <v>0</v>
      </c>
      <c r="AE44">
        <v>12.6</v>
      </c>
      <c r="AF44">
        <v>12.6</v>
      </c>
      <c r="AG44" s="64">
        <v>8.4</v>
      </c>
      <c r="AH44" s="7">
        <f t="shared" si="12"/>
        <v>46.969696969696976</v>
      </c>
      <c r="AI44" s="7">
        <f t="shared" si="13"/>
        <v>5.918181818181819E-3</v>
      </c>
      <c r="AJ44" s="14">
        <f t="shared" si="14"/>
        <v>0.59181818181818191</v>
      </c>
      <c r="AK44" s="14">
        <f t="shared" si="15"/>
        <v>3.8397915746560214</v>
      </c>
      <c r="AL44" s="14">
        <f t="shared" si="16"/>
        <v>5.1195219359970627</v>
      </c>
      <c r="AM44" s="124">
        <f t="shared" si="17"/>
        <v>53.601207698063206</v>
      </c>
      <c r="AN44" s="40">
        <f t="shared" si="18"/>
        <v>40.20247755229633</v>
      </c>
      <c r="AO44" s="40">
        <f t="shared" si="19"/>
        <v>6.1963147496404636</v>
      </c>
    </row>
    <row r="45" spans="2:41" x14ac:dyDescent="0.3">
      <c r="B45" s="186" t="s">
        <v>11</v>
      </c>
      <c r="C45" s="187">
        <v>7</v>
      </c>
      <c r="D45" s="7">
        <v>4.76</v>
      </c>
      <c r="E45" s="7">
        <v>342.91</v>
      </c>
      <c r="F45" s="7">
        <v>107.38</v>
      </c>
      <c r="G45" s="8">
        <f t="shared" si="3"/>
        <v>30.503673541648226</v>
      </c>
      <c r="H45" s="186">
        <v>1</v>
      </c>
      <c r="I45" s="7">
        <f t="shared" si="20"/>
        <v>1.4519748605824554</v>
      </c>
      <c r="J45" s="7">
        <f t="shared" si="4"/>
        <v>0.26888423344119544</v>
      </c>
      <c r="K45" s="7">
        <f t="shared" si="5"/>
        <v>26.888423344119541</v>
      </c>
      <c r="L45" s="187"/>
      <c r="M45" s="59">
        <v>363.08</v>
      </c>
      <c r="N45" s="7">
        <v>266.27999999999997</v>
      </c>
      <c r="O45" s="7">
        <v>68.459999999999994</v>
      </c>
      <c r="P45" s="7">
        <f t="shared" si="6"/>
        <v>24.38073394495413</v>
      </c>
      <c r="Q45" s="7">
        <f t="shared" si="7"/>
        <v>8.8521568807339454E-2</v>
      </c>
      <c r="R45" s="14">
        <f t="shared" si="21"/>
        <v>8.8521568807339452</v>
      </c>
      <c r="S45" s="40">
        <v>200.78</v>
      </c>
      <c r="T45" s="40">
        <f t="shared" ref="T45:T46" si="27">S45</f>
        <v>200.78</v>
      </c>
      <c r="U45" s="40">
        <v>55.68</v>
      </c>
      <c r="V45" s="7">
        <f t="shared" si="8"/>
        <v>26.007139214686386</v>
      </c>
      <c r="W45" s="7">
        <f t="shared" si="9"/>
        <v>5.2217134115247324E-2</v>
      </c>
      <c r="X45" s="14">
        <f t="shared" si="22"/>
        <v>5.2217134115247328</v>
      </c>
      <c r="Y45" s="61"/>
      <c r="Z45" s="61"/>
      <c r="AA45" s="61"/>
      <c r="AB45" s="31" t="str">
        <f t="shared" si="10"/>
        <v/>
      </c>
      <c r="AC45" s="31" t="str">
        <f t="shared" si="11"/>
        <v/>
      </c>
      <c r="AD45" s="14">
        <f t="shared" si="23"/>
        <v>0</v>
      </c>
      <c r="AE45">
        <v>41.7</v>
      </c>
      <c r="AF45">
        <v>41.7</v>
      </c>
      <c r="AG45" s="64">
        <v>18.559999999999999</v>
      </c>
      <c r="AH45" s="7">
        <f t="shared" si="12"/>
        <v>37.493246893571033</v>
      </c>
      <c r="AI45" s="7">
        <f t="shared" si="13"/>
        <v>1.563468395461912E-2</v>
      </c>
      <c r="AJ45" s="14">
        <f t="shared" si="14"/>
        <v>1.563468395461912</v>
      </c>
      <c r="AK45" s="14">
        <f t="shared" si="15"/>
        <v>8.8521568807339452</v>
      </c>
      <c r="AL45" s="14">
        <f t="shared" si="16"/>
        <v>5.2217134115247328</v>
      </c>
      <c r="AM45" s="124">
        <f t="shared" si="17"/>
        <v>33.392596501252136</v>
      </c>
      <c r="AN45" s="40">
        <f t="shared" si="18"/>
        <v>56.609101187308866</v>
      </c>
      <c r="AO45" s="40">
        <f t="shared" si="19"/>
        <v>9.9983023114389944</v>
      </c>
    </row>
    <row r="46" spans="2:41" x14ac:dyDescent="0.3">
      <c r="B46" s="186" t="s">
        <v>11</v>
      </c>
      <c r="C46" s="187">
        <v>8</v>
      </c>
      <c r="D46" s="7">
        <v>0.58000000000000007</v>
      </c>
      <c r="E46" s="7">
        <v>256.52999999999997</v>
      </c>
      <c r="F46" s="7">
        <v>96.46</v>
      </c>
      <c r="G46" s="8">
        <f t="shared" si="3"/>
        <v>36.613471666732664</v>
      </c>
      <c r="H46" s="186">
        <v>1</v>
      </c>
      <c r="I46" s="7">
        <f t="shared" si="20"/>
        <v>0.2123581356670495</v>
      </c>
      <c r="J46" s="7">
        <f t="shared" si="4"/>
        <v>3.932558067908324E-2</v>
      </c>
      <c r="K46" s="7">
        <f>J46*10000/100</f>
        <v>3.9325580679083241</v>
      </c>
      <c r="L46" s="187"/>
      <c r="M46" s="59">
        <v>230.35</v>
      </c>
      <c r="N46" s="7">
        <v>230.35</v>
      </c>
      <c r="O46" s="7">
        <v>76.37</v>
      </c>
      <c r="P46" s="7">
        <f t="shared" si="6"/>
        <v>31.767625293570255</v>
      </c>
      <c r="Q46" s="7">
        <f t="shared" si="7"/>
        <v>7.3176724863739079E-2</v>
      </c>
      <c r="R46" s="14">
        <f t="shared" si="21"/>
        <v>7.3176724863739082</v>
      </c>
      <c r="S46" s="40">
        <v>105.54</v>
      </c>
      <c r="T46" s="40">
        <f t="shared" si="27"/>
        <v>105.54</v>
      </c>
      <c r="U46" s="40">
        <v>36.549999999999997</v>
      </c>
      <c r="V46" s="7">
        <f t="shared" si="8"/>
        <v>31.598255006940306</v>
      </c>
      <c r="W46" s="7">
        <f t="shared" si="9"/>
        <v>3.3348798334324803E-2</v>
      </c>
      <c r="X46" s="14">
        <f t="shared" si="22"/>
        <v>3.3348798334324798</v>
      </c>
      <c r="Y46" s="61"/>
      <c r="Z46" s="61"/>
      <c r="AA46" s="61"/>
      <c r="AB46" s="31" t="str">
        <f t="shared" si="10"/>
        <v/>
      </c>
      <c r="AC46" s="31" t="str">
        <f t="shared" si="11"/>
        <v/>
      </c>
      <c r="AD46" s="14">
        <f t="shared" si="23"/>
        <v>0</v>
      </c>
      <c r="AE46">
        <v>33.409999999999997</v>
      </c>
      <c r="AF46">
        <v>33.409999999999997</v>
      </c>
      <c r="AG46" s="64">
        <v>13.12</v>
      </c>
      <c r="AH46" s="7">
        <f t="shared" si="12"/>
        <v>29.376957883745213</v>
      </c>
      <c r="AI46" s="7">
        <f t="shared" si="13"/>
        <v>9.8148416289592748E-3</v>
      </c>
      <c r="AJ46" s="14">
        <f t="shared" si="14"/>
        <v>0.98148416289592744</v>
      </c>
      <c r="AK46" s="14">
        <f t="shared" si="15"/>
        <v>7.3176724863739082</v>
      </c>
      <c r="AL46" s="14">
        <f t="shared" si="16"/>
        <v>3.3348798334324798</v>
      </c>
      <c r="AM46" s="124">
        <f t="shared" si="17"/>
        <v>28.664856246504268</v>
      </c>
      <c r="AN46" s="40">
        <f t="shared" si="18"/>
        <v>62.898827051590814</v>
      </c>
      <c r="AO46" s="40">
        <f t="shared" si="19"/>
        <v>8.4363167019049232</v>
      </c>
    </row>
    <row r="47" spans="2:41" ht="14.5" thickBot="1" x14ac:dyDescent="0.35">
      <c r="B47" s="186" t="s">
        <v>11</v>
      </c>
      <c r="C47" s="187">
        <v>9</v>
      </c>
      <c r="D47" s="7">
        <v>3.3800000000000003</v>
      </c>
      <c r="E47" s="7">
        <v>271.41000000000003</v>
      </c>
      <c r="F47" s="7">
        <v>90.22</v>
      </c>
      <c r="G47" s="8">
        <f t="shared" si="3"/>
        <v>32.242623686473948</v>
      </c>
      <c r="H47" s="186">
        <v>1</v>
      </c>
      <c r="I47" s="7">
        <f t="shared" si="20"/>
        <v>1.0898006806028195</v>
      </c>
      <c r="J47" s="7">
        <f t="shared" si="4"/>
        <v>0.20181494085237398</v>
      </c>
      <c r="K47" s="7">
        <f t="shared" si="5"/>
        <v>20.181494085237397</v>
      </c>
      <c r="L47" s="187"/>
      <c r="M47" s="231">
        <v>1218.6500000000001</v>
      </c>
      <c r="N47" s="7">
        <v>253.3</v>
      </c>
      <c r="O47" s="7">
        <v>76.84</v>
      </c>
      <c r="P47" s="7">
        <f t="shared" si="6"/>
        <v>29.024213659399884</v>
      </c>
      <c r="Q47" s="7">
        <f t="shared" si="7"/>
        <v>0.35370357976027667</v>
      </c>
      <c r="R47" s="14">
        <f t="shared" si="21"/>
        <v>35.37035797602767</v>
      </c>
      <c r="S47" s="62"/>
      <c r="T47" s="62"/>
      <c r="U47" s="62"/>
      <c r="V47" s="31" t="str">
        <f t="shared" si="8"/>
        <v/>
      </c>
      <c r="W47" s="31" t="str">
        <f t="shared" si="9"/>
        <v/>
      </c>
      <c r="X47" s="14">
        <f t="shared" si="22"/>
        <v>0</v>
      </c>
      <c r="Y47" s="62"/>
      <c r="Z47" s="62"/>
      <c r="AA47" s="62"/>
      <c r="AB47" s="31" t="str">
        <f t="shared" si="10"/>
        <v/>
      </c>
      <c r="AC47" s="31" t="str">
        <f t="shared" si="11"/>
        <v/>
      </c>
      <c r="AD47" s="14">
        <f t="shared" si="23"/>
        <v>0</v>
      </c>
      <c r="AE47">
        <v>7.41</v>
      </c>
      <c r="AF47">
        <v>7.41</v>
      </c>
      <c r="AG47" s="66">
        <v>5.54</v>
      </c>
      <c r="AH47" s="7">
        <f t="shared" si="12"/>
        <v>31.501831501831507</v>
      </c>
      <c r="AI47" s="7">
        <f t="shared" si="13"/>
        <v>2.3342857142857145E-3</v>
      </c>
      <c r="AJ47" s="14">
        <f t="shared" si="14"/>
        <v>0.23342857142857146</v>
      </c>
      <c r="AK47" s="14">
        <f t="shared" si="15"/>
        <v>35.37035797602767</v>
      </c>
      <c r="AL47" s="14"/>
      <c r="AM47" s="124" t="str">
        <f t="shared" si="17"/>
        <v/>
      </c>
      <c r="AN47" s="40">
        <f t="shared" si="18"/>
        <v>99.344371500718253</v>
      </c>
      <c r="AO47" s="40">
        <f t="shared" si="19"/>
        <v>0.65562849928176836</v>
      </c>
    </row>
  </sheetData>
  <autoFilter ref="B11:AK11" xr:uid="{00000000-0009-0000-0000-000001000000}"/>
  <conditionalFormatting sqref="G12:G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7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DD79-8BCF-4941-992D-7AC0187DC8F5}">
  <sheetPr>
    <tabColor theme="5" tint="0.79998168889431442"/>
  </sheetPr>
  <dimension ref="B2:AP47"/>
  <sheetViews>
    <sheetView zoomScale="53" zoomScaleNormal="80" workbookViewId="0">
      <selection activeCell="G20" sqref="G20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4" width="9.08203125" style="186" customWidth="1"/>
    <col min="5" max="5" width="14.6640625" style="186" customWidth="1"/>
    <col min="6" max="6" width="10.6640625" style="186"/>
    <col min="7" max="7" width="10.08203125" style="186" customWidth="1"/>
    <col min="8" max="8" width="11.6640625" style="186" customWidth="1"/>
    <col min="9" max="9" width="9.9140625" style="186" customWidth="1"/>
    <col min="10" max="10" width="15.4140625" style="186" customWidth="1"/>
    <col min="11" max="11" width="11" style="186" bestFit="1" customWidth="1"/>
    <col min="12" max="12" width="10.4140625" style="186" bestFit="1" customWidth="1"/>
    <col min="13" max="13" width="9.58203125" style="186" customWidth="1"/>
    <col min="14" max="14" width="10.6640625" style="186"/>
    <col min="15" max="16" width="8.08203125" style="186" bestFit="1" customWidth="1"/>
    <col min="17" max="17" width="8.08203125" style="186" customWidth="1"/>
    <col min="18" max="18" width="12.4140625" style="186" bestFit="1" customWidth="1"/>
    <col min="19" max="19" width="11.6640625" style="186" bestFit="1" customWidth="1"/>
    <col min="20" max="20" width="9.9140625" style="186" customWidth="1"/>
    <col min="21" max="21" width="8.9140625" style="186" customWidth="1"/>
    <col min="22" max="22" width="8.08203125" style="186" bestFit="1" customWidth="1"/>
    <col min="23" max="23" width="8.08203125" style="186" customWidth="1"/>
    <col min="24" max="24" width="12.4140625" style="186" bestFit="1" customWidth="1"/>
    <col min="25" max="25" width="11.6640625" style="186" bestFit="1" customWidth="1"/>
    <col min="26" max="26" width="9.9140625" customWidth="1"/>
    <col min="27" max="28" width="8.08203125" bestFit="1" customWidth="1"/>
    <col min="29" max="29" width="8.08203125" customWidth="1"/>
    <col min="30" max="30" width="12.4140625" bestFit="1" customWidth="1"/>
    <col min="31" max="31" width="11.6640625" bestFit="1" customWidth="1"/>
    <col min="32" max="32" width="8.08203125" customWidth="1"/>
    <col min="33" max="33" width="8.58203125" bestFit="1" customWidth="1"/>
    <col min="34" max="34" width="8.6640625" bestFit="1" customWidth="1"/>
    <col min="35" max="35" width="10.4140625" customWidth="1"/>
    <col min="36" max="36" width="12.4140625" bestFit="1" customWidth="1"/>
    <col min="37" max="37" width="11.6640625" bestFit="1" customWidth="1"/>
  </cols>
  <sheetData>
    <row r="2" spans="2:42" ht="18" x14ac:dyDescent="0.3">
      <c r="B2" s="4" t="s">
        <v>0</v>
      </c>
      <c r="F2" s="12" t="s">
        <v>19</v>
      </c>
    </row>
    <row r="3" spans="2:42" x14ac:dyDescent="0.3">
      <c r="B3" s="1" t="s">
        <v>4</v>
      </c>
    </row>
    <row r="4" spans="2:42" ht="14.5" thickBot="1" x14ac:dyDescent="0.35"/>
    <row r="5" spans="2:42" x14ac:dyDescent="0.3">
      <c r="E5" s="25" t="s">
        <v>31</v>
      </c>
      <c r="F5" s="26"/>
      <c r="G5" s="27" t="s">
        <v>20</v>
      </c>
      <c r="N5" s="25" t="s">
        <v>21</v>
      </c>
      <c r="O5" s="26">
        <v>4.68</v>
      </c>
      <c r="P5" s="27" t="s">
        <v>22</v>
      </c>
      <c r="Q5" s="224"/>
      <c r="R5" s="34" t="s">
        <v>33</v>
      </c>
      <c r="S5" s="32"/>
      <c r="T5" s="32"/>
    </row>
    <row r="6" spans="2:42" x14ac:dyDescent="0.3">
      <c r="E6" s="29" t="s">
        <v>32</v>
      </c>
      <c r="F6" s="165">
        <v>4</v>
      </c>
      <c r="G6" s="30" t="s">
        <v>22</v>
      </c>
      <c r="N6" s="29"/>
      <c r="P6" s="30"/>
      <c r="Q6" s="224"/>
      <c r="R6" s="224"/>
      <c r="S6" s="224"/>
    </row>
    <row r="7" spans="2:42" ht="28.5" thickBot="1" x14ac:dyDescent="0.35">
      <c r="E7" s="22" t="s">
        <v>24</v>
      </c>
      <c r="F7" s="23">
        <v>5.4</v>
      </c>
      <c r="G7" s="24" t="s">
        <v>23</v>
      </c>
      <c r="N7" s="22" t="s">
        <v>24</v>
      </c>
      <c r="O7" s="23">
        <v>1</v>
      </c>
      <c r="P7" s="24" t="s">
        <v>23</v>
      </c>
      <c r="Q7" s="224"/>
      <c r="R7" s="224"/>
      <c r="S7" s="224"/>
    </row>
    <row r="9" spans="2:42" x14ac:dyDescent="0.3">
      <c r="C9" s="187"/>
      <c r="E9" s="5" t="s">
        <v>5</v>
      </c>
      <c r="M9" s="187"/>
      <c r="N9" s="5" t="s">
        <v>13</v>
      </c>
      <c r="O9" s="185"/>
      <c r="P9" s="185"/>
      <c r="Q9" s="185"/>
      <c r="R9" s="185"/>
      <c r="S9" s="50"/>
      <c r="T9" s="5" t="s">
        <v>17</v>
      </c>
      <c r="U9" s="185"/>
      <c r="V9" s="185"/>
      <c r="W9" s="185"/>
      <c r="X9" s="185"/>
      <c r="Y9" s="50"/>
      <c r="Z9" s="5" t="s">
        <v>18</v>
      </c>
      <c r="AA9" s="51"/>
      <c r="AB9" s="51"/>
      <c r="AC9" s="51"/>
      <c r="AD9" s="51"/>
      <c r="AE9" s="52"/>
      <c r="AF9" s="53" t="s">
        <v>34</v>
      </c>
    </row>
    <row r="10" spans="2:42" ht="13.15" customHeight="1" x14ac:dyDescent="0.3">
      <c r="C10" s="187"/>
      <c r="E10" s="28" t="s">
        <v>30</v>
      </c>
      <c r="H10" s="28" t="s">
        <v>29</v>
      </c>
      <c r="M10" s="187"/>
      <c r="N10" s="28" t="s">
        <v>30</v>
      </c>
      <c r="O10" s="28"/>
      <c r="P10" s="28"/>
      <c r="Q10" s="28" t="s">
        <v>29</v>
      </c>
      <c r="R10" s="28"/>
      <c r="S10" s="46"/>
      <c r="T10" s="28" t="s">
        <v>30</v>
      </c>
      <c r="U10" s="28"/>
      <c r="V10" s="28"/>
      <c r="W10" s="28" t="s">
        <v>29</v>
      </c>
      <c r="X10" s="28"/>
      <c r="Y10" s="46"/>
      <c r="Z10" s="28" t="s">
        <v>30</v>
      </c>
      <c r="AA10" s="28"/>
      <c r="AB10" s="28"/>
      <c r="AC10" s="28" t="s">
        <v>29</v>
      </c>
      <c r="AD10" s="28"/>
      <c r="AE10" s="46"/>
      <c r="AF10" s="28" t="s">
        <v>30</v>
      </c>
      <c r="AG10" s="48"/>
      <c r="AH10" s="48"/>
      <c r="AI10" s="48" t="s">
        <v>29</v>
      </c>
      <c r="AJ10" s="48"/>
      <c r="AK10" s="39"/>
    </row>
    <row r="11" spans="2:42" s="2" customFormat="1" ht="93" customHeight="1" thickBot="1" x14ac:dyDescent="0.35">
      <c r="B11" s="9" t="s">
        <v>1</v>
      </c>
      <c r="C11" s="10" t="s">
        <v>3</v>
      </c>
      <c r="D11" s="2" t="s">
        <v>93</v>
      </c>
      <c r="E11" s="11" t="s">
        <v>25</v>
      </c>
      <c r="F11" s="11" t="s">
        <v>7</v>
      </c>
      <c r="G11" s="11" t="s">
        <v>6</v>
      </c>
      <c r="H11" s="11" t="s">
        <v>8</v>
      </c>
      <c r="I11" s="11" t="s">
        <v>12</v>
      </c>
      <c r="J11" s="11" t="s">
        <v>26</v>
      </c>
      <c r="K11" s="11" t="s">
        <v>27</v>
      </c>
      <c r="L11" s="11" t="s">
        <v>28</v>
      </c>
      <c r="M11" s="10"/>
      <c r="N11" s="11" t="s">
        <v>14</v>
      </c>
      <c r="O11" s="11" t="s">
        <v>15</v>
      </c>
      <c r="P11" s="11" t="s">
        <v>16</v>
      </c>
      <c r="Q11" s="11" t="s">
        <v>8</v>
      </c>
      <c r="R11" s="11" t="s">
        <v>27</v>
      </c>
      <c r="S11" s="13" t="s">
        <v>28</v>
      </c>
      <c r="T11" s="11" t="s">
        <v>14</v>
      </c>
      <c r="U11" s="11" t="s">
        <v>15</v>
      </c>
      <c r="V11" s="11" t="s">
        <v>16</v>
      </c>
      <c r="W11" s="11" t="s">
        <v>8</v>
      </c>
      <c r="X11" s="11" t="s">
        <v>27</v>
      </c>
      <c r="Y11" s="13" t="s">
        <v>28</v>
      </c>
      <c r="Z11" s="11" t="s">
        <v>14</v>
      </c>
      <c r="AA11" s="11" t="s">
        <v>15</v>
      </c>
      <c r="AB11" s="11" t="s">
        <v>16</v>
      </c>
      <c r="AC11" s="11" t="s">
        <v>8</v>
      </c>
      <c r="AD11" s="11" t="s">
        <v>27</v>
      </c>
      <c r="AE11" s="13" t="s">
        <v>28</v>
      </c>
      <c r="AF11" s="11" t="s">
        <v>14</v>
      </c>
      <c r="AG11" s="11" t="s">
        <v>35</v>
      </c>
      <c r="AH11" s="11" t="s">
        <v>36</v>
      </c>
      <c r="AI11" s="11" t="s">
        <v>8</v>
      </c>
      <c r="AJ11" s="11" t="s">
        <v>27</v>
      </c>
      <c r="AK11" s="11" t="s">
        <v>28</v>
      </c>
      <c r="AL11" s="11" t="s">
        <v>91</v>
      </c>
      <c r="AM11" s="11" t="s">
        <v>92</v>
      </c>
      <c r="AN11" s="123" t="s">
        <v>94</v>
      </c>
      <c r="AO11" s="123" t="s">
        <v>95</v>
      </c>
      <c r="AP11" s="123" t="s">
        <v>96</v>
      </c>
    </row>
    <row r="12" spans="2:42" x14ac:dyDescent="0.3">
      <c r="B12" s="186" t="s">
        <v>2</v>
      </c>
      <c r="C12" s="187">
        <v>1</v>
      </c>
      <c r="D12">
        <v>100</v>
      </c>
      <c r="E12" s="59">
        <v>17.056999999999999</v>
      </c>
      <c r="F12" s="40">
        <v>360.29</v>
      </c>
      <c r="G12" s="67">
        <v>61.45</v>
      </c>
      <c r="H12" s="8">
        <f t="shared" ref="H12:H47" si="0">((G12-$F$6)/(F12-$F$6))*100</f>
        <v>16.124505318701058</v>
      </c>
      <c r="I12" s="186">
        <v>1</v>
      </c>
      <c r="J12" s="7">
        <f t="shared" ref="J12:J47" si="1">(E12)*(H12/100)</f>
        <v>2.7503568722108391</v>
      </c>
      <c r="K12" s="7">
        <f t="shared" ref="K12:K47" si="2">J12/($F$7*I12)</f>
        <v>0.50932534670571095</v>
      </c>
      <c r="L12" s="7">
        <f t="shared" ref="L12:L47" si="3">K12*10000/100</f>
        <v>50.932534670571094</v>
      </c>
      <c r="M12" s="187"/>
      <c r="N12" s="58"/>
      <c r="O12" s="61"/>
      <c r="P12" s="61"/>
      <c r="Q12" s="31" t="str">
        <f t="shared" ref="Q12:Q47" si="4">IF(N12&gt;0,((P12-$O$5)/(O12-$O$5))*100,"")</f>
        <v/>
      </c>
      <c r="R12" s="31" t="str">
        <f t="shared" ref="R12:R47" si="5">IF(N12&gt;0,((Q12/100)*N12)/$O$7/1000,"")</f>
        <v/>
      </c>
      <c r="S12" s="14">
        <f t="shared" ref="S12:S16" si="6">IF(O12&gt;0,R12*10000/100,0)</f>
        <v>0</v>
      </c>
      <c r="T12" s="40">
        <v>2318.84</v>
      </c>
      <c r="U12" s="40">
        <v>438.85</v>
      </c>
      <c r="V12" s="40">
        <v>80.38</v>
      </c>
      <c r="W12" s="7">
        <f t="shared" ref="W12:W47" si="7">IF(T12&gt;0,((V12-$O$5)/(U12-$O$5))*100,"")</f>
        <v>17.435566713499316</v>
      </c>
      <c r="X12" s="7">
        <f t="shared" ref="X12:X47" si="8">IF(T12&gt;0,((W12/100)*T12)/$O$7/1000,"")</f>
        <v>0.40430289517930762</v>
      </c>
      <c r="Y12" s="14">
        <f t="shared" ref="Y12:Y47" si="9">IF(U12&gt;0,X12*10000/100,0)</f>
        <v>40.43028951793076</v>
      </c>
      <c r="Z12" s="31"/>
      <c r="AA12" s="31"/>
      <c r="AB12" s="31"/>
      <c r="AC12" s="31" t="str">
        <f t="shared" ref="AC12:AC47" si="10">IF(Z12&gt;0,((AB12-$O$5)/(AA12-$O$5))*100,"")</f>
        <v/>
      </c>
      <c r="AD12" s="31" t="str">
        <f t="shared" ref="AD12:AD47" si="11">IF(Z12&gt;0,((AC12/100)*Z12)/$O$7/1000,"")</f>
        <v/>
      </c>
      <c r="AE12" s="14">
        <f t="shared" ref="AE12:AE47" si="12">IF(AA12&gt;0,AD12*10000/100,0)</f>
        <v>0</v>
      </c>
      <c r="AF12" s="7">
        <v>50.44</v>
      </c>
      <c r="AG12" s="7">
        <v>50.44</v>
      </c>
      <c r="AH12" s="7">
        <v>7.23</v>
      </c>
      <c r="AI12" s="7">
        <f t="shared" ref="AI12:AI47" si="13">IF(AF12&gt;0,((AH12-$O$5)/(AG12-$O$5))*100,"")</f>
        <v>5.5725524475524493</v>
      </c>
      <c r="AJ12" s="7">
        <f t="shared" ref="AJ12:AJ47" si="14">IF(AF12&gt;0,((AI12/100)*AF12)/$O$7/1000,"")</f>
        <v>2.8107954545454551E-3</v>
      </c>
      <c r="AK12" s="14">
        <f t="shared" ref="AK12:AK47" si="15">IF(AG12&gt;0,AJ12*10000/100,0)</f>
        <v>0.2810795454545455</v>
      </c>
      <c r="AL12" s="14"/>
      <c r="AM12" s="14">
        <f>Y12</f>
        <v>40.43028951793076</v>
      </c>
      <c r="AN12" s="124">
        <f>IF((100/SUM(AK12:AM12)*AM12),(100/SUM(AK12:AM12)*AM12),"")</f>
        <v>99.309579726938381</v>
      </c>
      <c r="AO12" s="40" t="str">
        <f>IF((100/SUM(AK12:AM12)*AL12),(100/SUM(AK12:AM12)*AL12),"")</f>
        <v/>
      </c>
      <c r="AP12" s="40">
        <f>(100/SUM(AK12:AM12)*AK12)</f>
        <v>0.69042027306161202</v>
      </c>
    </row>
    <row r="13" spans="2:42" x14ac:dyDescent="0.3">
      <c r="B13" s="186" t="s">
        <v>2</v>
      </c>
      <c r="C13" s="187">
        <v>2</v>
      </c>
      <c r="D13">
        <v>75</v>
      </c>
      <c r="E13" s="59">
        <v>11.776999999999999</v>
      </c>
      <c r="F13" s="40">
        <v>302.13</v>
      </c>
      <c r="G13" s="67">
        <v>89.06</v>
      </c>
      <c r="H13" s="8">
        <f t="shared" si="0"/>
        <v>28.53117767416899</v>
      </c>
      <c r="I13" s="186">
        <v>1</v>
      </c>
      <c r="J13" s="7">
        <f t="shared" si="1"/>
        <v>3.3601167946868817</v>
      </c>
      <c r="K13" s="7">
        <f t="shared" si="2"/>
        <v>0.62224385086794098</v>
      </c>
      <c r="L13" s="7">
        <f t="shared" si="3"/>
        <v>62.224385086794101</v>
      </c>
      <c r="M13" s="187"/>
      <c r="N13" s="58"/>
      <c r="O13" s="61"/>
      <c r="P13" s="61"/>
      <c r="Q13" s="31" t="str">
        <f t="shared" si="4"/>
        <v/>
      </c>
      <c r="R13" s="31" t="str">
        <f t="shared" si="5"/>
        <v/>
      </c>
      <c r="S13" s="14">
        <f t="shared" si="6"/>
        <v>0</v>
      </c>
      <c r="T13" s="40">
        <v>803.54</v>
      </c>
      <c r="U13" s="40">
        <v>342.86</v>
      </c>
      <c r="V13" s="40">
        <v>65.569999999999993</v>
      </c>
      <c r="W13" s="7">
        <f t="shared" si="7"/>
        <v>18.00520432905553</v>
      </c>
      <c r="X13" s="7">
        <f t="shared" si="8"/>
        <v>0.14467901886569279</v>
      </c>
      <c r="Y13" s="14">
        <f t="shared" si="9"/>
        <v>14.46790188656928</v>
      </c>
      <c r="Z13" s="7">
        <v>751.56999999999971</v>
      </c>
      <c r="AA13" s="7">
        <v>327.71000000000004</v>
      </c>
      <c r="AB13" s="7">
        <v>99.47</v>
      </c>
      <c r="AC13" s="7">
        <f t="shared" si="10"/>
        <v>29.344023774881585</v>
      </c>
      <c r="AD13" s="7">
        <f t="shared" si="11"/>
        <v>0.22054087948487741</v>
      </c>
      <c r="AE13" s="14">
        <f t="shared" si="12"/>
        <v>22.054087948487741</v>
      </c>
      <c r="AF13" s="7"/>
      <c r="AG13" s="7"/>
      <c r="AH13" s="7"/>
      <c r="AI13" s="7" t="str">
        <f t="shared" si="13"/>
        <v/>
      </c>
      <c r="AJ13" s="7" t="str">
        <f t="shared" si="14"/>
        <v/>
      </c>
      <c r="AK13" s="14">
        <f t="shared" si="15"/>
        <v>0</v>
      </c>
      <c r="AL13" s="14">
        <f t="shared" ref="AL13:AL47" si="16">S13+AE13</f>
        <v>22.054087948487741</v>
      </c>
      <c r="AM13" s="14">
        <f t="shared" ref="AM13:AM46" si="17">Y13</f>
        <v>14.46790188656928</v>
      </c>
      <c r="AN13" s="124">
        <f t="shared" ref="AN13:AN47" si="18">IF((100/SUM(AK13:AM13)*AM13),(100/SUM(AK13:AM13)*AM13),"")</f>
        <v>39.614221327781308</v>
      </c>
      <c r="AO13" s="40">
        <f t="shared" ref="AO13:AO47" si="19">IF((100/SUM(AK13:AM13)*AL13),(100/SUM(AK13:AM13)*AL13),"")</f>
        <v>60.385778672218699</v>
      </c>
      <c r="AP13" s="40">
        <f t="shared" ref="AP13:AP47" si="20">(100/SUM(AK13:AM13)*AK13)</f>
        <v>0</v>
      </c>
    </row>
    <row r="14" spans="2:42" x14ac:dyDescent="0.3">
      <c r="B14" s="186" t="s">
        <v>2</v>
      </c>
      <c r="C14" s="187">
        <v>3</v>
      </c>
      <c r="D14">
        <v>50</v>
      </c>
      <c r="E14" s="59">
        <v>9.3170000000000002</v>
      </c>
      <c r="F14" s="40">
        <v>332.08</v>
      </c>
      <c r="G14" s="67">
        <v>114.76</v>
      </c>
      <c r="H14" s="8">
        <f t="shared" si="0"/>
        <v>33.760058522311638</v>
      </c>
      <c r="I14" s="186">
        <v>1</v>
      </c>
      <c r="J14" s="7">
        <f t="shared" si="1"/>
        <v>3.1454246525237752</v>
      </c>
      <c r="K14" s="7">
        <f t="shared" si="2"/>
        <v>0.582486046763662</v>
      </c>
      <c r="L14" s="7">
        <f t="shared" si="3"/>
        <v>58.248604676366206</v>
      </c>
      <c r="M14" s="187"/>
      <c r="N14" s="58"/>
      <c r="O14" s="61"/>
      <c r="P14" s="61"/>
      <c r="Q14" s="31" t="str">
        <f t="shared" si="4"/>
        <v/>
      </c>
      <c r="R14" s="31" t="str">
        <f t="shared" si="5"/>
        <v/>
      </c>
      <c r="S14" s="14">
        <f t="shared" si="6"/>
        <v>0</v>
      </c>
      <c r="T14" s="40">
        <v>96.470000000000027</v>
      </c>
      <c r="U14" s="40">
        <v>96.470000000000027</v>
      </c>
      <c r="V14" s="40">
        <v>22.59</v>
      </c>
      <c r="W14" s="7">
        <f t="shared" si="7"/>
        <v>19.511929404074515</v>
      </c>
      <c r="X14" s="7">
        <f t="shared" si="8"/>
        <v>1.8823158296110691E-2</v>
      </c>
      <c r="Y14" s="14">
        <f t="shared" si="9"/>
        <v>1.8823158296110691</v>
      </c>
      <c r="Z14" s="7">
        <v>1214.1299999999997</v>
      </c>
      <c r="AA14" s="7">
        <v>376.68000000000006</v>
      </c>
      <c r="AB14" s="7">
        <v>129.41</v>
      </c>
      <c r="AC14" s="7">
        <f t="shared" si="10"/>
        <v>33.529569892473113</v>
      </c>
      <c r="AD14" s="7">
        <f t="shared" si="11"/>
        <v>0.40709256693548368</v>
      </c>
      <c r="AE14" s="14">
        <f t="shared" si="12"/>
        <v>40.709256693548369</v>
      </c>
      <c r="AF14" s="7"/>
      <c r="AG14" s="7"/>
      <c r="AH14" s="7"/>
      <c r="AI14" s="7" t="str">
        <f t="shared" si="13"/>
        <v/>
      </c>
      <c r="AJ14" s="7" t="str">
        <f t="shared" si="14"/>
        <v/>
      </c>
      <c r="AK14" s="14">
        <f t="shared" si="15"/>
        <v>0</v>
      </c>
      <c r="AL14" s="14">
        <f t="shared" si="16"/>
        <v>40.709256693548369</v>
      </c>
      <c r="AM14" s="14">
        <f t="shared" si="17"/>
        <v>1.8823158296110691</v>
      </c>
      <c r="AN14" s="124">
        <f t="shared" si="18"/>
        <v>4.4194560522214763</v>
      </c>
      <c r="AO14" s="40">
        <f t="shared" si="19"/>
        <v>95.580543947778523</v>
      </c>
      <c r="AP14" s="40">
        <f t="shared" si="20"/>
        <v>0</v>
      </c>
    </row>
    <row r="15" spans="2:42" x14ac:dyDescent="0.3">
      <c r="B15" s="186" t="s">
        <v>2</v>
      </c>
      <c r="C15" s="187">
        <v>4</v>
      </c>
      <c r="D15">
        <v>25</v>
      </c>
      <c r="E15" s="59">
        <v>13.097000000000001</v>
      </c>
      <c r="F15" s="40">
        <v>313.77</v>
      </c>
      <c r="G15" s="67">
        <v>91.96</v>
      </c>
      <c r="H15" s="8">
        <f t="shared" si="0"/>
        <v>28.395261000096845</v>
      </c>
      <c r="I15" s="186">
        <v>1</v>
      </c>
      <c r="J15" s="7">
        <f t="shared" si="1"/>
        <v>3.718927333182684</v>
      </c>
      <c r="K15" s="7">
        <f t="shared" si="2"/>
        <v>0.68869024688568214</v>
      </c>
      <c r="L15" s="7">
        <f t="shared" si="3"/>
        <v>68.869024688568217</v>
      </c>
      <c r="M15" s="187"/>
      <c r="N15" s="58"/>
      <c r="O15" s="61"/>
      <c r="P15" s="61"/>
      <c r="Q15" s="31" t="str">
        <f t="shared" si="4"/>
        <v/>
      </c>
      <c r="R15" s="31" t="str">
        <f t="shared" si="5"/>
        <v/>
      </c>
      <c r="S15" s="14">
        <f t="shared" si="6"/>
        <v>0</v>
      </c>
      <c r="T15" s="40">
        <v>254.23000000000002</v>
      </c>
      <c r="U15" s="40">
        <v>254.23000000000002</v>
      </c>
      <c r="V15" s="40">
        <v>49.81</v>
      </c>
      <c r="W15" s="7">
        <f t="shared" si="7"/>
        <v>18.084552193949108</v>
      </c>
      <c r="X15" s="7">
        <f t="shared" si="8"/>
        <v>4.5976357042676816E-2</v>
      </c>
      <c r="Y15" s="14">
        <f t="shared" si="9"/>
        <v>4.5976357042676819</v>
      </c>
      <c r="Z15" s="7">
        <v>766.62999999999965</v>
      </c>
      <c r="AA15" s="7">
        <v>324.92000000000007</v>
      </c>
      <c r="AB15" s="7">
        <v>117.74</v>
      </c>
      <c r="AC15" s="7">
        <f t="shared" si="10"/>
        <v>35.304771421433919</v>
      </c>
      <c r="AD15" s="7">
        <f t="shared" si="11"/>
        <v>0.27065696914813875</v>
      </c>
      <c r="AE15" s="14">
        <f t="shared" si="12"/>
        <v>27.065696914813874</v>
      </c>
      <c r="AF15" s="7">
        <v>76.37</v>
      </c>
      <c r="AG15" s="7">
        <v>76.37</v>
      </c>
      <c r="AH15" s="7">
        <v>26.56</v>
      </c>
      <c r="AI15" s="7">
        <f t="shared" si="13"/>
        <v>30.520295717673314</v>
      </c>
      <c r="AJ15" s="7">
        <f t="shared" si="14"/>
        <v>2.3308349839587107E-2</v>
      </c>
      <c r="AK15" s="14">
        <f t="shared" si="15"/>
        <v>2.3308349839587108</v>
      </c>
      <c r="AL15" s="14">
        <f t="shared" si="16"/>
        <v>27.065696914813874</v>
      </c>
      <c r="AM15" s="14">
        <f t="shared" si="17"/>
        <v>4.5976357042676819</v>
      </c>
      <c r="AN15" s="124">
        <f t="shared" si="18"/>
        <v>13.524778008850237</v>
      </c>
      <c r="AO15" s="40">
        <f t="shared" si="19"/>
        <v>79.618648795487061</v>
      </c>
      <c r="AP15" s="40">
        <f t="shared" si="20"/>
        <v>6.8565731956626959</v>
      </c>
    </row>
    <row r="16" spans="2:42" x14ac:dyDescent="0.3">
      <c r="B16" s="186" t="s">
        <v>2</v>
      </c>
      <c r="C16" s="187">
        <v>5</v>
      </c>
      <c r="D16">
        <v>0</v>
      </c>
      <c r="E16" s="59">
        <v>6.0169999999999995</v>
      </c>
      <c r="F16" s="40">
        <v>273.98</v>
      </c>
      <c r="G16" s="67">
        <v>88.25</v>
      </c>
      <c r="H16" s="8">
        <f t="shared" si="0"/>
        <v>31.206015260389659</v>
      </c>
      <c r="I16" s="186">
        <v>1</v>
      </c>
      <c r="J16" s="7">
        <f t="shared" si="1"/>
        <v>1.8776659382176455</v>
      </c>
      <c r="K16" s="7">
        <f t="shared" si="2"/>
        <v>0.34771591448474914</v>
      </c>
      <c r="L16" s="7">
        <f t="shared" si="3"/>
        <v>34.771591448474915</v>
      </c>
      <c r="M16" s="187"/>
      <c r="N16" s="58"/>
      <c r="O16" s="61"/>
      <c r="P16" s="61"/>
      <c r="Q16" s="31" t="str">
        <f t="shared" si="4"/>
        <v/>
      </c>
      <c r="R16" s="31" t="str">
        <f t="shared" si="5"/>
        <v/>
      </c>
      <c r="S16" s="14">
        <f t="shared" si="6"/>
        <v>0</v>
      </c>
      <c r="T16" s="61"/>
      <c r="U16" s="61"/>
      <c r="V16" s="61"/>
      <c r="W16" s="31" t="str">
        <f t="shared" si="7"/>
        <v/>
      </c>
      <c r="X16" s="31" t="str">
        <f t="shared" si="8"/>
        <v/>
      </c>
      <c r="Y16" s="14">
        <f t="shared" si="9"/>
        <v>0</v>
      </c>
      <c r="Z16" s="7">
        <v>1261.8599999999997</v>
      </c>
      <c r="AA16" s="7">
        <v>293.27</v>
      </c>
      <c r="AB16" s="7">
        <v>105.31</v>
      </c>
      <c r="AC16" s="7">
        <f t="shared" si="10"/>
        <v>34.869538099033228</v>
      </c>
      <c r="AD16" s="7">
        <f t="shared" si="11"/>
        <v>0.44000475345646056</v>
      </c>
      <c r="AE16" s="14">
        <f t="shared" si="12"/>
        <v>44.000475345646052</v>
      </c>
      <c r="AF16" s="7"/>
      <c r="AG16" s="7"/>
      <c r="AH16" s="7"/>
      <c r="AI16" s="7" t="str">
        <f t="shared" si="13"/>
        <v/>
      </c>
      <c r="AJ16" s="7" t="str">
        <f t="shared" si="14"/>
        <v/>
      </c>
      <c r="AK16" s="14">
        <f t="shared" si="15"/>
        <v>0</v>
      </c>
      <c r="AL16" s="14">
        <f t="shared" si="16"/>
        <v>44.000475345646052</v>
      </c>
      <c r="AM16" s="14"/>
      <c r="AN16" s="124" t="str">
        <f t="shared" si="18"/>
        <v/>
      </c>
      <c r="AO16" s="40">
        <f t="shared" si="19"/>
        <v>100</v>
      </c>
      <c r="AP16" s="40">
        <f t="shared" si="20"/>
        <v>0</v>
      </c>
    </row>
    <row r="17" spans="2:42" x14ac:dyDescent="0.3">
      <c r="B17" s="186" t="s">
        <v>2</v>
      </c>
      <c r="C17" s="187">
        <v>6</v>
      </c>
      <c r="D17">
        <v>25</v>
      </c>
      <c r="E17" s="59">
        <v>13.997000000000002</v>
      </c>
      <c r="F17" s="40">
        <v>372.44</v>
      </c>
      <c r="G17" s="67">
        <v>65.290000000000006</v>
      </c>
      <c r="H17" s="8">
        <f t="shared" si="0"/>
        <v>16.635001628487682</v>
      </c>
      <c r="I17" s="186">
        <v>1</v>
      </c>
      <c r="J17" s="7">
        <f t="shared" si="1"/>
        <v>2.3284011779394214</v>
      </c>
      <c r="K17" s="7">
        <f t="shared" si="2"/>
        <v>0.43118540332211502</v>
      </c>
      <c r="L17" s="7">
        <f t="shared" si="3"/>
        <v>43.118540332211502</v>
      </c>
      <c r="M17" s="187"/>
      <c r="N17" s="59">
        <v>218.67000000000007</v>
      </c>
      <c r="O17" s="40">
        <v>218.67000000000007</v>
      </c>
      <c r="P17" s="40">
        <v>31.19</v>
      </c>
      <c r="Q17" s="7">
        <f t="shared" si="4"/>
        <v>12.388429365858213</v>
      </c>
      <c r="R17" s="7">
        <f t="shared" si="5"/>
        <v>2.7089778494322165E-2</v>
      </c>
      <c r="S17" s="14">
        <f>IF(O17&gt;0,R17*10000/100,0)</f>
        <v>2.7089778494322165</v>
      </c>
      <c r="T17" s="40">
        <v>1544.0699999999997</v>
      </c>
      <c r="U17" s="40">
        <v>344.83000000000004</v>
      </c>
      <c r="V17" s="40">
        <v>60.1</v>
      </c>
      <c r="W17" s="7">
        <f t="shared" si="7"/>
        <v>16.292811994708213</v>
      </c>
      <c r="X17" s="7">
        <f t="shared" si="8"/>
        <v>0.25157242216669107</v>
      </c>
      <c r="Y17" s="14">
        <f t="shared" si="9"/>
        <v>25.157242216669104</v>
      </c>
      <c r="Z17" s="31"/>
      <c r="AA17" s="31"/>
      <c r="AB17" s="31"/>
      <c r="AC17" s="31" t="str">
        <f t="shared" si="10"/>
        <v/>
      </c>
      <c r="AD17" s="31" t="str">
        <f t="shared" si="11"/>
        <v/>
      </c>
      <c r="AE17" s="14">
        <f t="shared" si="12"/>
        <v>0</v>
      </c>
      <c r="AF17" s="7"/>
      <c r="AG17" s="7"/>
      <c r="AH17" s="7"/>
      <c r="AI17" s="7" t="str">
        <f t="shared" si="13"/>
        <v/>
      </c>
      <c r="AJ17" s="7" t="str">
        <f t="shared" si="14"/>
        <v/>
      </c>
      <c r="AK17" s="14">
        <f t="shared" si="15"/>
        <v>0</v>
      </c>
      <c r="AL17" s="14">
        <f t="shared" si="16"/>
        <v>2.7089778494322165</v>
      </c>
      <c r="AM17" s="14">
        <f t="shared" si="17"/>
        <v>25.157242216669104</v>
      </c>
      <c r="AN17" s="124">
        <f t="shared" si="18"/>
        <v>90.278631823741208</v>
      </c>
      <c r="AO17" s="40">
        <f t="shared" si="19"/>
        <v>9.721368176258796</v>
      </c>
      <c r="AP17" s="40">
        <f t="shared" si="20"/>
        <v>0</v>
      </c>
    </row>
    <row r="18" spans="2:42" x14ac:dyDescent="0.3">
      <c r="B18" s="186" t="s">
        <v>2</v>
      </c>
      <c r="C18" s="187">
        <v>7</v>
      </c>
      <c r="D18">
        <v>50</v>
      </c>
      <c r="E18" s="59">
        <v>13.197000000000001</v>
      </c>
      <c r="F18" s="40">
        <v>346.84</v>
      </c>
      <c r="G18" s="67">
        <v>58.67</v>
      </c>
      <c r="H18" s="8">
        <f t="shared" si="0"/>
        <v>15.946213977365536</v>
      </c>
      <c r="I18" s="186">
        <v>1</v>
      </c>
      <c r="J18" s="7">
        <f t="shared" si="1"/>
        <v>2.10442185859293</v>
      </c>
      <c r="K18" s="7">
        <f t="shared" si="2"/>
        <v>0.38970775159128329</v>
      </c>
      <c r="L18" s="7">
        <f t="shared" si="3"/>
        <v>38.97077515912833</v>
      </c>
      <c r="M18" s="187"/>
      <c r="N18" s="59">
        <v>1037.76</v>
      </c>
      <c r="O18" s="40">
        <v>321.38</v>
      </c>
      <c r="P18" s="40">
        <v>50.2</v>
      </c>
      <c r="Q18" s="7">
        <f t="shared" si="4"/>
        <v>14.373223871171456</v>
      </c>
      <c r="R18" s="7">
        <f t="shared" si="5"/>
        <v>0.1491595680454689</v>
      </c>
      <c r="S18" s="14">
        <f t="shared" ref="S18:S47" si="21">IF(O18&gt;0,R18*10000/100,0)</f>
        <v>14.915956804546891</v>
      </c>
      <c r="T18" s="40">
        <v>1035.7399999999998</v>
      </c>
      <c r="U18" s="40">
        <v>368.40999999999997</v>
      </c>
      <c r="V18" s="40">
        <v>69.5</v>
      </c>
      <c r="W18" s="7">
        <f t="shared" si="7"/>
        <v>17.820911115387787</v>
      </c>
      <c r="X18" s="7">
        <f t="shared" si="8"/>
        <v>0.18457830478651741</v>
      </c>
      <c r="Y18" s="14">
        <f t="shared" si="9"/>
        <v>18.45783047865174</v>
      </c>
      <c r="Z18" s="31"/>
      <c r="AA18" s="31"/>
      <c r="AB18" s="31"/>
      <c r="AC18" s="31" t="str">
        <f t="shared" si="10"/>
        <v/>
      </c>
      <c r="AD18" s="31" t="str">
        <f t="shared" si="11"/>
        <v/>
      </c>
      <c r="AE18" s="14">
        <f t="shared" si="12"/>
        <v>0</v>
      </c>
      <c r="AF18" s="7">
        <v>7.7700000000000387</v>
      </c>
      <c r="AG18" s="7">
        <v>7.7700000000000387</v>
      </c>
      <c r="AH18" s="7">
        <v>4.6500000000000004</v>
      </c>
      <c r="AI18" s="7">
        <f t="shared" si="13"/>
        <v>-0.97087378640773414</v>
      </c>
      <c r="AJ18" s="7">
        <f t="shared" si="14"/>
        <v>-7.5436893203881315E-5</v>
      </c>
      <c r="AK18" s="14">
        <f t="shared" si="15"/>
        <v>-7.5436893203881319E-3</v>
      </c>
      <c r="AL18" s="14">
        <f t="shared" si="16"/>
        <v>14.915956804546891</v>
      </c>
      <c r="AM18" s="14">
        <f t="shared" si="17"/>
        <v>18.45783047865174</v>
      </c>
      <c r="AN18" s="124">
        <f t="shared" si="18"/>
        <v>55.318874678593509</v>
      </c>
      <c r="AO18" s="40">
        <f t="shared" si="19"/>
        <v>44.703734067575844</v>
      </c>
      <c r="AP18" s="40">
        <f t="shared" si="20"/>
        <v>-2.2608746169353582E-2</v>
      </c>
    </row>
    <row r="19" spans="2:42" x14ac:dyDescent="0.3">
      <c r="B19" s="186" t="s">
        <v>2</v>
      </c>
      <c r="C19" s="187">
        <v>8</v>
      </c>
      <c r="D19">
        <v>75</v>
      </c>
      <c r="E19" s="59">
        <v>10.347</v>
      </c>
      <c r="F19" s="40">
        <v>407.81</v>
      </c>
      <c r="G19" s="67">
        <v>81.78</v>
      </c>
      <c r="H19" s="8">
        <f t="shared" si="0"/>
        <v>19.261533889700601</v>
      </c>
      <c r="I19" s="186">
        <v>1</v>
      </c>
      <c r="J19" s="7">
        <f t="shared" si="1"/>
        <v>1.9929909115673212</v>
      </c>
      <c r="K19" s="7">
        <f t="shared" si="2"/>
        <v>0.36907239103098538</v>
      </c>
      <c r="L19" s="7">
        <f t="shared" si="3"/>
        <v>36.907239103098533</v>
      </c>
      <c r="M19" s="187"/>
      <c r="N19" s="59">
        <v>762.38999999999987</v>
      </c>
      <c r="O19" s="40">
        <v>279.58000000000004</v>
      </c>
      <c r="P19" s="40">
        <v>51.12</v>
      </c>
      <c r="Q19" s="7">
        <f t="shared" si="4"/>
        <v>16.89341578755911</v>
      </c>
      <c r="R19" s="7">
        <f t="shared" si="5"/>
        <v>0.12879371262277189</v>
      </c>
      <c r="S19" s="14">
        <f t="shared" si="21"/>
        <v>12.879371262277189</v>
      </c>
      <c r="T19" s="40">
        <v>323.49</v>
      </c>
      <c r="U19" s="40">
        <v>323.49</v>
      </c>
      <c r="V19" s="40">
        <v>60.81</v>
      </c>
      <c r="W19" s="7">
        <f t="shared" si="7"/>
        <v>17.606097675731629</v>
      </c>
      <c r="X19" s="7">
        <f t="shared" si="8"/>
        <v>5.6953965371224248E-2</v>
      </c>
      <c r="Y19" s="14">
        <f t="shared" si="9"/>
        <v>5.6953965371224253</v>
      </c>
      <c r="Z19" s="31"/>
      <c r="AA19" s="31"/>
      <c r="AB19" s="31"/>
      <c r="AC19" s="31" t="str">
        <f t="shared" si="10"/>
        <v/>
      </c>
      <c r="AD19" s="31" t="str">
        <f t="shared" si="11"/>
        <v/>
      </c>
      <c r="AE19" s="14">
        <f t="shared" si="12"/>
        <v>0</v>
      </c>
      <c r="AF19" s="7">
        <v>36.160000000000025</v>
      </c>
      <c r="AG19" s="7">
        <v>36.160000000000025</v>
      </c>
      <c r="AH19" s="7">
        <v>12.8</v>
      </c>
      <c r="AI19" s="7">
        <f t="shared" si="13"/>
        <v>25.794155019059701</v>
      </c>
      <c r="AJ19" s="7">
        <f t="shared" si="14"/>
        <v>9.3271664548919952E-3</v>
      </c>
      <c r="AK19" s="14">
        <f t="shared" si="15"/>
        <v>0.93271664548919953</v>
      </c>
      <c r="AL19" s="14">
        <f t="shared" si="16"/>
        <v>12.879371262277189</v>
      </c>
      <c r="AM19" s="14">
        <f t="shared" si="17"/>
        <v>5.6953965371224253</v>
      </c>
      <c r="AN19" s="124">
        <f t="shared" si="18"/>
        <v>29.195955804617775</v>
      </c>
      <c r="AO19" s="40">
        <f t="shared" si="19"/>
        <v>66.022717068738871</v>
      </c>
      <c r="AP19" s="40">
        <f t="shared" si="20"/>
        <v>4.781327126643343</v>
      </c>
    </row>
    <row r="20" spans="2:42" x14ac:dyDescent="0.3">
      <c r="B20" s="16" t="s">
        <v>2</v>
      </c>
      <c r="C20" s="17">
        <v>9</v>
      </c>
      <c r="D20">
        <v>100</v>
      </c>
      <c r="E20" s="59">
        <v>6.4770000000000003</v>
      </c>
      <c r="F20" s="42">
        <v>356.37</v>
      </c>
      <c r="G20" s="68">
        <v>75.11</v>
      </c>
      <c r="H20" s="19">
        <f t="shared" si="0"/>
        <v>20.180492096375968</v>
      </c>
      <c r="I20" s="16">
        <v>1</v>
      </c>
      <c r="J20" s="7">
        <f t="shared" si="1"/>
        <v>1.3070904730822714</v>
      </c>
      <c r="K20" s="18">
        <f t="shared" si="2"/>
        <v>0.24205379131153174</v>
      </c>
      <c r="L20" s="18">
        <f t="shared" si="3"/>
        <v>24.205379131153173</v>
      </c>
      <c r="M20" s="17"/>
      <c r="N20" s="225">
        <v>1267.27</v>
      </c>
      <c r="O20" s="42">
        <v>324.86</v>
      </c>
      <c r="P20" s="42">
        <v>56.63</v>
      </c>
      <c r="Q20" s="18">
        <f t="shared" si="4"/>
        <v>16.225248297832469</v>
      </c>
      <c r="R20" s="18">
        <f t="shared" si="5"/>
        <v>0.20561770410394151</v>
      </c>
      <c r="S20" s="14">
        <f t="shared" si="21"/>
        <v>20.56177041039415</v>
      </c>
      <c r="T20" s="62"/>
      <c r="U20" s="62"/>
      <c r="V20" s="62"/>
      <c r="W20" s="33" t="str">
        <f t="shared" si="7"/>
        <v/>
      </c>
      <c r="X20" s="33" t="str">
        <f t="shared" si="8"/>
        <v/>
      </c>
      <c r="Y20" s="14">
        <f t="shared" si="9"/>
        <v>0</v>
      </c>
      <c r="Z20" s="33"/>
      <c r="AA20" s="33"/>
      <c r="AB20" s="33"/>
      <c r="AC20" s="33" t="str">
        <f t="shared" si="10"/>
        <v/>
      </c>
      <c r="AD20" s="33" t="str">
        <f t="shared" si="11"/>
        <v/>
      </c>
      <c r="AE20" s="14">
        <f t="shared" si="12"/>
        <v>0</v>
      </c>
      <c r="AF20" s="18">
        <v>73.06</v>
      </c>
      <c r="AG20" s="18">
        <v>73.06</v>
      </c>
      <c r="AH20" s="18">
        <v>14.62</v>
      </c>
      <c r="AI20" s="18">
        <f t="shared" si="13"/>
        <v>14.536414156186019</v>
      </c>
      <c r="AJ20" s="18">
        <f t="shared" si="14"/>
        <v>1.0620304182509506E-2</v>
      </c>
      <c r="AK20" s="14">
        <f t="shared" si="15"/>
        <v>1.0620304182509508</v>
      </c>
      <c r="AL20" s="14">
        <f t="shared" si="16"/>
        <v>20.56177041039415</v>
      </c>
      <c r="AM20" s="14"/>
      <c r="AN20" s="124" t="str">
        <f t="shared" si="18"/>
        <v/>
      </c>
      <c r="AO20" s="40">
        <f t="shared" si="19"/>
        <v>95.088604326931829</v>
      </c>
      <c r="AP20" s="40">
        <f t="shared" si="20"/>
        <v>4.9113956730681521</v>
      </c>
    </row>
    <row r="21" spans="2:42" x14ac:dyDescent="0.3">
      <c r="B21" s="186" t="s">
        <v>9</v>
      </c>
      <c r="C21" s="187">
        <v>1</v>
      </c>
      <c r="D21">
        <v>100</v>
      </c>
      <c r="E21" s="59">
        <v>11.497000000000002</v>
      </c>
      <c r="F21" s="40">
        <v>333.64</v>
      </c>
      <c r="G21" s="67">
        <v>62.77</v>
      </c>
      <c r="H21" s="8">
        <f t="shared" si="0"/>
        <v>17.828540225700767</v>
      </c>
      <c r="I21" s="186">
        <v>1</v>
      </c>
      <c r="J21" s="7">
        <f t="shared" si="1"/>
        <v>2.0497472697488175</v>
      </c>
      <c r="K21" s="7">
        <f t="shared" si="2"/>
        <v>0.37958282773126245</v>
      </c>
      <c r="L21" s="7">
        <f t="shared" si="3"/>
        <v>37.958282773126243</v>
      </c>
      <c r="M21" s="187"/>
      <c r="N21" s="58"/>
      <c r="O21" s="61"/>
      <c r="P21" s="61"/>
      <c r="Q21" s="31" t="str">
        <f t="shared" si="4"/>
        <v/>
      </c>
      <c r="R21" s="31" t="str">
        <f t="shared" si="5"/>
        <v/>
      </c>
      <c r="S21" s="14">
        <f t="shared" si="21"/>
        <v>0</v>
      </c>
      <c r="T21" s="40">
        <v>2216.3099999999995</v>
      </c>
      <c r="U21" s="40">
        <v>460.01</v>
      </c>
      <c r="V21" s="40">
        <v>78.37</v>
      </c>
      <c r="W21" s="7">
        <f t="shared" si="7"/>
        <v>16.183866646168713</v>
      </c>
      <c r="X21" s="7">
        <f t="shared" si="8"/>
        <v>0.35868465486570172</v>
      </c>
      <c r="Y21" s="14">
        <f t="shared" si="9"/>
        <v>35.868465486570173</v>
      </c>
      <c r="Z21" s="31"/>
      <c r="AA21" s="31"/>
      <c r="AB21" s="31"/>
      <c r="AC21" s="31" t="str">
        <f t="shared" si="10"/>
        <v/>
      </c>
      <c r="AD21" s="31" t="str">
        <f t="shared" si="11"/>
        <v/>
      </c>
      <c r="AE21" s="14">
        <f t="shared" si="12"/>
        <v>0</v>
      </c>
      <c r="AF21" s="7">
        <v>114.00999999999999</v>
      </c>
      <c r="AG21" s="7">
        <v>114.00999999999999</v>
      </c>
      <c r="AH21" s="7">
        <v>30.36</v>
      </c>
      <c r="AI21" s="7">
        <f t="shared" si="13"/>
        <v>23.488520991493647</v>
      </c>
      <c r="AJ21" s="7">
        <f t="shared" si="14"/>
        <v>2.6779262782401905E-2</v>
      </c>
      <c r="AK21" s="14">
        <f t="shared" si="15"/>
        <v>2.6779262782401907</v>
      </c>
      <c r="AL21" s="14"/>
      <c r="AM21" s="14">
        <f t="shared" si="17"/>
        <v>35.868465486570173</v>
      </c>
      <c r="AN21" s="124">
        <f t="shared" si="18"/>
        <v>93.052718670584071</v>
      </c>
      <c r="AO21" s="40" t="str">
        <f t="shared" si="19"/>
        <v/>
      </c>
      <c r="AP21" s="40">
        <f t="shared" si="20"/>
        <v>6.9472813294159312</v>
      </c>
    </row>
    <row r="22" spans="2:42" x14ac:dyDescent="0.3">
      <c r="B22" s="186" t="s">
        <v>9</v>
      </c>
      <c r="C22" s="187">
        <v>2</v>
      </c>
      <c r="D22">
        <v>75</v>
      </c>
      <c r="E22" s="59">
        <v>13.337000000000002</v>
      </c>
      <c r="F22" s="40">
        <v>371.29</v>
      </c>
      <c r="G22" s="67">
        <v>75.84</v>
      </c>
      <c r="H22" s="8">
        <f t="shared" si="0"/>
        <v>19.559476163249748</v>
      </c>
      <c r="I22" s="186">
        <v>1</v>
      </c>
      <c r="J22" s="7">
        <f t="shared" si="1"/>
        <v>2.608647335892619</v>
      </c>
      <c r="K22" s="7">
        <f t="shared" si="2"/>
        <v>0.48308283998011459</v>
      </c>
      <c r="L22" s="7">
        <f t="shared" si="3"/>
        <v>48.308283998011454</v>
      </c>
      <c r="M22" s="187"/>
      <c r="N22" s="58"/>
      <c r="O22" s="61"/>
      <c r="P22" s="61"/>
      <c r="Q22" s="31" t="str">
        <f t="shared" si="4"/>
        <v/>
      </c>
      <c r="R22" s="31" t="str">
        <f t="shared" si="5"/>
        <v/>
      </c>
      <c r="S22" s="14">
        <f t="shared" si="21"/>
        <v>0</v>
      </c>
      <c r="T22" s="40">
        <v>1636.12</v>
      </c>
      <c r="U22" s="40">
        <v>337.27</v>
      </c>
      <c r="V22" s="40">
        <v>60.06</v>
      </c>
      <c r="W22" s="7">
        <f t="shared" si="7"/>
        <v>16.651132024414448</v>
      </c>
      <c r="X22" s="7">
        <f t="shared" si="8"/>
        <v>0.27243250127784963</v>
      </c>
      <c r="Y22" s="14">
        <f t="shared" si="9"/>
        <v>27.243250127784965</v>
      </c>
      <c r="Z22" s="7">
        <v>301.97000000000003</v>
      </c>
      <c r="AA22" s="7">
        <v>301.97000000000003</v>
      </c>
      <c r="AB22" s="7">
        <v>93.09</v>
      </c>
      <c r="AC22" s="7">
        <f t="shared" si="10"/>
        <v>29.738639039321875</v>
      </c>
      <c r="AD22" s="7">
        <f t="shared" si="11"/>
        <v>8.9801768307040272E-2</v>
      </c>
      <c r="AE22" s="14">
        <f t="shared" si="12"/>
        <v>8.9801768307040284</v>
      </c>
      <c r="AF22" s="7">
        <v>20.960000000000036</v>
      </c>
      <c r="AG22" s="7">
        <v>20.960000000000036</v>
      </c>
      <c r="AH22" s="7">
        <v>7.03</v>
      </c>
      <c r="AI22" s="7">
        <f t="shared" si="13"/>
        <v>14.434889434889406</v>
      </c>
      <c r="AJ22" s="7">
        <f t="shared" si="14"/>
        <v>3.0255528255528244E-3</v>
      </c>
      <c r="AK22" s="14">
        <f t="shared" si="15"/>
        <v>0.30255528255528241</v>
      </c>
      <c r="AL22" s="14">
        <f t="shared" si="16"/>
        <v>8.9801768307040284</v>
      </c>
      <c r="AM22" s="14">
        <f t="shared" si="17"/>
        <v>27.243250127784965</v>
      </c>
      <c r="AN22" s="124">
        <f t="shared" si="18"/>
        <v>74.585948019138286</v>
      </c>
      <c r="AO22" s="40">
        <f t="shared" si="19"/>
        <v>24.585723038032352</v>
      </c>
      <c r="AP22" s="40">
        <f t="shared" si="20"/>
        <v>0.82832894282936154</v>
      </c>
    </row>
    <row r="23" spans="2:42" x14ac:dyDescent="0.3">
      <c r="B23" s="186" t="s">
        <v>9</v>
      </c>
      <c r="C23" s="187">
        <v>3</v>
      </c>
      <c r="D23">
        <v>50</v>
      </c>
      <c r="E23" s="59">
        <v>13.037000000000001</v>
      </c>
      <c r="F23" s="40">
        <v>307.94</v>
      </c>
      <c r="G23" s="67">
        <v>81.41</v>
      </c>
      <c r="H23" s="8">
        <f t="shared" si="0"/>
        <v>25.468842534710795</v>
      </c>
      <c r="I23" s="186">
        <v>1</v>
      </c>
      <c r="J23" s="7">
        <f t="shared" si="1"/>
        <v>3.3203730012502466</v>
      </c>
      <c r="K23" s="7">
        <f t="shared" si="2"/>
        <v>0.61488388912041603</v>
      </c>
      <c r="L23" s="7">
        <f t="shared" si="3"/>
        <v>61.4883889120416</v>
      </c>
      <c r="M23" s="187"/>
      <c r="N23" s="58"/>
      <c r="O23" s="61"/>
      <c r="P23" s="61"/>
      <c r="Q23" s="31" t="str">
        <f t="shared" si="4"/>
        <v/>
      </c>
      <c r="R23" s="31" t="str">
        <f t="shared" si="5"/>
        <v/>
      </c>
      <c r="S23" s="14">
        <f t="shared" si="21"/>
        <v>0</v>
      </c>
      <c r="T23" s="40">
        <v>415.06000000000006</v>
      </c>
      <c r="U23" s="40">
        <v>415.06000000000006</v>
      </c>
      <c r="V23" s="40">
        <v>74.98</v>
      </c>
      <c r="W23" s="7">
        <f t="shared" si="7"/>
        <v>17.130464447585165</v>
      </c>
      <c r="X23" s="7">
        <f t="shared" si="8"/>
        <v>7.1101705736146992E-2</v>
      </c>
      <c r="Y23" s="14">
        <f t="shared" si="9"/>
        <v>7.110170573614699</v>
      </c>
      <c r="Z23" s="7">
        <v>1163.5299999999997</v>
      </c>
      <c r="AA23" s="7">
        <v>304.64999999999998</v>
      </c>
      <c r="AB23" s="7">
        <v>93.38</v>
      </c>
      <c r="AC23" s="7">
        <f t="shared" si="10"/>
        <v>29.569623629029568</v>
      </c>
      <c r="AD23" s="7">
        <f t="shared" si="11"/>
        <v>0.34405144181084768</v>
      </c>
      <c r="AE23" s="14">
        <f t="shared" si="12"/>
        <v>34.405144181084772</v>
      </c>
      <c r="AF23" s="7">
        <v>7</v>
      </c>
      <c r="AG23" s="7">
        <v>7</v>
      </c>
      <c r="AH23" s="7">
        <v>4.79</v>
      </c>
      <c r="AI23" s="7">
        <f t="shared" si="13"/>
        <v>4.7413793103448407</v>
      </c>
      <c r="AJ23" s="7">
        <f t="shared" si="14"/>
        <v>3.3189655172413885E-4</v>
      </c>
      <c r="AK23" s="14">
        <f t="shared" si="15"/>
        <v>3.318965517241388E-2</v>
      </c>
      <c r="AL23" s="14">
        <f t="shared" si="16"/>
        <v>34.405144181084772</v>
      </c>
      <c r="AM23" s="14">
        <f t="shared" si="17"/>
        <v>7.110170573614699</v>
      </c>
      <c r="AN23" s="124">
        <f t="shared" si="18"/>
        <v>17.112939862945655</v>
      </c>
      <c r="AO23" s="40">
        <f t="shared" si="19"/>
        <v>82.807178428569728</v>
      </c>
      <c r="AP23" s="40">
        <f t="shared" si="20"/>
        <v>7.9881708484621297E-2</v>
      </c>
    </row>
    <row r="24" spans="2:42" x14ac:dyDescent="0.3">
      <c r="B24" s="186" t="s">
        <v>9</v>
      </c>
      <c r="C24" s="187">
        <v>4</v>
      </c>
      <c r="D24">
        <v>25</v>
      </c>
      <c r="E24" s="59">
        <v>11.617000000000001</v>
      </c>
      <c r="F24" s="40">
        <v>370.93</v>
      </c>
      <c r="G24" s="67">
        <v>88.41</v>
      </c>
      <c r="H24" s="8">
        <f t="shared" si="0"/>
        <v>23.004387757882974</v>
      </c>
      <c r="I24" s="186">
        <v>1</v>
      </c>
      <c r="J24" s="7">
        <f t="shared" si="1"/>
        <v>2.6724197258332651</v>
      </c>
      <c r="K24" s="7">
        <f t="shared" si="2"/>
        <v>0.49489254182097497</v>
      </c>
      <c r="L24" s="7">
        <f t="shared" si="3"/>
        <v>49.48925418209749</v>
      </c>
      <c r="M24" s="187"/>
      <c r="N24" s="58"/>
      <c r="O24" s="61"/>
      <c r="P24" s="61"/>
      <c r="Q24" s="31" t="str">
        <f t="shared" si="4"/>
        <v/>
      </c>
      <c r="R24" s="31" t="str">
        <f t="shared" si="5"/>
        <v/>
      </c>
      <c r="S24" s="14">
        <f t="shared" si="21"/>
        <v>0</v>
      </c>
      <c r="T24" s="40">
        <v>653.95000000000005</v>
      </c>
      <c r="U24" s="40">
        <v>321.42000000000007</v>
      </c>
      <c r="V24" s="40">
        <v>63.62</v>
      </c>
      <c r="W24" s="7">
        <f t="shared" si="7"/>
        <v>18.608322283260716</v>
      </c>
      <c r="X24" s="7">
        <f t="shared" si="8"/>
        <v>0.12168912357138345</v>
      </c>
      <c r="Y24" s="14">
        <f>IF(U24&gt;0,X24*10000/100,0)</f>
        <v>12.168912357138344</v>
      </c>
      <c r="Z24" s="7">
        <v>802.59999999999991</v>
      </c>
      <c r="AA24" s="7">
        <v>298.28999999999996</v>
      </c>
      <c r="AB24" s="7">
        <v>98.37</v>
      </c>
      <c r="AC24" s="7">
        <f t="shared" si="10"/>
        <v>31.909676100950247</v>
      </c>
      <c r="AD24" s="7">
        <f t="shared" si="11"/>
        <v>0.25610706038622666</v>
      </c>
      <c r="AE24" s="14">
        <f t="shared" si="12"/>
        <v>25.610706038622666</v>
      </c>
      <c r="AF24" s="7"/>
      <c r="AG24" s="7"/>
      <c r="AH24" s="7"/>
      <c r="AI24" s="7" t="str">
        <f t="shared" si="13"/>
        <v/>
      </c>
      <c r="AJ24" s="7" t="str">
        <f t="shared" si="14"/>
        <v/>
      </c>
      <c r="AK24" s="14">
        <f t="shared" si="15"/>
        <v>0</v>
      </c>
      <c r="AL24" s="14">
        <f t="shared" si="16"/>
        <v>25.610706038622666</v>
      </c>
      <c r="AM24" s="14">
        <f t="shared" si="17"/>
        <v>12.168912357138344</v>
      </c>
      <c r="AN24" s="124">
        <f t="shared" si="18"/>
        <v>32.210257471800539</v>
      </c>
      <c r="AO24" s="40">
        <f t="shared" si="19"/>
        <v>67.78974252819944</v>
      </c>
      <c r="AP24" s="40">
        <f t="shared" si="20"/>
        <v>0</v>
      </c>
    </row>
    <row r="25" spans="2:42" x14ac:dyDescent="0.3">
      <c r="B25" s="186" t="s">
        <v>9</v>
      </c>
      <c r="C25" s="187">
        <v>5</v>
      </c>
      <c r="D25">
        <v>0</v>
      </c>
      <c r="E25" s="59">
        <v>9.657</v>
      </c>
      <c r="F25" s="40">
        <v>364.26</v>
      </c>
      <c r="G25" s="67">
        <v>108.81</v>
      </c>
      <c r="H25" s="8">
        <f t="shared" si="0"/>
        <v>29.092877366346531</v>
      </c>
      <c r="I25" s="186">
        <v>1</v>
      </c>
      <c r="J25" s="7">
        <f t="shared" si="1"/>
        <v>2.8094991672680845</v>
      </c>
      <c r="K25" s="7">
        <f t="shared" si="2"/>
        <v>0.52027762356816376</v>
      </c>
      <c r="L25" s="7">
        <f t="shared" si="3"/>
        <v>52.027762356816375</v>
      </c>
      <c r="M25" s="187"/>
      <c r="N25" s="58"/>
      <c r="O25" s="61"/>
      <c r="P25" s="61"/>
      <c r="Q25" s="31" t="str">
        <f t="shared" si="4"/>
        <v/>
      </c>
      <c r="R25" s="31" t="str">
        <f t="shared" si="5"/>
        <v/>
      </c>
      <c r="S25" s="14">
        <f t="shared" si="21"/>
        <v>0</v>
      </c>
      <c r="T25" s="61"/>
      <c r="U25" s="61"/>
      <c r="V25" s="61"/>
      <c r="W25" s="31" t="str">
        <f t="shared" si="7"/>
        <v/>
      </c>
      <c r="X25" s="31" t="str">
        <f t="shared" si="8"/>
        <v/>
      </c>
      <c r="Y25" s="14">
        <f t="shared" si="9"/>
        <v>0</v>
      </c>
      <c r="Z25" s="7">
        <v>1495.35</v>
      </c>
      <c r="AA25" s="7">
        <v>353.70000000000005</v>
      </c>
      <c r="AB25" s="7">
        <v>116.72</v>
      </c>
      <c r="AC25" s="7">
        <f t="shared" si="10"/>
        <v>32.101312245716571</v>
      </c>
      <c r="AD25" s="7">
        <f t="shared" si="11"/>
        <v>0.48002697266632277</v>
      </c>
      <c r="AE25" s="14">
        <f t="shared" si="12"/>
        <v>48.002697266632275</v>
      </c>
      <c r="AF25" s="7"/>
      <c r="AG25" s="7"/>
      <c r="AH25" s="7"/>
      <c r="AI25" s="7" t="str">
        <f t="shared" si="13"/>
        <v/>
      </c>
      <c r="AJ25" s="7" t="str">
        <f t="shared" si="14"/>
        <v/>
      </c>
      <c r="AK25" s="14">
        <f t="shared" si="15"/>
        <v>0</v>
      </c>
      <c r="AL25" s="14">
        <f t="shared" si="16"/>
        <v>48.002697266632275</v>
      </c>
      <c r="AM25" s="14"/>
      <c r="AN25" s="124" t="str">
        <f t="shared" si="18"/>
        <v/>
      </c>
      <c r="AO25" s="40">
        <f t="shared" si="19"/>
        <v>100</v>
      </c>
      <c r="AP25" s="40">
        <f t="shared" si="20"/>
        <v>0</v>
      </c>
    </row>
    <row r="26" spans="2:42" x14ac:dyDescent="0.3">
      <c r="B26" s="186" t="s">
        <v>9</v>
      </c>
      <c r="C26" s="187">
        <v>6</v>
      </c>
      <c r="D26">
        <v>25</v>
      </c>
      <c r="E26" s="59">
        <v>16.276999999999997</v>
      </c>
      <c r="F26" s="40">
        <v>319.26</v>
      </c>
      <c r="G26" s="67">
        <v>53.99</v>
      </c>
      <c r="H26" s="8">
        <f t="shared" si="0"/>
        <v>15.856753156125103</v>
      </c>
      <c r="I26" s="186">
        <v>1</v>
      </c>
      <c r="J26" s="7">
        <f t="shared" si="1"/>
        <v>2.5810037112224826</v>
      </c>
      <c r="K26" s="7">
        <f t="shared" si="2"/>
        <v>0.47796365022638565</v>
      </c>
      <c r="L26" s="7">
        <f t="shared" si="3"/>
        <v>47.796365022638568</v>
      </c>
      <c r="M26" s="187"/>
      <c r="N26" s="59">
        <v>249.20000000000005</v>
      </c>
      <c r="O26" s="40">
        <v>249.20000000000005</v>
      </c>
      <c r="P26" s="40">
        <v>36.61</v>
      </c>
      <c r="Q26" s="7">
        <f>IF(N26&gt;0,((P26-$O$5)/(O26-$O$5))*100,"")</f>
        <v>13.058236545067887</v>
      </c>
      <c r="R26" s="7">
        <f t="shared" si="5"/>
        <v>3.2541125470309178E-2</v>
      </c>
      <c r="S26" s="14">
        <f t="shared" si="21"/>
        <v>3.254112547030918</v>
      </c>
      <c r="T26" s="40">
        <v>2381.0199999999995</v>
      </c>
      <c r="U26" s="40">
        <v>306.43000000000006</v>
      </c>
      <c r="V26" s="40">
        <v>52.96</v>
      </c>
      <c r="W26" s="7">
        <f t="shared" si="7"/>
        <v>15.999999999999998</v>
      </c>
      <c r="X26" s="7">
        <f t="shared" si="8"/>
        <v>0.38096319999999984</v>
      </c>
      <c r="Y26" s="14">
        <f t="shared" si="9"/>
        <v>38.096319999999984</v>
      </c>
      <c r="Z26" s="31"/>
      <c r="AA26" s="31"/>
      <c r="AB26" s="31"/>
      <c r="AC26" s="31" t="str">
        <f t="shared" si="10"/>
        <v/>
      </c>
      <c r="AD26" s="31" t="str">
        <f t="shared" si="11"/>
        <v/>
      </c>
      <c r="AE26" s="14">
        <f t="shared" si="12"/>
        <v>0</v>
      </c>
      <c r="AF26" s="7">
        <v>40.970000000000027</v>
      </c>
      <c r="AG26" s="7">
        <v>40.970000000000027</v>
      </c>
      <c r="AH26" s="7">
        <v>14.53</v>
      </c>
      <c r="AI26" s="7">
        <f>IF(AF26&gt;0,((AH26-$O$5)/(AG26-$O$5))*100,"")</f>
        <v>27.142463488564321</v>
      </c>
      <c r="AJ26" s="7">
        <f t="shared" si="14"/>
        <v>1.1120267291264811E-2</v>
      </c>
      <c r="AK26" s="14">
        <f t="shared" si="15"/>
        <v>1.1120267291264812</v>
      </c>
      <c r="AL26" s="14">
        <f t="shared" si="16"/>
        <v>3.254112547030918</v>
      </c>
      <c r="AM26" s="14">
        <f t="shared" si="17"/>
        <v>38.096319999999984</v>
      </c>
      <c r="AN26" s="124">
        <f t="shared" si="18"/>
        <v>89.717648599291152</v>
      </c>
      <c r="AO26" s="40">
        <f t="shared" si="19"/>
        <v>7.6635046638904836</v>
      </c>
      <c r="AP26" s="40">
        <f t="shared" si="20"/>
        <v>2.6188467368183801</v>
      </c>
    </row>
    <row r="27" spans="2:42" x14ac:dyDescent="0.3">
      <c r="B27" s="186" t="s">
        <v>9</v>
      </c>
      <c r="C27" s="187">
        <v>7</v>
      </c>
      <c r="D27">
        <v>50</v>
      </c>
      <c r="E27" s="59">
        <v>14.577</v>
      </c>
      <c r="F27" s="40">
        <v>379.34</v>
      </c>
      <c r="G27" s="67">
        <v>66.42</v>
      </c>
      <c r="H27" s="8">
        <f t="shared" si="0"/>
        <v>16.630255235253372</v>
      </c>
      <c r="I27" s="186">
        <v>1</v>
      </c>
      <c r="J27" s="7">
        <f t="shared" si="1"/>
        <v>2.424192305642884</v>
      </c>
      <c r="K27" s="7">
        <f t="shared" si="2"/>
        <v>0.4489245010449785</v>
      </c>
      <c r="L27" s="7">
        <f t="shared" si="3"/>
        <v>44.892450104497847</v>
      </c>
      <c r="M27" s="187"/>
      <c r="N27" s="59">
        <v>1115.1500000000001</v>
      </c>
      <c r="O27" s="40">
        <v>446.05000000000007</v>
      </c>
      <c r="P27" s="40">
        <v>64.36</v>
      </c>
      <c r="Q27" s="7">
        <f t="shared" si="4"/>
        <v>13.521535219883543</v>
      </c>
      <c r="R27" s="7">
        <f t="shared" si="5"/>
        <v>0.15078540000453133</v>
      </c>
      <c r="S27" s="14">
        <f t="shared" si="21"/>
        <v>15.078540000453133</v>
      </c>
      <c r="T27" s="40">
        <v>779.46</v>
      </c>
      <c r="U27" s="40">
        <v>340.83000000000004</v>
      </c>
      <c r="V27" s="40">
        <v>63.3</v>
      </c>
      <c r="W27" s="7">
        <f t="shared" si="7"/>
        <v>17.438643462739844</v>
      </c>
      <c r="X27" s="7">
        <f t="shared" si="8"/>
        <v>0.13592725033467201</v>
      </c>
      <c r="Y27" s="14">
        <f t="shared" si="9"/>
        <v>13.592725033467202</v>
      </c>
      <c r="Z27" s="31"/>
      <c r="AA27" s="31"/>
      <c r="AB27" s="31"/>
      <c r="AC27" s="31" t="str">
        <f t="shared" si="10"/>
        <v/>
      </c>
      <c r="AD27" s="31" t="str">
        <f t="shared" si="11"/>
        <v/>
      </c>
      <c r="AE27" s="14">
        <f t="shared" si="12"/>
        <v>0</v>
      </c>
      <c r="AF27" s="7">
        <v>5.9500000000000455</v>
      </c>
      <c r="AG27" s="7">
        <v>5.9500000000000455</v>
      </c>
      <c r="AH27" s="7">
        <v>4.37</v>
      </c>
      <c r="AI27" s="7"/>
      <c r="AJ27" s="7">
        <f t="shared" si="14"/>
        <v>0</v>
      </c>
      <c r="AK27" s="14">
        <f t="shared" si="15"/>
        <v>0</v>
      </c>
      <c r="AL27" s="14">
        <f t="shared" si="16"/>
        <v>15.078540000453133</v>
      </c>
      <c r="AM27" s="14">
        <f t="shared" si="17"/>
        <v>13.592725033467202</v>
      </c>
      <c r="AN27" s="124">
        <f t="shared" si="18"/>
        <v>47.408877904012783</v>
      </c>
      <c r="AO27" s="40">
        <f t="shared" si="19"/>
        <v>52.59112209598721</v>
      </c>
      <c r="AP27" s="40">
        <f t="shared" si="20"/>
        <v>0</v>
      </c>
    </row>
    <row r="28" spans="2:42" x14ac:dyDescent="0.3">
      <c r="B28" s="186" t="s">
        <v>9</v>
      </c>
      <c r="C28" s="187">
        <v>8</v>
      </c>
      <c r="D28">
        <v>75</v>
      </c>
      <c r="E28" s="59">
        <v>13.856999999999998</v>
      </c>
      <c r="F28" s="40">
        <v>355.16</v>
      </c>
      <c r="G28" s="67">
        <v>62.36</v>
      </c>
      <c r="H28" s="8">
        <f t="shared" si="0"/>
        <v>16.619204920833809</v>
      </c>
      <c r="I28" s="186">
        <v>1</v>
      </c>
      <c r="J28" s="7">
        <f t="shared" si="1"/>
        <v>2.3029232258799404</v>
      </c>
      <c r="K28" s="7">
        <f t="shared" si="2"/>
        <v>0.42646726405184077</v>
      </c>
      <c r="L28" s="7">
        <f t="shared" si="3"/>
        <v>42.646726405184083</v>
      </c>
      <c r="M28" s="187"/>
      <c r="N28" s="59">
        <v>1121.71</v>
      </c>
      <c r="O28" s="40">
        <v>308.49</v>
      </c>
      <c r="P28" s="40">
        <v>52.36</v>
      </c>
      <c r="Q28" s="7">
        <f t="shared" si="4"/>
        <v>15.694019288371022</v>
      </c>
      <c r="R28" s="7">
        <f t="shared" si="5"/>
        <v>0.17604138375958661</v>
      </c>
      <c r="S28" s="14">
        <f t="shared" si="21"/>
        <v>17.604138375958662</v>
      </c>
      <c r="T28" s="40">
        <v>546.15</v>
      </c>
      <c r="U28" s="40">
        <v>320.92000000000007</v>
      </c>
      <c r="V28" s="40">
        <v>49.61</v>
      </c>
      <c r="W28" s="7">
        <f t="shared" si="7"/>
        <v>14.207563875537563</v>
      </c>
      <c r="X28" s="7">
        <f t="shared" si="8"/>
        <v>7.7594610106248393E-2</v>
      </c>
      <c r="Y28" s="14">
        <f t="shared" si="9"/>
        <v>7.7594610106248396</v>
      </c>
      <c r="Z28" s="31"/>
      <c r="AA28" s="31"/>
      <c r="AB28" s="31"/>
      <c r="AC28" s="31" t="str">
        <f t="shared" si="10"/>
        <v/>
      </c>
      <c r="AD28" s="31" t="str">
        <f t="shared" si="11"/>
        <v/>
      </c>
      <c r="AE28" s="14">
        <f t="shared" si="12"/>
        <v>0</v>
      </c>
      <c r="AF28" s="7">
        <v>10.54000000000002</v>
      </c>
      <c r="AG28" s="7">
        <v>10.54000000000002</v>
      </c>
      <c r="AH28" s="7">
        <v>5.44</v>
      </c>
      <c r="AI28" s="7">
        <f t="shared" si="13"/>
        <v>12.969283276450478</v>
      </c>
      <c r="AJ28" s="7">
        <f t="shared" si="14"/>
        <v>1.3669624573378828E-3</v>
      </c>
      <c r="AK28" s="14">
        <f t="shared" si="15"/>
        <v>0.13669624573378827</v>
      </c>
      <c r="AL28" s="14">
        <f t="shared" si="16"/>
        <v>17.604138375958662</v>
      </c>
      <c r="AM28" s="14">
        <f t="shared" si="17"/>
        <v>7.7594610106248396</v>
      </c>
      <c r="AN28" s="124">
        <f t="shared" si="18"/>
        <v>30.42890608997898</v>
      </c>
      <c r="AO28" s="40">
        <f t="shared" si="19"/>
        <v>69.035036416002995</v>
      </c>
      <c r="AP28" s="40">
        <f t="shared" si="20"/>
        <v>0.53605749401802627</v>
      </c>
    </row>
    <row r="29" spans="2:42" x14ac:dyDescent="0.3">
      <c r="B29" s="16" t="s">
        <v>9</v>
      </c>
      <c r="C29" s="17">
        <v>9</v>
      </c>
      <c r="D29">
        <v>100</v>
      </c>
      <c r="E29" s="59">
        <v>17.916999999999998</v>
      </c>
      <c r="F29" s="42">
        <v>350.94</v>
      </c>
      <c r="G29" s="68">
        <v>59.63</v>
      </c>
      <c r="H29" s="19">
        <f t="shared" si="0"/>
        <v>16.034472819507698</v>
      </c>
      <c r="I29" s="16">
        <v>1</v>
      </c>
      <c r="J29" s="7">
        <f t="shared" si="1"/>
        <v>2.8728964950711937</v>
      </c>
      <c r="K29" s="18">
        <f t="shared" si="2"/>
        <v>0.53201786945762841</v>
      </c>
      <c r="L29" s="18">
        <f t="shared" si="3"/>
        <v>53.201786945762841</v>
      </c>
      <c r="M29" s="17"/>
      <c r="N29" s="225">
        <v>813.57</v>
      </c>
      <c r="O29" s="42">
        <v>341.89</v>
      </c>
      <c r="P29" s="42">
        <v>44.65</v>
      </c>
      <c r="Q29" s="18">
        <f t="shared" si="4"/>
        <v>11.853147890038848</v>
      </c>
      <c r="R29" s="18">
        <f t="shared" si="5"/>
        <v>9.6433655288989062E-2</v>
      </c>
      <c r="S29" s="14">
        <f t="shared" si="21"/>
        <v>9.6433655288989062</v>
      </c>
      <c r="T29" s="62"/>
      <c r="U29" s="62"/>
      <c r="V29" s="62"/>
      <c r="W29" s="33" t="str">
        <f t="shared" si="7"/>
        <v/>
      </c>
      <c r="X29" s="33" t="str">
        <f t="shared" si="8"/>
        <v/>
      </c>
      <c r="Y29" s="14">
        <f t="shared" si="9"/>
        <v>0</v>
      </c>
      <c r="Z29" s="33"/>
      <c r="AA29" s="33"/>
      <c r="AB29" s="33"/>
      <c r="AC29" s="33" t="str">
        <f t="shared" si="10"/>
        <v/>
      </c>
      <c r="AD29" s="33" t="str">
        <f t="shared" si="11"/>
        <v/>
      </c>
      <c r="AE29" s="14">
        <f t="shared" si="12"/>
        <v>0</v>
      </c>
      <c r="AF29" s="18">
        <v>50.44</v>
      </c>
      <c r="AG29" s="18">
        <v>50.44</v>
      </c>
      <c r="AH29" s="18">
        <v>13.72</v>
      </c>
      <c r="AI29" s="18">
        <f t="shared" si="13"/>
        <v>19.755244755244757</v>
      </c>
      <c r="AJ29" s="18">
        <f t="shared" si="14"/>
        <v>9.9645454545454551E-3</v>
      </c>
      <c r="AK29" s="14"/>
      <c r="AL29" s="14"/>
      <c r="AM29" s="14"/>
      <c r="AN29" s="124"/>
      <c r="AO29" s="40"/>
      <c r="AP29" s="40"/>
    </row>
    <row r="30" spans="2:42" ht="14.5" x14ac:dyDescent="0.35">
      <c r="B30" s="186" t="s">
        <v>10</v>
      </c>
      <c r="C30" s="187">
        <v>1</v>
      </c>
      <c r="D30">
        <v>100</v>
      </c>
      <c r="E30" s="59">
        <v>12.917</v>
      </c>
      <c r="F30" s="40">
        <v>275.45</v>
      </c>
      <c r="G30" s="67">
        <v>64.239999999999995</v>
      </c>
      <c r="H30" s="8">
        <f t="shared" si="0"/>
        <v>22.191932215877692</v>
      </c>
      <c r="I30" s="186">
        <v>1</v>
      </c>
      <c r="J30" s="7">
        <f t="shared" si="1"/>
        <v>2.8665318843249215</v>
      </c>
      <c r="K30" s="7">
        <f t="shared" si="2"/>
        <v>0.5308392378379484</v>
      </c>
      <c r="L30" s="7">
        <f t="shared" si="3"/>
        <v>53.083923783794845</v>
      </c>
      <c r="M30" s="187"/>
      <c r="N30" s="226">
        <v>748.29</v>
      </c>
      <c r="O30" s="69">
        <v>324.05000000000007</v>
      </c>
      <c r="P30" s="69">
        <v>48.61</v>
      </c>
      <c r="Q30" s="31">
        <f t="shared" si="4"/>
        <v>13.755205560948113</v>
      </c>
      <c r="R30" s="31">
        <f t="shared" si="5"/>
        <v>0.10292882769201862</v>
      </c>
      <c r="S30" s="14">
        <f t="shared" si="21"/>
        <v>10.292882769201862</v>
      </c>
      <c r="T30" s="40">
        <v>905.77</v>
      </c>
      <c r="U30" s="40">
        <v>451.57000000000005</v>
      </c>
      <c r="V30" s="40">
        <v>79.41</v>
      </c>
      <c r="W30" s="7">
        <f t="shared" si="7"/>
        <v>16.72223589697688</v>
      </c>
      <c r="X30" s="7">
        <f t="shared" si="8"/>
        <v>0.15146499608404751</v>
      </c>
      <c r="Y30" s="14">
        <f t="shared" si="9"/>
        <v>15.146499608404751</v>
      </c>
      <c r="Z30" s="31"/>
      <c r="AA30" s="31"/>
      <c r="AB30" s="31"/>
      <c r="AC30" s="31" t="str">
        <f t="shared" si="10"/>
        <v/>
      </c>
      <c r="AD30" s="31" t="str">
        <f t="shared" si="11"/>
        <v/>
      </c>
      <c r="AE30" s="14">
        <f t="shared" si="12"/>
        <v>0</v>
      </c>
      <c r="AF30" s="7">
        <v>45.28000000000003</v>
      </c>
      <c r="AG30" s="40">
        <v>45.28000000000003</v>
      </c>
      <c r="AH30" s="40">
        <v>14.55</v>
      </c>
      <c r="AI30" s="40">
        <f t="shared" si="13"/>
        <v>24.310344827586192</v>
      </c>
      <c r="AJ30" s="40">
        <f t="shared" si="14"/>
        <v>1.1007724137931035E-2</v>
      </c>
      <c r="AK30" s="14"/>
      <c r="AL30" s="14"/>
      <c r="AM30" s="14"/>
      <c r="AN30" s="124"/>
      <c r="AO30" s="40"/>
      <c r="AP30" s="40"/>
    </row>
    <row r="31" spans="2:42" x14ac:dyDescent="0.3">
      <c r="B31" s="186" t="s">
        <v>10</v>
      </c>
      <c r="C31" s="187">
        <v>2</v>
      </c>
      <c r="D31">
        <v>75</v>
      </c>
      <c r="E31" s="59">
        <v>14.297000000000002</v>
      </c>
      <c r="F31" s="40">
        <v>376.5</v>
      </c>
      <c r="G31" s="67">
        <v>92.07</v>
      </c>
      <c r="H31" s="8">
        <f t="shared" si="0"/>
        <v>23.642953020134229</v>
      </c>
      <c r="I31" s="186">
        <v>1</v>
      </c>
      <c r="J31" s="7">
        <f t="shared" si="1"/>
        <v>3.3802329932885913</v>
      </c>
      <c r="K31" s="7">
        <f t="shared" si="2"/>
        <v>0.62596907283122061</v>
      </c>
      <c r="L31" s="7">
        <f t="shared" si="3"/>
        <v>62.596907283122064</v>
      </c>
      <c r="M31" s="187"/>
      <c r="N31" s="58"/>
      <c r="O31" s="61"/>
      <c r="P31" s="61"/>
      <c r="Q31" s="31" t="str">
        <f t="shared" si="4"/>
        <v/>
      </c>
      <c r="R31" s="31" t="str">
        <f t="shared" si="5"/>
        <v/>
      </c>
      <c r="S31" s="14">
        <f t="shared" si="21"/>
        <v>0</v>
      </c>
      <c r="T31" s="40">
        <v>1884.0500000000002</v>
      </c>
      <c r="U31" s="40">
        <v>319.55000000000007</v>
      </c>
      <c r="V31" s="40">
        <v>58.12</v>
      </c>
      <c r="W31" s="7">
        <f t="shared" si="7"/>
        <v>16.972083717089589</v>
      </c>
      <c r="X31" s="7">
        <f t="shared" si="8"/>
        <v>0.3197625432718264</v>
      </c>
      <c r="Y31" s="14">
        <f t="shared" si="9"/>
        <v>31.976254327182641</v>
      </c>
      <c r="Z31" s="7">
        <v>773.13000000000011</v>
      </c>
      <c r="AA31" s="7">
        <v>366.03</v>
      </c>
      <c r="AB31" s="7">
        <v>106.04</v>
      </c>
      <c r="AC31" s="7">
        <f t="shared" si="10"/>
        <v>28.050366680503675</v>
      </c>
      <c r="AD31" s="7">
        <f t="shared" si="11"/>
        <v>0.2168657999169781</v>
      </c>
      <c r="AE31" s="14">
        <f t="shared" si="12"/>
        <v>21.686579991697808</v>
      </c>
      <c r="AF31" s="7"/>
      <c r="AG31" s="40"/>
      <c r="AH31" s="40"/>
      <c r="AI31" s="40" t="str">
        <f t="shared" si="13"/>
        <v/>
      </c>
      <c r="AJ31" s="40" t="str">
        <f t="shared" si="14"/>
        <v/>
      </c>
      <c r="AK31" s="14">
        <f t="shared" si="15"/>
        <v>0</v>
      </c>
      <c r="AL31" s="14">
        <f t="shared" si="16"/>
        <v>21.686579991697808</v>
      </c>
      <c r="AM31" s="14">
        <f t="shared" si="17"/>
        <v>31.976254327182641</v>
      </c>
      <c r="AN31" s="124">
        <f t="shared" si="18"/>
        <v>59.58733774136914</v>
      </c>
      <c r="AO31" s="40">
        <f t="shared" si="19"/>
        <v>40.41266225863086</v>
      </c>
      <c r="AP31" s="40">
        <f t="shared" si="20"/>
        <v>0</v>
      </c>
    </row>
    <row r="32" spans="2:42" x14ac:dyDescent="0.3">
      <c r="B32" s="186" t="s">
        <v>10</v>
      </c>
      <c r="C32" s="187">
        <v>3</v>
      </c>
      <c r="D32">
        <v>50</v>
      </c>
      <c r="E32" s="59">
        <v>12.897</v>
      </c>
      <c r="F32" s="40">
        <v>335.9</v>
      </c>
      <c r="G32" s="67">
        <v>76.55</v>
      </c>
      <c r="H32" s="8">
        <f t="shared" si="0"/>
        <v>21.858993672793012</v>
      </c>
      <c r="I32" s="186">
        <v>1</v>
      </c>
      <c r="J32" s="7">
        <f t="shared" si="1"/>
        <v>2.8191544139801148</v>
      </c>
      <c r="K32" s="7">
        <f t="shared" si="2"/>
        <v>0.52206563221853974</v>
      </c>
      <c r="L32" s="7">
        <f t="shared" si="3"/>
        <v>52.206563221853976</v>
      </c>
      <c r="M32" s="187"/>
      <c r="N32" s="58"/>
      <c r="O32" s="61"/>
      <c r="P32" s="61"/>
      <c r="Q32" s="31" t="str">
        <f t="shared" si="4"/>
        <v/>
      </c>
      <c r="R32" s="31" t="str">
        <f t="shared" si="5"/>
        <v/>
      </c>
      <c r="S32" s="14">
        <f t="shared" si="21"/>
        <v>0</v>
      </c>
      <c r="T32" s="40">
        <v>1077.8900000000001</v>
      </c>
      <c r="U32" s="40">
        <v>358.51</v>
      </c>
      <c r="V32" s="40">
        <v>75.099999999999994</v>
      </c>
      <c r="W32" s="7">
        <f t="shared" si="7"/>
        <v>19.902212927111886</v>
      </c>
      <c r="X32" s="7">
        <f t="shared" si="8"/>
        <v>0.21452396292004633</v>
      </c>
      <c r="Y32" s="14">
        <f t="shared" si="9"/>
        <v>21.452396292004632</v>
      </c>
      <c r="Z32" s="7">
        <v>602.94999999999982</v>
      </c>
      <c r="AA32" s="7">
        <v>248.75</v>
      </c>
      <c r="AB32" s="7">
        <v>83.93</v>
      </c>
      <c r="AC32" s="7">
        <f t="shared" si="10"/>
        <v>32.47019297742451</v>
      </c>
      <c r="AD32" s="7">
        <f t="shared" si="11"/>
        <v>0.19577902855738102</v>
      </c>
      <c r="AE32" s="14">
        <f t="shared" si="12"/>
        <v>19.577902855738103</v>
      </c>
      <c r="AF32" s="7"/>
      <c r="AG32" s="40"/>
      <c r="AH32" s="40"/>
      <c r="AI32" s="40" t="str">
        <f t="shared" si="13"/>
        <v/>
      </c>
      <c r="AJ32" s="40" t="str">
        <f t="shared" si="14"/>
        <v/>
      </c>
      <c r="AK32" s="14">
        <f t="shared" si="15"/>
        <v>0</v>
      </c>
      <c r="AL32" s="14">
        <f t="shared" si="16"/>
        <v>19.577902855738103</v>
      </c>
      <c r="AM32" s="14">
        <f t="shared" si="17"/>
        <v>21.452396292004632</v>
      </c>
      <c r="AN32" s="124">
        <f t="shared" si="18"/>
        <v>52.284279514410578</v>
      </c>
      <c r="AO32" s="40">
        <f t="shared" si="19"/>
        <v>47.715720485589422</v>
      </c>
      <c r="AP32" s="40">
        <f t="shared" si="20"/>
        <v>0</v>
      </c>
    </row>
    <row r="33" spans="2:42" x14ac:dyDescent="0.3">
      <c r="B33" s="186" t="s">
        <v>10</v>
      </c>
      <c r="C33" s="187">
        <v>4</v>
      </c>
      <c r="D33">
        <v>25</v>
      </c>
      <c r="E33" s="59">
        <v>10.717000000000001</v>
      </c>
      <c r="F33" s="40">
        <v>351.58</v>
      </c>
      <c r="G33" s="67">
        <v>97.51</v>
      </c>
      <c r="H33" s="8">
        <f t="shared" si="0"/>
        <v>26.903158984981879</v>
      </c>
      <c r="I33" s="186">
        <v>1</v>
      </c>
      <c r="J33" s="7">
        <f t="shared" si="1"/>
        <v>2.8832115484205079</v>
      </c>
      <c r="K33" s="7">
        <f t="shared" si="2"/>
        <v>0.53392806452231623</v>
      </c>
      <c r="L33" s="7">
        <f t="shared" si="3"/>
        <v>53.392806452231625</v>
      </c>
      <c r="M33" s="187"/>
      <c r="N33" s="58"/>
      <c r="O33" s="61"/>
      <c r="P33" s="61"/>
      <c r="Q33" s="31" t="str">
        <f t="shared" si="4"/>
        <v/>
      </c>
      <c r="R33" s="31" t="str">
        <f t="shared" si="5"/>
        <v/>
      </c>
      <c r="S33" s="14">
        <f t="shared" si="21"/>
        <v>0</v>
      </c>
      <c r="T33" s="40">
        <v>1732.1499999999996</v>
      </c>
      <c r="U33" s="40">
        <v>330.43000000000006</v>
      </c>
      <c r="V33" s="40">
        <v>55.76</v>
      </c>
      <c r="W33" s="7">
        <f t="shared" si="7"/>
        <v>15.680736761320027</v>
      </c>
      <c r="X33" s="7">
        <f t="shared" si="8"/>
        <v>0.27161388181120483</v>
      </c>
      <c r="Y33" s="14">
        <f t="shared" si="9"/>
        <v>27.161388181120483</v>
      </c>
      <c r="Z33" s="7">
        <v>758.46</v>
      </c>
      <c r="AA33" s="7">
        <v>320.17000000000007</v>
      </c>
      <c r="AB33" s="7">
        <v>106.12</v>
      </c>
      <c r="AC33" s="7">
        <f t="shared" si="10"/>
        <v>32.153158578718809</v>
      </c>
      <c r="AD33" s="7">
        <f t="shared" si="11"/>
        <v>0.24386884655615068</v>
      </c>
      <c r="AE33" s="14">
        <f t="shared" si="12"/>
        <v>24.386884655615066</v>
      </c>
      <c r="AF33" s="7"/>
      <c r="AG33" s="40"/>
      <c r="AH33" s="40"/>
      <c r="AI33" s="40" t="str">
        <f t="shared" si="13"/>
        <v/>
      </c>
      <c r="AJ33" s="40" t="str">
        <f t="shared" si="14"/>
        <v/>
      </c>
      <c r="AK33" s="14">
        <f t="shared" si="15"/>
        <v>0</v>
      </c>
      <c r="AL33" s="14">
        <f t="shared" si="16"/>
        <v>24.386884655615066</v>
      </c>
      <c r="AM33" s="14">
        <f t="shared" si="17"/>
        <v>27.161388181120483</v>
      </c>
      <c r="AN33" s="124">
        <f t="shared" si="18"/>
        <v>52.691170210777834</v>
      </c>
      <c r="AO33" s="40">
        <f t="shared" si="19"/>
        <v>47.308829789222166</v>
      </c>
      <c r="AP33" s="40">
        <f t="shared" si="20"/>
        <v>0</v>
      </c>
    </row>
    <row r="34" spans="2:42" x14ac:dyDescent="0.3">
      <c r="B34" s="186" t="s">
        <v>10</v>
      </c>
      <c r="C34" s="187">
        <v>5</v>
      </c>
      <c r="D34">
        <v>0</v>
      </c>
      <c r="E34" s="59">
        <v>7.7569999999999997</v>
      </c>
      <c r="F34" s="40">
        <v>326.02</v>
      </c>
      <c r="G34" s="67">
        <v>122.18</v>
      </c>
      <c r="H34" s="8">
        <f t="shared" si="0"/>
        <v>36.699583876777844</v>
      </c>
      <c r="I34" s="186">
        <v>1</v>
      </c>
      <c r="J34" s="7">
        <f t="shared" si="1"/>
        <v>2.8467867213216569</v>
      </c>
      <c r="K34" s="7">
        <f t="shared" si="2"/>
        <v>0.52718272617067718</v>
      </c>
      <c r="L34" s="7">
        <f t="shared" si="3"/>
        <v>52.718272617067711</v>
      </c>
      <c r="M34" s="187"/>
      <c r="N34" s="58"/>
      <c r="O34" s="61"/>
      <c r="P34" s="61"/>
      <c r="Q34" s="31" t="str">
        <f t="shared" si="4"/>
        <v/>
      </c>
      <c r="R34" s="31" t="str">
        <f t="shared" si="5"/>
        <v/>
      </c>
      <c r="S34" s="14">
        <f t="shared" si="21"/>
        <v>0</v>
      </c>
      <c r="T34" s="61"/>
      <c r="U34" s="61"/>
      <c r="V34" s="61"/>
      <c r="W34" s="31" t="str">
        <f t="shared" si="7"/>
        <v/>
      </c>
      <c r="X34" s="31" t="str">
        <f t="shared" si="8"/>
        <v/>
      </c>
      <c r="Y34" s="14">
        <f t="shared" si="9"/>
        <v>0</v>
      </c>
      <c r="Z34" s="7">
        <v>1286.4299999999998</v>
      </c>
      <c r="AA34" s="7">
        <v>297.75</v>
      </c>
      <c r="AB34" s="7">
        <v>89.45</v>
      </c>
      <c r="AC34" s="7">
        <f t="shared" si="10"/>
        <v>28.924830245333883</v>
      </c>
      <c r="AD34" s="7">
        <f t="shared" si="11"/>
        <v>0.37209769372504858</v>
      </c>
      <c r="AE34" s="14">
        <f t="shared" si="12"/>
        <v>37.209769372504859</v>
      </c>
      <c r="AF34" s="7"/>
      <c r="AG34" s="40"/>
      <c r="AH34" s="40"/>
      <c r="AI34" s="40" t="str">
        <f t="shared" si="13"/>
        <v/>
      </c>
      <c r="AJ34" s="40" t="str">
        <f t="shared" si="14"/>
        <v/>
      </c>
      <c r="AK34" s="14">
        <f t="shared" si="15"/>
        <v>0</v>
      </c>
      <c r="AL34" s="14">
        <f t="shared" si="16"/>
        <v>37.209769372504859</v>
      </c>
      <c r="AM34" s="14"/>
      <c r="AN34" s="124" t="str">
        <f t="shared" si="18"/>
        <v/>
      </c>
      <c r="AO34" s="40">
        <f t="shared" si="19"/>
        <v>100.00000000000001</v>
      </c>
      <c r="AP34" s="40">
        <f t="shared" si="20"/>
        <v>0</v>
      </c>
    </row>
    <row r="35" spans="2:42" x14ac:dyDescent="0.3">
      <c r="B35" s="186" t="s">
        <v>10</v>
      </c>
      <c r="C35" s="187">
        <v>6</v>
      </c>
      <c r="D35">
        <v>25</v>
      </c>
      <c r="E35" s="59">
        <v>18.137</v>
      </c>
      <c r="F35" s="40">
        <v>345.01</v>
      </c>
      <c r="G35" s="67">
        <v>59.46</v>
      </c>
      <c r="H35" s="8">
        <f t="shared" si="0"/>
        <v>16.263452684672007</v>
      </c>
      <c r="I35" s="186">
        <v>1</v>
      </c>
      <c r="J35" s="7">
        <f t="shared" si="1"/>
        <v>2.9497024134189624</v>
      </c>
      <c r="K35" s="7">
        <f t="shared" si="2"/>
        <v>0.54624118767017815</v>
      </c>
      <c r="L35" s="7">
        <f t="shared" si="3"/>
        <v>54.624118767017819</v>
      </c>
      <c r="M35" s="187"/>
      <c r="N35" s="59">
        <v>514</v>
      </c>
      <c r="O35" s="40">
        <v>296.88</v>
      </c>
      <c r="P35" s="40">
        <v>41.09</v>
      </c>
      <c r="Q35" s="7">
        <f t="shared" si="4"/>
        <v>12.460643394934978</v>
      </c>
      <c r="R35" s="7">
        <f t="shared" si="5"/>
        <v>6.4047707049965791E-2</v>
      </c>
      <c r="S35" s="14">
        <f t="shared" si="21"/>
        <v>6.4047707049965785</v>
      </c>
      <c r="T35" s="40">
        <v>1403.66</v>
      </c>
      <c r="U35" s="40">
        <v>360.71</v>
      </c>
      <c r="V35" s="40">
        <v>62.63</v>
      </c>
      <c r="W35" s="7">
        <f t="shared" si="7"/>
        <v>16.276718254079714</v>
      </c>
      <c r="X35" s="7">
        <f t="shared" si="8"/>
        <v>0.22846978344521532</v>
      </c>
      <c r="Y35" s="14">
        <f t="shared" si="9"/>
        <v>22.846978344521531</v>
      </c>
      <c r="Z35" s="31"/>
      <c r="AA35" s="31"/>
      <c r="AB35" s="31"/>
      <c r="AC35" s="31" t="str">
        <f t="shared" si="10"/>
        <v/>
      </c>
      <c r="AD35" s="31" t="str">
        <f t="shared" si="11"/>
        <v/>
      </c>
      <c r="AE35" s="14">
        <f t="shared" si="12"/>
        <v>0</v>
      </c>
      <c r="AF35" s="7">
        <v>30.49</v>
      </c>
      <c r="AG35" s="40">
        <v>30.49</v>
      </c>
      <c r="AH35" s="40">
        <v>8.99</v>
      </c>
      <c r="AI35" s="40">
        <f t="shared" si="13"/>
        <v>16.698953893839601</v>
      </c>
      <c r="AJ35" s="40">
        <f t="shared" si="14"/>
        <v>5.0915110422316947E-3</v>
      </c>
      <c r="AK35" s="14">
        <f t="shared" si="15"/>
        <v>0.50915110422316945</v>
      </c>
      <c r="AL35" s="14">
        <f t="shared" si="16"/>
        <v>6.4047707049965785</v>
      </c>
      <c r="AM35" s="14">
        <f t="shared" si="17"/>
        <v>22.846978344521531</v>
      </c>
      <c r="AN35" s="124">
        <f t="shared" si="18"/>
        <v>76.768438543514321</v>
      </c>
      <c r="AO35" s="40">
        <f t="shared" si="19"/>
        <v>21.520755998341087</v>
      </c>
      <c r="AP35" s="40">
        <f t="shared" si="20"/>
        <v>1.7108054581445966</v>
      </c>
    </row>
    <row r="36" spans="2:42" x14ac:dyDescent="0.3">
      <c r="B36" s="186" t="s">
        <v>10</v>
      </c>
      <c r="C36" s="187">
        <v>7</v>
      </c>
      <c r="D36">
        <v>50</v>
      </c>
      <c r="E36" s="59">
        <v>18.596999999999998</v>
      </c>
      <c r="F36" s="40">
        <v>355.22</v>
      </c>
      <c r="G36" s="67">
        <v>58.09</v>
      </c>
      <c r="H36" s="8">
        <f t="shared" si="0"/>
        <v>15.400603610272764</v>
      </c>
      <c r="I36" s="186">
        <v>1</v>
      </c>
      <c r="J36" s="7">
        <f t="shared" si="1"/>
        <v>2.8640502534024255</v>
      </c>
      <c r="K36" s="7">
        <f t="shared" si="2"/>
        <v>0.53037967655600471</v>
      </c>
      <c r="L36" s="7">
        <f t="shared" si="3"/>
        <v>53.037967655600468</v>
      </c>
      <c r="M36" s="187"/>
      <c r="N36" s="59">
        <v>1068.43</v>
      </c>
      <c r="O36" s="40">
        <v>327.80000000000007</v>
      </c>
      <c r="P36" s="40">
        <v>45.99</v>
      </c>
      <c r="Q36" s="7">
        <f>IF(N36&gt;0,((P36-$O$5)/(O36-$O$5))*100,"")</f>
        <v>12.784723941569695</v>
      </c>
      <c r="R36" s="7">
        <f t="shared" si="5"/>
        <v>0.1365958260089131</v>
      </c>
      <c r="S36" s="14">
        <f t="shared" si="21"/>
        <v>13.65958260089131</v>
      </c>
      <c r="T36" s="40">
        <v>1915.6399999999994</v>
      </c>
      <c r="U36" s="40">
        <v>360.58000000000004</v>
      </c>
      <c r="V36" s="40">
        <v>58.24</v>
      </c>
      <c r="W36" s="7">
        <f t="shared" si="7"/>
        <v>15.049171115481878</v>
      </c>
      <c r="X36" s="7">
        <f t="shared" si="8"/>
        <v>0.28828794155661697</v>
      </c>
      <c r="Y36" s="14">
        <f t="shared" si="9"/>
        <v>28.828794155661697</v>
      </c>
      <c r="Z36" s="31"/>
      <c r="AA36" s="31"/>
      <c r="AB36" s="31"/>
      <c r="AC36" s="31" t="str">
        <f t="shared" si="10"/>
        <v/>
      </c>
      <c r="AD36" s="31" t="str">
        <f t="shared" si="11"/>
        <v/>
      </c>
      <c r="AE36" s="14">
        <f t="shared" si="12"/>
        <v>0</v>
      </c>
      <c r="AF36" s="7">
        <v>18.950000000000045</v>
      </c>
      <c r="AG36" s="40">
        <v>18.950000000000045</v>
      </c>
      <c r="AH36" s="40">
        <v>6.23</v>
      </c>
      <c r="AI36" s="40">
        <f t="shared" si="13"/>
        <v>10.861948142957223</v>
      </c>
      <c r="AJ36" s="40">
        <f t="shared" si="14"/>
        <v>2.0583391730903985E-3</v>
      </c>
      <c r="AK36" s="14">
        <f t="shared" si="15"/>
        <v>0.20583391730903988</v>
      </c>
      <c r="AL36" s="14">
        <f t="shared" si="16"/>
        <v>13.65958260089131</v>
      </c>
      <c r="AM36" s="14">
        <f t="shared" si="17"/>
        <v>28.828794155661697</v>
      </c>
      <c r="AN36" s="124">
        <f t="shared" si="18"/>
        <v>67.523895396223026</v>
      </c>
      <c r="AO36" s="40">
        <f t="shared" si="19"/>
        <v>31.993992593599781</v>
      </c>
      <c r="AP36" s="40">
        <f t="shared" si="20"/>
        <v>0.48211201017718802</v>
      </c>
    </row>
    <row r="37" spans="2:42" x14ac:dyDescent="0.3">
      <c r="B37" s="186" t="s">
        <v>10</v>
      </c>
      <c r="C37" s="187">
        <v>8</v>
      </c>
      <c r="D37">
        <v>75</v>
      </c>
      <c r="E37" s="59">
        <v>14.636999999999999</v>
      </c>
      <c r="F37" s="40">
        <v>365.52</v>
      </c>
      <c r="G37" s="67">
        <v>75.86</v>
      </c>
      <c r="H37" s="8">
        <f t="shared" si="0"/>
        <v>19.877185217968581</v>
      </c>
      <c r="I37" s="186">
        <v>1</v>
      </c>
      <c r="J37" s="7">
        <f t="shared" si="1"/>
        <v>2.909423600354061</v>
      </c>
      <c r="K37" s="7">
        <f t="shared" si="2"/>
        <v>0.53878214821371495</v>
      </c>
      <c r="L37" s="7">
        <f t="shared" si="3"/>
        <v>53.878214821371493</v>
      </c>
      <c r="M37" s="187"/>
      <c r="N37" s="59">
        <v>1441.96</v>
      </c>
      <c r="O37" s="40">
        <v>334.26</v>
      </c>
      <c r="P37" s="40">
        <v>51.64</v>
      </c>
      <c r="Q37" s="7">
        <f t="shared" si="4"/>
        <v>14.248437405182354</v>
      </c>
      <c r="R37" s="7">
        <f t="shared" si="5"/>
        <v>0.20545676800776749</v>
      </c>
      <c r="S37" s="14">
        <f t="shared" si="21"/>
        <v>20.54567680077675</v>
      </c>
      <c r="T37" s="40">
        <v>1386.41</v>
      </c>
      <c r="U37" s="40">
        <v>387.97</v>
      </c>
      <c r="V37" s="40">
        <v>70.05</v>
      </c>
      <c r="W37" s="7">
        <f t="shared" si="7"/>
        <v>17.054971431553131</v>
      </c>
      <c r="X37" s="7">
        <f t="shared" si="8"/>
        <v>0.23645182942419579</v>
      </c>
      <c r="Y37" s="14">
        <f t="shared" si="9"/>
        <v>23.645182942419577</v>
      </c>
      <c r="Z37" s="31"/>
      <c r="AA37" s="31"/>
      <c r="AB37" s="31"/>
      <c r="AC37" s="31" t="str">
        <f t="shared" si="10"/>
        <v/>
      </c>
      <c r="AD37" s="31" t="str">
        <f t="shared" si="11"/>
        <v/>
      </c>
      <c r="AE37" s="14">
        <f t="shared" si="12"/>
        <v>0</v>
      </c>
      <c r="AF37" s="7">
        <v>57.230000000000018</v>
      </c>
      <c r="AG37" s="40">
        <v>57.230000000000018</v>
      </c>
      <c r="AH37" s="40">
        <v>18.02</v>
      </c>
      <c r="AI37" s="40">
        <f t="shared" si="13"/>
        <v>25.385347288296849</v>
      </c>
      <c r="AJ37" s="40">
        <f t="shared" si="14"/>
        <v>1.4528034253092292E-2</v>
      </c>
      <c r="AK37" s="14">
        <f t="shared" si="15"/>
        <v>1.4528034253092292</v>
      </c>
      <c r="AL37" s="14">
        <f t="shared" si="16"/>
        <v>20.54567680077675</v>
      </c>
      <c r="AM37" s="14">
        <f t="shared" si="17"/>
        <v>23.645182942419577</v>
      </c>
      <c r="AN37" s="124">
        <f t="shared" si="18"/>
        <v>51.803867834023713</v>
      </c>
      <c r="AO37" s="40">
        <f t="shared" si="19"/>
        <v>45.013207474007935</v>
      </c>
      <c r="AP37" s="40">
        <f t="shared" si="20"/>
        <v>3.1829246919683558</v>
      </c>
    </row>
    <row r="38" spans="2:42" x14ac:dyDescent="0.3">
      <c r="B38" s="16" t="s">
        <v>10</v>
      </c>
      <c r="C38" s="17">
        <v>9</v>
      </c>
      <c r="D38">
        <v>100</v>
      </c>
      <c r="E38" s="59">
        <v>6.3570000000000011</v>
      </c>
      <c r="F38" s="42">
        <v>323.35000000000002</v>
      </c>
      <c r="G38" s="68">
        <v>68.94</v>
      </c>
      <c r="H38" s="19">
        <f t="shared" si="0"/>
        <v>20.335055581650224</v>
      </c>
      <c r="I38" s="16">
        <v>1</v>
      </c>
      <c r="J38" s="7">
        <f t="shared" si="1"/>
        <v>1.292699483325505</v>
      </c>
      <c r="K38" s="18">
        <f t="shared" si="2"/>
        <v>0.23938879320842685</v>
      </c>
      <c r="L38" s="18">
        <f t="shared" si="3"/>
        <v>23.938879320842684</v>
      </c>
      <c r="M38" s="17"/>
      <c r="N38" s="225">
        <v>717.88999999999987</v>
      </c>
      <c r="O38" s="42">
        <v>307.33000000000004</v>
      </c>
      <c r="P38" s="42">
        <v>60.28</v>
      </c>
      <c r="Q38" s="18">
        <f t="shared" si="4"/>
        <v>18.371055674871965</v>
      </c>
      <c r="R38" s="18">
        <f t="shared" si="5"/>
        <v>0.13188397158433832</v>
      </c>
      <c r="S38" s="14">
        <f t="shared" si="21"/>
        <v>13.188397158433832</v>
      </c>
      <c r="T38" s="62"/>
      <c r="U38" s="62"/>
      <c r="V38" s="62"/>
      <c r="W38" s="33" t="str">
        <f t="shared" si="7"/>
        <v/>
      </c>
      <c r="X38" s="33" t="str">
        <f t="shared" si="8"/>
        <v/>
      </c>
      <c r="Y38" s="14">
        <f t="shared" si="9"/>
        <v>0</v>
      </c>
      <c r="Z38" s="33"/>
      <c r="AA38" s="33"/>
      <c r="AB38" s="33"/>
      <c r="AC38" s="33" t="str">
        <f t="shared" si="10"/>
        <v/>
      </c>
      <c r="AD38" s="33" t="str">
        <f t="shared" si="11"/>
        <v/>
      </c>
      <c r="AE38" s="14">
        <f t="shared" si="12"/>
        <v>0</v>
      </c>
      <c r="AF38" s="18">
        <v>57.230000000000018</v>
      </c>
      <c r="AG38" s="42">
        <v>57.230000000000018</v>
      </c>
      <c r="AH38" s="42">
        <v>28.26</v>
      </c>
      <c r="AI38" s="42">
        <f t="shared" si="13"/>
        <v>44.871550903901039</v>
      </c>
      <c r="AJ38" s="42">
        <f t="shared" si="14"/>
        <v>2.5679988582302572E-2</v>
      </c>
      <c r="AK38" s="14">
        <f t="shared" si="15"/>
        <v>2.5679988582302569</v>
      </c>
      <c r="AL38" s="14">
        <f t="shared" si="16"/>
        <v>13.188397158433832</v>
      </c>
      <c r="AM38" s="14"/>
      <c r="AN38" s="124" t="str">
        <f t="shared" si="18"/>
        <v/>
      </c>
      <c r="AO38" s="40">
        <f t="shared" si="19"/>
        <v>83.701863957250637</v>
      </c>
      <c r="AP38" s="40">
        <f t="shared" si="20"/>
        <v>16.298136042749377</v>
      </c>
    </row>
    <row r="39" spans="2:42" x14ac:dyDescent="0.3">
      <c r="B39" s="186" t="s">
        <v>11</v>
      </c>
      <c r="C39" s="187">
        <v>1</v>
      </c>
      <c r="D39">
        <v>100</v>
      </c>
      <c r="E39" s="59">
        <v>17.416999999999998</v>
      </c>
      <c r="F39" s="40">
        <v>349.98</v>
      </c>
      <c r="G39" s="67">
        <v>59.71</v>
      </c>
      <c r="H39" s="8">
        <f t="shared" si="0"/>
        <v>16.102086825828081</v>
      </c>
      <c r="I39" s="186">
        <v>1</v>
      </c>
      <c r="J39" s="7">
        <f t="shared" si="1"/>
        <v>2.8045004624544769</v>
      </c>
      <c r="K39" s="7">
        <f t="shared" si="2"/>
        <v>0.51935193749156972</v>
      </c>
      <c r="L39" s="7">
        <f t="shared" si="3"/>
        <v>51.935193749156973</v>
      </c>
      <c r="M39" s="187"/>
      <c r="N39" s="58"/>
      <c r="O39" s="61"/>
      <c r="P39" s="61"/>
      <c r="Q39" s="31" t="str">
        <f t="shared" si="4"/>
        <v/>
      </c>
      <c r="R39" s="31" t="str">
        <f t="shared" si="5"/>
        <v/>
      </c>
      <c r="S39" s="14">
        <f t="shared" si="21"/>
        <v>0</v>
      </c>
      <c r="T39" s="40">
        <v>2826.1899999999996</v>
      </c>
      <c r="U39" s="40">
        <v>316.02999999999997</v>
      </c>
      <c r="V39" s="40">
        <v>51.83</v>
      </c>
      <c r="W39" s="7">
        <f t="shared" si="7"/>
        <v>15.14372892243456</v>
      </c>
      <c r="X39" s="7">
        <f t="shared" si="8"/>
        <v>0.4279905524329532</v>
      </c>
      <c r="Y39" s="14">
        <f t="shared" si="9"/>
        <v>42.799055243295314</v>
      </c>
      <c r="Z39" s="31"/>
      <c r="AA39" s="31"/>
      <c r="AB39" s="31"/>
      <c r="AC39" s="31" t="str">
        <f t="shared" si="10"/>
        <v/>
      </c>
      <c r="AD39" s="31" t="str">
        <f t="shared" si="11"/>
        <v/>
      </c>
      <c r="AE39" s="14">
        <f t="shared" si="12"/>
        <v>0</v>
      </c>
      <c r="AF39" s="7">
        <v>24.939999999999998</v>
      </c>
      <c r="AG39" s="40">
        <v>24.939999999999998</v>
      </c>
      <c r="AH39" s="40">
        <v>8.1</v>
      </c>
      <c r="AI39" s="40">
        <f t="shared" si="13"/>
        <v>16.880552813425471</v>
      </c>
      <c r="AJ39" s="40">
        <f t="shared" si="14"/>
        <v>4.210009871668312E-3</v>
      </c>
      <c r="AK39" s="14">
        <f t="shared" si="15"/>
        <v>0.42100098716683121</v>
      </c>
      <c r="AL39" s="14"/>
      <c r="AM39" s="14">
        <f t="shared" si="17"/>
        <v>42.799055243295314</v>
      </c>
      <c r="AN39" s="124">
        <f t="shared" si="18"/>
        <v>99.025912912001004</v>
      </c>
      <c r="AO39" s="40" t="str">
        <f t="shared" si="19"/>
        <v/>
      </c>
      <c r="AP39" s="40">
        <f t="shared" si="20"/>
        <v>0.97408708799898169</v>
      </c>
    </row>
    <row r="40" spans="2:42" x14ac:dyDescent="0.3">
      <c r="B40" s="186" t="s">
        <v>11</v>
      </c>
      <c r="C40" s="187">
        <v>2</v>
      </c>
      <c r="D40">
        <v>75</v>
      </c>
      <c r="E40" s="59">
        <v>19.276999999999997</v>
      </c>
      <c r="F40" s="40">
        <v>290.33</v>
      </c>
      <c r="G40" s="67">
        <v>57.1</v>
      </c>
      <c r="H40" s="8">
        <f t="shared" si="0"/>
        <v>18.545035448608253</v>
      </c>
      <c r="I40" s="186">
        <v>1</v>
      </c>
      <c r="J40" s="7">
        <f t="shared" si="1"/>
        <v>3.5749264834282122</v>
      </c>
      <c r="K40" s="7">
        <f t="shared" si="2"/>
        <v>0.66202342285707627</v>
      </c>
      <c r="L40" s="7">
        <f t="shared" si="3"/>
        <v>66.20234228570763</v>
      </c>
      <c r="M40" s="187"/>
      <c r="N40" s="58"/>
      <c r="O40" s="61"/>
      <c r="P40" s="61"/>
      <c r="Q40" s="31" t="str">
        <f t="shared" si="4"/>
        <v/>
      </c>
      <c r="R40" s="31" t="str">
        <f t="shared" si="5"/>
        <v/>
      </c>
      <c r="S40" s="14">
        <f t="shared" si="21"/>
        <v>0</v>
      </c>
      <c r="T40" s="40">
        <v>2169.0199999999995</v>
      </c>
      <c r="U40" s="40">
        <v>401.03</v>
      </c>
      <c r="V40" s="40">
        <v>67.02</v>
      </c>
      <c r="W40" s="7">
        <f t="shared" si="7"/>
        <v>15.728522770278794</v>
      </c>
      <c r="X40" s="7">
        <f t="shared" si="8"/>
        <v>0.34115480459190106</v>
      </c>
      <c r="Y40" s="14">
        <f t="shared" si="9"/>
        <v>34.11548045919011</v>
      </c>
      <c r="Z40" s="7">
        <v>491.11</v>
      </c>
      <c r="AA40" s="7">
        <v>376.08000000000004</v>
      </c>
      <c r="AB40" s="7">
        <v>112.01</v>
      </c>
      <c r="AC40" s="7">
        <f t="shared" si="10"/>
        <v>28.898761443187936</v>
      </c>
      <c r="AD40" s="7">
        <f t="shared" si="11"/>
        <v>0.14192470732364029</v>
      </c>
      <c r="AE40" s="14">
        <f t="shared" si="12"/>
        <v>14.192470732364029</v>
      </c>
      <c r="AF40" s="7"/>
      <c r="AG40" s="40"/>
      <c r="AH40" s="40"/>
      <c r="AI40" s="40" t="str">
        <f t="shared" si="13"/>
        <v/>
      </c>
      <c r="AJ40" s="40" t="str">
        <f t="shared" si="14"/>
        <v/>
      </c>
      <c r="AK40" s="14">
        <f t="shared" si="15"/>
        <v>0</v>
      </c>
      <c r="AL40" s="14">
        <f t="shared" si="16"/>
        <v>14.192470732364029</v>
      </c>
      <c r="AM40" s="14">
        <f t="shared" si="17"/>
        <v>34.11548045919011</v>
      </c>
      <c r="AN40" s="124">
        <f t="shared" si="18"/>
        <v>70.620839049689707</v>
      </c>
      <c r="AO40" s="40">
        <f t="shared" si="19"/>
        <v>29.379160950310293</v>
      </c>
      <c r="AP40" s="40">
        <f t="shared" si="20"/>
        <v>0</v>
      </c>
    </row>
    <row r="41" spans="2:42" x14ac:dyDescent="0.3">
      <c r="B41" s="186" t="s">
        <v>11</v>
      </c>
      <c r="C41" s="187">
        <v>3</v>
      </c>
      <c r="D41">
        <v>50</v>
      </c>
      <c r="E41" s="59">
        <v>12.677</v>
      </c>
      <c r="F41" s="40">
        <v>372.56</v>
      </c>
      <c r="G41" s="67">
        <v>86.71</v>
      </c>
      <c r="H41" s="8">
        <f t="shared" si="0"/>
        <v>22.441393531582374</v>
      </c>
      <c r="I41" s="186">
        <v>1</v>
      </c>
      <c r="J41" s="7">
        <f t="shared" si="1"/>
        <v>2.8448954579986974</v>
      </c>
      <c r="K41" s="7">
        <f t="shared" si="2"/>
        <v>0.52683249222198092</v>
      </c>
      <c r="L41" s="7">
        <f t="shared" si="3"/>
        <v>52.683249222198093</v>
      </c>
      <c r="M41" s="187"/>
      <c r="N41" s="58"/>
      <c r="O41" s="61"/>
      <c r="P41" s="61"/>
      <c r="Q41" s="31" t="str">
        <f t="shared" si="4"/>
        <v/>
      </c>
      <c r="R41" s="31" t="str">
        <f t="shared" si="5"/>
        <v/>
      </c>
      <c r="S41" s="14">
        <f t="shared" si="21"/>
        <v>0</v>
      </c>
      <c r="T41" s="40">
        <v>833.96</v>
      </c>
      <c r="U41" s="40">
        <v>477.95000000000005</v>
      </c>
      <c r="V41" s="40">
        <v>89.58</v>
      </c>
      <c r="W41" s="7">
        <f t="shared" si="7"/>
        <v>17.939020009719613</v>
      </c>
      <c r="X41" s="7">
        <f t="shared" si="8"/>
        <v>0.14960425127305771</v>
      </c>
      <c r="Y41" s="14">
        <f t="shared" si="9"/>
        <v>14.96042512730577</v>
      </c>
      <c r="Z41" s="7">
        <v>705.43000000000006</v>
      </c>
      <c r="AA41" s="7">
        <v>312.28999999999996</v>
      </c>
      <c r="AB41" s="7">
        <v>94.81</v>
      </c>
      <c r="AC41" s="7">
        <f t="shared" si="10"/>
        <v>29.300087773479412</v>
      </c>
      <c r="AD41" s="7">
        <f t="shared" si="11"/>
        <v>0.20669160918045582</v>
      </c>
      <c r="AE41" s="14">
        <f t="shared" si="12"/>
        <v>20.669160918045581</v>
      </c>
      <c r="AF41" s="7"/>
      <c r="AG41" s="40"/>
      <c r="AH41" s="40"/>
      <c r="AI41" s="40" t="str">
        <f t="shared" si="13"/>
        <v/>
      </c>
      <c r="AJ41" s="40" t="str">
        <f t="shared" si="14"/>
        <v/>
      </c>
      <c r="AK41" s="14">
        <f t="shared" si="15"/>
        <v>0</v>
      </c>
      <c r="AL41" s="14">
        <f t="shared" si="16"/>
        <v>20.669160918045581</v>
      </c>
      <c r="AM41" s="14">
        <f t="shared" si="17"/>
        <v>14.96042512730577</v>
      </c>
      <c r="AN41" s="124">
        <f t="shared" si="18"/>
        <v>41.988770535428884</v>
      </c>
      <c r="AO41" s="40">
        <f t="shared" si="19"/>
        <v>58.011229464571116</v>
      </c>
      <c r="AP41" s="40">
        <f t="shared" si="20"/>
        <v>0</v>
      </c>
    </row>
    <row r="42" spans="2:42" x14ac:dyDescent="0.3">
      <c r="B42" s="186" t="s">
        <v>11</v>
      </c>
      <c r="C42" s="187">
        <v>4</v>
      </c>
      <c r="D42">
        <v>25</v>
      </c>
      <c r="E42" s="59">
        <v>12.257</v>
      </c>
      <c r="F42" s="40">
        <v>321.89999999999998</v>
      </c>
      <c r="G42" s="67">
        <v>77.930000000000007</v>
      </c>
      <c r="H42" s="8">
        <f t="shared" si="0"/>
        <v>23.255740798993401</v>
      </c>
      <c r="I42" s="186">
        <v>1</v>
      </c>
      <c r="J42" s="7">
        <f t="shared" si="1"/>
        <v>2.8504561497326213</v>
      </c>
      <c r="K42" s="7">
        <f t="shared" si="2"/>
        <v>0.52786224995048536</v>
      </c>
      <c r="L42" s="7">
        <f t="shared" si="3"/>
        <v>52.786224995048535</v>
      </c>
      <c r="M42" s="187"/>
      <c r="N42" s="58"/>
      <c r="O42" s="61"/>
      <c r="P42" s="61"/>
      <c r="Q42" s="31" t="str">
        <f t="shared" si="4"/>
        <v/>
      </c>
      <c r="R42" s="31" t="str">
        <f t="shared" si="5"/>
        <v/>
      </c>
      <c r="S42" s="14">
        <f t="shared" si="21"/>
        <v>0</v>
      </c>
      <c r="T42" s="40">
        <v>1024.6300000000001</v>
      </c>
      <c r="U42" s="40">
        <v>356.44000000000005</v>
      </c>
      <c r="V42" s="40">
        <v>71.34</v>
      </c>
      <c r="W42" s="7">
        <f t="shared" si="7"/>
        <v>18.950420741414597</v>
      </c>
      <c r="X42" s="7">
        <f t="shared" si="8"/>
        <v>0.19417169604275641</v>
      </c>
      <c r="Y42" s="14">
        <f t="shared" si="9"/>
        <v>19.417169604275642</v>
      </c>
      <c r="Z42" s="7">
        <v>705.67999999999984</v>
      </c>
      <c r="AA42" s="7">
        <v>247.98000000000002</v>
      </c>
      <c r="AB42" s="7">
        <v>81.56</v>
      </c>
      <c r="AC42" s="7">
        <f t="shared" si="10"/>
        <v>31.598849157418822</v>
      </c>
      <c r="AD42" s="7">
        <f t="shared" si="11"/>
        <v>0.22298675873407311</v>
      </c>
      <c r="AE42" s="14">
        <f t="shared" si="12"/>
        <v>22.298675873407309</v>
      </c>
      <c r="AF42" s="7">
        <v>70.38</v>
      </c>
      <c r="AG42" s="40">
        <v>70.38</v>
      </c>
      <c r="AH42" s="40">
        <v>17.91</v>
      </c>
      <c r="AI42" s="40">
        <f t="shared" si="13"/>
        <v>20.136986301369866</v>
      </c>
      <c r="AJ42" s="40">
        <f t="shared" si="14"/>
        <v>1.417241095890411E-2</v>
      </c>
      <c r="AK42" s="14">
        <f t="shared" si="15"/>
        <v>1.4172410958904109</v>
      </c>
      <c r="AL42" s="14">
        <f t="shared" si="16"/>
        <v>22.298675873407309</v>
      </c>
      <c r="AM42" s="14">
        <f t="shared" si="17"/>
        <v>19.417169604275642</v>
      </c>
      <c r="AN42" s="124">
        <f t="shared" si="18"/>
        <v>45.016879492626174</v>
      </c>
      <c r="AO42" s="40">
        <f t="shared" si="19"/>
        <v>51.697380467710808</v>
      </c>
      <c r="AP42" s="40">
        <f t="shared" si="20"/>
        <v>3.2857400396630125</v>
      </c>
    </row>
    <row r="43" spans="2:42" ht="14.5" x14ac:dyDescent="0.35">
      <c r="B43" s="186" t="s">
        <v>11</v>
      </c>
      <c r="C43" s="187">
        <v>5</v>
      </c>
      <c r="D43">
        <v>0</v>
      </c>
      <c r="E43" s="59">
        <v>9.4370000000000012</v>
      </c>
      <c r="F43" s="40">
        <v>296.23</v>
      </c>
      <c r="G43" s="67">
        <v>89.9</v>
      </c>
      <c r="H43" s="8">
        <f t="shared" si="0"/>
        <v>29.394654895116862</v>
      </c>
      <c r="I43" s="186">
        <v>1</v>
      </c>
      <c r="J43" s="7">
        <f t="shared" si="1"/>
        <v>2.7739735824521787</v>
      </c>
      <c r="K43" s="7">
        <f t="shared" si="2"/>
        <v>0.51369881156521824</v>
      </c>
      <c r="L43" s="7">
        <f t="shared" si="3"/>
        <v>51.369881156521821</v>
      </c>
      <c r="M43" s="187"/>
      <c r="N43" s="58"/>
      <c r="O43" s="61"/>
      <c r="P43" s="61"/>
      <c r="Q43" s="31" t="str">
        <f t="shared" si="4"/>
        <v/>
      </c>
      <c r="R43" s="31" t="str">
        <f t="shared" si="5"/>
        <v/>
      </c>
      <c r="S43" s="14">
        <f t="shared" si="21"/>
        <v>0</v>
      </c>
      <c r="T43" s="69">
        <v>383.73</v>
      </c>
      <c r="U43" s="69">
        <v>384.62</v>
      </c>
      <c r="V43" s="69">
        <v>76.38</v>
      </c>
      <c r="W43" s="31">
        <f t="shared" si="7"/>
        <v>18.87140074748644</v>
      </c>
      <c r="X43" s="31">
        <f t="shared" si="8"/>
        <v>7.2415226088329732E-2</v>
      </c>
      <c r="Y43" s="14">
        <f t="shared" si="9"/>
        <v>7.2415226088329732</v>
      </c>
      <c r="Z43" s="7">
        <v>997.38999999999987</v>
      </c>
      <c r="AA43" s="7">
        <v>286.70000000000005</v>
      </c>
      <c r="AB43" s="7">
        <v>91</v>
      </c>
      <c r="AC43" s="7">
        <f t="shared" si="10"/>
        <v>30.607758315013111</v>
      </c>
      <c r="AD43" s="7">
        <f t="shared" si="11"/>
        <v>0.30527872065810924</v>
      </c>
      <c r="AE43" s="14">
        <f t="shared" si="12"/>
        <v>30.527872065810925</v>
      </c>
      <c r="AF43" s="7"/>
      <c r="AG43" s="40"/>
      <c r="AH43" s="40"/>
      <c r="AI43" s="40" t="str">
        <f t="shared" si="13"/>
        <v/>
      </c>
      <c r="AJ43" s="40" t="str">
        <f t="shared" si="14"/>
        <v/>
      </c>
      <c r="AK43" s="14"/>
      <c r="AL43" s="14"/>
      <c r="AM43" s="14"/>
      <c r="AN43" s="124"/>
      <c r="AO43" s="40"/>
      <c r="AP43" s="40"/>
    </row>
    <row r="44" spans="2:42" x14ac:dyDescent="0.3">
      <c r="B44" s="186" t="s">
        <v>11</v>
      </c>
      <c r="C44" s="187">
        <v>6</v>
      </c>
      <c r="D44">
        <v>25</v>
      </c>
      <c r="E44" s="59">
        <v>18.036999999999999</v>
      </c>
      <c r="F44" s="40">
        <v>353.04</v>
      </c>
      <c r="G44" s="67">
        <v>54.61</v>
      </c>
      <c r="H44" s="8">
        <f t="shared" si="0"/>
        <v>14.499770799908319</v>
      </c>
      <c r="I44" s="186">
        <v>1</v>
      </c>
      <c r="J44" s="7">
        <f t="shared" si="1"/>
        <v>2.6153236591794631</v>
      </c>
      <c r="K44" s="7">
        <f t="shared" si="2"/>
        <v>0.48431919614434499</v>
      </c>
      <c r="L44" s="7">
        <f t="shared" si="3"/>
        <v>48.431919614434499</v>
      </c>
      <c r="M44" s="187"/>
      <c r="N44" s="59">
        <v>1229.23</v>
      </c>
      <c r="O44" s="40">
        <v>419.58000000000004</v>
      </c>
      <c r="P44" s="40">
        <v>59.52</v>
      </c>
      <c r="Q44" s="7">
        <f t="shared" si="4"/>
        <v>13.2176428054953</v>
      </c>
      <c r="R44" s="7">
        <f t="shared" si="5"/>
        <v>0.16247523065798986</v>
      </c>
      <c r="S44" s="14">
        <f t="shared" si="21"/>
        <v>16.247523065798983</v>
      </c>
      <c r="T44" s="40">
        <v>1673.3599999999997</v>
      </c>
      <c r="U44" s="40">
        <v>447.15999999999997</v>
      </c>
      <c r="V44" s="40">
        <v>79.5</v>
      </c>
      <c r="W44" s="7">
        <f t="shared" si="7"/>
        <v>16.909238835653589</v>
      </c>
      <c r="X44" s="7">
        <f t="shared" si="8"/>
        <v>0.28295243898029288</v>
      </c>
      <c r="Y44" s="14">
        <f t="shared" si="9"/>
        <v>28.295243898029288</v>
      </c>
      <c r="Z44" s="31"/>
      <c r="AA44" s="31"/>
      <c r="AB44" s="31"/>
      <c r="AC44" s="31" t="str">
        <f t="shared" si="10"/>
        <v/>
      </c>
      <c r="AD44" s="31" t="str">
        <f t="shared" si="11"/>
        <v/>
      </c>
      <c r="AE44" s="14">
        <f t="shared" si="12"/>
        <v>0</v>
      </c>
      <c r="AF44" s="7"/>
      <c r="AG44" s="40"/>
      <c r="AH44" s="40"/>
      <c r="AI44" s="40" t="str">
        <f t="shared" si="13"/>
        <v/>
      </c>
      <c r="AJ44" s="40" t="str">
        <f t="shared" si="14"/>
        <v/>
      </c>
      <c r="AK44" s="14">
        <f t="shared" si="15"/>
        <v>0</v>
      </c>
      <c r="AL44" s="14">
        <f t="shared" si="16"/>
        <v>16.247523065798983</v>
      </c>
      <c r="AM44" s="14">
        <f t="shared" si="17"/>
        <v>28.295243898029288</v>
      </c>
      <c r="AN44" s="124">
        <f t="shared" si="18"/>
        <v>63.52376789032197</v>
      </c>
      <c r="AO44" s="40">
        <f t="shared" si="19"/>
        <v>36.476232109678023</v>
      </c>
      <c r="AP44" s="40">
        <f t="shared" si="20"/>
        <v>0</v>
      </c>
    </row>
    <row r="45" spans="2:42" x14ac:dyDescent="0.3">
      <c r="B45" s="186" t="s">
        <v>11</v>
      </c>
      <c r="C45" s="187">
        <v>7</v>
      </c>
      <c r="D45">
        <v>50</v>
      </c>
      <c r="E45" s="59">
        <v>16.376999999999999</v>
      </c>
      <c r="F45" s="40">
        <v>341.72</v>
      </c>
      <c r="G45" s="67">
        <v>59.96</v>
      </c>
      <c r="H45" s="8">
        <f t="shared" si="0"/>
        <v>16.569939594930709</v>
      </c>
      <c r="I45" s="186">
        <v>1</v>
      </c>
      <c r="J45" s="7">
        <f t="shared" si="1"/>
        <v>2.7136590074618017</v>
      </c>
      <c r="K45" s="7">
        <f t="shared" si="2"/>
        <v>0.50252944582625958</v>
      </c>
      <c r="L45" s="7">
        <f t="shared" si="3"/>
        <v>50.252944582625958</v>
      </c>
      <c r="M45" s="187"/>
      <c r="N45" s="59">
        <v>844.16000000000008</v>
      </c>
      <c r="O45" s="40">
        <v>290.92000000000007</v>
      </c>
      <c r="P45" s="40">
        <v>37.82</v>
      </c>
      <c r="Q45" s="7">
        <f t="shared" si="4"/>
        <v>11.577697037451088</v>
      </c>
      <c r="R45" s="7">
        <f t="shared" si="5"/>
        <v>9.7734287311347118E-2</v>
      </c>
      <c r="S45" s="14">
        <f t="shared" si="21"/>
        <v>9.7734287311347128</v>
      </c>
      <c r="T45" s="40">
        <v>1914.2200000000003</v>
      </c>
      <c r="U45" s="40">
        <v>447.15999999999997</v>
      </c>
      <c r="V45" s="40">
        <v>75.14</v>
      </c>
      <c r="W45" s="7">
        <f t="shared" si="7"/>
        <v>15.92388356535889</v>
      </c>
      <c r="X45" s="7">
        <f t="shared" si="8"/>
        <v>0.30481816398481298</v>
      </c>
      <c r="Y45" s="14">
        <f t="shared" si="9"/>
        <v>30.481816398481296</v>
      </c>
      <c r="Z45" s="31"/>
      <c r="AA45" s="31"/>
      <c r="AB45" s="31"/>
      <c r="AC45" s="31" t="str">
        <f t="shared" si="10"/>
        <v/>
      </c>
      <c r="AD45" s="31" t="str">
        <f t="shared" si="11"/>
        <v/>
      </c>
      <c r="AE45" s="14">
        <f t="shared" si="12"/>
        <v>0</v>
      </c>
      <c r="AF45" s="7">
        <v>104</v>
      </c>
      <c r="AG45" s="40">
        <v>104</v>
      </c>
      <c r="AH45" s="40">
        <v>22.93</v>
      </c>
      <c r="AI45" s="40">
        <f t="shared" si="13"/>
        <v>18.374949657672172</v>
      </c>
      <c r="AJ45" s="40">
        <f t="shared" si="14"/>
        <v>1.910994764397906E-2</v>
      </c>
      <c r="AK45" s="14">
        <f t="shared" si="15"/>
        <v>1.9109947643979062</v>
      </c>
      <c r="AL45" s="14">
        <f t="shared" si="16"/>
        <v>9.7734287311347128</v>
      </c>
      <c r="AM45" s="14">
        <f t="shared" si="17"/>
        <v>30.481816398481296</v>
      </c>
      <c r="AN45" s="124">
        <f t="shared" si="18"/>
        <v>72.289624294455095</v>
      </c>
      <c r="AO45" s="40">
        <f t="shared" si="19"/>
        <v>23.178326442434788</v>
      </c>
      <c r="AP45" s="40">
        <f t="shared" si="20"/>
        <v>4.5320492631101281</v>
      </c>
    </row>
    <row r="46" spans="2:42" x14ac:dyDescent="0.3">
      <c r="B46" s="186" t="s">
        <v>11</v>
      </c>
      <c r="C46" s="187">
        <v>8</v>
      </c>
      <c r="D46">
        <v>75</v>
      </c>
      <c r="E46" s="59">
        <v>15.597</v>
      </c>
      <c r="F46" s="40">
        <v>291.31</v>
      </c>
      <c r="G46" s="67">
        <v>49.1</v>
      </c>
      <c r="H46" s="8">
        <f t="shared" si="0"/>
        <v>15.697330409662039</v>
      </c>
      <c r="I46" s="186">
        <v>1</v>
      </c>
      <c r="J46" s="7">
        <f t="shared" si="1"/>
        <v>2.4483126239949882</v>
      </c>
      <c r="K46" s="7">
        <f t="shared" si="2"/>
        <v>0.4533912266657385</v>
      </c>
      <c r="L46" s="7">
        <f t="shared" si="3"/>
        <v>45.33912266657385</v>
      </c>
      <c r="M46" s="187"/>
      <c r="N46" s="59">
        <v>1447.7599999999998</v>
      </c>
      <c r="O46" s="40">
        <v>318.52</v>
      </c>
      <c r="P46" s="40">
        <v>50.27</v>
      </c>
      <c r="Q46" s="7">
        <f t="shared" si="4"/>
        <v>14.52651032373184</v>
      </c>
      <c r="R46" s="7">
        <f t="shared" si="5"/>
        <v>0.21030900586286003</v>
      </c>
      <c r="S46" s="14">
        <f t="shared" si="21"/>
        <v>21.030900586286002</v>
      </c>
      <c r="T46" s="40">
        <v>483.96000000000004</v>
      </c>
      <c r="U46" s="40">
        <v>483.96000000000004</v>
      </c>
      <c r="V46" s="40">
        <v>81.66</v>
      </c>
      <c r="W46" s="7">
        <f t="shared" si="7"/>
        <v>16.06159238858287</v>
      </c>
      <c r="X46" s="7">
        <f t="shared" si="8"/>
        <v>7.7731682523785664E-2</v>
      </c>
      <c r="Y46" s="14">
        <f t="shared" si="9"/>
        <v>7.7731682523785661</v>
      </c>
      <c r="Z46" s="31"/>
      <c r="AA46" s="31"/>
      <c r="AB46" s="31"/>
      <c r="AC46" s="31" t="str">
        <f t="shared" si="10"/>
        <v/>
      </c>
      <c r="AD46" s="31" t="str">
        <f t="shared" si="11"/>
        <v/>
      </c>
      <c r="AE46" s="14">
        <f t="shared" si="12"/>
        <v>0</v>
      </c>
      <c r="AF46" s="7">
        <v>20.620000000000005</v>
      </c>
      <c r="AG46" s="40">
        <v>20.620000000000005</v>
      </c>
      <c r="AH46" s="40">
        <v>7.79</v>
      </c>
      <c r="AI46" s="40">
        <f t="shared" si="13"/>
        <v>19.510664993726472</v>
      </c>
      <c r="AJ46" s="40">
        <f t="shared" si="14"/>
        <v>4.0230991217063998E-3</v>
      </c>
      <c r="AK46" s="14">
        <f t="shared" si="15"/>
        <v>0.40230991217063994</v>
      </c>
      <c r="AL46" s="14">
        <f t="shared" si="16"/>
        <v>21.030900586286002</v>
      </c>
      <c r="AM46" s="14">
        <f t="shared" si="17"/>
        <v>7.7731682523785661</v>
      </c>
      <c r="AN46" s="124">
        <f t="shared" si="18"/>
        <v>26.614625245713761</v>
      </c>
      <c r="AO46" s="40">
        <f t="shared" si="19"/>
        <v>72.007901991905058</v>
      </c>
      <c r="AP46" s="40">
        <f t="shared" si="20"/>
        <v>1.3774727623811809</v>
      </c>
    </row>
    <row r="47" spans="2:42" x14ac:dyDescent="0.3">
      <c r="B47" s="186" t="s">
        <v>11</v>
      </c>
      <c r="C47" s="187">
        <v>9</v>
      </c>
      <c r="D47">
        <v>100</v>
      </c>
      <c r="E47" s="59">
        <v>12.637000000000002</v>
      </c>
      <c r="F47" s="42">
        <v>390.31</v>
      </c>
      <c r="G47" s="68">
        <v>70.27</v>
      </c>
      <c r="H47" s="8">
        <f t="shared" si="0"/>
        <v>17.154616758561776</v>
      </c>
      <c r="I47" s="186">
        <v>1</v>
      </c>
      <c r="J47" s="7">
        <f t="shared" si="1"/>
        <v>2.1678289197794518</v>
      </c>
      <c r="K47" s="7">
        <f t="shared" si="2"/>
        <v>0.40144979995915769</v>
      </c>
      <c r="L47" s="7">
        <f t="shared" si="3"/>
        <v>40.144979995915769</v>
      </c>
      <c r="M47" s="187"/>
      <c r="N47" s="225">
        <v>1680.87</v>
      </c>
      <c r="O47" s="42">
        <v>299.94000000000005</v>
      </c>
      <c r="P47" s="42">
        <v>52.66</v>
      </c>
      <c r="Q47" s="7">
        <f t="shared" si="4"/>
        <v>16.250084671137298</v>
      </c>
      <c r="R47" s="7">
        <f t="shared" si="5"/>
        <v>0.27314279821174553</v>
      </c>
      <c r="S47" s="14">
        <f t="shared" si="21"/>
        <v>27.314279821174555</v>
      </c>
      <c r="T47" s="62"/>
      <c r="U47" s="62"/>
      <c r="V47" s="62"/>
      <c r="W47" s="31" t="str">
        <f t="shared" si="7"/>
        <v/>
      </c>
      <c r="X47" s="31" t="str">
        <f t="shared" si="8"/>
        <v/>
      </c>
      <c r="Y47" s="14">
        <f t="shared" si="9"/>
        <v>0</v>
      </c>
      <c r="Z47" s="31"/>
      <c r="AA47" s="31"/>
      <c r="AB47" s="31"/>
      <c r="AC47" s="31" t="str">
        <f t="shared" si="10"/>
        <v/>
      </c>
      <c r="AD47" s="31" t="str">
        <f t="shared" si="11"/>
        <v/>
      </c>
      <c r="AE47" s="14">
        <f t="shared" si="12"/>
        <v>0</v>
      </c>
      <c r="AF47" s="7">
        <v>6.56</v>
      </c>
      <c r="AG47" s="40">
        <v>6.56</v>
      </c>
      <c r="AH47" s="40">
        <v>4.99</v>
      </c>
      <c r="AI47" s="40">
        <f t="shared" si="13"/>
        <v>16.489361702127685</v>
      </c>
      <c r="AJ47" s="40">
        <f t="shared" si="14"/>
        <v>1.081702127659576E-3</v>
      </c>
      <c r="AK47" s="14">
        <f t="shared" si="15"/>
        <v>0.1081702127659576</v>
      </c>
      <c r="AL47" s="14">
        <f t="shared" si="16"/>
        <v>27.314279821174555</v>
      </c>
      <c r="AM47" s="14"/>
      <c r="AN47" s="124" t="str">
        <f t="shared" si="18"/>
        <v/>
      </c>
      <c r="AO47" s="40">
        <f t="shared" si="19"/>
        <v>99.605541398992159</v>
      </c>
      <c r="AP47" s="40">
        <f t="shared" si="20"/>
        <v>0.39445860100784697</v>
      </c>
    </row>
  </sheetData>
  <autoFilter ref="B11:AL11" xr:uid="{00000000-0009-0000-0000-000000000000}">
    <sortState xmlns:xlrd2="http://schemas.microsoft.com/office/spreadsheetml/2017/richdata2" ref="B12:AK47">
      <sortCondition ref="B11"/>
    </sortState>
  </autoFilter>
  <conditionalFormatting sqref="H12:H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Q12:Q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W12:X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C12:AD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I12:AJ47">
    <cfRule type="colorScale" priority="7">
      <colorScale>
        <cfvo type="min"/>
        <cfvo type="max"/>
        <color rgb="FFFCFCFF"/>
        <color rgb="FF63BE7B"/>
      </colorScale>
    </cfRule>
  </conditionalFormatting>
  <conditionalFormatting sqref="L12:L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Y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:A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:AM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BE3EB-6030-4926-BF41-D649ECE2196F}">
  <sheetPr>
    <tabColor theme="4" tint="0.79998168889431442"/>
  </sheetPr>
  <dimension ref="B2:AO47"/>
  <sheetViews>
    <sheetView zoomScale="58" zoomScaleNormal="58" workbookViewId="0">
      <selection activeCell="N34" sqref="N34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3" width="9.08203125" style="186" customWidth="1"/>
    <col min="4" max="4" width="14.6640625" style="186" customWidth="1"/>
    <col min="5" max="5" width="10.6640625" style="186"/>
    <col min="6" max="6" width="10.08203125" style="186" customWidth="1"/>
    <col min="7" max="7" width="11.6640625" style="186" customWidth="1"/>
    <col min="8" max="8" width="9.9140625" style="186" customWidth="1"/>
    <col min="9" max="9" width="15.4140625" style="186" customWidth="1"/>
    <col min="10" max="10" width="11" style="186" bestFit="1" customWidth="1"/>
    <col min="11" max="11" width="10.4140625" style="186" bestFit="1" customWidth="1"/>
    <col min="12" max="12" width="9.58203125" style="186" customWidth="1"/>
    <col min="13" max="13" width="10.6640625" style="186"/>
    <col min="14" max="15" width="8.08203125" style="186" bestFit="1" customWidth="1"/>
    <col min="16" max="16" width="8.08203125" style="186" customWidth="1"/>
    <col min="17" max="17" width="12.4140625" style="186" bestFit="1" customWidth="1"/>
    <col min="18" max="18" width="11.6640625" style="186" bestFit="1" customWidth="1"/>
    <col min="19" max="19" width="9.9140625" style="186" customWidth="1"/>
    <col min="20" max="20" width="8.9140625" style="186" customWidth="1"/>
    <col min="21" max="21" width="8.08203125" style="186" bestFit="1" customWidth="1"/>
    <col min="22" max="22" width="8.08203125" style="186" customWidth="1"/>
    <col min="23" max="23" width="12.4140625" style="186" bestFit="1" customWidth="1"/>
    <col min="24" max="24" width="11.6640625" style="186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4</v>
      </c>
    </row>
    <row r="4" spans="2:41" ht="14.5" thickBot="1" x14ac:dyDescent="0.35"/>
    <row r="5" spans="2:41" x14ac:dyDescent="0.3">
      <c r="D5" s="25" t="s">
        <v>31</v>
      </c>
      <c r="E5" s="26">
        <v>2.44</v>
      </c>
      <c r="F5" s="27" t="s">
        <v>20</v>
      </c>
      <c r="M5" s="25" t="s">
        <v>21</v>
      </c>
      <c r="N5" s="26">
        <v>4.68</v>
      </c>
      <c r="O5" s="27" t="s">
        <v>22</v>
      </c>
      <c r="P5" s="224"/>
      <c r="Q5" s="34" t="s">
        <v>33</v>
      </c>
      <c r="R5" s="32"/>
      <c r="S5" s="32"/>
    </row>
    <row r="6" spans="2:41" x14ac:dyDescent="0.3">
      <c r="D6" s="29" t="s">
        <v>32</v>
      </c>
      <c r="E6" s="165">
        <v>4</v>
      </c>
      <c r="F6" s="30" t="s">
        <v>22</v>
      </c>
      <c r="M6" s="29"/>
      <c r="O6" s="30"/>
      <c r="P6" s="224"/>
      <c r="Q6" s="224"/>
      <c r="R6" s="224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224"/>
      <c r="Q7" s="224"/>
      <c r="R7" s="224"/>
    </row>
    <row r="9" spans="2:41" x14ac:dyDescent="0.3">
      <c r="C9" s="187"/>
      <c r="D9" s="5" t="s">
        <v>5</v>
      </c>
      <c r="L9" s="187"/>
      <c r="M9" s="5" t="s">
        <v>13</v>
      </c>
      <c r="N9" s="185"/>
      <c r="O9" s="185"/>
      <c r="P9" s="185"/>
      <c r="Q9" s="185"/>
      <c r="R9" s="50"/>
      <c r="S9" s="5" t="s">
        <v>17</v>
      </c>
      <c r="T9" s="185"/>
      <c r="U9" s="185"/>
      <c r="V9" s="185"/>
      <c r="W9" s="185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187"/>
      <c r="D10" s="28" t="s">
        <v>30</v>
      </c>
      <c r="G10" s="28" t="s">
        <v>29</v>
      </c>
      <c r="L10" s="187"/>
      <c r="M10" s="28" t="s">
        <v>30</v>
      </c>
      <c r="N10" s="28"/>
      <c r="O10" s="28"/>
      <c r="P10" s="28" t="s">
        <v>29</v>
      </c>
      <c r="Q10" s="28"/>
      <c r="R10" s="46"/>
      <c r="S10" s="28" t="s">
        <v>30</v>
      </c>
      <c r="T10" s="28"/>
      <c r="U10" s="28"/>
      <c r="V10" s="28" t="s">
        <v>29</v>
      </c>
      <c r="W10" s="28"/>
      <c r="X10" s="46"/>
      <c r="Y10" s="28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186" t="s">
        <v>2</v>
      </c>
      <c r="C12" s="187">
        <v>1</v>
      </c>
      <c r="D12" s="7">
        <v>10.08</v>
      </c>
      <c r="E12" s="7">
        <v>362.93</v>
      </c>
      <c r="F12" s="7">
        <v>119.85</v>
      </c>
      <c r="G12" s="8">
        <f t="shared" ref="G12:G47" si="0">((F12-$E$6)/(E12-$E$6))*100</f>
        <v>32.276488451787259</v>
      </c>
      <c r="H12" s="186">
        <v>1</v>
      </c>
      <c r="I12" s="7">
        <f t="shared" ref="I12:I47" si="1">(D12-$E$5)*(G12/100)</f>
        <v>2.4659237177165467</v>
      </c>
      <c r="J12" s="7">
        <f t="shared" ref="J12:J47" si="2">I12/($E$7*H12)</f>
        <v>0.456652540317879</v>
      </c>
      <c r="K12" s="7">
        <f t="shared" ref="K12:K47" si="3">J12*10000/100</f>
        <v>45.665254031787896</v>
      </c>
      <c r="L12" s="187"/>
      <c r="M12" s="31"/>
      <c r="N12" s="31"/>
      <c r="O12" s="31"/>
      <c r="P12" s="31" t="str">
        <f t="shared" ref="P12:P47" si="4">IF(M12&gt;0,((O12-$N$5)/(N12-$N$5))*100,"")</f>
        <v/>
      </c>
      <c r="Q12" s="31" t="str">
        <f t="shared" ref="Q12:Q47" si="5">IF(M12&gt;0,((P12/100)*M12)/$N$7/1000,"")</f>
        <v/>
      </c>
      <c r="R12" s="14">
        <f t="shared" ref="R12:R16" si="6">IF(N12&gt;0,Q12*10000/100,0)</f>
        <v>0</v>
      </c>
      <c r="S12" s="7">
        <v>1765.05</v>
      </c>
      <c r="T12" s="7">
        <v>180.07</v>
      </c>
      <c r="U12" s="7">
        <v>53.61</v>
      </c>
      <c r="V12" s="7">
        <f t="shared" ref="V12:V47" si="7">IF(S12&gt;0,((U12-$N$5)/(T12-$N$5))*100,"")</f>
        <v>27.897827698272426</v>
      </c>
      <c r="W12" s="7">
        <f t="shared" ref="W12:W47" si="8">IF(S12&gt;0,((V12/100)*S12)/$N$7/1000,"")</f>
        <v>0.49241060778835744</v>
      </c>
      <c r="X12" s="14">
        <f t="shared" ref="X12:X16" si="9">IF(T12&gt;0,W12*10000/100,0)</f>
        <v>49.241060778835745</v>
      </c>
      <c r="Y12" s="31"/>
      <c r="Z12" s="31"/>
      <c r="AA12" s="31"/>
      <c r="AB12" s="31" t="str">
        <f t="shared" ref="AB12:AB47" si="10">IF(Y12&gt;0,((AA12-$N$5)/(Z12-$N$5))*100,"")</f>
        <v/>
      </c>
      <c r="AC12" s="31" t="str">
        <f t="shared" ref="AC12:AC47" si="11">IF(Y12&gt;0,((AB12/100)*Y12)/$N$7/1000,"")</f>
        <v/>
      </c>
      <c r="AD12" s="14">
        <f t="shared" ref="AD12:AD16" si="12">IF(Z12&gt;0,AC12*10000/100,0)</f>
        <v>0</v>
      </c>
      <c r="AE12" s="7"/>
      <c r="AF12" s="7"/>
      <c r="AG12" s="7"/>
      <c r="AH12" s="7" t="str">
        <f t="shared" ref="AH12:AH47" si="13">IF(AE12&gt;0,((AG12-$N$5)/(AF12-$N$5))*100,"")</f>
        <v/>
      </c>
      <c r="AI12" s="7" t="str">
        <f t="shared" ref="AI12:AI47" si="14">IF(AE12&gt;0,((AH12/100)*AE12)/$N$7/1000,"")</f>
        <v/>
      </c>
      <c r="AJ12" s="14">
        <f t="shared" ref="AJ12:AJ47" si="15">IF(AF12&gt;0,AI12*10000/100,0)</f>
        <v>0</v>
      </c>
      <c r="AK12" s="14"/>
      <c r="AL12" s="14">
        <f>X12</f>
        <v>49.241060778835745</v>
      </c>
      <c r="AM12" s="124">
        <f>IF((100/SUM(AJ12:AL12)*AL12),(100/SUM(AJ12:AL12)*AL12),"")</f>
        <v>100</v>
      </c>
      <c r="AN12" s="40" t="str">
        <f>IF((100/SUM(AJ12:AL12)*AK12),(100/SUM(AJ12:AL12)*AK12),"")</f>
        <v/>
      </c>
      <c r="AO12" s="40">
        <f>(100/SUM(AJ12:AL12)*AJ12)</f>
        <v>0</v>
      </c>
    </row>
    <row r="13" spans="2:41" x14ac:dyDescent="0.3">
      <c r="B13" s="186" t="s">
        <v>2</v>
      </c>
      <c r="C13" s="187">
        <v>2</v>
      </c>
      <c r="D13" s="7">
        <v>7.22</v>
      </c>
      <c r="E13" s="7">
        <v>370.86</v>
      </c>
      <c r="F13" s="7">
        <v>133.01</v>
      </c>
      <c r="G13" s="8">
        <f t="shared" si="0"/>
        <v>35.166003380035974</v>
      </c>
      <c r="H13" s="186">
        <v>1</v>
      </c>
      <c r="I13" s="7">
        <f t="shared" si="1"/>
        <v>1.6809349615657194</v>
      </c>
      <c r="J13" s="7">
        <f t="shared" si="2"/>
        <v>0.31128425214179989</v>
      </c>
      <c r="K13" s="7">
        <f t="shared" si="3"/>
        <v>31.128425214179988</v>
      </c>
      <c r="L13" s="187"/>
      <c r="M13" s="31"/>
      <c r="N13" s="31"/>
      <c r="O13" s="31"/>
      <c r="P13" s="31" t="str">
        <f t="shared" si="4"/>
        <v/>
      </c>
      <c r="Q13" s="31" t="str">
        <f t="shared" si="5"/>
        <v/>
      </c>
      <c r="R13" s="14">
        <f t="shared" si="6"/>
        <v>0</v>
      </c>
      <c r="S13" s="7">
        <v>619.08000000000004</v>
      </c>
      <c r="T13" s="7">
        <v>137.87</v>
      </c>
      <c r="U13" s="7">
        <v>48.15</v>
      </c>
      <c r="V13" s="7">
        <f t="shared" si="7"/>
        <v>32.637585404309633</v>
      </c>
      <c r="W13" s="7">
        <f t="shared" si="8"/>
        <v>0.20205276372100009</v>
      </c>
      <c r="X13" s="14">
        <f t="shared" si="9"/>
        <v>20.205276372100009</v>
      </c>
      <c r="Y13" s="7">
        <v>203.08</v>
      </c>
      <c r="Z13" s="7">
        <v>84.53</v>
      </c>
      <c r="AA13" s="7">
        <v>34.659999999999997</v>
      </c>
      <c r="AB13" s="7">
        <f t="shared" si="10"/>
        <v>37.545397620538509</v>
      </c>
      <c r="AC13" s="7">
        <f t="shared" si="11"/>
        <v>7.6247193487789605E-2</v>
      </c>
      <c r="AD13" s="14">
        <f t="shared" si="12"/>
        <v>7.6247193487789602</v>
      </c>
      <c r="AE13" s="7"/>
      <c r="AF13" s="7"/>
      <c r="AG13" s="7"/>
      <c r="AH13" s="7" t="str">
        <f t="shared" si="13"/>
        <v/>
      </c>
      <c r="AI13" s="7" t="str">
        <f t="shared" si="14"/>
        <v/>
      </c>
      <c r="AJ13" s="14">
        <f t="shared" si="15"/>
        <v>0</v>
      </c>
      <c r="AK13" s="14">
        <f t="shared" ref="AK13:AK47" si="16">R13+AD13</f>
        <v>7.6247193487789602</v>
      </c>
      <c r="AL13" s="14">
        <f t="shared" ref="AL13:AL46" si="17">X13</f>
        <v>20.205276372100009</v>
      </c>
      <c r="AM13" s="124">
        <f t="shared" ref="AM13:AM47" si="18">IF((100/SUM(AJ13:AL13)*AL13),(100/SUM(AJ13:AL13)*AL13),"")</f>
        <v>72.602513398668449</v>
      </c>
      <c r="AN13" s="40">
        <f t="shared" ref="AN13:AN47" si="19">IF((100/SUM(AJ13:AL13)*AK13),(100/SUM(AJ13:AL13)*AK13),"")</f>
        <v>27.397486601331551</v>
      </c>
      <c r="AO13" s="40">
        <f t="shared" ref="AO13:AO47" si="20">(100/SUM(AJ13:AL13)*AJ13)</f>
        <v>0</v>
      </c>
    </row>
    <row r="14" spans="2:41" x14ac:dyDescent="0.3">
      <c r="B14" s="186" t="s">
        <v>2</v>
      </c>
      <c r="C14" s="187">
        <v>3</v>
      </c>
      <c r="D14" s="7">
        <v>4.26</v>
      </c>
      <c r="E14" s="7">
        <v>275.39</v>
      </c>
      <c r="F14" s="7">
        <v>108.46</v>
      </c>
      <c r="G14" s="8">
        <f t="shared" si="0"/>
        <v>38.490732893621725</v>
      </c>
      <c r="H14" s="186">
        <v>1</v>
      </c>
      <c r="I14" s="7">
        <f t="shared" si="1"/>
        <v>0.70053133866391537</v>
      </c>
      <c r="J14" s="7">
        <f t="shared" si="2"/>
        <v>0.12972802567850283</v>
      </c>
      <c r="K14" s="7">
        <f t="shared" si="3"/>
        <v>12.972802567850284</v>
      </c>
      <c r="L14" s="187"/>
      <c r="M14" s="31"/>
      <c r="N14" s="31"/>
      <c r="O14" s="31"/>
      <c r="P14" s="31" t="str">
        <f t="shared" si="4"/>
        <v/>
      </c>
      <c r="Q14" s="31" t="str">
        <f t="shared" si="5"/>
        <v/>
      </c>
      <c r="R14" s="14">
        <f t="shared" si="6"/>
        <v>0</v>
      </c>
      <c r="S14" s="7">
        <v>260.7</v>
      </c>
      <c r="T14" s="7">
        <v>148.16999999999999</v>
      </c>
      <c r="U14" s="172">
        <v>45.09</v>
      </c>
      <c r="V14" s="7">
        <f t="shared" si="7"/>
        <v>28.162241271168732</v>
      </c>
      <c r="W14" s="7">
        <f t="shared" si="8"/>
        <v>7.3418962993936868E-2</v>
      </c>
      <c r="X14" s="14">
        <f t="shared" si="9"/>
        <v>7.3418962993936869</v>
      </c>
      <c r="Y14" s="7">
        <v>143.69999999999999</v>
      </c>
      <c r="Z14" s="7">
        <v>145.80000000000001</v>
      </c>
      <c r="AA14" s="7">
        <v>70.599999999999994</v>
      </c>
      <c r="AB14" s="7">
        <f t="shared" si="10"/>
        <v>46.712018140589556</v>
      </c>
      <c r="AC14" s="7">
        <f t="shared" si="11"/>
        <v>6.7125170068027193E-2</v>
      </c>
      <c r="AD14" s="14">
        <f t="shared" si="12"/>
        <v>6.7125170068027193</v>
      </c>
      <c r="AE14" s="7"/>
      <c r="AF14" s="7"/>
      <c r="AG14" s="7"/>
      <c r="AH14" s="7" t="str">
        <f t="shared" si="13"/>
        <v/>
      </c>
      <c r="AI14" s="7" t="str">
        <f t="shared" si="14"/>
        <v/>
      </c>
      <c r="AJ14" s="14">
        <f t="shared" si="15"/>
        <v>0</v>
      </c>
      <c r="AK14" s="14">
        <f t="shared" si="16"/>
        <v>6.7125170068027193</v>
      </c>
      <c r="AL14" s="14">
        <f t="shared" si="17"/>
        <v>7.3418962993936869</v>
      </c>
      <c r="AM14" s="124">
        <f t="shared" si="18"/>
        <v>52.23908063210822</v>
      </c>
      <c r="AN14" s="40">
        <f t="shared" si="19"/>
        <v>47.760919367891788</v>
      </c>
      <c r="AO14" s="40">
        <f t="shared" si="20"/>
        <v>0</v>
      </c>
    </row>
    <row r="15" spans="2:41" x14ac:dyDescent="0.3">
      <c r="B15" s="186" t="s">
        <v>2</v>
      </c>
      <c r="C15" s="187">
        <v>4</v>
      </c>
      <c r="D15" s="7">
        <v>6.68</v>
      </c>
      <c r="E15" s="7">
        <v>383.11</v>
      </c>
      <c r="F15" s="7">
        <v>149.08000000000001</v>
      </c>
      <c r="G15" s="8">
        <f t="shared" si="0"/>
        <v>38.268576402627211</v>
      </c>
      <c r="H15" s="186">
        <v>1</v>
      </c>
      <c r="I15" s="7">
        <f t="shared" si="1"/>
        <v>1.6225876394713938</v>
      </c>
      <c r="J15" s="7">
        <f t="shared" si="2"/>
        <v>0.30047919249470256</v>
      </c>
      <c r="K15" s="7">
        <f t="shared" si="3"/>
        <v>30.047919249470254</v>
      </c>
      <c r="L15" s="187"/>
      <c r="M15" s="31"/>
      <c r="N15" s="31"/>
      <c r="O15" s="31"/>
      <c r="P15" s="31" t="str">
        <f t="shared" si="4"/>
        <v/>
      </c>
      <c r="Q15" s="31" t="str">
        <f t="shared" si="5"/>
        <v/>
      </c>
      <c r="R15" s="14">
        <f t="shared" si="6"/>
        <v>0</v>
      </c>
      <c r="S15" s="7">
        <v>172.15</v>
      </c>
      <c r="T15" s="7">
        <v>172.24</v>
      </c>
      <c r="U15" s="7">
        <v>62.1</v>
      </c>
      <c r="V15" s="7">
        <f t="shared" si="7"/>
        <v>34.268321795177847</v>
      </c>
      <c r="W15" s="7">
        <f t="shared" si="8"/>
        <v>5.8992915970398664E-2</v>
      </c>
      <c r="X15" s="14">
        <f t="shared" si="9"/>
        <v>5.8992915970398663</v>
      </c>
      <c r="Y15" s="7">
        <v>210.42</v>
      </c>
      <c r="Z15" s="7">
        <v>108.25</v>
      </c>
      <c r="AA15" s="7">
        <v>51.7</v>
      </c>
      <c r="AB15" s="7">
        <f t="shared" si="10"/>
        <v>45.399246886163951</v>
      </c>
      <c r="AC15" s="7">
        <f t="shared" si="11"/>
        <v>9.5529095297866184E-2</v>
      </c>
      <c r="AD15" s="14">
        <f t="shared" si="12"/>
        <v>9.5529095297866178</v>
      </c>
      <c r="AE15" s="7"/>
      <c r="AF15" s="7"/>
      <c r="AG15" s="7"/>
      <c r="AH15" s="7" t="str">
        <f t="shared" si="13"/>
        <v/>
      </c>
      <c r="AI15" s="7" t="str">
        <f t="shared" si="14"/>
        <v/>
      </c>
      <c r="AJ15" s="14">
        <f t="shared" si="15"/>
        <v>0</v>
      </c>
      <c r="AK15" s="14">
        <f t="shared" si="16"/>
        <v>9.5529095297866178</v>
      </c>
      <c r="AL15" s="14">
        <f t="shared" si="17"/>
        <v>5.8992915970398663</v>
      </c>
      <c r="AM15" s="124">
        <f t="shared" si="18"/>
        <v>38.177678044832966</v>
      </c>
      <c r="AN15" s="40">
        <f t="shared" si="19"/>
        <v>61.822321955167041</v>
      </c>
      <c r="AO15" s="40">
        <f t="shared" si="20"/>
        <v>0</v>
      </c>
    </row>
    <row r="16" spans="2:41" x14ac:dyDescent="0.3">
      <c r="B16" s="186" t="s">
        <v>2</v>
      </c>
      <c r="C16" s="187">
        <v>5</v>
      </c>
      <c r="D16" s="7">
        <v>3.42</v>
      </c>
      <c r="E16" s="7">
        <v>310.26</v>
      </c>
      <c r="F16" s="7">
        <v>156.31</v>
      </c>
      <c r="G16" s="8">
        <f t="shared" si="0"/>
        <v>49.732253640697451</v>
      </c>
      <c r="H16" s="186">
        <v>1</v>
      </c>
      <c r="I16" s="7">
        <f t="shared" si="1"/>
        <v>0.487376085678835</v>
      </c>
      <c r="J16" s="7">
        <f t="shared" si="2"/>
        <v>9.0254830681265732E-2</v>
      </c>
      <c r="K16" s="7">
        <f t="shared" si="3"/>
        <v>9.0254830681265723</v>
      </c>
      <c r="L16" s="187"/>
      <c r="M16" s="31"/>
      <c r="N16" s="31"/>
      <c r="O16" s="31"/>
      <c r="P16" s="31" t="str">
        <f t="shared" si="4"/>
        <v/>
      </c>
      <c r="Q16" s="31" t="str">
        <f t="shared" si="5"/>
        <v/>
      </c>
      <c r="R16" s="14">
        <f t="shared" si="6"/>
        <v>0</v>
      </c>
      <c r="S16" s="31"/>
      <c r="T16" s="31"/>
      <c r="U16" s="31"/>
      <c r="V16" s="31" t="str">
        <f t="shared" si="7"/>
        <v/>
      </c>
      <c r="W16" s="31" t="str">
        <f t="shared" si="8"/>
        <v/>
      </c>
      <c r="X16" s="14">
        <f t="shared" si="9"/>
        <v>0</v>
      </c>
      <c r="Y16" s="7">
        <v>133.13999999999999</v>
      </c>
      <c r="Z16" s="7">
        <v>131.31</v>
      </c>
      <c r="AA16" s="7">
        <v>88.2</v>
      </c>
      <c r="AB16" s="7">
        <f t="shared" si="10"/>
        <v>65.955934612651049</v>
      </c>
      <c r="AC16" s="7">
        <f t="shared" si="11"/>
        <v>8.7813731343283588E-2</v>
      </c>
      <c r="AD16" s="14">
        <f t="shared" si="12"/>
        <v>8.7813731343283585</v>
      </c>
      <c r="AE16" s="7"/>
      <c r="AF16" s="7"/>
      <c r="AG16" s="7"/>
      <c r="AH16" s="7" t="str">
        <f t="shared" si="13"/>
        <v/>
      </c>
      <c r="AI16" s="7" t="str">
        <f t="shared" si="14"/>
        <v/>
      </c>
      <c r="AJ16" s="14">
        <f t="shared" si="15"/>
        <v>0</v>
      </c>
      <c r="AK16" s="14">
        <f t="shared" si="16"/>
        <v>8.7813731343283585</v>
      </c>
      <c r="AL16" s="14"/>
      <c r="AM16" s="124" t="str">
        <f t="shared" si="18"/>
        <v/>
      </c>
      <c r="AN16" s="40">
        <f t="shared" si="19"/>
        <v>100</v>
      </c>
      <c r="AO16" s="40">
        <f t="shared" si="20"/>
        <v>0</v>
      </c>
    </row>
    <row r="17" spans="2:41" x14ac:dyDescent="0.3">
      <c r="B17" s="186" t="s">
        <v>2</v>
      </c>
      <c r="C17" s="187">
        <v>6</v>
      </c>
      <c r="D17" s="7">
        <v>7.62</v>
      </c>
      <c r="E17" s="7">
        <v>324.87</v>
      </c>
      <c r="F17" s="7">
        <v>120.6</v>
      </c>
      <c r="G17" s="8">
        <f t="shared" si="0"/>
        <v>36.338704148097356</v>
      </c>
      <c r="H17" s="186">
        <v>1</v>
      </c>
      <c r="I17" s="7">
        <f t="shared" si="1"/>
        <v>1.8823448748714429</v>
      </c>
      <c r="J17" s="7">
        <f t="shared" si="2"/>
        <v>0.34858238423545235</v>
      </c>
      <c r="K17" s="7">
        <f t="shared" si="3"/>
        <v>34.858238423545238</v>
      </c>
      <c r="L17" s="187"/>
      <c r="M17" s="7">
        <v>128.52000000000001</v>
      </c>
      <c r="N17" s="7">
        <v>124.86</v>
      </c>
      <c r="O17" s="7">
        <v>45.46</v>
      </c>
      <c r="P17" s="7">
        <f t="shared" si="4"/>
        <v>33.932434681311364</v>
      </c>
      <c r="Q17" s="7">
        <f t="shared" si="5"/>
        <v>4.3609965052421366E-2</v>
      </c>
      <c r="R17" s="14">
        <f>IF(N17&gt;0,Q17*10000/100,0)</f>
        <v>4.3609965052421362</v>
      </c>
      <c r="S17" s="7">
        <v>789.1</v>
      </c>
      <c r="T17" s="7">
        <v>203.3</v>
      </c>
      <c r="U17" s="7">
        <v>66.599999999999994</v>
      </c>
      <c r="V17" s="7">
        <f t="shared" si="7"/>
        <v>31.175108246903633</v>
      </c>
      <c r="W17" s="7">
        <f t="shared" si="8"/>
        <v>0.24600277917631658</v>
      </c>
      <c r="X17" s="14">
        <f>IF(T17&gt;0,W17*10000/100,0)</f>
        <v>24.600277917631658</v>
      </c>
      <c r="Y17" s="31"/>
      <c r="Z17" s="31"/>
      <c r="AA17" s="31"/>
      <c r="AB17" s="31" t="str">
        <f t="shared" si="10"/>
        <v/>
      </c>
      <c r="AC17" s="31" t="str">
        <f t="shared" si="11"/>
        <v/>
      </c>
      <c r="AD17" s="14">
        <f>IF(Z17&gt;0,AC17*10000/100,0)</f>
        <v>0</v>
      </c>
      <c r="AE17" s="7"/>
      <c r="AF17" s="7"/>
      <c r="AG17" s="7"/>
      <c r="AH17" s="7" t="str">
        <f t="shared" si="13"/>
        <v/>
      </c>
      <c r="AI17" s="7" t="str">
        <f t="shared" si="14"/>
        <v/>
      </c>
      <c r="AJ17" s="14">
        <f t="shared" si="15"/>
        <v>0</v>
      </c>
      <c r="AK17" s="14">
        <f t="shared" si="16"/>
        <v>4.3609965052421362</v>
      </c>
      <c r="AL17" s="14">
        <f t="shared" si="17"/>
        <v>24.600277917631658</v>
      </c>
      <c r="AM17" s="124">
        <f t="shared" si="18"/>
        <v>84.941973058347898</v>
      </c>
      <c r="AN17" s="40">
        <f t="shared" si="19"/>
        <v>15.058026941652106</v>
      </c>
      <c r="AO17" s="40">
        <f t="shared" si="20"/>
        <v>0</v>
      </c>
    </row>
    <row r="18" spans="2:41" x14ac:dyDescent="0.3">
      <c r="B18" s="186" t="s">
        <v>2</v>
      </c>
      <c r="C18" s="187">
        <v>7</v>
      </c>
      <c r="D18" s="7">
        <v>6.76</v>
      </c>
      <c r="E18" s="7">
        <v>376.14</v>
      </c>
      <c r="F18" s="7">
        <v>146.26</v>
      </c>
      <c r="G18" s="8">
        <f t="shared" si="0"/>
        <v>38.227548771967541</v>
      </c>
      <c r="H18" s="186">
        <v>1</v>
      </c>
      <c r="I18" s="7">
        <f t="shared" si="1"/>
        <v>1.6514301069489978</v>
      </c>
      <c r="J18" s="7">
        <f t="shared" si="2"/>
        <v>0.30582039017574031</v>
      </c>
      <c r="K18" s="7">
        <f t="shared" si="3"/>
        <v>30.582039017574029</v>
      </c>
      <c r="L18" s="187"/>
      <c r="M18" s="7">
        <v>616.04</v>
      </c>
      <c r="N18" s="7">
        <v>156.61000000000001</v>
      </c>
      <c r="O18" s="7">
        <v>61.61</v>
      </c>
      <c r="P18" s="7">
        <f t="shared" si="4"/>
        <v>37.471203843875465</v>
      </c>
      <c r="Q18" s="7">
        <f t="shared" si="5"/>
        <v>0.23083760415981042</v>
      </c>
      <c r="R18" s="14">
        <f t="shared" ref="R18:R47" si="21">IF(N18&gt;0,Q18*10000/100,0)</f>
        <v>23.083760415981043</v>
      </c>
      <c r="S18" s="7">
        <v>397.25</v>
      </c>
      <c r="T18" s="7">
        <v>158.61000000000001</v>
      </c>
      <c r="U18" s="7">
        <v>53.89</v>
      </c>
      <c r="V18" s="7">
        <f t="shared" si="7"/>
        <v>31.969076853115052</v>
      </c>
      <c r="W18" s="7">
        <f t="shared" si="8"/>
        <v>0.12699715779899956</v>
      </c>
      <c r="X18" s="14">
        <f t="shared" ref="X18:X47" si="22">IF(T18&gt;0,W18*10000/100,0)</f>
        <v>12.699715779899957</v>
      </c>
      <c r="Y18" s="31"/>
      <c r="Z18" s="31"/>
      <c r="AA18" s="31"/>
      <c r="AB18" s="31" t="str">
        <f t="shared" si="10"/>
        <v/>
      </c>
      <c r="AC18" s="31" t="str">
        <f t="shared" si="11"/>
        <v/>
      </c>
      <c r="AD18" s="14">
        <f t="shared" ref="AD18:AD47" si="23">IF(Z18&gt;0,AC18*10000/100,0)</f>
        <v>0</v>
      </c>
      <c r="AE18" s="7"/>
      <c r="AF18" s="7"/>
      <c r="AG18" s="7"/>
      <c r="AH18" s="7" t="str">
        <f t="shared" si="13"/>
        <v/>
      </c>
      <c r="AI18" s="7" t="str">
        <f t="shared" si="14"/>
        <v/>
      </c>
      <c r="AJ18" s="14">
        <f t="shared" si="15"/>
        <v>0</v>
      </c>
      <c r="AK18" s="14">
        <f t="shared" si="16"/>
        <v>23.083760415981043</v>
      </c>
      <c r="AL18" s="14">
        <f t="shared" si="17"/>
        <v>12.699715779899957</v>
      </c>
      <c r="AM18" s="124">
        <f t="shared" si="18"/>
        <v>35.490447351679627</v>
      </c>
      <c r="AN18" s="40">
        <f t="shared" si="19"/>
        <v>64.50955264832038</v>
      </c>
      <c r="AO18" s="40">
        <f t="shared" si="20"/>
        <v>0</v>
      </c>
    </row>
    <row r="19" spans="2:41" x14ac:dyDescent="0.3">
      <c r="B19" s="186" t="s">
        <v>2</v>
      </c>
      <c r="C19" s="187">
        <v>8</v>
      </c>
      <c r="D19" s="7">
        <v>7.02</v>
      </c>
      <c r="E19" s="7">
        <v>322.52999999999997</v>
      </c>
      <c r="F19" s="7">
        <v>121.37</v>
      </c>
      <c r="G19" s="8">
        <f t="shared" si="0"/>
        <v>36.847392710262774</v>
      </c>
      <c r="H19" s="186">
        <v>1</v>
      </c>
      <c r="I19" s="7">
        <f t="shared" si="1"/>
        <v>1.687610586130035</v>
      </c>
      <c r="J19" s="7">
        <f t="shared" si="2"/>
        <v>0.31252047891296941</v>
      </c>
      <c r="K19" s="7">
        <f t="shared" si="3"/>
        <v>31.252047891296943</v>
      </c>
      <c r="L19" s="187"/>
      <c r="M19" s="7">
        <v>378.06</v>
      </c>
      <c r="N19" s="7">
        <v>142.65</v>
      </c>
      <c r="O19" s="7">
        <v>52.83</v>
      </c>
      <c r="P19" s="7">
        <f t="shared" si="4"/>
        <v>34.898891063274625</v>
      </c>
      <c r="Q19" s="7">
        <f t="shared" si="5"/>
        <v>0.13193874755381602</v>
      </c>
      <c r="R19" s="14">
        <f t="shared" si="21"/>
        <v>13.1938747553816</v>
      </c>
      <c r="S19" s="7">
        <v>435.39</v>
      </c>
      <c r="T19" s="7">
        <v>185.95</v>
      </c>
      <c r="U19" s="7">
        <v>63.21</v>
      </c>
      <c r="V19" s="7">
        <f t="shared" si="7"/>
        <v>32.288850885419542</v>
      </c>
      <c r="W19" s="7">
        <f t="shared" si="8"/>
        <v>0.14058242787002814</v>
      </c>
      <c r="X19" s="14">
        <f t="shared" si="22"/>
        <v>14.058242787002815</v>
      </c>
      <c r="Y19" s="31"/>
      <c r="Z19" s="31"/>
      <c r="AA19" s="31"/>
      <c r="AB19" s="31" t="str">
        <f t="shared" si="10"/>
        <v/>
      </c>
      <c r="AC19" s="31" t="str">
        <f t="shared" si="11"/>
        <v/>
      </c>
      <c r="AD19" s="14">
        <f t="shared" si="23"/>
        <v>0</v>
      </c>
      <c r="AE19" s="7"/>
      <c r="AF19" s="7"/>
      <c r="AG19" s="7"/>
      <c r="AH19" s="7" t="str">
        <f t="shared" si="13"/>
        <v/>
      </c>
      <c r="AI19" s="7" t="str">
        <f t="shared" si="14"/>
        <v/>
      </c>
      <c r="AJ19" s="14">
        <f t="shared" si="15"/>
        <v>0</v>
      </c>
      <c r="AK19" s="14">
        <f t="shared" si="16"/>
        <v>13.1938747553816</v>
      </c>
      <c r="AL19" s="14">
        <f t="shared" si="17"/>
        <v>14.058242787002815</v>
      </c>
      <c r="AM19" s="124">
        <f t="shared" si="18"/>
        <v>51.585873153300632</v>
      </c>
      <c r="AN19" s="40">
        <f t="shared" si="19"/>
        <v>48.414126846699361</v>
      </c>
      <c r="AO19" s="40">
        <f t="shared" si="20"/>
        <v>0</v>
      </c>
    </row>
    <row r="20" spans="2:41" x14ac:dyDescent="0.3">
      <c r="B20" s="16" t="s">
        <v>2</v>
      </c>
      <c r="C20" s="17">
        <v>9</v>
      </c>
      <c r="D20" s="227">
        <v>5.38</v>
      </c>
      <c r="E20" s="18">
        <v>384.22</v>
      </c>
      <c r="F20" s="18">
        <v>162.78</v>
      </c>
      <c r="G20" s="19">
        <f t="shared" si="0"/>
        <v>41.760033664720417</v>
      </c>
      <c r="H20" s="16">
        <v>1</v>
      </c>
      <c r="I20" s="18">
        <f t="shared" si="1"/>
        <v>1.2277449897427803</v>
      </c>
      <c r="J20" s="18">
        <f t="shared" si="2"/>
        <v>0.22736018328570004</v>
      </c>
      <c r="K20" s="18">
        <f t="shared" si="3"/>
        <v>22.736018328570005</v>
      </c>
      <c r="L20" s="17"/>
      <c r="M20" s="18">
        <v>617.58000000000004</v>
      </c>
      <c r="N20" s="18">
        <v>146.33000000000001</v>
      </c>
      <c r="O20" s="18">
        <v>66.760000000000005</v>
      </c>
      <c r="P20" s="18">
        <f t="shared" si="4"/>
        <v>43.826332509707029</v>
      </c>
      <c r="Q20" s="18">
        <f t="shared" si="5"/>
        <v>0.27066266431344865</v>
      </c>
      <c r="R20" s="14">
        <f t="shared" si="21"/>
        <v>27.066266431344864</v>
      </c>
      <c r="S20" s="33"/>
      <c r="T20" s="33"/>
      <c r="U20" s="33"/>
      <c r="V20" s="33" t="str">
        <f t="shared" si="7"/>
        <v/>
      </c>
      <c r="W20" s="33" t="str">
        <f t="shared" si="8"/>
        <v/>
      </c>
      <c r="X20" s="14">
        <f t="shared" si="22"/>
        <v>0</v>
      </c>
      <c r="Y20" s="33"/>
      <c r="Z20" s="33"/>
      <c r="AA20" s="33"/>
      <c r="AB20" s="33" t="str">
        <f t="shared" si="10"/>
        <v/>
      </c>
      <c r="AC20" s="33" t="str">
        <f t="shared" si="11"/>
        <v/>
      </c>
      <c r="AD20" s="14">
        <f t="shared" si="23"/>
        <v>0</v>
      </c>
      <c r="AE20" s="18">
        <f>AF20-$N$5</f>
        <v>80.53</v>
      </c>
      <c r="AF20" s="18">
        <v>85.21</v>
      </c>
      <c r="AG20" s="18">
        <v>33.15</v>
      </c>
      <c r="AH20" s="18">
        <f t="shared" si="13"/>
        <v>35.353284490252079</v>
      </c>
      <c r="AI20" s="18">
        <f t="shared" si="14"/>
        <v>2.8469999999999999E-2</v>
      </c>
      <c r="AJ20" s="14">
        <f t="shared" si="15"/>
        <v>2.847</v>
      </c>
      <c r="AK20" s="14">
        <f t="shared" si="16"/>
        <v>27.066266431344864</v>
      </c>
      <c r="AL20" s="14"/>
      <c r="AM20" s="124" t="str">
        <f t="shared" si="18"/>
        <v/>
      </c>
      <c r="AN20" s="40">
        <f t="shared" si="19"/>
        <v>90.482483728300735</v>
      </c>
      <c r="AO20" s="40">
        <f t="shared" si="20"/>
        <v>9.5175162716992592</v>
      </c>
    </row>
    <row r="21" spans="2:41" x14ac:dyDescent="0.3">
      <c r="B21" s="186" t="s">
        <v>9</v>
      </c>
      <c r="C21" s="187">
        <v>1</v>
      </c>
      <c r="D21" s="7">
        <v>8.26</v>
      </c>
      <c r="E21" s="7">
        <v>314.64</v>
      </c>
      <c r="F21" s="7">
        <v>107.34</v>
      </c>
      <c r="G21" s="8">
        <f t="shared" si="0"/>
        <v>33.266804017512236</v>
      </c>
      <c r="H21" s="186">
        <v>1</v>
      </c>
      <c r="I21" s="7">
        <f t="shared" si="1"/>
        <v>1.9361279938192122</v>
      </c>
      <c r="J21" s="7">
        <f t="shared" si="2"/>
        <v>0.35854222107763184</v>
      </c>
      <c r="K21" s="7">
        <f t="shared" si="3"/>
        <v>35.854222107763185</v>
      </c>
      <c r="L21" s="187"/>
      <c r="M21" s="31"/>
      <c r="N21" s="31"/>
      <c r="O21" s="31"/>
      <c r="P21" s="31" t="str">
        <f t="shared" si="4"/>
        <v/>
      </c>
      <c r="Q21" s="31" t="str">
        <f t="shared" si="5"/>
        <v/>
      </c>
      <c r="R21" s="14">
        <f t="shared" si="21"/>
        <v>0</v>
      </c>
      <c r="S21" s="7">
        <v>991.18</v>
      </c>
      <c r="T21" s="7">
        <v>234.24</v>
      </c>
      <c r="U21" s="7">
        <v>75.13</v>
      </c>
      <c r="V21" s="7">
        <f t="shared" si="7"/>
        <v>30.689144450252652</v>
      </c>
      <c r="W21" s="7">
        <f t="shared" si="8"/>
        <v>0.30418466196201421</v>
      </c>
      <c r="X21" s="14">
        <f t="shared" si="22"/>
        <v>30.418466196201422</v>
      </c>
      <c r="Y21" s="31"/>
      <c r="Z21" s="31"/>
      <c r="AA21" s="31"/>
      <c r="AB21" s="31" t="str">
        <f t="shared" si="10"/>
        <v/>
      </c>
      <c r="AC21" s="31" t="str">
        <f t="shared" si="11"/>
        <v/>
      </c>
      <c r="AD21" s="14">
        <f t="shared" si="23"/>
        <v>0</v>
      </c>
      <c r="AE21" s="7"/>
      <c r="AF21" s="7"/>
      <c r="AG21" s="7"/>
      <c r="AH21" s="7" t="str">
        <f t="shared" si="13"/>
        <v/>
      </c>
      <c r="AI21" s="7" t="str">
        <f t="shared" si="14"/>
        <v/>
      </c>
      <c r="AJ21" s="14">
        <f t="shared" si="15"/>
        <v>0</v>
      </c>
      <c r="AK21" s="14"/>
      <c r="AL21" s="14">
        <f t="shared" si="17"/>
        <v>30.418466196201422</v>
      </c>
      <c r="AM21" s="124">
        <f t="shared" si="18"/>
        <v>100</v>
      </c>
      <c r="AN21" s="40" t="str">
        <f t="shared" si="19"/>
        <v/>
      </c>
      <c r="AO21" s="40">
        <f t="shared" si="20"/>
        <v>0</v>
      </c>
    </row>
    <row r="22" spans="2:41" x14ac:dyDescent="0.3">
      <c r="B22" s="186" t="s">
        <v>9</v>
      </c>
      <c r="C22" s="187">
        <v>2</v>
      </c>
      <c r="D22" s="7">
        <v>8.2200000000000006</v>
      </c>
      <c r="E22" s="7">
        <v>319.26</v>
      </c>
      <c r="F22" s="7">
        <v>120.37</v>
      </c>
      <c r="G22" s="8">
        <f t="shared" si="0"/>
        <v>36.912389773520275</v>
      </c>
      <c r="H22" s="186">
        <v>1</v>
      </c>
      <c r="I22" s="7">
        <f t="shared" si="1"/>
        <v>2.1335361289094723</v>
      </c>
      <c r="J22" s="7">
        <f t="shared" si="2"/>
        <v>0.39509928313138376</v>
      </c>
      <c r="K22" s="7">
        <f t="shared" si="3"/>
        <v>39.509928313138374</v>
      </c>
      <c r="L22" s="187"/>
      <c r="M22" s="31"/>
      <c r="N22" s="31"/>
      <c r="O22" s="31"/>
      <c r="P22" s="31" t="str">
        <f t="shared" si="4"/>
        <v/>
      </c>
      <c r="Q22" s="31" t="str">
        <f t="shared" si="5"/>
        <v/>
      </c>
      <c r="R22" s="14">
        <f t="shared" si="21"/>
        <v>0</v>
      </c>
      <c r="S22" s="7">
        <v>1512.79</v>
      </c>
      <c r="T22" s="7">
        <v>248.18</v>
      </c>
      <c r="U22" s="7">
        <v>67.14</v>
      </c>
      <c r="V22" s="7">
        <f t="shared" si="7"/>
        <v>25.650924024640659</v>
      </c>
      <c r="W22" s="7">
        <f t="shared" si="8"/>
        <v>0.38804461355236142</v>
      </c>
      <c r="X22" s="14">
        <f t="shared" si="22"/>
        <v>38.804461355236143</v>
      </c>
      <c r="Y22" s="7">
        <v>142.12</v>
      </c>
      <c r="Z22" s="7">
        <v>78.28</v>
      </c>
      <c r="AA22" s="7">
        <v>31.19</v>
      </c>
      <c r="AB22" s="7">
        <f t="shared" si="10"/>
        <v>36.019021739130444</v>
      </c>
      <c r="AC22" s="7">
        <f t="shared" si="11"/>
        <v>5.119023369565219E-2</v>
      </c>
      <c r="AD22" s="14">
        <f t="shared" si="23"/>
        <v>5.1190233695652188</v>
      </c>
      <c r="AE22" s="7"/>
      <c r="AF22" s="7"/>
      <c r="AG22" s="7"/>
      <c r="AH22" s="7" t="str">
        <f t="shared" si="13"/>
        <v/>
      </c>
      <c r="AI22" s="7" t="str">
        <f t="shared" si="14"/>
        <v/>
      </c>
      <c r="AJ22" s="14">
        <f t="shared" si="15"/>
        <v>0</v>
      </c>
      <c r="AK22" s="14">
        <f t="shared" si="16"/>
        <v>5.1190233695652188</v>
      </c>
      <c r="AL22" s="14">
        <f t="shared" si="17"/>
        <v>38.804461355236143</v>
      </c>
      <c r="AM22" s="124">
        <f t="shared" si="18"/>
        <v>88.345589149772607</v>
      </c>
      <c r="AN22" s="40">
        <f t="shared" si="19"/>
        <v>11.654410850227386</v>
      </c>
      <c r="AO22" s="40">
        <f t="shared" si="20"/>
        <v>0</v>
      </c>
    </row>
    <row r="23" spans="2:41" x14ac:dyDescent="0.3">
      <c r="B23" s="186" t="s">
        <v>9</v>
      </c>
      <c r="C23" s="187">
        <v>3</v>
      </c>
      <c r="D23" s="172">
        <v>6.42</v>
      </c>
      <c r="E23" s="7">
        <v>352.67</v>
      </c>
      <c r="F23" s="7">
        <v>129.12</v>
      </c>
      <c r="G23" s="8">
        <f t="shared" si="0"/>
        <v>35.884934178449534</v>
      </c>
      <c r="H23" s="186">
        <v>1</v>
      </c>
      <c r="I23" s="7">
        <f t="shared" si="1"/>
        <v>1.4282203803022915</v>
      </c>
      <c r="J23" s="7">
        <f t="shared" si="2"/>
        <v>0.26448525561153546</v>
      </c>
      <c r="K23" s="7">
        <f t="shared" si="3"/>
        <v>26.448525561153545</v>
      </c>
      <c r="L23" s="187"/>
      <c r="M23" s="31"/>
      <c r="N23" s="31"/>
      <c r="O23" s="31"/>
      <c r="P23" s="31" t="str">
        <f t="shared" si="4"/>
        <v/>
      </c>
      <c r="Q23" s="31" t="str">
        <f t="shared" si="5"/>
        <v/>
      </c>
      <c r="R23" s="14">
        <f t="shared" si="21"/>
        <v>0</v>
      </c>
      <c r="S23" s="7">
        <v>840.22</v>
      </c>
      <c r="T23" s="7">
        <v>240.4</v>
      </c>
      <c r="U23" s="7">
        <v>84.88</v>
      </c>
      <c r="V23" s="7">
        <f t="shared" si="7"/>
        <v>34.023417614118436</v>
      </c>
      <c r="W23" s="7">
        <f t="shared" si="8"/>
        <v>0.28587155947734588</v>
      </c>
      <c r="X23" s="14">
        <f t="shared" si="22"/>
        <v>28.587155947734587</v>
      </c>
      <c r="Y23" s="7">
        <v>24.1</v>
      </c>
      <c r="Z23" s="7">
        <v>27.7</v>
      </c>
      <c r="AA23" s="7">
        <v>14.97</v>
      </c>
      <c r="AB23" s="7">
        <f t="shared" si="10"/>
        <v>44.700260642919204</v>
      </c>
      <c r="AC23" s="7">
        <f t="shared" si="11"/>
        <v>1.0772762814943528E-2</v>
      </c>
      <c r="AD23" s="14">
        <f t="shared" si="23"/>
        <v>1.0772762814943528</v>
      </c>
      <c r="AE23" s="7"/>
      <c r="AF23" s="7"/>
      <c r="AG23" s="7"/>
      <c r="AH23" s="7" t="str">
        <f t="shared" si="13"/>
        <v/>
      </c>
      <c r="AI23" s="7" t="str">
        <f t="shared" si="14"/>
        <v/>
      </c>
      <c r="AJ23" s="14">
        <f t="shared" si="15"/>
        <v>0</v>
      </c>
      <c r="AK23" s="14">
        <f t="shared" si="16"/>
        <v>1.0772762814943528</v>
      </c>
      <c r="AL23" s="14">
        <f t="shared" si="17"/>
        <v>28.587155947734587</v>
      </c>
      <c r="AM23" s="124">
        <f t="shared" si="18"/>
        <v>96.368458114519754</v>
      </c>
      <c r="AN23" s="40">
        <f t="shared" si="19"/>
        <v>3.6315418854802544</v>
      </c>
      <c r="AO23" s="40">
        <f t="shared" si="20"/>
        <v>0</v>
      </c>
    </row>
    <row r="24" spans="2:41" x14ac:dyDescent="0.3">
      <c r="B24" s="186" t="s">
        <v>9</v>
      </c>
      <c r="C24" s="187">
        <v>4</v>
      </c>
      <c r="D24" s="7">
        <v>7.02</v>
      </c>
      <c r="E24" s="7">
        <v>221.37</v>
      </c>
      <c r="F24" s="7">
        <v>86.81</v>
      </c>
      <c r="G24" s="8">
        <f t="shared" si="0"/>
        <v>38.096333440677185</v>
      </c>
      <c r="H24" s="186">
        <v>1</v>
      </c>
      <c r="I24" s="7">
        <f t="shared" si="1"/>
        <v>1.7448120715830149</v>
      </c>
      <c r="J24" s="7">
        <f t="shared" si="2"/>
        <v>0.32311334658944718</v>
      </c>
      <c r="K24" s="7">
        <f t="shared" si="3"/>
        <v>32.311334658944723</v>
      </c>
      <c r="L24" s="187"/>
      <c r="M24" s="31"/>
      <c r="N24" s="31"/>
      <c r="O24" s="31"/>
      <c r="P24" s="31" t="str">
        <f t="shared" si="4"/>
        <v/>
      </c>
      <c r="Q24" s="31" t="str">
        <f t="shared" si="5"/>
        <v/>
      </c>
      <c r="R24" s="14">
        <f t="shared" si="21"/>
        <v>0</v>
      </c>
      <c r="S24" s="7">
        <v>397.53</v>
      </c>
      <c r="T24" s="7">
        <v>236.2</v>
      </c>
      <c r="U24" s="7">
        <v>70.5</v>
      </c>
      <c r="V24" s="7">
        <f t="shared" si="7"/>
        <v>28.429509329647544</v>
      </c>
      <c r="W24" s="7">
        <f t="shared" si="8"/>
        <v>0.11301582843814788</v>
      </c>
      <c r="X24" s="14">
        <f t="shared" si="22"/>
        <v>11.301582843814789</v>
      </c>
      <c r="Y24" s="7">
        <v>254.66</v>
      </c>
      <c r="Z24" s="7">
        <v>97.55</v>
      </c>
      <c r="AA24" s="7">
        <v>46.8</v>
      </c>
      <c r="AB24" s="7">
        <f t="shared" si="10"/>
        <v>45.353720254118656</v>
      </c>
      <c r="AC24" s="7">
        <f t="shared" si="11"/>
        <v>0.11549778399913857</v>
      </c>
      <c r="AD24" s="14">
        <f t="shared" si="23"/>
        <v>11.549778399913857</v>
      </c>
      <c r="AE24" s="7"/>
      <c r="AF24" s="7"/>
      <c r="AG24" s="7"/>
      <c r="AH24" s="7" t="str">
        <f t="shared" si="13"/>
        <v/>
      </c>
      <c r="AI24" s="7" t="str">
        <f t="shared" si="14"/>
        <v/>
      </c>
      <c r="AJ24" s="14">
        <f t="shared" si="15"/>
        <v>0</v>
      </c>
      <c r="AK24" s="14">
        <f t="shared" si="16"/>
        <v>11.549778399913857</v>
      </c>
      <c r="AL24" s="14">
        <f t="shared" si="17"/>
        <v>11.301582843814789</v>
      </c>
      <c r="AM24" s="124">
        <f t="shared" si="18"/>
        <v>49.456934855101501</v>
      </c>
      <c r="AN24" s="40">
        <f t="shared" si="19"/>
        <v>50.543065144898492</v>
      </c>
      <c r="AO24" s="40">
        <f t="shared" si="20"/>
        <v>0</v>
      </c>
    </row>
    <row r="25" spans="2:41" x14ac:dyDescent="0.3">
      <c r="B25" s="186" t="s">
        <v>9</v>
      </c>
      <c r="C25" s="187">
        <v>5</v>
      </c>
      <c r="D25" s="7">
        <v>3.36</v>
      </c>
      <c r="E25" s="7">
        <v>231.16</v>
      </c>
      <c r="F25" s="7">
        <v>119.51</v>
      </c>
      <c r="G25" s="8">
        <f t="shared" si="0"/>
        <v>50.849621412220472</v>
      </c>
      <c r="H25" s="186">
        <v>1</v>
      </c>
      <c r="I25" s="7">
        <f t="shared" si="1"/>
        <v>0.46781651699242827</v>
      </c>
      <c r="J25" s="7">
        <f t="shared" si="2"/>
        <v>8.6632688331931149E-2</v>
      </c>
      <c r="K25" s="7">
        <f t="shared" si="3"/>
        <v>8.6632688331931149</v>
      </c>
      <c r="L25" s="187"/>
      <c r="M25" s="31"/>
      <c r="N25" s="31"/>
      <c r="O25" s="31"/>
      <c r="P25" s="31" t="str">
        <f t="shared" si="4"/>
        <v/>
      </c>
      <c r="Q25" s="31" t="str">
        <f t="shared" si="5"/>
        <v/>
      </c>
      <c r="R25" s="14">
        <f t="shared" si="21"/>
        <v>0</v>
      </c>
      <c r="S25" s="31"/>
      <c r="T25" s="31"/>
      <c r="U25" s="31"/>
      <c r="V25" s="31" t="str">
        <f t="shared" si="7"/>
        <v/>
      </c>
      <c r="W25" s="31" t="str">
        <f t="shared" si="8"/>
        <v/>
      </c>
      <c r="X25" s="14">
        <f t="shared" si="22"/>
        <v>0</v>
      </c>
      <c r="Y25" s="7">
        <v>107.2</v>
      </c>
      <c r="Z25" s="7">
        <v>108.83</v>
      </c>
      <c r="AA25" s="7">
        <v>65.13</v>
      </c>
      <c r="AB25" s="7">
        <f t="shared" si="10"/>
        <v>58.041286605856932</v>
      </c>
      <c r="AC25" s="7">
        <f t="shared" si="11"/>
        <v>6.2220259241478636E-2</v>
      </c>
      <c r="AD25" s="14">
        <f t="shared" si="23"/>
        <v>6.2220259241478644</v>
      </c>
      <c r="AE25" s="7"/>
      <c r="AF25" s="7"/>
      <c r="AG25" s="7"/>
      <c r="AH25" s="7" t="str">
        <f t="shared" si="13"/>
        <v/>
      </c>
      <c r="AI25" s="7" t="str">
        <f t="shared" si="14"/>
        <v/>
      </c>
      <c r="AJ25" s="14">
        <f t="shared" si="15"/>
        <v>0</v>
      </c>
      <c r="AK25" s="14">
        <f t="shared" si="16"/>
        <v>6.2220259241478644</v>
      </c>
      <c r="AL25" s="14"/>
      <c r="AM25" s="124" t="str">
        <f t="shared" si="18"/>
        <v/>
      </c>
      <c r="AN25" s="40">
        <f t="shared" si="19"/>
        <v>100</v>
      </c>
      <c r="AO25" s="40">
        <f t="shared" si="20"/>
        <v>0</v>
      </c>
    </row>
    <row r="26" spans="2:41" x14ac:dyDescent="0.3">
      <c r="B26" s="186" t="s">
        <v>9</v>
      </c>
      <c r="C26" s="187">
        <v>6</v>
      </c>
      <c r="D26" s="7">
        <v>8.68</v>
      </c>
      <c r="E26" s="7">
        <v>345.08</v>
      </c>
      <c r="F26" s="7">
        <v>130.11000000000001</v>
      </c>
      <c r="G26" s="8">
        <f t="shared" si="0"/>
        <v>36.973730503107781</v>
      </c>
      <c r="H26" s="186">
        <v>1</v>
      </c>
      <c r="I26" s="7">
        <f t="shared" si="1"/>
        <v>2.3071607833939258</v>
      </c>
      <c r="J26" s="7">
        <f t="shared" si="2"/>
        <v>0.42725199692480104</v>
      </c>
      <c r="K26" s="7">
        <f t="shared" si="3"/>
        <v>42.725199692480103</v>
      </c>
      <c r="L26" s="187"/>
      <c r="M26" s="7">
        <v>153.57</v>
      </c>
      <c r="N26" s="18">
        <v>144.96</v>
      </c>
      <c r="O26" s="7">
        <v>48.91</v>
      </c>
      <c r="P26" s="7">
        <f t="shared" si="4"/>
        <v>31.529797547761618</v>
      </c>
      <c r="Q26" s="7">
        <f t="shared" si="5"/>
        <v>4.8420310094097516E-2</v>
      </c>
      <c r="R26" s="14">
        <f t="shared" si="21"/>
        <v>4.8420310094097516</v>
      </c>
      <c r="S26" s="7">
        <v>1374.72</v>
      </c>
      <c r="T26" s="7">
        <v>188.32</v>
      </c>
      <c r="U26" s="7">
        <v>61.32</v>
      </c>
      <c r="V26" s="7">
        <f t="shared" si="7"/>
        <v>30.842953604879114</v>
      </c>
      <c r="W26" s="7">
        <f t="shared" si="8"/>
        <v>0.42400425179699414</v>
      </c>
      <c r="X26" s="14">
        <f t="shared" si="22"/>
        <v>42.400425179699411</v>
      </c>
      <c r="Y26" s="31"/>
      <c r="Z26" s="31"/>
      <c r="AA26" s="31"/>
      <c r="AB26" s="31" t="str">
        <f t="shared" si="10"/>
        <v/>
      </c>
      <c r="AC26" s="31" t="str">
        <f t="shared" si="11"/>
        <v/>
      </c>
      <c r="AD26" s="14">
        <f t="shared" si="23"/>
        <v>0</v>
      </c>
      <c r="AE26" s="7"/>
      <c r="AF26" s="7"/>
      <c r="AG26" s="7"/>
      <c r="AH26" s="7" t="str">
        <f t="shared" si="13"/>
        <v/>
      </c>
      <c r="AI26" s="7" t="str">
        <f t="shared" si="14"/>
        <v/>
      </c>
      <c r="AJ26" s="14">
        <f t="shared" si="15"/>
        <v>0</v>
      </c>
      <c r="AK26" s="14">
        <f t="shared" si="16"/>
        <v>4.8420310094097516</v>
      </c>
      <c r="AL26" s="14">
        <f t="shared" si="17"/>
        <v>42.400425179699411</v>
      </c>
      <c r="AM26" s="124">
        <f t="shared" si="18"/>
        <v>89.750678944322132</v>
      </c>
      <c r="AN26" s="40">
        <f t="shared" si="19"/>
        <v>10.249321055677855</v>
      </c>
      <c r="AO26" s="40">
        <f t="shared" si="20"/>
        <v>0</v>
      </c>
    </row>
    <row r="27" spans="2:41" x14ac:dyDescent="0.3">
      <c r="B27" s="186" t="s">
        <v>9</v>
      </c>
      <c r="C27" s="187">
        <v>7</v>
      </c>
      <c r="D27" s="7">
        <v>10.28</v>
      </c>
      <c r="E27" s="172">
        <v>338.35</v>
      </c>
      <c r="F27" s="7">
        <v>118.68</v>
      </c>
      <c r="G27" s="8">
        <f t="shared" si="0"/>
        <v>34.299386870046355</v>
      </c>
      <c r="H27" s="186">
        <v>1</v>
      </c>
      <c r="I27" s="7">
        <f t="shared" si="1"/>
        <v>2.6890719306116342</v>
      </c>
      <c r="J27" s="7">
        <f t="shared" si="2"/>
        <v>0.49797628344659889</v>
      </c>
      <c r="K27" s="7">
        <f t="shared" si="3"/>
        <v>49.797628344659891</v>
      </c>
      <c r="L27" s="187"/>
      <c r="M27" s="7">
        <v>864.26</v>
      </c>
      <c r="N27" s="7">
        <v>313.51</v>
      </c>
      <c r="O27" s="7">
        <v>109.67</v>
      </c>
      <c r="P27" s="7">
        <f t="shared" si="4"/>
        <v>33.996049606579675</v>
      </c>
      <c r="Q27" s="7">
        <f t="shared" si="5"/>
        <v>0.2938142583298255</v>
      </c>
      <c r="R27" s="14">
        <f t="shared" si="21"/>
        <v>29.381425832982551</v>
      </c>
      <c r="S27" s="7">
        <v>506.03</v>
      </c>
      <c r="T27" s="7">
        <v>222.76</v>
      </c>
      <c r="U27" s="7">
        <v>71.22</v>
      </c>
      <c r="V27" s="7">
        <f t="shared" si="7"/>
        <v>30.511738811445337</v>
      </c>
      <c r="W27" s="7">
        <f t="shared" si="8"/>
        <v>0.15439855190755683</v>
      </c>
      <c r="X27" s="14">
        <f t="shared" si="22"/>
        <v>15.439855190755685</v>
      </c>
      <c r="Y27" s="31"/>
      <c r="Z27" s="31"/>
      <c r="AA27" s="31"/>
      <c r="AB27" s="31" t="str">
        <f t="shared" si="10"/>
        <v/>
      </c>
      <c r="AC27" s="31" t="str">
        <f t="shared" si="11"/>
        <v/>
      </c>
      <c r="AD27" s="14">
        <f t="shared" si="23"/>
        <v>0</v>
      </c>
      <c r="AE27" s="7"/>
      <c r="AF27" s="7"/>
      <c r="AG27" s="7"/>
      <c r="AH27" s="7" t="str">
        <f t="shared" si="13"/>
        <v/>
      </c>
      <c r="AI27" s="7" t="str">
        <f t="shared" si="14"/>
        <v/>
      </c>
      <c r="AJ27" s="14">
        <f t="shared" si="15"/>
        <v>0</v>
      </c>
      <c r="AK27" s="14">
        <f t="shared" si="16"/>
        <v>29.381425832982551</v>
      </c>
      <c r="AL27" s="14">
        <f t="shared" si="17"/>
        <v>15.439855190755685</v>
      </c>
      <c r="AM27" s="124">
        <f t="shared" si="18"/>
        <v>34.447599082628706</v>
      </c>
      <c r="AN27" s="40">
        <f t="shared" si="19"/>
        <v>65.552400917371301</v>
      </c>
      <c r="AO27" s="40">
        <f t="shared" si="20"/>
        <v>0</v>
      </c>
    </row>
    <row r="28" spans="2:41" x14ac:dyDescent="0.3">
      <c r="B28" s="186" t="s">
        <v>9</v>
      </c>
      <c r="C28" s="187">
        <v>8</v>
      </c>
      <c r="D28" s="7">
        <v>8.4600000000000009</v>
      </c>
      <c r="E28" s="7">
        <v>272.3</v>
      </c>
      <c r="F28" s="7">
        <v>109.1</v>
      </c>
      <c r="G28" s="8">
        <f t="shared" si="0"/>
        <v>39.172568020872156</v>
      </c>
      <c r="H28" s="186">
        <v>1</v>
      </c>
      <c r="I28" s="7">
        <f t="shared" si="1"/>
        <v>2.3581885948565042</v>
      </c>
      <c r="J28" s="7">
        <f t="shared" si="2"/>
        <v>0.43670159164009337</v>
      </c>
      <c r="K28" s="7">
        <f t="shared" si="3"/>
        <v>43.670159164009334</v>
      </c>
      <c r="L28" s="187"/>
      <c r="M28" s="7">
        <v>496.35</v>
      </c>
      <c r="N28" s="7">
        <v>178.08</v>
      </c>
      <c r="O28" s="7">
        <v>71.510000000000005</v>
      </c>
      <c r="P28" s="7">
        <f t="shared" si="4"/>
        <v>38.540945790080741</v>
      </c>
      <c r="Q28" s="7">
        <f t="shared" si="5"/>
        <v>0.19129798442906576</v>
      </c>
      <c r="R28" s="14">
        <f t="shared" si="21"/>
        <v>19.129798442906576</v>
      </c>
      <c r="S28" s="7">
        <v>359.83</v>
      </c>
      <c r="T28" s="7">
        <v>235.35</v>
      </c>
      <c r="U28" s="7">
        <v>70.19</v>
      </c>
      <c r="V28" s="7">
        <f t="shared" si="7"/>
        <v>28.399878614470886</v>
      </c>
      <c r="W28" s="7">
        <f t="shared" si="8"/>
        <v>0.10219128321845058</v>
      </c>
      <c r="X28" s="14">
        <f t="shared" si="22"/>
        <v>10.219128321845059</v>
      </c>
      <c r="Y28" s="31"/>
      <c r="Z28" s="31"/>
      <c r="AA28" s="31"/>
      <c r="AB28" s="31" t="str">
        <f t="shared" si="10"/>
        <v/>
      </c>
      <c r="AC28" s="31" t="str">
        <f t="shared" si="11"/>
        <v/>
      </c>
      <c r="AD28" s="14">
        <f t="shared" si="23"/>
        <v>0</v>
      </c>
      <c r="AE28" s="7"/>
      <c r="AF28" s="7"/>
      <c r="AG28" s="7"/>
      <c r="AH28" s="7" t="str">
        <f t="shared" si="13"/>
        <v/>
      </c>
      <c r="AI28" s="7" t="str">
        <f t="shared" si="14"/>
        <v/>
      </c>
      <c r="AJ28" s="14">
        <f t="shared" si="15"/>
        <v>0</v>
      </c>
      <c r="AK28" s="14">
        <f t="shared" si="16"/>
        <v>19.129798442906576</v>
      </c>
      <c r="AL28" s="14">
        <f t="shared" si="17"/>
        <v>10.219128321845059</v>
      </c>
      <c r="AM28" s="124">
        <f t="shared" si="18"/>
        <v>34.819427653205828</v>
      </c>
      <c r="AN28" s="40">
        <f t="shared" si="19"/>
        <v>65.180572346794165</v>
      </c>
      <c r="AO28" s="40">
        <f t="shared" si="20"/>
        <v>0</v>
      </c>
    </row>
    <row r="29" spans="2:41" x14ac:dyDescent="0.3">
      <c r="B29" s="16" t="s">
        <v>9</v>
      </c>
      <c r="C29" s="17">
        <v>9</v>
      </c>
      <c r="D29" s="227">
        <v>7.14</v>
      </c>
      <c r="E29" s="18">
        <v>326.13</v>
      </c>
      <c r="F29" s="18">
        <v>124.07</v>
      </c>
      <c r="G29" s="19">
        <f t="shared" si="0"/>
        <v>37.273771458727836</v>
      </c>
      <c r="H29" s="16">
        <v>1</v>
      </c>
      <c r="I29" s="18">
        <f t="shared" si="1"/>
        <v>1.751867258560208</v>
      </c>
      <c r="J29" s="18">
        <f t="shared" si="2"/>
        <v>0.32441986269633477</v>
      </c>
      <c r="K29" s="18">
        <f t="shared" si="3"/>
        <v>32.441986269633475</v>
      </c>
      <c r="L29" s="17"/>
      <c r="M29" s="18">
        <v>398.34</v>
      </c>
      <c r="N29" s="18">
        <v>175.01</v>
      </c>
      <c r="O29" s="18">
        <v>74.33</v>
      </c>
      <c r="P29" s="18">
        <f t="shared" si="4"/>
        <v>40.891211178300949</v>
      </c>
      <c r="Q29" s="18">
        <f t="shared" si="5"/>
        <v>0.162886050607644</v>
      </c>
      <c r="R29" s="14">
        <f t="shared" si="21"/>
        <v>16.2886050607644</v>
      </c>
      <c r="S29" s="228">
        <v>264.31</v>
      </c>
      <c r="T29" s="228">
        <v>183.45</v>
      </c>
      <c r="U29" s="228">
        <v>65.209999999999994</v>
      </c>
      <c r="V29" s="33">
        <f t="shared" si="7"/>
        <v>33.859148626727084</v>
      </c>
      <c r="W29" s="33">
        <f t="shared" si="8"/>
        <v>8.9493115735302359E-2</v>
      </c>
      <c r="X29" s="14">
        <f t="shared" si="22"/>
        <v>8.9493115735302347</v>
      </c>
      <c r="Y29" s="33"/>
      <c r="Z29" s="33"/>
      <c r="AA29" s="33"/>
      <c r="AB29" s="33" t="str">
        <f t="shared" si="10"/>
        <v/>
      </c>
      <c r="AC29" s="33" t="str">
        <f t="shared" si="11"/>
        <v/>
      </c>
      <c r="AD29" s="14">
        <f t="shared" si="23"/>
        <v>0</v>
      </c>
      <c r="AE29" s="18"/>
      <c r="AF29" s="18"/>
      <c r="AG29" s="18"/>
      <c r="AH29" s="18" t="str">
        <f t="shared" si="13"/>
        <v/>
      </c>
      <c r="AI29" s="18" t="str">
        <f t="shared" si="14"/>
        <v/>
      </c>
      <c r="AJ29" s="14"/>
      <c r="AK29" s="14"/>
      <c r="AL29" s="14"/>
      <c r="AM29" s="124"/>
      <c r="AN29" s="40"/>
      <c r="AO29" s="40"/>
    </row>
    <row r="30" spans="2:41" x14ac:dyDescent="0.3">
      <c r="B30" s="186" t="s">
        <v>10</v>
      </c>
      <c r="C30" s="187">
        <v>1</v>
      </c>
      <c r="D30" s="7">
        <v>7.34</v>
      </c>
      <c r="E30" s="7">
        <v>350.28</v>
      </c>
      <c r="F30" s="7">
        <v>127.24</v>
      </c>
      <c r="G30" s="8">
        <f t="shared" si="0"/>
        <v>35.58969619960726</v>
      </c>
      <c r="H30" s="186">
        <v>1</v>
      </c>
      <c r="I30" s="7">
        <f t="shared" si="1"/>
        <v>1.7438951137807559</v>
      </c>
      <c r="J30" s="7">
        <f t="shared" si="2"/>
        <v>0.32294353958902883</v>
      </c>
      <c r="K30" s="7">
        <f t="shared" si="3"/>
        <v>32.294353958902882</v>
      </c>
      <c r="L30" s="187"/>
      <c r="M30" s="31">
        <v>498.34</v>
      </c>
      <c r="N30" s="31">
        <v>146.51</v>
      </c>
      <c r="O30" s="31">
        <v>58.04</v>
      </c>
      <c r="P30" s="31">
        <f t="shared" si="4"/>
        <v>37.622505816822958</v>
      </c>
      <c r="Q30" s="31">
        <f t="shared" si="5"/>
        <v>0.18748799548755554</v>
      </c>
      <c r="R30" s="14">
        <f t="shared" si="21"/>
        <v>18.748799548755553</v>
      </c>
      <c r="S30" s="7">
        <v>366.39</v>
      </c>
      <c r="T30" s="7">
        <v>175.25</v>
      </c>
      <c r="U30" s="7">
        <v>59.99</v>
      </c>
      <c r="V30" s="7">
        <f t="shared" si="7"/>
        <v>32.426569736764968</v>
      </c>
      <c r="W30" s="7">
        <f t="shared" si="8"/>
        <v>0.11880770885853315</v>
      </c>
      <c r="X30" s="14">
        <f t="shared" si="22"/>
        <v>11.880770885853314</v>
      </c>
      <c r="Y30" s="31"/>
      <c r="Z30" s="31"/>
      <c r="AA30" s="31"/>
      <c r="AB30" s="31" t="str">
        <f t="shared" si="10"/>
        <v/>
      </c>
      <c r="AC30" s="31" t="str">
        <f t="shared" si="11"/>
        <v/>
      </c>
      <c r="AD30" s="14">
        <f t="shared" si="23"/>
        <v>0</v>
      </c>
      <c r="AE30" s="7"/>
      <c r="AF30" s="40"/>
      <c r="AG30" s="40"/>
      <c r="AH30" s="40" t="str">
        <f t="shared" si="13"/>
        <v/>
      </c>
      <c r="AI30" s="40" t="str">
        <f t="shared" si="14"/>
        <v/>
      </c>
      <c r="AJ30" s="14"/>
      <c r="AK30" s="14"/>
      <c r="AL30" s="14"/>
      <c r="AM30" s="124"/>
      <c r="AN30" s="40"/>
      <c r="AO30" s="40"/>
    </row>
    <row r="31" spans="2:41" x14ac:dyDescent="0.3">
      <c r="B31" s="186" t="s">
        <v>10</v>
      </c>
      <c r="C31" s="187">
        <v>2</v>
      </c>
      <c r="D31" s="7">
        <v>7.96</v>
      </c>
      <c r="E31" s="7">
        <v>260.08</v>
      </c>
      <c r="F31" s="7">
        <v>96.1</v>
      </c>
      <c r="G31" s="8">
        <f t="shared" si="0"/>
        <v>35.965323336457352</v>
      </c>
      <c r="H31" s="186">
        <v>1</v>
      </c>
      <c r="I31" s="7">
        <f t="shared" si="1"/>
        <v>1.9852858481724456</v>
      </c>
      <c r="J31" s="7">
        <f t="shared" si="2"/>
        <v>0.36764552743934176</v>
      </c>
      <c r="K31" s="7">
        <f t="shared" si="3"/>
        <v>36.764552743934175</v>
      </c>
      <c r="L31" s="187"/>
      <c r="M31" s="31"/>
      <c r="N31" s="31"/>
      <c r="O31" s="31"/>
      <c r="P31" s="31" t="str">
        <f t="shared" si="4"/>
        <v/>
      </c>
      <c r="Q31" s="31" t="str">
        <f t="shared" si="5"/>
        <v/>
      </c>
      <c r="R31" s="14">
        <f t="shared" si="21"/>
        <v>0</v>
      </c>
      <c r="S31" s="7">
        <v>633.87</v>
      </c>
      <c r="T31" s="7">
        <v>288.98</v>
      </c>
      <c r="U31" s="7">
        <v>94.86</v>
      </c>
      <c r="V31" s="7">
        <f t="shared" si="7"/>
        <v>31.720014069644741</v>
      </c>
      <c r="W31" s="7">
        <f t="shared" si="8"/>
        <v>0.20106365318325711</v>
      </c>
      <c r="X31" s="14">
        <f t="shared" si="22"/>
        <v>20.106365318325711</v>
      </c>
      <c r="Y31" s="7">
        <v>19.899999999999999</v>
      </c>
      <c r="Z31" s="7">
        <v>23.25</v>
      </c>
      <c r="AA31" s="7">
        <v>11.99</v>
      </c>
      <c r="AB31" s="7">
        <f t="shared" si="10"/>
        <v>39.364566505115775</v>
      </c>
      <c r="AC31" s="7">
        <f t="shared" si="11"/>
        <v>7.8335487345180376E-3</v>
      </c>
      <c r="AD31" s="14">
        <f t="shared" si="23"/>
        <v>0.78335487345180388</v>
      </c>
      <c r="AE31" s="7"/>
      <c r="AF31" s="40"/>
      <c r="AG31" s="40"/>
      <c r="AH31" s="40" t="str">
        <f t="shared" si="13"/>
        <v/>
      </c>
      <c r="AI31" s="40" t="str">
        <f t="shared" si="14"/>
        <v/>
      </c>
      <c r="AJ31" s="14">
        <f t="shared" si="15"/>
        <v>0</v>
      </c>
      <c r="AK31" s="14">
        <f t="shared" si="16"/>
        <v>0.78335487345180388</v>
      </c>
      <c r="AL31" s="14">
        <f t="shared" si="17"/>
        <v>20.106365318325711</v>
      </c>
      <c r="AM31" s="124">
        <f t="shared" si="18"/>
        <v>96.250046117132086</v>
      </c>
      <c r="AN31" s="40">
        <f t="shared" si="19"/>
        <v>3.7499538828679153</v>
      </c>
      <c r="AO31" s="40">
        <f t="shared" si="20"/>
        <v>0</v>
      </c>
    </row>
    <row r="32" spans="2:41" x14ac:dyDescent="0.3">
      <c r="B32" s="186" t="s">
        <v>10</v>
      </c>
      <c r="C32" s="187">
        <v>3</v>
      </c>
      <c r="D32" s="7">
        <v>7</v>
      </c>
      <c r="E32" s="7">
        <v>321.66000000000003</v>
      </c>
      <c r="F32" s="7">
        <v>122.03</v>
      </c>
      <c r="G32" s="8">
        <f t="shared" si="0"/>
        <v>37.156078826418181</v>
      </c>
      <c r="H32" s="186">
        <v>1</v>
      </c>
      <c r="I32" s="7">
        <f t="shared" si="1"/>
        <v>1.6943171944846693</v>
      </c>
      <c r="J32" s="7">
        <f t="shared" si="2"/>
        <v>0.3137624434230869</v>
      </c>
      <c r="K32" s="7">
        <f t="shared" si="3"/>
        <v>31.376244342308691</v>
      </c>
      <c r="L32" s="187"/>
      <c r="M32" s="31"/>
      <c r="N32" s="31"/>
      <c r="O32" s="31"/>
      <c r="P32" s="31" t="str">
        <f t="shared" si="4"/>
        <v/>
      </c>
      <c r="Q32" s="31" t="str">
        <f t="shared" si="5"/>
        <v/>
      </c>
      <c r="R32" s="14">
        <f t="shared" si="21"/>
        <v>0</v>
      </c>
      <c r="S32" s="7">
        <v>591.23</v>
      </c>
      <c r="T32" s="7">
        <v>241.9</v>
      </c>
      <c r="U32" s="7">
        <v>87.98</v>
      </c>
      <c r="V32" s="7">
        <f t="shared" si="7"/>
        <v>35.115083045274432</v>
      </c>
      <c r="W32" s="7">
        <f t="shared" si="8"/>
        <v>0.20761090548857603</v>
      </c>
      <c r="X32" s="14">
        <f t="shared" si="22"/>
        <v>20.761090548857602</v>
      </c>
      <c r="Y32" s="7">
        <v>115.3</v>
      </c>
      <c r="Z32" s="7">
        <v>110.8</v>
      </c>
      <c r="AA32" s="7">
        <v>53.21</v>
      </c>
      <c r="AB32" s="7">
        <f t="shared" si="10"/>
        <v>45.731247644176406</v>
      </c>
      <c r="AC32" s="7">
        <f t="shared" si="11"/>
        <v>5.2728128533735395E-2</v>
      </c>
      <c r="AD32" s="14">
        <f t="shared" si="23"/>
        <v>5.2728128533735399</v>
      </c>
      <c r="AE32" s="7"/>
      <c r="AF32" s="40"/>
      <c r="AG32" s="40"/>
      <c r="AH32" s="40" t="str">
        <f t="shared" si="13"/>
        <v/>
      </c>
      <c r="AI32" s="40" t="str">
        <f t="shared" si="14"/>
        <v/>
      </c>
      <c r="AJ32" s="14">
        <f t="shared" si="15"/>
        <v>0</v>
      </c>
      <c r="AK32" s="14">
        <f t="shared" si="16"/>
        <v>5.2728128533735399</v>
      </c>
      <c r="AL32" s="14">
        <f t="shared" si="17"/>
        <v>20.761090548857602</v>
      </c>
      <c r="AM32" s="124">
        <f t="shared" si="18"/>
        <v>79.746360843754019</v>
      </c>
      <c r="AN32" s="40">
        <f t="shared" si="19"/>
        <v>20.253639156245974</v>
      </c>
      <c r="AO32" s="40">
        <f t="shared" si="20"/>
        <v>0</v>
      </c>
    </row>
    <row r="33" spans="2:41" x14ac:dyDescent="0.3">
      <c r="B33" s="186" t="s">
        <v>10</v>
      </c>
      <c r="C33" s="187">
        <v>4</v>
      </c>
      <c r="D33" s="172">
        <v>7.9</v>
      </c>
      <c r="E33" s="7">
        <v>332.84</v>
      </c>
      <c r="F33" s="7">
        <v>124.81</v>
      </c>
      <c r="G33" s="8">
        <f t="shared" si="0"/>
        <v>36.738231358715488</v>
      </c>
      <c r="H33" s="186">
        <v>1</v>
      </c>
      <c r="I33" s="7">
        <f t="shared" si="1"/>
        <v>2.0059074321858659</v>
      </c>
      <c r="J33" s="7">
        <f t="shared" si="2"/>
        <v>0.37146433929367884</v>
      </c>
      <c r="K33" s="7">
        <f t="shared" si="3"/>
        <v>37.14643392936788</v>
      </c>
      <c r="L33" s="187"/>
      <c r="M33" s="31"/>
      <c r="N33" s="31"/>
      <c r="O33" s="31"/>
      <c r="P33" s="31" t="str">
        <f t="shared" si="4"/>
        <v/>
      </c>
      <c r="Q33" s="31" t="str">
        <f t="shared" si="5"/>
        <v/>
      </c>
      <c r="R33" s="14">
        <f t="shared" si="21"/>
        <v>0</v>
      </c>
      <c r="S33" s="7">
        <v>816.89</v>
      </c>
      <c r="T33" s="7">
        <v>151.1</v>
      </c>
      <c r="U33" s="7">
        <v>52.63</v>
      </c>
      <c r="V33" s="7">
        <f t="shared" si="7"/>
        <v>32.748258434640078</v>
      </c>
      <c r="W33" s="7">
        <f t="shared" si="8"/>
        <v>0.26751724832673129</v>
      </c>
      <c r="X33" s="14">
        <f t="shared" si="22"/>
        <v>26.75172483267313</v>
      </c>
      <c r="Y33" s="7">
        <v>145.53</v>
      </c>
      <c r="Z33" s="7">
        <v>91.8</v>
      </c>
      <c r="AA33" s="7">
        <v>45.09</v>
      </c>
      <c r="AB33" s="7">
        <f t="shared" si="10"/>
        <v>46.384297520661164</v>
      </c>
      <c r="AC33" s="7">
        <f t="shared" si="11"/>
        <v>6.7503068181818199E-2</v>
      </c>
      <c r="AD33" s="14">
        <f t="shared" si="23"/>
        <v>6.7503068181818193</v>
      </c>
      <c r="AE33" s="7"/>
      <c r="AF33" s="40"/>
      <c r="AG33" s="40"/>
      <c r="AH33" s="40" t="str">
        <f t="shared" si="13"/>
        <v/>
      </c>
      <c r="AI33" s="40" t="str">
        <f t="shared" si="14"/>
        <v/>
      </c>
      <c r="AJ33" s="14">
        <f t="shared" si="15"/>
        <v>0</v>
      </c>
      <c r="AK33" s="14">
        <f t="shared" si="16"/>
        <v>6.7503068181818193</v>
      </c>
      <c r="AL33" s="14">
        <f t="shared" si="17"/>
        <v>26.75172483267313</v>
      </c>
      <c r="AM33" s="124">
        <f t="shared" si="18"/>
        <v>79.851052352493511</v>
      </c>
      <c r="AN33" s="40">
        <f t="shared" si="19"/>
        <v>20.148947647506496</v>
      </c>
      <c r="AO33" s="40">
        <f t="shared" si="20"/>
        <v>0</v>
      </c>
    </row>
    <row r="34" spans="2:41" x14ac:dyDescent="0.3">
      <c r="B34" s="186" t="s">
        <v>10</v>
      </c>
      <c r="C34" s="187">
        <v>5</v>
      </c>
      <c r="D34" s="7">
        <v>3.6</v>
      </c>
      <c r="E34" s="7">
        <v>276.88</v>
      </c>
      <c r="F34" s="7">
        <v>141.80000000000001</v>
      </c>
      <c r="G34" s="8">
        <f t="shared" si="0"/>
        <v>50.498387569627681</v>
      </c>
      <c r="H34" s="186">
        <v>1</v>
      </c>
      <c r="I34" s="7">
        <f t="shared" si="1"/>
        <v>0.58578129580768112</v>
      </c>
      <c r="J34" s="7">
        <f t="shared" si="2"/>
        <v>0.10847801774216316</v>
      </c>
      <c r="K34" s="7">
        <f t="shared" si="3"/>
        <v>10.847801774216316</v>
      </c>
      <c r="L34" s="187"/>
      <c r="M34" s="31"/>
      <c r="N34" s="31"/>
      <c r="O34" s="31"/>
      <c r="P34" s="31" t="str">
        <f t="shared" si="4"/>
        <v/>
      </c>
      <c r="Q34" s="31" t="str">
        <f t="shared" si="5"/>
        <v/>
      </c>
      <c r="R34" s="14">
        <f t="shared" si="21"/>
        <v>0</v>
      </c>
      <c r="S34" s="31"/>
      <c r="T34" s="31"/>
      <c r="U34" s="31"/>
      <c r="V34" s="31" t="str">
        <f t="shared" si="7"/>
        <v/>
      </c>
      <c r="W34" s="31" t="str">
        <f t="shared" si="8"/>
        <v/>
      </c>
      <c r="X34" s="14">
        <f t="shared" si="22"/>
        <v>0</v>
      </c>
      <c r="Y34" s="7">
        <v>136.19</v>
      </c>
      <c r="Z34" s="7">
        <v>56.84</v>
      </c>
      <c r="AA34" s="7">
        <v>37.450000000000003</v>
      </c>
      <c r="AB34" s="7">
        <f t="shared" si="10"/>
        <v>62.82592024539877</v>
      </c>
      <c r="AC34" s="7">
        <f t="shared" si="11"/>
        <v>8.5562620782208582E-2</v>
      </c>
      <c r="AD34" s="14">
        <f t="shared" si="23"/>
        <v>8.5562620782208576</v>
      </c>
      <c r="AE34" s="7"/>
      <c r="AF34" s="40"/>
      <c r="AG34" s="40"/>
      <c r="AH34" s="40" t="str">
        <f t="shared" si="13"/>
        <v/>
      </c>
      <c r="AI34" s="40" t="str">
        <f t="shared" si="14"/>
        <v/>
      </c>
      <c r="AJ34" s="14">
        <f t="shared" si="15"/>
        <v>0</v>
      </c>
      <c r="AK34" s="14">
        <f t="shared" si="16"/>
        <v>8.5562620782208576</v>
      </c>
      <c r="AL34" s="14"/>
      <c r="AM34" s="124" t="str">
        <f t="shared" si="18"/>
        <v/>
      </c>
      <c r="AN34" s="40">
        <f t="shared" si="19"/>
        <v>100</v>
      </c>
      <c r="AO34" s="40">
        <f t="shared" si="20"/>
        <v>0</v>
      </c>
    </row>
    <row r="35" spans="2:41" x14ac:dyDescent="0.3">
      <c r="B35" s="186" t="s">
        <v>10</v>
      </c>
      <c r="C35" s="187">
        <v>6</v>
      </c>
      <c r="D35" s="7">
        <v>7.84</v>
      </c>
      <c r="E35" s="7">
        <v>294.26</v>
      </c>
      <c r="F35" s="7">
        <v>103.24</v>
      </c>
      <c r="G35" s="8">
        <f t="shared" si="0"/>
        <v>34.190036518982978</v>
      </c>
      <c r="H35" s="186">
        <v>1</v>
      </c>
      <c r="I35" s="7">
        <f t="shared" si="1"/>
        <v>1.846261972025081</v>
      </c>
      <c r="J35" s="7">
        <f t="shared" si="2"/>
        <v>0.3419003651898298</v>
      </c>
      <c r="K35" s="7">
        <f t="shared" si="3"/>
        <v>34.190036518982978</v>
      </c>
      <c r="L35" s="187"/>
      <c r="M35" s="7">
        <v>527.36</v>
      </c>
      <c r="N35" s="7">
        <v>145.22999999999999</v>
      </c>
      <c r="O35" s="7">
        <v>56.88</v>
      </c>
      <c r="P35" s="7">
        <f t="shared" si="4"/>
        <v>37.13980789754536</v>
      </c>
      <c r="Q35" s="7">
        <f t="shared" si="5"/>
        <v>0.19586049092849525</v>
      </c>
      <c r="R35" s="14">
        <f t="shared" si="21"/>
        <v>19.586049092849525</v>
      </c>
      <c r="S35" s="7">
        <v>1067.8</v>
      </c>
      <c r="T35" s="7">
        <v>229.05</v>
      </c>
      <c r="U35" s="7">
        <v>75.06</v>
      </c>
      <c r="V35" s="7">
        <f t="shared" si="7"/>
        <v>31.367829923786601</v>
      </c>
      <c r="W35" s="7">
        <f t="shared" si="8"/>
        <v>0.33494568792619328</v>
      </c>
      <c r="X35" s="14">
        <f t="shared" si="22"/>
        <v>33.494568792619333</v>
      </c>
      <c r="Y35" s="31"/>
      <c r="Z35" s="31"/>
      <c r="AA35" s="31"/>
      <c r="AB35" s="31" t="str">
        <f t="shared" si="10"/>
        <v/>
      </c>
      <c r="AC35" s="31" t="str">
        <f t="shared" si="11"/>
        <v/>
      </c>
      <c r="AD35" s="14">
        <f t="shared" si="23"/>
        <v>0</v>
      </c>
      <c r="AE35" s="7"/>
      <c r="AF35" s="40"/>
      <c r="AG35" s="40"/>
      <c r="AH35" s="40" t="str">
        <f t="shared" si="13"/>
        <v/>
      </c>
      <c r="AI35" s="40" t="str">
        <f t="shared" si="14"/>
        <v/>
      </c>
      <c r="AJ35" s="14">
        <f t="shared" si="15"/>
        <v>0</v>
      </c>
      <c r="AK35" s="14">
        <f t="shared" si="16"/>
        <v>19.586049092849525</v>
      </c>
      <c r="AL35" s="14">
        <f t="shared" si="17"/>
        <v>33.494568792619333</v>
      </c>
      <c r="AM35" s="124">
        <f t="shared" si="18"/>
        <v>63.101316689436423</v>
      </c>
      <c r="AN35" s="40">
        <f t="shared" si="19"/>
        <v>36.898683310563584</v>
      </c>
      <c r="AO35" s="40">
        <f t="shared" si="20"/>
        <v>0</v>
      </c>
    </row>
    <row r="36" spans="2:41" x14ac:dyDescent="0.3">
      <c r="B36" s="186" t="s">
        <v>10</v>
      </c>
      <c r="C36" s="187">
        <v>7</v>
      </c>
      <c r="D36" s="7">
        <v>9.64</v>
      </c>
      <c r="E36" s="7">
        <v>418.33</v>
      </c>
      <c r="F36" s="7">
        <v>145.91999999999999</v>
      </c>
      <c r="G36" s="8">
        <f t="shared" si="0"/>
        <v>34.252890208288079</v>
      </c>
      <c r="H36" s="186">
        <v>1</v>
      </c>
      <c r="I36" s="7">
        <f t="shared" si="1"/>
        <v>2.466208094996742</v>
      </c>
      <c r="J36" s="7">
        <f t="shared" si="2"/>
        <v>0.45670520277717441</v>
      </c>
      <c r="K36" s="7">
        <f t="shared" si="3"/>
        <v>45.670520277717443</v>
      </c>
      <c r="L36" s="187"/>
      <c r="M36" s="7">
        <v>751.16</v>
      </c>
      <c r="N36" s="7">
        <v>195.57</v>
      </c>
      <c r="O36" s="7">
        <v>70.069999999999993</v>
      </c>
      <c r="P36" s="7">
        <f t="shared" si="4"/>
        <v>34.255330294934247</v>
      </c>
      <c r="Q36" s="7">
        <f t="shared" si="5"/>
        <v>0.25731233904342804</v>
      </c>
      <c r="R36" s="14">
        <f t="shared" si="21"/>
        <v>25.731233904342801</v>
      </c>
      <c r="S36" s="7">
        <v>540.97</v>
      </c>
      <c r="T36" s="7">
        <v>161.91999999999999</v>
      </c>
      <c r="U36" s="7">
        <v>60.3</v>
      </c>
      <c r="V36" s="7">
        <f t="shared" si="7"/>
        <v>35.372678707707969</v>
      </c>
      <c r="W36" s="7">
        <f t="shared" si="8"/>
        <v>0.19135558000508784</v>
      </c>
      <c r="X36" s="14">
        <f t="shared" si="22"/>
        <v>19.135558000508784</v>
      </c>
      <c r="Y36" s="31"/>
      <c r="Z36" s="31"/>
      <c r="AA36" s="31"/>
      <c r="AB36" s="31" t="str">
        <f t="shared" si="10"/>
        <v/>
      </c>
      <c r="AC36" s="31" t="str">
        <f t="shared" si="11"/>
        <v/>
      </c>
      <c r="AD36" s="14">
        <f t="shared" si="23"/>
        <v>0</v>
      </c>
      <c r="AE36" s="7"/>
      <c r="AF36" s="40"/>
      <c r="AG36" s="40"/>
      <c r="AH36" s="40" t="str">
        <f t="shared" si="13"/>
        <v/>
      </c>
      <c r="AI36" s="40" t="str">
        <f t="shared" si="14"/>
        <v/>
      </c>
      <c r="AJ36" s="14">
        <f t="shared" si="15"/>
        <v>0</v>
      </c>
      <c r="AK36" s="14">
        <f t="shared" si="16"/>
        <v>25.731233904342801</v>
      </c>
      <c r="AL36" s="14">
        <f t="shared" si="17"/>
        <v>19.135558000508784</v>
      </c>
      <c r="AM36" s="124">
        <f t="shared" si="18"/>
        <v>42.649713046320116</v>
      </c>
      <c r="AN36" s="40">
        <f t="shared" si="19"/>
        <v>57.350286953679884</v>
      </c>
      <c r="AO36" s="40">
        <f t="shared" si="20"/>
        <v>0</v>
      </c>
    </row>
    <row r="37" spans="2:41" x14ac:dyDescent="0.3">
      <c r="B37" s="186" t="s">
        <v>10</v>
      </c>
      <c r="C37" s="187">
        <v>8</v>
      </c>
      <c r="D37" s="7">
        <v>7.52</v>
      </c>
      <c r="E37" s="7">
        <v>371.29</v>
      </c>
      <c r="F37" s="7">
        <v>132.26</v>
      </c>
      <c r="G37" s="8">
        <f t="shared" si="0"/>
        <v>34.920634920634917</v>
      </c>
      <c r="H37" s="186">
        <v>1</v>
      </c>
      <c r="I37" s="7">
        <f t="shared" si="1"/>
        <v>1.773968253968254</v>
      </c>
      <c r="J37" s="7">
        <f t="shared" si="2"/>
        <v>0.32851263962375071</v>
      </c>
      <c r="K37" s="7">
        <f t="shared" si="3"/>
        <v>32.851263962375072</v>
      </c>
      <c r="L37" s="187"/>
      <c r="M37" s="7">
        <v>689.71</v>
      </c>
      <c r="N37" s="7">
        <v>287.98</v>
      </c>
      <c r="O37" s="7">
        <v>109.73</v>
      </c>
      <c r="P37" s="7">
        <f t="shared" si="4"/>
        <v>37.08083303918108</v>
      </c>
      <c r="Q37" s="7">
        <f t="shared" si="5"/>
        <v>0.25575021355453587</v>
      </c>
      <c r="R37" s="14">
        <f t="shared" si="21"/>
        <v>25.575021355453586</v>
      </c>
      <c r="S37" s="7">
        <v>708.28</v>
      </c>
      <c r="T37" s="7">
        <v>219.09</v>
      </c>
      <c r="U37" s="7">
        <v>72.739999999999995</v>
      </c>
      <c r="V37" s="7">
        <f t="shared" si="7"/>
        <v>31.742922438319109</v>
      </c>
      <c r="W37" s="7">
        <f t="shared" si="8"/>
        <v>0.22482877104612659</v>
      </c>
      <c r="X37" s="14">
        <f t="shared" si="22"/>
        <v>22.482877104612658</v>
      </c>
      <c r="Y37" s="31"/>
      <c r="Z37" s="31"/>
      <c r="AA37" s="31"/>
      <c r="AB37" s="31" t="str">
        <f t="shared" si="10"/>
        <v/>
      </c>
      <c r="AC37" s="31" t="str">
        <f t="shared" si="11"/>
        <v/>
      </c>
      <c r="AD37" s="14">
        <f t="shared" si="23"/>
        <v>0</v>
      </c>
      <c r="AE37" s="7"/>
      <c r="AF37" s="40"/>
      <c r="AG37" s="40"/>
      <c r="AH37" s="40" t="str">
        <f t="shared" si="13"/>
        <v/>
      </c>
      <c r="AI37" s="40" t="str">
        <f t="shared" si="14"/>
        <v/>
      </c>
      <c r="AJ37" s="14">
        <f t="shared" si="15"/>
        <v>0</v>
      </c>
      <c r="AK37" s="14">
        <f t="shared" si="16"/>
        <v>25.575021355453586</v>
      </c>
      <c r="AL37" s="14">
        <f t="shared" si="17"/>
        <v>22.482877104612658</v>
      </c>
      <c r="AM37" s="124">
        <f t="shared" si="18"/>
        <v>46.782896932737977</v>
      </c>
      <c r="AN37" s="40">
        <f t="shared" si="19"/>
        <v>53.217103067262038</v>
      </c>
      <c r="AO37" s="40">
        <f t="shared" si="20"/>
        <v>0</v>
      </c>
    </row>
    <row r="38" spans="2:41" x14ac:dyDescent="0.3">
      <c r="B38" s="16" t="s">
        <v>10</v>
      </c>
      <c r="C38" s="17">
        <v>9</v>
      </c>
      <c r="D38" s="18">
        <v>6.82</v>
      </c>
      <c r="E38" s="18">
        <v>408.91</v>
      </c>
      <c r="F38" s="18">
        <v>159.87</v>
      </c>
      <c r="G38" s="19">
        <f t="shared" si="0"/>
        <v>38.494974191795706</v>
      </c>
      <c r="H38" s="16">
        <v>1</v>
      </c>
      <c r="I38" s="18">
        <f t="shared" si="1"/>
        <v>1.6860798696006523</v>
      </c>
      <c r="J38" s="18">
        <f t="shared" si="2"/>
        <v>0.31223701288900968</v>
      </c>
      <c r="K38" s="18">
        <f t="shared" si="3"/>
        <v>31.223701288900969</v>
      </c>
      <c r="L38" s="17"/>
      <c r="M38" s="18">
        <v>531.4</v>
      </c>
      <c r="N38" s="18">
        <v>239.94</v>
      </c>
      <c r="O38" s="18">
        <v>97.01</v>
      </c>
      <c r="P38" s="18">
        <f t="shared" si="4"/>
        <v>39.245940661395913</v>
      </c>
      <c r="Q38" s="18">
        <f t="shared" si="5"/>
        <v>0.20855292867465786</v>
      </c>
      <c r="R38" s="14">
        <f t="shared" si="21"/>
        <v>20.855292867465788</v>
      </c>
      <c r="S38" s="33"/>
      <c r="T38" s="33"/>
      <c r="U38" s="33"/>
      <c r="V38" s="33" t="str">
        <f t="shared" si="7"/>
        <v/>
      </c>
      <c r="W38" s="33" t="str">
        <f t="shared" si="8"/>
        <v/>
      </c>
      <c r="X38" s="14">
        <f t="shared" si="22"/>
        <v>0</v>
      </c>
      <c r="Y38" s="33"/>
      <c r="Z38" s="33"/>
      <c r="AA38" s="33"/>
      <c r="AB38" s="33" t="str">
        <f t="shared" si="10"/>
        <v/>
      </c>
      <c r="AC38" s="33" t="str">
        <f t="shared" si="11"/>
        <v/>
      </c>
      <c r="AD38" s="14">
        <f t="shared" si="23"/>
        <v>0</v>
      </c>
      <c r="AE38" s="18"/>
      <c r="AF38" s="42"/>
      <c r="AG38" s="42"/>
      <c r="AH38" s="42" t="str">
        <f t="shared" si="13"/>
        <v/>
      </c>
      <c r="AI38" s="42" t="str">
        <f t="shared" si="14"/>
        <v/>
      </c>
      <c r="AJ38" s="14">
        <f t="shared" si="15"/>
        <v>0</v>
      </c>
      <c r="AK38" s="14">
        <f t="shared" si="16"/>
        <v>20.855292867465788</v>
      </c>
      <c r="AL38" s="14"/>
      <c r="AM38" s="124" t="str">
        <f t="shared" si="18"/>
        <v/>
      </c>
      <c r="AN38" s="40">
        <f t="shared" si="19"/>
        <v>99.999999999999986</v>
      </c>
      <c r="AO38" s="40">
        <f t="shared" si="20"/>
        <v>0</v>
      </c>
    </row>
    <row r="39" spans="2:41" x14ac:dyDescent="0.3">
      <c r="B39" s="186" t="s">
        <v>11</v>
      </c>
      <c r="C39" s="187">
        <v>1</v>
      </c>
      <c r="D39" s="7">
        <v>8.6199999999999992</v>
      </c>
      <c r="E39" s="7">
        <v>334.18</v>
      </c>
      <c r="F39" s="7">
        <v>119.21</v>
      </c>
      <c r="G39" s="8">
        <f t="shared" si="0"/>
        <v>34.893088618329394</v>
      </c>
      <c r="H39" s="186">
        <v>1</v>
      </c>
      <c r="I39" s="7">
        <f t="shared" si="1"/>
        <v>2.1563928766127565</v>
      </c>
      <c r="J39" s="7">
        <f t="shared" si="2"/>
        <v>0.39933201418754749</v>
      </c>
      <c r="K39" s="7">
        <f t="shared" si="3"/>
        <v>39.933201418754749</v>
      </c>
      <c r="L39" s="187"/>
      <c r="M39" s="31"/>
      <c r="N39" s="31"/>
      <c r="O39" s="31"/>
      <c r="P39" s="31" t="str">
        <f t="shared" si="4"/>
        <v/>
      </c>
      <c r="Q39" s="31" t="str">
        <f t="shared" si="5"/>
        <v/>
      </c>
      <c r="R39" s="14">
        <f t="shared" si="21"/>
        <v>0</v>
      </c>
      <c r="S39" s="7">
        <v>1094.73</v>
      </c>
      <c r="T39" s="7">
        <v>177.89</v>
      </c>
      <c r="U39" s="7">
        <v>65.819999999999993</v>
      </c>
      <c r="V39" s="7">
        <f t="shared" si="7"/>
        <v>35.29819294498008</v>
      </c>
      <c r="W39" s="7">
        <f t="shared" si="8"/>
        <v>0.38641990762658041</v>
      </c>
      <c r="X39" s="14">
        <f t="shared" si="22"/>
        <v>38.64199076265804</v>
      </c>
      <c r="Y39" s="31"/>
      <c r="Z39" s="31"/>
      <c r="AA39" s="31"/>
      <c r="AB39" s="31" t="str">
        <f t="shared" si="10"/>
        <v/>
      </c>
      <c r="AC39" s="31" t="str">
        <f t="shared" si="11"/>
        <v/>
      </c>
      <c r="AD39" s="14">
        <f t="shared" si="23"/>
        <v>0</v>
      </c>
      <c r="AE39" s="7"/>
      <c r="AF39" s="40"/>
      <c r="AG39" s="40"/>
      <c r="AH39" s="40" t="str">
        <f t="shared" si="13"/>
        <v/>
      </c>
      <c r="AI39" s="40" t="str">
        <f t="shared" si="14"/>
        <v/>
      </c>
      <c r="AJ39" s="14">
        <f t="shared" si="15"/>
        <v>0</v>
      </c>
      <c r="AK39" s="14"/>
      <c r="AL39" s="14">
        <f t="shared" si="17"/>
        <v>38.64199076265804</v>
      </c>
      <c r="AM39" s="124">
        <f t="shared" si="18"/>
        <v>100</v>
      </c>
      <c r="AN39" s="40" t="str">
        <f t="shared" si="19"/>
        <v/>
      </c>
      <c r="AO39" s="40">
        <f t="shared" si="20"/>
        <v>0</v>
      </c>
    </row>
    <row r="40" spans="2:41" x14ac:dyDescent="0.3">
      <c r="B40" s="186" t="s">
        <v>11</v>
      </c>
      <c r="C40" s="187">
        <v>2</v>
      </c>
      <c r="D40" s="7">
        <v>8.84</v>
      </c>
      <c r="E40" s="7">
        <v>296.08999999999997</v>
      </c>
      <c r="F40" s="7">
        <v>104.77</v>
      </c>
      <c r="G40" s="8">
        <f t="shared" si="0"/>
        <v>34.499640521756994</v>
      </c>
      <c r="H40" s="186">
        <v>1</v>
      </c>
      <c r="I40" s="7">
        <f t="shared" si="1"/>
        <v>2.2079769933924478</v>
      </c>
      <c r="J40" s="7">
        <f t="shared" si="2"/>
        <v>0.40888462840600881</v>
      </c>
      <c r="K40" s="7">
        <f t="shared" si="3"/>
        <v>40.88846284060088</v>
      </c>
      <c r="L40" s="187"/>
      <c r="M40" s="31"/>
      <c r="N40" s="31"/>
      <c r="O40" s="31"/>
      <c r="P40" s="31" t="str">
        <f t="shared" si="4"/>
        <v/>
      </c>
      <c r="Q40" s="31" t="str">
        <f t="shared" si="5"/>
        <v/>
      </c>
      <c r="R40" s="14">
        <f t="shared" si="21"/>
        <v>0</v>
      </c>
      <c r="S40" s="7">
        <v>1166.07</v>
      </c>
      <c r="T40" s="7">
        <v>194.84</v>
      </c>
      <c r="U40" s="7">
        <v>61.69</v>
      </c>
      <c r="V40" s="7">
        <f t="shared" si="7"/>
        <v>29.980016827934371</v>
      </c>
      <c r="W40" s="7">
        <f t="shared" si="8"/>
        <v>0.34958798222549425</v>
      </c>
      <c r="X40" s="14">
        <f t="shared" si="22"/>
        <v>34.958798222549426</v>
      </c>
      <c r="Y40" s="7">
        <v>108.42</v>
      </c>
      <c r="Z40" s="7">
        <v>80.319999999999993</v>
      </c>
      <c r="AA40" s="7">
        <v>36.14</v>
      </c>
      <c r="AB40" s="7">
        <f t="shared" si="10"/>
        <v>41.591750396615559</v>
      </c>
      <c r="AC40" s="7">
        <f t="shared" si="11"/>
        <v>4.5093775780010587E-2</v>
      </c>
      <c r="AD40" s="14">
        <f t="shared" si="23"/>
        <v>4.5093775780010592</v>
      </c>
      <c r="AE40" s="7"/>
      <c r="AF40" s="40"/>
      <c r="AG40" s="40"/>
      <c r="AH40" s="40" t="str">
        <f t="shared" si="13"/>
        <v/>
      </c>
      <c r="AI40" s="40" t="str">
        <f t="shared" si="14"/>
        <v/>
      </c>
      <c r="AJ40" s="14">
        <f t="shared" si="15"/>
        <v>0</v>
      </c>
      <c r="AK40" s="14">
        <f t="shared" si="16"/>
        <v>4.5093775780010592</v>
      </c>
      <c r="AL40" s="14">
        <f t="shared" si="17"/>
        <v>34.958798222549426</v>
      </c>
      <c r="AM40" s="124">
        <f t="shared" si="18"/>
        <v>88.574649102636855</v>
      </c>
      <c r="AN40" s="40">
        <f t="shared" si="19"/>
        <v>11.425350897363147</v>
      </c>
      <c r="AO40" s="40">
        <f t="shared" si="20"/>
        <v>0</v>
      </c>
    </row>
    <row r="41" spans="2:41" x14ac:dyDescent="0.3">
      <c r="B41" s="186" t="s">
        <v>11</v>
      </c>
      <c r="C41" s="187">
        <v>3</v>
      </c>
      <c r="D41" s="7">
        <v>7.44</v>
      </c>
      <c r="E41" s="7">
        <v>263.26</v>
      </c>
      <c r="F41" s="7">
        <v>91.41</v>
      </c>
      <c r="G41" s="8">
        <f t="shared" si="0"/>
        <v>33.715189385173183</v>
      </c>
      <c r="H41" s="186">
        <v>1</v>
      </c>
      <c r="I41" s="7">
        <f t="shared" si="1"/>
        <v>1.685759469258659</v>
      </c>
      <c r="J41" s="7">
        <f t="shared" si="2"/>
        <v>0.31217767949234426</v>
      </c>
      <c r="K41" s="7">
        <f t="shared" si="3"/>
        <v>31.217767949234425</v>
      </c>
      <c r="L41" s="187"/>
      <c r="M41" s="31"/>
      <c r="N41" s="31"/>
      <c r="O41" s="31"/>
      <c r="P41" s="31" t="str">
        <f t="shared" si="4"/>
        <v/>
      </c>
      <c r="Q41" s="31" t="str">
        <f t="shared" si="5"/>
        <v/>
      </c>
      <c r="R41" s="14">
        <f t="shared" si="21"/>
        <v>0</v>
      </c>
      <c r="S41" s="7">
        <v>495.04</v>
      </c>
      <c r="T41" s="7">
        <v>146.38</v>
      </c>
      <c r="U41" s="7">
        <v>55.26</v>
      </c>
      <c r="V41" s="7">
        <f t="shared" si="7"/>
        <v>35.695130557515881</v>
      </c>
      <c r="W41" s="7">
        <f t="shared" si="8"/>
        <v>0.17670517431192662</v>
      </c>
      <c r="X41" s="14">
        <f t="shared" si="22"/>
        <v>17.67051743119266</v>
      </c>
      <c r="Y41" s="7">
        <v>114.63</v>
      </c>
      <c r="Z41" s="7">
        <v>74.23</v>
      </c>
      <c r="AA41" s="7">
        <v>39.79</v>
      </c>
      <c r="AB41" s="7">
        <f t="shared" si="10"/>
        <v>50.481667864845427</v>
      </c>
      <c r="AC41" s="7">
        <f t="shared" si="11"/>
        <v>5.7867135873472308E-2</v>
      </c>
      <c r="AD41" s="14">
        <f t="shared" si="23"/>
        <v>5.7867135873472311</v>
      </c>
      <c r="AE41" s="7"/>
      <c r="AF41" s="40"/>
      <c r="AG41" s="40"/>
      <c r="AH41" s="40" t="str">
        <f t="shared" si="13"/>
        <v/>
      </c>
      <c r="AI41" s="40" t="str">
        <f t="shared" si="14"/>
        <v/>
      </c>
      <c r="AJ41" s="14">
        <f t="shared" si="15"/>
        <v>0</v>
      </c>
      <c r="AK41" s="14">
        <f t="shared" si="16"/>
        <v>5.7867135873472311</v>
      </c>
      <c r="AL41" s="14">
        <f t="shared" si="17"/>
        <v>17.67051743119266</v>
      </c>
      <c r="AM41" s="124">
        <f t="shared" si="18"/>
        <v>75.330789969312292</v>
      </c>
      <c r="AN41" s="40">
        <f t="shared" si="19"/>
        <v>24.669210030687704</v>
      </c>
      <c r="AO41" s="40">
        <f t="shared" si="20"/>
        <v>0</v>
      </c>
    </row>
    <row r="42" spans="2:41" x14ac:dyDescent="0.3">
      <c r="B42" s="186" t="s">
        <v>11</v>
      </c>
      <c r="C42" s="187">
        <v>4</v>
      </c>
      <c r="D42" s="7">
        <v>6.5</v>
      </c>
      <c r="E42" s="7">
        <v>310.95999999999998</v>
      </c>
      <c r="F42" s="7">
        <v>118.39</v>
      </c>
      <c r="G42" s="8">
        <f t="shared" si="0"/>
        <v>37.265441751368265</v>
      </c>
      <c r="H42" s="186">
        <v>1</v>
      </c>
      <c r="I42" s="7">
        <f t="shared" si="1"/>
        <v>1.5129769351055518</v>
      </c>
      <c r="J42" s="7">
        <f t="shared" si="2"/>
        <v>0.28018091390843547</v>
      </c>
      <c r="K42" s="7">
        <f t="shared" si="3"/>
        <v>28.018091390843548</v>
      </c>
      <c r="L42" s="187"/>
      <c r="M42" s="31"/>
      <c r="N42" s="31"/>
      <c r="O42" s="31"/>
      <c r="P42" s="31" t="str">
        <f t="shared" si="4"/>
        <v/>
      </c>
      <c r="Q42" s="31" t="str">
        <f t="shared" si="5"/>
        <v/>
      </c>
      <c r="R42" s="14">
        <f t="shared" si="21"/>
        <v>0</v>
      </c>
      <c r="S42" s="7">
        <v>670.82</v>
      </c>
      <c r="T42" s="7">
        <v>217.05</v>
      </c>
      <c r="U42" s="7">
        <v>81.05</v>
      </c>
      <c r="V42" s="7">
        <f t="shared" si="7"/>
        <v>35.96082309177379</v>
      </c>
      <c r="W42" s="7">
        <f t="shared" si="8"/>
        <v>0.24123239346423697</v>
      </c>
      <c r="X42" s="14">
        <f t="shared" si="22"/>
        <v>24.123239346423698</v>
      </c>
      <c r="Y42" s="7">
        <v>74.2</v>
      </c>
      <c r="Z42" s="7">
        <v>75.819999999999993</v>
      </c>
      <c r="AA42" s="7">
        <v>36.159999999999997</v>
      </c>
      <c r="AB42" s="7">
        <f t="shared" si="10"/>
        <v>44.250773123418611</v>
      </c>
      <c r="AC42" s="7">
        <f t="shared" si="11"/>
        <v>3.283407365757661E-2</v>
      </c>
      <c r="AD42" s="14">
        <f t="shared" si="23"/>
        <v>3.2834073657576606</v>
      </c>
      <c r="AE42" s="7"/>
      <c r="AF42" s="40"/>
      <c r="AG42" s="40"/>
      <c r="AH42" s="40" t="str">
        <f t="shared" si="13"/>
        <v/>
      </c>
      <c r="AI42" s="40" t="str">
        <f t="shared" si="14"/>
        <v/>
      </c>
      <c r="AJ42" s="14">
        <f t="shared" si="15"/>
        <v>0</v>
      </c>
      <c r="AK42" s="14">
        <f t="shared" si="16"/>
        <v>3.2834073657576606</v>
      </c>
      <c r="AL42" s="14">
        <f t="shared" si="17"/>
        <v>24.123239346423698</v>
      </c>
      <c r="AM42" s="124">
        <f t="shared" si="18"/>
        <v>88.019667636689405</v>
      </c>
      <c r="AN42" s="40">
        <f t="shared" si="19"/>
        <v>11.980332363310588</v>
      </c>
      <c r="AO42" s="40">
        <f t="shared" si="20"/>
        <v>0</v>
      </c>
    </row>
    <row r="43" spans="2:41" x14ac:dyDescent="0.3">
      <c r="B43" s="186" t="s">
        <v>11</v>
      </c>
      <c r="C43" s="187">
        <v>5</v>
      </c>
      <c r="D43" s="7">
        <v>5.46</v>
      </c>
      <c r="E43" s="7">
        <v>245.97</v>
      </c>
      <c r="F43" s="7">
        <v>97.31</v>
      </c>
      <c r="G43" s="8">
        <f t="shared" si="0"/>
        <v>38.562631731206345</v>
      </c>
      <c r="H43" s="186">
        <v>1</v>
      </c>
      <c r="I43" s="7">
        <f t="shared" si="1"/>
        <v>1.1645914782824316</v>
      </c>
      <c r="J43" s="7">
        <f t="shared" si="2"/>
        <v>0.21566508857082065</v>
      </c>
      <c r="K43" s="7">
        <f t="shared" si="3"/>
        <v>21.566508857082063</v>
      </c>
      <c r="L43" s="187"/>
      <c r="M43" s="31"/>
      <c r="N43" s="31"/>
      <c r="O43" s="31"/>
      <c r="P43" s="31" t="str">
        <f t="shared" si="4"/>
        <v/>
      </c>
      <c r="Q43" s="31" t="str">
        <f t="shared" si="5"/>
        <v/>
      </c>
      <c r="R43" s="14">
        <f t="shared" si="21"/>
        <v>0</v>
      </c>
      <c r="S43" s="228">
        <v>713.43</v>
      </c>
      <c r="T43" s="228">
        <v>239.95</v>
      </c>
      <c r="U43" s="228">
        <v>74.760000000000005</v>
      </c>
      <c r="V43" s="229">
        <f t="shared" si="7"/>
        <v>29.787053172950234</v>
      </c>
      <c r="W43" s="229">
        <f t="shared" si="8"/>
        <v>0.21250977345177885</v>
      </c>
      <c r="X43" s="14">
        <f t="shared" si="22"/>
        <v>21.250977345177883</v>
      </c>
      <c r="Y43" s="7">
        <v>149.35</v>
      </c>
      <c r="Z43" s="7">
        <v>112.22</v>
      </c>
      <c r="AA43" s="7">
        <v>59.78</v>
      </c>
      <c r="AB43" s="7">
        <f t="shared" si="10"/>
        <v>51.236749116607783</v>
      </c>
      <c r="AC43" s="7">
        <f t="shared" si="11"/>
        <v>7.6522084805653715E-2</v>
      </c>
      <c r="AD43" s="14">
        <f t="shared" si="23"/>
        <v>7.6522084805653723</v>
      </c>
      <c r="AE43" s="7"/>
      <c r="AF43" s="40"/>
      <c r="AG43" s="40"/>
      <c r="AH43" s="40" t="str">
        <f t="shared" si="13"/>
        <v/>
      </c>
      <c r="AI43" s="40" t="str">
        <f t="shared" si="14"/>
        <v/>
      </c>
      <c r="AJ43" s="14"/>
      <c r="AK43" s="14"/>
      <c r="AL43" s="14"/>
      <c r="AM43" s="124"/>
      <c r="AN43" s="40"/>
      <c r="AO43" s="40"/>
    </row>
    <row r="44" spans="2:41" x14ac:dyDescent="0.3">
      <c r="B44" s="186" t="s">
        <v>11</v>
      </c>
      <c r="C44" s="187">
        <v>6</v>
      </c>
      <c r="D44" s="7">
        <v>9.44</v>
      </c>
      <c r="E44" s="7">
        <v>356.44</v>
      </c>
      <c r="F44" s="7">
        <v>123.66</v>
      </c>
      <c r="G44" s="8">
        <f t="shared" si="0"/>
        <v>33.951878333900801</v>
      </c>
      <c r="H44" s="186">
        <v>1</v>
      </c>
      <c r="I44" s="7">
        <f t="shared" si="1"/>
        <v>2.3766314833730564</v>
      </c>
      <c r="J44" s="7">
        <f t="shared" si="2"/>
        <v>0.44011694136538076</v>
      </c>
      <c r="K44" s="7">
        <f t="shared" si="3"/>
        <v>44.011694136538082</v>
      </c>
      <c r="L44" s="187"/>
      <c r="M44" s="7">
        <v>491.83</v>
      </c>
      <c r="N44" s="7">
        <v>127.76</v>
      </c>
      <c r="O44" s="7">
        <v>56.18</v>
      </c>
      <c r="P44" s="7">
        <f t="shared" si="4"/>
        <v>41.84270393240169</v>
      </c>
      <c r="Q44" s="7">
        <f t="shared" si="5"/>
        <v>0.20579497075073125</v>
      </c>
      <c r="R44" s="14">
        <f t="shared" si="21"/>
        <v>20.579497075073121</v>
      </c>
      <c r="S44" s="7">
        <v>380.15</v>
      </c>
      <c r="T44" s="7">
        <v>169.68</v>
      </c>
      <c r="U44" s="7">
        <v>66.77</v>
      </c>
      <c r="V44" s="7">
        <f t="shared" si="7"/>
        <v>37.630303030303033</v>
      </c>
      <c r="W44" s="7">
        <f t="shared" si="8"/>
        <v>0.14305159696969696</v>
      </c>
      <c r="X44" s="14">
        <f t="shared" si="22"/>
        <v>14.305159696969698</v>
      </c>
      <c r="Y44" s="31"/>
      <c r="Z44" s="31"/>
      <c r="AA44" s="31"/>
      <c r="AB44" s="31" t="str">
        <f t="shared" si="10"/>
        <v/>
      </c>
      <c r="AC44" s="31" t="str">
        <f t="shared" si="11"/>
        <v/>
      </c>
      <c r="AD44" s="14">
        <f t="shared" si="23"/>
        <v>0</v>
      </c>
      <c r="AE44" s="7"/>
      <c r="AF44" s="40"/>
      <c r="AG44" s="40"/>
      <c r="AH44" s="40" t="str">
        <f t="shared" si="13"/>
        <v/>
      </c>
      <c r="AI44" s="40" t="str">
        <f t="shared" si="14"/>
        <v/>
      </c>
      <c r="AJ44" s="14">
        <f t="shared" si="15"/>
        <v>0</v>
      </c>
      <c r="AK44" s="14">
        <f t="shared" si="16"/>
        <v>20.579497075073121</v>
      </c>
      <c r="AL44" s="14">
        <f t="shared" si="17"/>
        <v>14.305159696969698</v>
      </c>
      <c r="AM44" s="124">
        <f t="shared" si="18"/>
        <v>41.007024350126635</v>
      </c>
      <c r="AN44" s="40">
        <f t="shared" si="19"/>
        <v>58.992975649873372</v>
      </c>
      <c r="AO44" s="40">
        <f t="shared" si="20"/>
        <v>0</v>
      </c>
    </row>
    <row r="45" spans="2:41" x14ac:dyDescent="0.3">
      <c r="B45" s="186" t="s">
        <v>11</v>
      </c>
      <c r="C45" s="187">
        <v>7</v>
      </c>
      <c r="D45" s="7">
        <v>9.1199999999999992</v>
      </c>
      <c r="E45" s="7">
        <v>374.63</v>
      </c>
      <c r="F45" s="7">
        <v>136.88</v>
      </c>
      <c r="G45" s="8">
        <f t="shared" si="0"/>
        <v>35.852467420338343</v>
      </c>
      <c r="H45" s="186">
        <v>1</v>
      </c>
      <c r="I45" s="7">
        <f t="shared" si="1"/>
        <v>2.3949448236786011</v>
      </c>
      <c r="J45" s="7">
        <f t="shared" si="2"/>
        <v>0.44350830068122238</v>
      </c>
      <c r="K45" s="7">
        <f t="shared" si="3"/>
        <v>44.350830068122242</v>
      </c>
      <c r="L45" s="187"/>
      <c r="M45" s="7">
        <v>510.46</v>
      </c>
      <c r="N45" s="7">
        <v>193.23</v>
      </c>
      <c r="O45" s="7">
        <v>73.06</v>
      </c>
      <c r="P45" s="7">
        <f t="shared" si="4"/>
        <v>36.266242376027577</v>
      </c>
      <c r="Q45" s="7">
        <f t="shared" si="5"/>
        <v>0.18512466083267037</v>
      </c>
      <c r="R45" s="14">
        <f t="shared" si="21"/>
        <v>18.512466083267039</v>
      </c>
      <c r="S45" s="7">
        <v>526.61</v>
      </c>
      <c r="T45" s="7">
        <v>172.61</v>
      </c>
      <c r="U45" s="7">
        <v>57.31</v>
      </c>
      <c r="V45" s="7">
        <f t="shared" si="7"/>
        <v>31.340439468826297</v>
      </c>
      <c r="W45" s="7">
        <f t="shared" si="8"/>
        <v>0.16504188828678615</v>
      </c>
      <c r="X45" s="14">
        <f t="shared" si="22"/>
        <v>16.504188828678615</v>
      </c>
      <c r="Y45" s="31"/>
      <c r="Z45" s="31"/>
      <c r="AA45" s="31"/>
      <c r="AB45" s="31" t="str">
        <f t="shared" si="10"/>
        <v/>
      </c>
      <c r="AC45" s="31" t="str">
        <f t="shared" si="11"/>
        <v/>
      </c>
      <c r="AD45" s="14">
        <f t="shared" si="23"/>
        <v>0</v>
      </c>
      <c r="AE45" s="7"/>
      <c r="AF45" s="40"/>
      <c r="AG45" s="40"/>
      <c r="AH45" s="40" t="str">
        <f t="shared" si="13"/>
        <v/>
      </c>
      <c r="AI45" s="40" t="str">
        <f t="shared" si="14"/>
        <v/>
      </c>
      <c r="AJ45" s="14">
        <f t="shared" si="15"/>
        <v>0</v>
      </c>
      <c r="AK45" s="14">
        <f t="shared" si="16"/>
        <v>18.512466083267039</v>
      </c>
      <c r="AL45" s="14">
        <f t="shared" si="17"/>
        <v>16.504188828678615</v>
      </c>
      <c r="AM45" s="124">
        <f t="shared" si="18"/>
        <v>47.132397055574671</v>
      </c>
      <c r="AN45" s="40">
        <f t="shared" si="19"/>
        <v>52.867602944425343</v>
      </c>
      <c r="AO45" s="40">
        <f t="shared" si="20"/>
        <v>0</v>
      </c>
    </row>
    <row r="46" spans="2:41" x14ac:dyDescent="0.3">
      <c r="B46" s="186" t="s">
        <v>11</v>
      </c>
      <c r="C46" s="187">
        <v>8</v>
      </c>
      <c r="D46" s="7">
        <v>7.72</v>
      </c>
      <c r="E46" s="172">
        <v>396.81</v>
      </c>
      <c r="F46" s="7">
        <v>148.78</v>
      </c>
      <c r="G46" s="8">
        <f t="shared" si="0"/>
        <v>36.857513810748202</v>
      </c>
      <c r="H46" s="186">
        <v>1</v>
      </c>
      <c r="I46" s="7">
        <f t="shared" si="1"/>
        <v>1.9460767292075047</v>
      </c>
      <c r="J46" s="7">
        <f t="shared" si="2"/>
        <v>0.36038457948287123</v>
      </c>
      <c r="K46" s="7">
        <f t="shared" si="3"/>
        <v>36.038457948287125</v>
      </c>
      <c r="L46" s="187"/>
      <c r="M46" s="7">
        <v>1722.64</v>
      </c>
      <c r="N46" s="7">
        <v>142.5</v>
      </c>
      <c r="O46" s="7">
        <v>59.43</v>
      </c>
      <c r="P46" s="7">
        <f t="shared" si="4"/>
        <v>39.725729212015679</v>
      </c>
      <c r="Q46" s="7">
        <f t="shared" si="5"/>
        <v>0.68433130169786693</v>
      </c>
      <c r="R46" s="14">
        <f t="shared" si="21"/>
        <v>68.433130169786693</v>
      </c>
      <c r="S46" s="7">
        <v>52.93</v>
      </c>
      <c r="T46" s="7">
        <v>56.43</v>
      </c>
      <c r="U46" s="7">
        <v>24.59</v>
      </c>
      <c r="V46" s="7">
        <f t="shared" si="7"/>
        <v>38.473429951690825</v>
      </c>
      <c r="W46" s="7">
        <f t="shared" si="8"/>
        <v>2.0363986473429952E-2</v>
      </c>
      <c r="X46" s="14">
        <f t="shared" si="22"/>
        <v>2.0363986473429954</v>
      </c>
      <c r="Y46" s="31"/>
      <c r="Z46" s="31"/>
      <c r="AA46" s="31"/>
      <c r="AB46" s="31" t="str">
        <f t="shared" si="10"/>
        <v/>
      </c>
      <c r="AC46" s="31" t="str">
        <f t="shared" si="11"/>
        <v/>
      </c>
      <c r="AD46" s="14">
        <f t="shared" si="23"/>
        <v>0</v>
      </c>
      <c r="AE46" s="7"/>
      <c r="AF46" s="40"/>
      <c r="AG46" s="40"/>
      <c r="AH46" s="40" t="str">
        <f t="shared" si="13"/>
        <v/>
      </c>
      <c r="AI46" s="40" t="str">
        <f t="shared" si="14"/>
        <v/>
      </c>
      <c r="AJ46" s="14">
        <f t="shared" si="15"/>
        <v>0</v>
      </c>
      <c r="AK46" s="14">
        <f t="shared" si="16"/>
        <v>68.433130169786693</v>
      </c>
      <c r="AL46" s="14">
        <f t="shared" si="17"/>
        <v>2.0363986473429954</v>
      </c>
      <c r="AM46" s="124">
        <f t="shared" si="18"/>
        <v>2.8897577173071562</v>
      </c>
      <c r="AN46" s="40">
        <f t="shared" si="19"/>
        <v>97.110242282692852</v>
      </c>
      <c r="AO46" s="40">
        <f t="shared" si="20"/>
        <v>0</v>
      </c>
    </row>
    <row r="47" spans="2:41" x14ac:dyDescent="0.3">
      <c r="B47" s="186" t="s">
        <v>11</v>
      </c>
      <c r="C47" s="187">
        <v>9</v>
      </c>
      <c r="D47" s="7">
        <v>7</v>
      </c>
      <c r="E47" s="7">
        <v>316.99</v>
      </c>
      <c r="F47" s="7">
        <v>115.52</v>
      </c>
      <c r="G47" s="8">
        <f t="shared" si="0"/>
        <v>35.630531326879449</v>
      </c>
      <c r="H47" s="186">
        <v>1</v>
      </c>
      <c r="I47" s="7">
        <f t="shared" si="1"/>
        <v>1.624752228505703</v>
      </c>
      <c r="J47" s="7">
        <f t="shared" si="2"/>
        <v>0.3008800423158709</v>
      </c>
      <c r="K47" s="7">
        <f t="shared" si="3"/>
        <v>30.088004231587089</v>
      </c>
      <c r="L47" s="187"/>
      <c r="M47" s="7">
        <v>891.98</v>
      </c>
      <c r="N47" s="7">
        <v>181.09</v>
      </c>
      <c r="O47" s="7">
        <v>74.09</v>
      </c>
      <c r="P47" s="7">
        <f t="shared" si="4"/>
        <v>39.345842072444867</v>
      </c>
      <c r="Q47" s="7">
        <f t="shared" si="5"/>
        <v>0.35095704211779377</v>
      </c>
      <c r="R47" s="14">
        <f t="shared" si="21"/>
        <v>35.095704211779378</v>
      </c>
      <c r="S47" s="31"/>
      <c r="T47" s="31"/>
      <c r="U47" s="31"/>
      <c r="V47" s="31" t="str">
        <f t="shared" si="7"/>
        <v/>
      </c>
      <c r="W47" s="31" t="str">
        <f t="shared" si="8"/>
        <v/>
      </c>
      <c r="X47" s="14">
        <f t="shared" si="22"/>
        <v>0</v>
      </c>
      <c r="Y47" s="31"/>
      <c r="Z47" s="31"/>
      <c r="AA47" s="31"/>
      <c r="AB47" s="31" t="str">
        <f t="shared" si="10"/>
        <v/>
      </c>
      <c r="AC47" s="31" t="str">
        <f t="shared" si="11"/>
        <v/>
      </c>
      <c r="AD47" s="14">
        <f t="shared" si="23"/>
        <v>0</v>
      </c>
      <c r="AE47" s="7"/>
      <c r="AF47" s="40"/>
      <c r="AG47" s="40"/>
      <c r="AH47" s="40" t="str">
        <f t="shared" si="13"/>
        <v/>
      </c>
      <c r="AI47" s="40" t="str">
        <f t="shared" si="14"/>
        <v/>
      </c>
      <c r="AJ47" s="14">
        <f t="shared" si="15"/>
        <v>0</v>
      </c>
      <c r="AK47" s="14">
        <f t="shared" si="16"/>
        <v>35.095704211779378</v>
      </c>
      <c r="AL47" s="14"/>
      <c r="AM47" s="124" t="str">
        <f t="shared" si="18"/>
        <v/>
      </c>
      <c r="AN47" s="40">
        <f t="shared" si="19"/>
        <v>100</v>
      </c>
      <c r="AO47" s="40">
        <f t="shared" si="20"/>
        <v>0</v>
      </c>
    </row>
  </sheetData>
  <autoFilter ref="B11:AK11" xr:uid="{00000000-0009-0000-0000-000000000000}">
    <sortState xmlns:xlrd2="http://schemas.microsoft.com/office/spreadsheetml/2017/richdata2" ref="B12:AJ47">
      <sortCondition ref="B11"/>
    </sortState>
  </autoFilter>
  <conditionalFormatting sqref="G12:G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7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C047-11DE-40DB-A4C0-B1F6773950AA}">
  <sheetPr>
    <tabColor theme="4" tint="0.79998168889431442"/>
  </sheetPr>
  <dimension ref="B2:AO47"/>
  <sheetViews>
    <sheetView zoomScale="62" zoomScaleNormal="62" workbookViewId="0">
      <selection activeCell="N34" sqref="N34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3" width="9.08203125" style="186" customWidth="1"/>
    <col min="4" max="4" width="14.6640625" style="186" customWidth="1"/>
    <col min="5" max="5" width="10.6640625" style="186"/>
    <col min="6" max="6" width="10.08203125" style="186" customWidth="1"/>
    <col min="7" max="7" width="11.6640625" style="186" customWidth="1"/>
    <col min="8" max="8" width="9.9140625" style="186" customWidth="1"/>
    <col min="9" max="9" width="15.4140625" style="186" customWidth="1"/>
    <col min="10" max="10" width="11" style="186" bestFit="1" customWidth="1"/>
    <col min="11" max="11" width="10.4140625" style="186" bestFit="1" customWidth="1"/>
    <col min="12" max="12" width="9.58203125" style="186" customWidth="1"/>
    <col min="13" max="13" width="11.6640625" style="186" customWidth="1"/>
    <col min="14" max="15" width="8.08203125" style="186" bestFit="1" customWidth="1"/>
    <col min="16" max="16" width="8.08203125" style="186" customWidth="1"/>
    <col min="17" max="17" width="12.4140625" style="186" bestFit="1" customWidth="1"/>
    <col min="18" max="18" width="11.6640625" style="186" bestFit="1" customWidth="1"/>
    <col min="19" max="19" width="9.9140625" style="186" customWidth="1"/>
    <col min="20" max="20" width="8.9140625" style="186" customWidth="1"/>
    <col min="21" max="21" width="8.08203125" style="186" bestFit="1" customWidth="1"/>
    <col min="22" max="22" width="8.08203125" style="186" customWidth="1"/>
    <col min="23" max="23" width="12.4140625" style="186" bestFit="1" customWidth="1"/>
    <col min="24" max="24" width="11.6640625" style="186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37</v>
      </c>
    </row>
    <row r="4" spans="2:41" ht="14.5" thickBot="1" x14ac:dyDescent="0.35"/>
    <row r="5" spans="2:41" x14ac:dyDescent="0.3">
      <c r="D5" s="25" t="s">
        <v>31</v>
      </c>
      <c r="E5" s="26">
        <v>2.44</v>
      </c>
      <c r="F5" s="27" t="s">
        <v>20</v>
      </c>
      <c r="M5" s="25" t="s">
        <v>21</v>
      </c>
      <c r="N5" s="26">
        <v>4.68</v>
      </c>
      <c r="O5" s="27" t="s">
        <v>22</v>
      </c>
      <c r="P5" s="224"/>
      <c r="Q5" s="34" t="s">
        <v>33</v>
      </c>
      <c r="R5" s="32"/>
      <c r="S5" s="32"/>
    </row>
    <row r="6" spans="2:41" x14ac:dyDescent="0.3">
      <c r="D6" s="29" t="s">
        <v>32</v>
      </c>
      <c r="E6" s="165">
        <v>4</v>
      </c>
      <c r="F6" s="30" t="s">
        <v>22</v>
      </c>
      <c r="M6" s="29"/>
      <c r="O6" s="30"/>
      <c r="P6" s="224"/>
      <c r="Q6" s="224"/>
      <c r="R6" s="224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224"/>
      <c r="Q7" s="224"/>
      <c r="R7" s="224"/>
    </row>
    <row r="9" spans="2:41" x14ac:dyDescent="0.3">
      <c r="C9" s="187"/>
      <c r="D9" s="5" t="s">
        <v>5</v>
      </c>
      <c r="L9" s="187"/>
      <c r="M9" s="5" t="s">
        <v>13</v>
      </c>
      <c r="N9" s="185"/>
      <c r="O9" s="185"/>
      <c r="P9" s="185"/>
      <c r="Q9" s="185"/>
      <c r="R9" s="50"/>
      <c r="S9" s="5" t="s">
        <v>17</v>
      </c>
      <c r="T9" s="185"/>
      <c r="U9" s="185"/>
      <c r="V9" s="185"/>
      <c r="W9" s="185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187"/>
      <c r="D10" s="28" t="s">
        <v>30</v>
      </c>
      <c r="G10" s="28" t="s">
        <v>29</v>
      </c>
      <c r="L10" s="187"/>
      <c r="M10" s="28" t="s">
        <v>30</v>
      </c>
      <c r="N10" s="28"/>
      <c r="O10" s="28"/>
      <c r="P10" s="28" t="s">
        <v>29</v>
      </c>
      <c r="Q10" s="28"/>
      <c r="R10" s="46"/>
      <c r="S10" s="28" t="s">
        <v>30</v>
      </c>
      <c r="T10" s="28"/>
      <c r="U10" s="28"/>
      <c r="V10" s="28" t="s">
        <v>29</v>
      </c>
      <c r="W10" s="28"/>
      <c r="X10" s="46"/>
      <c r="Y10" s="28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186" t="s">
        <v>2</v>
      </c>
      <c r="C12" s="187">
        <v>1</v>
      </c>
      <c r="D12" s="7">
        <v>5.24</v>
      </c>
      <c r="E12" s="7">
        <v>253.17</v>
      </c>
      <c r="F12" s="7">
        <v>142.6</v>
      </c>
      <c r="G12" s="8">
        <f>((F12-$E$6)/(E12-$E$6))*100</f>
        <v>55.624673917405786</v>
      </c>
      <c r="H12" s="186">
        <v>1</v>
      </c>
      <c r="I12" s="7">
        <f>(D12-$E$5)*(G12/100)</f>
        <v>1.5574908696873622</v>
      </c>
      <c r="J12" s="7">
        <f>I12/($E$7*H12)</f>
        <v>0.28842423512728926</v>
      </c>
      <c r="K12" s="7">
        <f>J12*10000/100</f>
        <v>28.842423512728928</v>
      </c>
      <c r="L12" s="187"/>
      <c r="M12" s="31" t="str">
        <f>IF(N12&gt;0,N12-$N$5,"")</f>
        <v/>
      </c>
      <c r="N12" s="31"/>
      <c r="O12" s="31"/>
      <c r="P12" s="31" t="str">
        <f>IF(N12&gt;0,((O12-$N$5)/(N12-$N$5))*100,"")</f>
        <v/>
      </c>
      <c r="Q12" s="31" t="str">
        <f>IF(N12&gt;0,((P12/100)*M12)/$N$7/1000,"")</f>
        <v/>
      </c>
      <c r="R12" s="14">
        <f t="shared" ref="R12:R16" si="0">IF(N12&gt;0,Q12*10000/100,0)</f>
        <v>0</v>
      </c>
      <c r="S12" s="7">
        <v>400.3</v>
      </c>
      <c r="T12" s="7">
        <v>128.94</v>
      </c>
      <c r="U12" s="7">
        <v>57.91</v>
      </c>
      <c r="V12" s="7">
        <f>IF(T12&gt;0,((U12-$N$5)/(T12-$N$5))*100,"")</f>
        <v>42.837598583614998</v>
      </c>
      <c r="W12" s="7">
        <f>IF(T12&gt;0,((V12/100)*S12)/$N$7/1000,"")</f>
        <v>0.17147890713021086</v>
      </c>
      <c r="X12" s="14">
        <f t="shared" ref="X12:X16" si="1">IF(T12&gt;0,W12*10000/100,0)</f>
        <v>17.147890713021084</v>
      </c>
      <c r="Y12" s="31" t="str">
        <f>IF(Z12&gt;0,Z12-$N$5,"")</f>
        <v/>
      </c>
      <c r="Z12" s="31"/>
      <c r="AA12" s="31"/>
      <c r="AB12" s="31" t="str">
        <f>IF(Z12&gt;0,((AA12-$N$5)/(Z12-$N$5))*100,"")</f>
        <v/>
      </c>
      <c r="AC12" s="31" t="str">
        <f>IF(Z12&gt;0,((AB12/100)*Y12)/$N$7/1000,"")</f>
        <v/>
      </c>
      <c r="AD12" s="14">
        <f t="shared" ref="AD12:AD16" si="2">IF(Z12&gt;0,AC12*10000/100,0)</f>
        <v>0</v>
      </c>
      <c r="AE12" s="7"/>
      <c r="AF12" s="7"/>
      <c r="AG12" s="7"/>
      <c r="AH12" s="7" t="str">
        <f>IF(AE12&gt;0,((AG12-$N$5)/(AF12-$N$5))*100,"")</f>
        <v/>
      </c>
      <c r="AI12" s="7" t="str">
        <f>IF(AE12&gt;0,((AH12/100)*AE12)/$N$7/1000,"")</f>
        <v/>
      </c>
      <c r="AJ12" s="14">
        <f t="shared" ref="AJ12:AJ47" si="3">IF(AF12&gt;0,AI12*10000/100,0)</f>
        <v>0</v>
      </c>
      <c r="AK12" s="14"/>
      <c r="AL12" s="14">
        <f>X12</f>
        <v>17.147890713021084</v>
      </c>
      <c r="AM12" s="124">
        <f t="shared" ref="AM12:AM33" si="4">IF((100/SUM(AJ12:AL12)*AL12),(100/SUM(AJ12:AL12)*AL12),(100/SUM(AJ12:AL12)*AL12))</f>
        <v>100</v>
      </c>
      <c r="AN12" s="40" t="str">
        <f>IF((100/SUM(AJ12:AL12)*AK12),(100/SUM(AJ12:AL12)*AK12),"")</f>
        <v/>
      </c>
      <c r="AO12" s="40">
        <f>(100/SUM(AJ12:AL12)*AJ12)</f>
        <v>0</v>
      </c>
    </row>
    <row r="13" spans="2:41" x14ac:dyDescent="0.3">
      <c r="B13" s="186" t="s">
        <v>2</v>
      </c>
      <c r="C13" s="187">
        <v>2</v>
      </c>
      <c r="D13" s="7">
        <v>7.38</v>
      </c>
      <c r="E13" s="7">
        <v>216.42</v>
      </c>
      <c r="F13" s="7">
        <v>117.22</v>
      </c>
      <c r="G13" s="8">
        <f t="shared" ref="G13:G47" si="5">((F13-$E$6)/(E13-$E$6))*100</f>
        <v>53.300065907165049</v>
      </c>
      <c r="H13" s="186">
        <v>1</v>
      </c>
      <c r="I13" s="7">
        <f>(D13-$E$5)*(G13/100)</f>
        <v>2.6330232558139532</v>
      </c>
      <c r="J13" s="7">
        <f t="shared" ref="J13:J47" si="6">I13/($E$7*H13)</f>
        <v>0.48759689922480615</v>
      </c>
      <c r="K13" s="7">
        <f t="shared" ref="K13:K47" si="7">J13*10000/100</f>
        <v>48.759689922480611</v>
      </c>
      <c r="L13" s="187"/>
      <c r="M13" s="31" t="str">
        <f t="shared" ref="M13:M47" si="8">IF(N13&gt;0,N13-$N$5,"")</f>
        <v/>
      </c>
      <c r="N13" s="31"/>
      <c r="O13" s="31"/>
      <c r="P13" s="31" t="str">
        <f t="shared" ref="P13:P47" si="9">IF(N13&gt;0,((O13-$N$5)/(N13-$N$5))*100,"")</f>
        <v/>
      </c>
      <c r="Q13" s="31" t="str">
        <f t="shared" ref="Q13:Q47" si="10">IF(N13&gt;0,((P13/100)*M13)/$N$7/1000,"")</f>
        <v/>
      </c>
      <c r="R13" s="14">
        <f t="shared" si="0"/>
        <v>0</v>
      </c>
      <c r="S13" s="7">
        <v>538.99</v>
      </c>
      <c r="T13" s="7">
        <v>170.67</v>
      </c>
      <c r="U13" s="7">
        <v>69.62</v>
      </c>
      <c r="V13" s="7">
        <f t="shared" ref="V13:V47" si="11">IF(T13&gt;0,((U13-$N$5)/(T13-$N$5))*100,"")</f>
        <v>39.122838725224412</v>
      </c>
      <c r="W13" s="7">
        <f t="shared" ref="W13:W47" si="12">IF(T13&gt;0,((V13/100)*S13)/$N$7/1000,"")</f>
        <v>0.21086818844508706</v>
      </c>
      <c r="X13" s="14">
        <f t="shared" si="1"/>
        <v>21.086818844508706</v>
      </c>
      <c r="Y13" s="7">
        <f>IF(Z13&gt;0,Z13-$N$5,"")</f>
        <v>84.449999999999989</v>
      </c>
      <c r="Z13" s="7">
        <v>89.13</v>
      </c>
      <c r="AA13" s="7">
        <v>49.28</v>
      </c>
      <c r="AB13" s="7">
        <f t="shared" ref="AB13:AB47" si="13">IF(Z13&gt;0,((AA13-$N$5)/(Z13-$N$5))*100,"")</f>
        <v>52.812314979277687</v>
      </c>
      <c r="AC13" s="7">
        <f t="shared" ref="AC13:AC47" si="14">IF(Z13&gt;0,((AB13/100)*Y13)/$N$7/1000,"")</f>
        <v>4.4600000000000001E-2</v>
      </c>
      <c r="AD13" s="14">
        <f t="shared" si="2"/>
        <v>4.46</v>
      </c>
      <c r="AE13" s="7"/>
      <c r="AF13" s="7"/>
      <c r="AG13" s="7"/>
      <c r="AH13" s="7" t="str">
        <f t="shared" ref="AH13:AH47" si="15">IF(AE13&gt;0,((AG13-$N$5)/(AF13-$N$5))*100,"")</f>
        <v/>
      </c>
      <c r="AI13" s="7" t="str">
        <f t="shared" ref="AI13:AI47" si="16">IF(AE13&gt;0,((AH13/100)*AE13)/$N$7/1000,"")</f>
        <v/>
      </c>
      <c r="AJ13" s="14">
        <f t="shared" si="3"/>
        <v>0</v>
      </c>
      <c r="AK13" s="14">
        <f t="shared" ref="AK13:AK47" si="17">R13+AD13</f>
        <v>4.46</v>
      </c>
      <c r="AL13" s="14">
        <f t="shared" ref="AL13:AL46" si="18">X13</f>
        <v>21.086818844508706</v>
      </c>
      <c r="AM13" s="124">
        <f t="shared" si="4"/>
        <v>82.541857649103434</v>
      </c>
      <c r="AN13" s="40">
        <f t="shared" ref="AN13:AN47" si="19">IF((100/SUM(AJ13:AL13)*AK13),(100/SUM(AJ13:AL13)*AK13),"")</f>
        <v>17.458142350896569</v>
      </c>
      <c r="AO13" s="40">
        <f t="shared" ref="AO13:AO47" si="20">(100/SUM(AJ13:AL13)*AJ13)</f>
        <v>0</v>
      </c>
    </row>
    <row r="14" spans="2:41" x14ac:dyDescent="0.3">
      <c r="B14" s="186" t="s">
        <v>2</v>
      </c>
      <c r="C14" s="187">
        <v>3</v>
      </c>
      <c r="D14" s="7">
        <v>6.72</v>
      </c>
      <c r="E14" s="7">
        <v>238.28</v>
      </c>
      <c r="F14" s="7">
        <v>111.1</v>
      </c>
      <c r="G14" s="8">
        <f t="shared" si="5"/>
        <v>45.714529622673723</v>
      </c>
      <c r="H14" s="186">
        <v>1</v>
      </c>
      <c r="I14" s="7">
        <f t="shared" ref="I14:I47" si="21">(D14-$E$5)*(G14/100)</f>
        <v>1.956581867850435</v>
      </c>
      <c r="J14" s="7">
        <f t="shared" si="6"/>
        <v>0.36232997552785828</v>
      </c>
      <c r="K14" s="7">
        <f t="shared" si="7"/>
        <v>36.232997552785825</v>
      </c>
      <c r="L14" s="187"/>
      <c r="M14" s="31" t="str">
        <f t="shared" si="8"/>
        <v/>
      </c>
      <c r="N14" s="31"/>
      <c r="O14" s="31"/>
      <c r="P14" s="31" t="str">
        <f t="shared" si="9"/>
        <v/>
      </c>
      <c r="Q14" s="31" t="str">
        <f t="shared" si="10"/>
        <v/>
      </c>
      <c r="R14" s="14">
        <f t="shared" si="0"/>
        <v>0</v>
      </c>
      <c r="S14" s="7">
        <v>350.26</v>
      </c>
      <c r="T14" s="7">
        <v>123.2</v>
      </c>
      <c r="U14" s="7">
        <v>60.08</v>
      </c>
      <c r="V14" s="7">
        <f t="shared" si="11"/>
        <v>46.743165710428613</v>
      </c>
      <c r="W14" s="7">
        <f t="shared" si="12"/>
        <v>0.16372261221734727</v>
      </c>
      <c r="X14" s="14">
        <f t="shared" si="1"/>
        <v>16.372261221734728</v>
      </c>
      <c r="Y14" s="7">
        <f t="shared" ref="Y14:Y47" si="22">IF(Z14&gt;0,Z14-$N$5,"")</f>
        <v>46.78</v>
      </c>
      <c r="Z14" s="7">
        <v>51.46</v>
      </c>
      <c r="AA14" s="7">
        <v>32.1</v>
      </c>
      <c r="AB14" s="7">
        <f t="shared" si="13"/>
        <v>58.614792646430104</v>
      </c>
      <c r="AC14" s="7">
        <f t="shared" si="14"/>
        <v>2.7420000000000003E-2</v>
      </c>
      <c r="AD14" s="14">
        <f t="shared" si="2"/>
        <v>2.7420000000000004</v>
      </c>
      <c r="AE14" s="7"/>
      <c r="AF14" s="7"/>
      <c r="AG14" s="7"/>
      <c r="AH14" s="7" t="str">
        <f t="shared" si="15"/>
        <v/>
      </c>
      <c r="AI14" s="7" t="str">
        <f t="shared" si="16"/>
        <v/>
      </c>
      <c r="AJ14" s="14">
        <f t="shared" si="3"/>
        <v>0</v>
      </c>
      <c r="AK14" s="14">
        <f t="shared" si="17"/>
        <v>2.7420000000000004</v>
      </c>
      <c r="AL14" s="14">
        <f t="shared" si="18"/>
        <v>16.372261221734728</v>
      </c>
      <c r="AM14" s="124">
        <f t="shared" si="4"/>
        <v>85.654690138470599</v>
      </c>
      <c r="AN14" s="40">
        <f t="shared" si="19"/>
        <v>14.345309861529392</v>
      </c>
      <c r="AO14" s="40">
        <f t="shared" si="20"/>
        <v>0</v>
      </c>
    </row>
    <row r="15" spans="2:41" x14ac:dyDescent="0.3">
      <c r="B15" s="186" t="s">
        <v>2</v>
      </c>
      <c r="C15" s="187">
        <v>4</v>
      </c>
      <c r="D15" s="7">
        <v>5.26</v>
      </c>
      <c r="E15" s="7">
        <v>257.14</v>
      </c>
      <c r="F15" s="7">
        <v>119.63</v>
      </c>
      <c r="G15" s="8">
        <f t="shared" si="5"/>
        <v>45.678280793236951</v>
      </c>
      <c r="H15" s="186">
        <v>1</v>
      </c>
      <c r="I15" s="7">
        <f t="shared" si="21"/>
        <v>1.288127518369282</v>
      </c>
      <c r="J15" s="7">
        <f t="shared" si="6"/>
        <v>0.2385421330313485</v>
      </c>
      <c r="K15" s="7">
        <f t="shared" si="7"/>
        <v>23.854213303134848</v>
      </c>
      <c r="L15" s="187"/>
      <c r="M15" s="31" t="str">
        <f t="shared" si="8"/>
        <v/>
      </c>
      <c r="N15" s="31"/>
      <c r="O15" s="31"/>
      <c r="P15" s="31" t="str">
        <f t="shared" si="9"/>
        <v/>
      </c>
      <c r="Q15" s="31" t="str">
        <f t="shared" si="10"/>
        <v/>
      </c>
      <c r="R15" s="14">
        <f t="shared" si="0"/>
        <v>0</v>
      </c>
      <c r="S15" s="7">
        <f>IF(T15&gt;0,T15-$N$5,"")</f>
        <v>206.12</v>
      </c>
      <c r="T15" s="7">
        <v>210.8</v>
      </c>
      <c r="U15" s="7">
        <v>94.25</v>
      </c>
      <c r="V15" s="7">
        <f t="shared" si="11"/>
        <v>43.455268775470593</v>
      </c>
      <c r="W15" s="7">
        <f t="shared" si="12"/>
        <v>8.9569999999999983E-2</v>
      </c>
      <c r="X15" s="14">
        <f t="shared" si="1"/>
        <v>8.956999999999999</v>
      </c>
      <c r="Y15" s="7">
        <f t="shared" si="22"/>
        <v>53.73</v>
      </c>
      <c r="Z15" s="7">
        <v>58.41</v>
      </c>
      <c r="AA15" s="7">
        <v>39.64</v>
      </c>
      <c r="AB15" s="7">
        <f t="shared" si="13"/>
        <v>65.066071096221862</v>
      </c>
      <c r="AC15" s="7">
        <f t="shared" si="14"/>
        <v>3.4960000000000005E-2</v>
      </c>
      <c r="AD15" s="14">
        <f t="shared" si="2"/>
        <v>3.4960000000000004</v>
      </c>
      <c r="AE15" s="7"/>
      <c r="AF15" s="7"/>
      <c r="AG15" s="7"/>
      <c r="AH15" s="7" t="str">
        <f t="shared" si="15"/>
        <v/>
      </c>
      <c r="AI15" s="7" t="str">
        <f t="shared" si="16"/>
        <v/>
      </c>
      <c r="AJ15" s="14">
        <f t="shared" si="3"/>
        <v>0</v>
      </c>
      <c r="AK15" s="14">
        <f t="shared" si="17"/>
        <v>3.4960000000000004</v>
      </c>
      <c r="AL15" s="14">
        <f t="shared" si="18"/>
        <v>8.956999999999999</v>
      </c>
      <c r="AM15" s="124">
        <f t="shared" si="4"/>
        <v>71.9264434272866</v>
      </c>
      <c r="AN15" s="40">
        <f t="shared" si="19"/>
        <v>28.073556572713411</v>
      </c>
      <c r="AO15" s="40">
        <f t="shared" si="20"/>
        <v>0</v>
      </c>
    </row>
    <row r="16" spans="2:41" x14ac:dyDescent="0.3">
      <c r="B16" s="186" t="s">
        <v>2</v>
      </c>
      <c r="C16" s="187">
        <v>5</v>
      </c>
      <c r="D16" s="7">
        <v>3.47</v>
      </c>
      <c r="E16" s="7">
        <v>81.900000000000006</v>
      </c>
      <c r="F16" s="7">
        <v>59.84</v>
      </c>
      <c r="G16" s="8">
        <f t="shared" si="5"/>
        <v>71.681643132220799</v>
      </c>
      <c r="H16" s="186">
        <v>1</v>
      </c>
      <c r="I16" s="7">
        <f t="shared" si="21"/>
        <v>0.73832092426187435</v>
      </c>
      <c r="J16" s="7">
        <f t="shared" si="6"/>
        <v>0.13672609708553227</v>
      </c>
      <c r="K16" s="7">
        <f t="shared" si="7"/>
        <v>13.672609708553228</v>
      </c>
      <c r="L16" s="187"/>
      <c r="M16" s="31" t="str">
        <f t="shared" si="8"/>
        <v/>
      </c>
      <c r="N16" s="31"/>
      <c r="O16" s="31"/>
      <c r="P16" s="31" t="str">
        <f t="shared" si="9"/>
        <v/>
      </c>
      <c r="Q16" s="31" t="str">
        <f t="shared" si="10"/>
        <v/>
      </c>
      <c r="R16" s="14">
        <f t="shared" si="0"/>
        <v>0</v>
      </c>
      <c r="S16" s="31" t="str">
        <f t="shared" ref="S16:S47" si="23">IF(T16&gt;0,T16-$N$5,"")</f>
        <v/>
      </c>
      <c r="T16" s="31"/>
      <c r="U16" s="31"/>
      <c r="V16" s="31" t="str">
        <f t="shared" si="11"/>
        <v/>
      </c>
      <c r="W16" s="31" t="str">
        <f t="shared" si="12"/>
        <v/>
      </c>
      <c r="X16" s="14">
        <f t="shared" si="1"/>
        <v>0</v>
      </c>
      <c r="Y16" s="7">
        <f t="shared" si="22"/>
        <v>64.569999999999993</v>
      </c>
      <c r="Z16" s="7">
        <v>69.25</v>
      </c>
      <c r="AA16" s="7">
        <v>47.55</v>
      </c>
      <c r="AB16" s="7">
        <f t="shared" si="13"/>
        <v>66.393061793402509</v>
      </c>
      <c r="AC16" s="7">
        <f t="shared" si="14"/>
        <v>4.2869999999999998E-2</v>
      </c>
      <c r="AD16" s="14">
        <f t="shared" si="2"/>
        <v>4.2869999999999999</v>
      </c>
      <c r="AE16" s="7"/>
      <c r="AF16" s="7"/>
      <c r="AG16" s="7"/>
      <c r="AH16" s="7" t="str">
        <f t="shared" si="15"/>
        <v/>
      </c>
      <c r="AI16" s="7" t="str">
        <f t="shared" si="16"/>
        <v/>
      </c>
      <c r="AJ16" s="14">
        <f t="shared" si="3"/>
        <v>0</v>
      </c>
      <c r="AK16" s="14">
        <f t="shared" si="17"/>
        <v>4.2869999999999999</v>
      </c>
      <c r="AL16" s="14"/>
      <c r="AM16" s="124"/>
      <c r="AN16" s="40">
        <f t="shared" si="19"/>
        <v>100</v>
      </c>
      <c r="AO16" s="40">
        <f t="shared" si="20"/>
        <v>0</v>
      </c>
    </row>
    <row r="17" spans="2:41" x14ac:dyDescent="0.3">
      <c r="B17" s="186" t="s">
        <v>2</v>
      </c>
      <c r="C17" s="187">
        <v>6</v>
      </c>
      <c r="D17" s="7">
        <v>4.76</v>
      </c>
      <c r="E17" s="7">
        <v>187.11</v>
      </c>
      <c r="F17" s="7">
        <v>84.3</v>
      </c>
      <c r="G17" s="8">
        <f t="shared" si="5"/>
        <v>43.853421440664079</v>
      </c>
      <c r="H17" s="186">
        <v>1</v>
      </c>
      <c r="I17" s="7">
        <f t="shared" si="21"/>
        <v>1.0173993774234067</v>
      </c>
      <c r="J17" s="7">
        <f t="shared" si="6"/>
        <v>0.18840729211544568</v>
      </c>
      <c r="K17" s="7">
        <f t="shared" si="7"/>
        <v>18.84072921154457</v>
      </c>
      <c r="L17" s="187"/>
      <c r="M17" s="7">
        <f t="shared" si="8"/>
        <v>237.42</v>
      </c>
      <c r="N17" s="7">
        <v>242.1</v>
      </c>
      <c r="O17" s="7">
        <v>123.27</v>
      </c>
      <c r="P17" s="7">
        <f t="shared" si="9"/>
        <v>49.949456659085165</v>
      </c>
      <c r="Q17" s="7">
        <f t="shared" si="10"/>
        <v>0.11859</v>
      </c>
      <c r="R17" s="14">
        <f>IF(N17&gt;0,Q17*10000/100,0)</f>
        <v>11.859000000000002</v>
      </c>
      <c r="S17" s="7">
        <f t="shared" si="23"/>
        <v>57.68</v>
      </c>
      <c r="T17" s="7">
        <v>62.36</v>
      </c>
      <c r="U17" s="7">
        <v>28.79</v>
      </c>
      <c r="V17" s="7">
        <f t="shared" si="11"/>
        <v>41.799583911234393</v>
      </c>
      <c r="W17" s="7">
        <f t="shared" si="12"/>
        <v>2.4109999999999999E-2</v>
      </c>
      <c r="X17" s="14">
        <f>IF(T17&gt;0,W17*10000/100,0)</f>
        <v>2.411</v>
      </c>
      <c r="Y17" s="31" t="str">
        <f t="shared" si="22"/>
        <v/>
      </c>
      <c r="Z17" s="31"/>
      <c r="AA17" s="31"/>
      <c r="AB17" s="31" t="str">
        <f t="shared" si="13"/>
        <v/>
      </c>
      <c r="AC17" s="31" t="str">
        <f t="shared" si="14"/>
        <v/>
      </c>
      <c r="AD17" s="14">
        <f>IF(Z17&gt;0,AC17*10000/100,0)</f>
        <v>0</v>
      </c>
      <c r="AE17" s="7"/>
      <c r="AF17" s="7"/>
      <c r="AG17" s="7"/>
      <c r="AH17" s="7" t="str">
        <f t="shared" si="15"/>
        <v/>
      </c>
      <c r="AI17" s="7" t="str">
        <f t="shared" si="16"/>
        <v/>
      </c>
      <c r="AJ17" s="14">
        <f t="shared" si="3"/>
        <v>0</v>
      </c>
      <c r="AK17" s="14">
        <f t="shared" si="17"/>
        <v>11.859000000000002</v>
      </c>
      <c r="AL17" s="14">
        <f t="shared" si="18"/>
        <v>2.411</v>
      </c>
      <c r="AM17" s="124">
        <f t="shared" si="4"/>
        <v>16.895585143658025</v>
      </c>
      <c r="AN17" s="40">
        <f t="shared" si="19"/>
        <v>83.10441485634199</v>
      </c>
      <c r="AO17" s="40">
        <f t="shared" si="20"/>
        <v>0</v>
      </c>
    </row>
    <row r="18" spans="2:41" x14ac:dyDescent="0.3">
      <c r="B18" s="186" t="s">
        <v>2</v>
      </c>
      <c r="C18" s="187">
        <v>7</v>
      </c>
      <c r="D18" s="7">
        <v>5.66</v>
      </c>
      <c r="E18" s="7">
        <v>201.43</v>
      </c>
      <c r="F18" s="7">
        <v>85.34</v>
      </c>
      <c r="G18" s="8">
        <f t="shared" si="5"/>
        <v>41.199412449982269</v>
      </c>
      <c r="H18" s="186">
        <v>1</v>
      </c>
      <c r="I18" s="7">
        <f t="shared" si="21"/>
        <v>1.3266210808894292</v>
      </c>
      <c r="J18" s="7">
        <f t="shared" si="6"/>
        <v>0.24567057053507946</v>
      </c>
      <c r="K18" s="7">
        <f t="shared" si="7"/>
        <v>24.567057053507948</v>
      </c>
      <c r="L18" s="187"/>
      <c r="M18" s="7">
        <f t="shared" si="8"/>
        <v>124.35</v>
      </c>
      <c r="N18" s="7">
        <v>129.03</v>
      </c>
      <c r="O18" s="7">
        <v>77.75</v>
      </c>
      <c r="P18" s="7">
        <f t="shared" si="9"/>
        <v>58.761560112585443</v>
      </c>
      <c r="Q18" s="7">
        <f t="shared" si="10"/>
        <v>7.3069999999999996E-2</v>
      </c>
      <c r="R18" s="14">
        <f t="shared" ref="R18:R47" si="24">IF(N18&gt;0,Q18*10000/100,0)</f>
        <v>7.3069999999999995</v>
      </c>
      <c r="S18" s="7">
        <f t="shared" si="23"/>
        <v>23.61</v>
      </c>
      <c r="T18" s="7">
        <v>28.29</v>
      </c>
      <c r="U18" s="7">
        <v>18.3</v>
      </c>
      <c r="V18" s="7">
        <f t="shared" si="11"/>
        <v>57.687420584498092</v>
      </c>
      <c r="W18" s="7">
        <f t="shared" si="12"/>
        <v>1.3619999999999998E-2</v>
      </c>
      <c r="X18" s="14">
        <f t="shared" ref="X18:X47" si="25">IF(T18&gt;0,W18*10000/100,0)</f>
        <v>1.3619999999999999</v>
      </c>
      <c r="Y18" s="31" t="str">
        <f t="shared" si="22"/>
        <v/>
      </c>
      <c r="Z18" s="31"/>
      <c r="AA18" s="31"/>
      <c r="AB18" s="31" t="str">
        <f t="shared" si="13"/>
        <v/>
      </c>
      <c r="AC18" s="31" t="str">
        <f t="shared" si="14"/>
        <v/>
      </c>
      <c r="AD18" s="14">
        <f t="shared" ref="AD18:AD47" si="26">IF(Z18&gt;0,AC18*10000/100,0)</f>
        <v>0</v>
      </c>
      <c r="AE18" s="7"/>
      <c r="AF18" s="7"/>
      <c r="AG18" s="7"/>
      <c r="AH18" s="7" t="str">
        <f t="shared" si="15"/>
        <v/>
      </c>
      <c r="AI18" s="7" t="str">
        <f t="shared" si="16"/>
        <v/>
      </c>
      <c r="AJ18" s="14">
        <f t="shared" si="3"/>
        <v>0</v>
      </c>
      <c r="AK18" s="14">
        <f t="shared" si="17"/>
        <v>7.3069999999999995</v>
      </c>
      <c r="AL18" s="14">
        <f t="shared" si="18"/>
        <v>1.3619999999999999</v>
      </c>
      <c r="AM18" s="124">
        <f t="shared" si="4"/>
        <v>15.711154689122159</v>
      </c>
      <c r="AN18" s="40">
        <f t="shared" si="19"/>
        <v>84.288845310877846</v>
      </c>
      <c r="AO18" s="40">
        <f t="shared" si="20"/>
        <v>0</v>
      </c>
    </row>
    <row r="19" spans="2:41" x14ac:dyDescent="0.3">
      <c r="B19" s="186" t="s">
        <v>2</v>
      </c>
      <c r="C19" s="187">
        <v>8</v>
      </c>
      <c r="D19" s="7">
        <v>3.98</v>
      </c>
      <c r="E19" s="7">
        <v>184.78</v>
      </c>
      <c r="F19" s="7">
        <v>91.02</v>
      </c>
      <c r="G19" s="8">
        <f t="shared" si="5"/>
        <v>48.135855736254008</v>
      </c>
      <c r="H19" s="186">
        <v>1</v>
      </c>
      <c r="I19" s="7">
        <f t="shared" si="21"/>
        <v>0.74129217833831174</v>
      </c>
      <c r="J19" s="7">
        <f t="shared" si="6"/>
        <v>0.13727632932190958</v>
      </c>
      <c r="K19" s="7">
        <f t="shared" si="7"/>
        <v>13.727632932190959</v>
      </c>
      <c r="L19" s="187"/>
      <c r="M19" s="7">
        <f t="shared" si="8"/>
        <v>95.28</v>
      </c>
      <c r="N19" s="7">
        <v>99.96</v>
      </c>
      <c r="O19" s="7">
        <v>58.15</v>
      </c>
      <c r="P19" s="7">
        <f t="shared" si="9"/>
        <v>56.118807724601169</v>
      </c>
      <c r="Q19" s="7">
        <f t="shared" si="10"/>
        <v>5.3469999999999997E-2</v>
      </c>
      <c r="R19" s="14">
        <f t="shared" si="24"/>
        <v>5.3469999999999995</v>
      </c>
      <c r="S19" s="7" t="str">
        <f t="shared" si="23"/>
        <v/>
      </c>
      <c r="T19" s="7"/>
      <c r="U19" s="7"/>
      <c r="V19" s="7" t="str">
        <f t="shared" si="11"/>
        <v/>
      </c>
      <c r="W19" s="7" t="str">
        <f t="shared" si="12"/>
        <v/>
      </c>
      <c r="X19" s="14">
        <f t="shared" si="25"/>
        <v>0</v>
      </c>
      <c r="Y19" s="31" t="str">
        <f t="shared" si="22"/>
        <v/>
      </c>
      <c r="Z19" s="31"/>
      <c r="AA19" s="31"/>
      <c r="AB19" s="31" t="str">
        <f t="shared" si="13"/>
        <v/>
      </c>
      <c r="AC19" s="31" t="str">
        <f t="shared" si="14"/>
        <v/>
      </c>
      <c r="AD19" s="14">
        <f t="shared" si="26"/>
        <v>0</v>
      </c>
      <c r="AE19" s="7"/>
      <c r="AF19" s="7"/>
      <c r="AG19" s="7"/>
      <c r="AH19" s="7" t="str">
        <f t="shared" si="15"/>
        <v/>
      </c>
      <c r="AI19" s="7" t="str">
        <f t="shared" si="16"/>
        <v/>
      </c>
      <c r="AJ19" s="14">
        <f t="shared" si="3"/>
        <v>0</v>
      </c>
      <c r="AK19" s="14">
        <f t="shared" si="17"/>
        <v>5.3469999999999995</v>
      </c>
      <c r="AL19" s="14">
        <f t="shared" si="18"/>
        <v>0</v>
      </c>
      <c r="AM19" s="124">
        <f t="shared" si="4"/>
        <v>0</v>
      </c>
      <c r="AN19" s="40">
        <f t="shared" si="19"/>
        <v>100</v>
      </c>
      <c r="AO19" s="40">
        <f t="shared" si="20"/>
        <v>0</v>
      </c>
    </row>
    <row r="20" spans="2:41" x14ac:dyDescent="0.3">
      <c r="B20" s="16" t="s">
        <v>2</v>
      </c>
      <c r="C20" s="17">
        <v>9</v>
      </c>
      <c r="D20" s="18">
        <v>3.56</v>
      </c>
      <c r="E20" s="18">
        <v>242.62</v>
      </c>
      <c r="F20" s="18">
        <v>94.92</v>
      </c>
      <c r="G20" s="19">
        <f t="shared" si="5"/>
        <v>38.102422261336017</v>
      </c>
      <c r="H20" s="16">
        <v>1</v>
      </c>
      <c r="I20" s="18">
        <f t="shared" si="21"/>
        <v>0.4267471293269634</v>
      </c>
      <c r="J20" s="18">
        <f t="shared" si="6"/>
        <v>7.902724617165989E-2</v>
      </c>
      <c r="K20" s="18">
        <f t="shared" si="7"/>
        <v>7.9027246171659886</v>
      </c>
      <c r="L20" s="17"/>
      <c r="M20" s="18">
        <f t="shared" si="8"/>
        <v>108.18</v>
      </c>
      <c r="N20" s="18">
        <v>112.86</v>
      </c>
      <c r="O20" s="18">
        <v>68.11</v>
      </c>
      <c r="P20" s="18">
        <f t="shared" si="9"/>
        <v>58.633758550563876</v>
      </c>
      <c r="Q20" s="18">
        <f t="shared" si="10"/>
        <v>6.343E-2</v>
      </c>
      <c r="R20" s="14">
        <f t="shared" si="24"/>
        <v>6.343</v>
      </c>
      <c r="S20" s="33" t="str">
        <f t="shared" si="23"/>
        <v/>
      </c>
      <c r="T20" s="33"/>
      <c r="U20" s="33"/>
      <c r="V20" s="33" t="str">
        <f t="shared" si="11"/>
        <v/>
      </c>
      <c r="W20" s="33" t="str">
        <f t="shared" si="12"/>
        <v/>
      </c>
      <c r="X20" s="14">
        <f t="shared" si="25"/>
        <v>0</v>
      </c>
      <c r="Y20" s="33" t="str">
        <f t="shared" si="22"/>
        <v/>
      </c>
      <c r="Z20" s="33"/>
      <c r="AA20" s="33"/>
      <c r="AB20" s="33" t="str">
        <f t="shared" si="13"/>
        <v/>
      </c>
      <c r="AC20" s="33" t="str">
        <f t="shared" si="14"/>
        <v/>
      </c>
      <c r="AD20" s="14">
        <f t="shared" si="26"/>
        <v>0</v>
      </c>
      <c r="AE20" s="18"/>
      <c r="AF20" s="18"/>
      <c r="AG20" s="18"/>
      <c r="AH20" s="18" t="str">
        <f t="shared" si="15"/>
        <v/>
      </c>
      <c r="AI20" s="18" t="str">
        <f t="shared" si="16"/>
        <v/>
      </c>
      <c r="AJ20" s="14">
        <f t="shared" si="3"/>
        <v>0</v>
      </c>
      <c r="AK20" s="14">
        <f t="shared" si="17"/>
        <v>6.343</v>
      </c>
      <c r="AL20" s="14"/>
      <c r="AM20" s="124"/>
      <c r="AN20" s="40">
        <f t="shared" si="19"/>
        <v>100</v>
      </c>
      <c r="AO20" s="40">
        <f t="shared" si="20"/>
        <v>0</v>
      </c>
    </row>
    <row r="21" spans="2:41" x14ac:dyDescent="0.3">
      <c r="B21" s="186" t="s">
        <v>9</v>
      </c>
      <c r="C21" s="187">
        <v>1</v>
      </c>
      <c r="D21" s="7">
        <v>4.22</v>
      </c>
      <c r="E21" s="7">
        <v>240.17</v>
      </c>
      <c r="F21" s="7">
        <v>110.18</v>
      </c>
      <c r="G21" s="8">
        <f t="shared" si="5"/>
        <v>44.959139602828472</v>
      </c>
      <c r="H21" s="186">
        <v>2</v>
      </c>
      <c r="I21" s="7">
        <f t="shared" si="21"/>
        <v>0.80027268493034676</v>
      </c>
      <c r="J21" s="7">
        <f t="shared" si="6"/>
        <v>7.4099322678735813E-2</v>
      </c>
      <c r="K21" s="7">
        <f t="shared" si="7"/>
        <v>7.4099322678735815</v>
      </c>
      <c r="L21" s="187"/>
      <c r="M21" s="31" t="str">
        <f t="shared" si="8"/>
        <v/>
      </c>
      <c r="N21" s="31"/>
      <c r="O21" s="31"/>
      <c r="P21" s="31" t="str">
        <f t="shared" si="9"/>
        <v/>
      </c>
      <c r="Q21" s="31" t="str">
        <f t="shared" si="10"/>
        <v/>
      </c>
      <c r="R21" s="14">
        <f t="shared" si="24"/>
        <v>0</v>
      </c>
      <c r="S21" s="7">
        <f t="shared" si="23"/>
        <v>80.569999999999993</v>
      </c>
      <c r="T21" s="7">
        <v>85.25</v>
      </c>
      <c r="U21" s="7">
        <v>40.47</v>
      </c>
      <c r="V21" s="7">
        <f t="shared" si="11"/>
        <v>44.421000372347031</v>
      </c>
      <c r="W21" s="7">
        <f t="shared" si="12"/>
        <v>3.5790000000000002E-2</v>
      </c>
      <c r="X21" s="14">
        <f t="shared" si="25"/>
        <v>3.5790000000000002</v>
      </c>
      <c r="Y21" s="31" t="str">
        <f t="shared" si="22"/>
        <v/>
      </c>
      <c r="Z21" s="31"/>
      <c r="AA21" s="31"/>
      <c r="AB21" s="31" t="str">
        <f t="shared" si="13"/>
        <v/>
      </c>
      <c r="AC21" s="31" t="str">
        <f t="shared" si="14"/>
        <v/>
      </c>
      <c r="AD21" s="14">
        <f t="shared" si="26"/>
        <v>0</v>
      </c>
      <c r="AE21" s="7"/>
      <c r="AF21" s="7"/>
      <c r="AG21" s="7"/>
      <c r="AH21" s="7" t="str">
        <f t="shared" si="15"/>
        <v/>
      </c>
      <c r="AI21" s="7" t="str">
        <f t="shared" si="16"/>
        <v/>
      </c>
      <c r="AJ21" s="14">
        <f t="shared" si="3"/>
        <v>0</v>
      </c>
      <c r="AK21" s="14"/>
      <c r="AL21" s="14">
        <f t="shared" si="18"/>
        <v>3.5790000000000002</v>
      </c>
      <c r="AM21" s="124">
        <f t="shared" si="4"/>
        <v>100</v>
      </c>
      <c r="AN21" s="40" t="str">
        <f t="shared" si="19"/>
        <v/>
      </c>
      <c r="AO21" s="40">
        <f t="shared" si="20"/>
        <v>0</v>
      </c>
    </row>
    <row r="22" spans="2:41" x14ac:dyDescent="0.3">
      <c r="B22" s="186" t="s">
        <v>9</v>
      </c>
      <c r="C22" s="187">
        <v>2</v>
      </c>
      <c r="D22" s="7">
        <v>3.24</v>
      </c>
      <c r="E22" s="7">
        <v>167.34</v>
      </c>
      <c r="F22" s="7">
        <v>93.46</v>
      </c>
      <c r="G22" s="8">
        <f t="shared" si="5"/>
        <v>54.769193094159419</v>
      </c>
      <c r="H22" s="186">
        <v>1</v>
      </c>
      <c r="I22" s="7">
        <f t="shared" si="21"/>
        <v>0.4381535447532755</v>
      </c>
      <c r="J22" s="7">
        <f t="shared" si="6"/>
        <v>8.1139545324680637E-2</v>
      </c>
      <c r="K22" s="7">
        <f t="shared" si="7"/>
        <v>8.113954532468064</v>
      </c>
      <c r="L22" s="187"/>
      <c r="M22" s="31" t="str">
        <f t="shared" si="8"/>
        <v/>
      </c>
      <c r="N22" s="31"/>
      <c r="O22" s="31"/>
      <c r="P22" s="31" t="str">
        <f t="shared" si="9"/>
        <v/>
      </c>
      <c r="Q22" s="31" t="str">
        <f t="shared" si="10"/>
        <v/>
      </c>
      <c r="R22" s="14">
        <f t="shared" si="24"/>
        <v>0</v>
      </c>
      <c r="S22" s="7">
        <f t="shared" si="23"/>
        <v>19.87</v>
      </c>
      <c r="T22" s="7">
        <v>24.55</v>
      </c>
      <c r="U22" s="7">
        <v>13.14</v>
      </c>
      <c r="V22" s="7">
        <f t="shared" si="11"/>
        <v>42.576748867639658</v>
      </c>
      <c r="W22" s="7">
        <f t="shared" si="12"/>
        <v>8.4600000000000005E-3</v>
      </c>
      <c r="X22" s="14">
        <f t="shared" si="25"/>
        <v>0.84600000000000009</v>
      </c>
      <c r="Y22" s="7">
        <f t="shared" si="22"/>
        <v>52.55</v>
      </c>
      <c r="Z22" s="7">
        <v>57.23</v>
      </c>
      <c r="AA22" s="7">
        <v>39.950000000000003</v>
      </c>
      <c r="AB22" s="7">
        <f t="shared" si="13"/>
        <v>67.117031398667947</v>
      </c>
      <c r="AC22" s="7">
        <f t="shared" si="14"/>
        <v>3.5270000000000003E-2</v>
      </c>
      <c r="AD22" s="14">
        <f t="shared" si="26"/>
        <v>3.5270000000000006</v>
      </c>
      <c r="AE22" s="7"/>
      <c r="AF22" s="7"/>
      <c r="AG22" s="7"/>
      <c r="AH22" s="7" t="str">
        <f t="shared" si="15"/>
        <v/>
      </c>
      <c r="AI22" s="7" t="str">
        <f t="shared" si="16"/>
        <v/>
      </c>
      <c r="AJ22" s="14">
        <f t="shared" si="3"/>
        <v>0</v>
      </c>
      <c r="AK22" s="14">
        <f t="shared" si="17"/>
        <v>3.5270000000000006</v>
      </c>
      <c r="AL22" s="14">
        <f t="shared" si="18"/>
        <v>0.84600000000000009</v>
      </c>
      <c r="AM22" s="124">
        <f t="shared" si="4"/>
        <v>19.345986736793961</v>
      </c>
      <c r="AN22" s="40">
        <f t="shared" si="19"/>
        <v>80.654013263206025</v>
      </c>
      <c r="AO22" s="40">
        <f t="shared" si="20"/>
        <v>0</v>
      </c>
    </row>
    <row r="23" spans="2:41" x14ac:dyDescent="0.3">
      <c r="B23" s="186" t="s">
        <v>9</v>
      </c>
      <c r="C23" s="187">
        <v>3</v>
      </c>
      <c r="D23" s="7">
        <v>2.9</v>
      </c>
      <c r="E23" s="7">
        <v>133.35</v>
      </c>
      <c r="F23" s="7">
        <v>81.38</v>
      </c>
      <c r="G23" s="8">
        <f t="shared" si="5"/>
        <v>59.822187862388866</v>
      </c>
      <c r="H23" s="186">
        <v>1</v>
      </c>
      <c r="I23" s="7">
        <f t="shared" si="21"/>
        <v>0.27518206416698876</v>
      </c>
      <c r="J23" s="7">
        <f t="shared" si="6"/>
        <v>5.095964151240532E-2</v>
      </c>
      <c r="K23" s="7">
        <f t="shared" si="7"/>
        <v>5.0959641512405316</v>
      </c>
      <c r="L23" s="187"/>
      <c r="M23" s="31" t="str">
        <f t="shared" si="8"/>
        <v/>
      </c>
      <c r="N23" s="31"/>
      <c r="O23" s="31"/>
      <c r="P23" s="31" t="str">
        <f t="shared" si="9"/>
        <v/>
      </c>
      <c r="Q23" s="31" t="str">
        <f t="shared" si="10"/>
        <v/>
      </c>
      <c r="R23" s="14">
        <f t="shared" si="24"/>
        <v>0</v>
      </c>
      <c r="S23" s="7">
        <f t="shared" si="23"/>
        <v>23.62</v>
      </c>
      <c r="T23" s="7">
        <v>28.3</v>
      </c>
      <c r="U23" s="7">
        <v>16.05</v>
      </c>
      <c r="V23" s="7">
        <f t="shared" si="11"/>
        <v>48.13717188823032</v>
      </c>
      <c r="W23" s="7">
        <f t="shared" si="12"/>
        <v>1.1370000000000002E-2</v>
      </c>
      <c r="X23" s="14">
        <f t="shared" si="25"/>
        <v>1.1370000000000002</v>
      </c>
      <c r="Y23" s="7">
        <f t="shared" si="22"/>
        <v>33.6</v>
      </c>
      <c r="Z23" s="7">
        <v>38.28</v>
      </c>
      <c r="AA23" s="7">
        <v>29.33</v>
      </c>
      <c r="AB23" s="7">
        <f t="shared" si="13"/>
        <v>73.363095238095227</v>
      </c>
      <c r="AC23" s="7">
        <f t="shared" si="14"/>
        <v>2.4649999999999995E-2</v>
      </c>
      <c r="AD23" s="14">
        <f t="shared" si="26"/>
        <v>2.4649999999999994</v>
      </c>
      <c r="AE23" s="7"/>
      <c r="AF23" s="7"/>
      <c r="AG23" s="7"/>
      <c r="AH23" s="7" t="str">
        <f t="shared" si="15"/>
        <v/>
      </c>
      <c r="AI23" s="7" t="str">
        <f t="shared" si="16"/>
        <v/>
      </c>
      <c r="AJ23" s="14">
        <f t="shared" si="3"/>
        <v>0</v>
      </c>
      <c r="AK23" s="14">
        <f t="shared" si="17"/>
        <v>2.4649999999999994</v>
      </c>
      <c r="AL23" s="14">
        <f t="shared" si="18"/>
        <v>1.1370000000000002</v>
      </c>
      <c r="AM23" s="124">
        <f t="shared" si="4"/>
        <v>31.565796779566917</v>
      </c>
      <c r="AN23" s="40">
        <f t="shared" si="19"/>
        <v>68.434203220433091</v>
      </c>
      <c r="AO23" s="40">
        <f t="shared" si="20"/>
        <v>0</v>
      </c>
    </row>
    <row r="24" spans="2:41" x14ac:dyDescent="0.3">
      <c r="B24" s="186" t="s">
        <v>9</v>
      </c>
      <c r="C24" s="187">
        <v>4</v>
      </c>
      <c r="D24" s="7">
        <v>3.48</v>
      </c>
      <c r="E24" s="7">
        <v>167.45</v>
      </c>
      <c r="F24" s="7">
        <v>83.72</v>
      </c>
      <c r="G24" s="8">
        <f t="shared" si="5"/>
        <v>48.773325175894769</v>
      </c>
      <c r="H24" s="186">
        <v>1</v>
      </c>
      <c r="I24" s="7">
        <f t="shared" si="21"/>
        <v>0.50724258182930559</v>
      </c>
      <c r="J24" s="7">
        <f t="shared" si="6"/>
        <v>9.3933811449871396E-2</v>
      </c>
      <c r="K24" s="7">
        <f t="shared" si="7"/>
        <v>9.3933811449871385</v>
      </c>
      <c r="L24" s="187"/>
      <c r="M24" s="31" t="str">
        <f t="shared" si="8"/>
        <v/>
      </c>
      <c r="N24" s="31"/>
      <c r="O24" s="31"/>
      <c r="P24" s="31" t="str">
        <f t="shared" si="9"/>
        <v/>
      </c>
      <c r="Q24" s="31" t="str">
        <f t="shared" si="10"/>
        <v/>
      </c>
      <c r="R24" s="14">
        <f t="shared" si="24"/>
        <v>0</v>
      </c>
      <c r="S24" s="7">
        <f t="shared" si="23"/>
        <v>88.460000000000008</v>
      </c>
      <c r="T24" s="7">
        <v>93.14</v>
      </c>
      <c r="U24" s="7">
        <v>41.27</v>
      </c>
      <c r="V24" s="7">
        <f t="shared" si="11"/>
        <v>41.363328057879265</v>
      </c>
      <c r="W24" s="7">
        <f t="shared" si="12"/>
        <v>3.6590000000000004E-2</v>
      </c>
      <c r="X24" s="14">
        <f t="shared" si="25"/>
        <v>3.6590000000000003</v>
      </c>
      <c r="Y24" s="7">
        <f t="shared" si="22"/>
        <v>45.06</v>
      </c>
      <c r="Z24" s="7">
        <v>49.74</v>
      </c>
      <c r="AA24" s="7">
        <v>34.96</v>
      </c>
      <c r="AB24" s="7">
        <f t="shared" si="13"/>
        <v>67.199289835774522</v>
      </c>
      <c r="AC24" s="7">
        <f t="shared" si="14"/>
        <v>3.0280000000000001E-2</v>
      </c>
      <c r="AD24" s="14">
        <f t="shared" si="26"/>
        <v>3.028</v>
      </c>
      <c r="AE24" s="7"/>
      <c r="AF24" s="7"/>
      <c r="AG24" s="7"/>
      <c r="AH24" s="7" t="str">
        <f t="shared" si="15"/>
        <v/>
      </c>
      <c r="AI24" s="7" t="str">
        <f t="shared" si="16"/>
        <v/>
      </c>
      <c r="AJ24" s="14">
        <f t="shared" si="3"/>
        <v>0</v>
      </c>
      <c r="AK24" s="14">
        <f t="shared" si="17"/>
        <v>3.028</v>
      </c>
      <c r="AL24" s="14">
        <f t="shared" si="18"/>
        <v>3.6590000000000003</v>
      </c>
      <c r="AM24" s="124">
        <f t="shared" si="4"/>
        <v>54.718109765216091</v>
      </c>
      <c r="AN24" s="40">
        <f t="shared" si="19"/>
        <v>45.281890234783909</v>
      </c>
      <c r="AO24" s="40">
        <f t="shared" si="20"/>
        <v>0</v>
      </c>
    </row>
    <row r="25" spans="2:41" x14ac:dyDescent="0.3">
      <c r="B25" s="186" t="s">
        <v>9</v>
      </c>
      <c r="C25" s="187">
        <v>5</v>
      </c>
      <c r="D25" s="7">
        <v>3.18</v>
      </c>
      <c r="E25" s="7">
        <v>105.4</v>
      </c>
      <c r="F25" s="7">
        <v>78.64</v>
      </c>
      <c r="G25" s="8">
        <f t="shared" si="5"/>
        <v>73.609467455621299</v>
      </c>
      <c r="H25" s="186">
        <v>1</v>
      </c>
      <c r="I25" s="7">
        <f t="shared" si="21"/>
        <v>0.54471005917159776</v>
      </c>
      <c r="J25" s="7">
        <f t="shared" si="6"/>
        <v>0.10087223317992551</v>
      </c>
      <c r="K25" s="7">
        <f t="shared" si="7"/>
        <v>10.087223317992551</v>
      </c>
      <c r="L25" s="187"/>
      <c r="M25" s="31" t="str">
        <f t="shared" si="8"/>
        <v/>
      </c>
      <c r="N25" s="31"/>
      <c r="O25" s="31"/>
      <c r="P25" s="31" t="str">
        <f t="shared" si="9"/>
        <v/>
      </c>
      <c r="Q25" s="31" t="str">
        <f t="shared" si="10"/>
        <v/>
      </c>
      <c r="R25" s="14">
        <f t="shared" si="24"/>
        <v>0</v>
      </c>
      <c r="S25" s="31" t="str">
        <f t="shared" si="23"/>
        <v/>
      </c>
      <c r="T25" s="31"/>
      <c r="U25" s="31"/>
      <c r="V25" s="31" t="str">
        <f t="shared" si="11"/>
        <v/>
      </c>
      <c r="W25" s="31" t="str">
        <f t="shared" si="12"/>
        <v/>
      </c>
      <c r="X25" s="14">
        <f t="shared" si="25"/>
        <v>0</v>
      </c>
      <c r="Y25" s="7">
        <f t="shared" si="22"/>
        <v>52.6</v>
      </c>
      <c r="Z25" s="7">
        <v>57.28</v>
      </c>
      <c r="AA25" s="7">
        <v>43.17</v>
      </c>
      <c r="AB25" s="7">
        <f t="shared" si="13"/>
        <v>73.174904942965782</v>
      </c>
      <c r="AC25" s="7">
        <f t="shared" si="14"/>
        <v>3.8490000000000003E-2</v>
      </c>
      <c r="AD25" s="14">
        <f t="shared" si="26"/>
        <v>3.8490000000000002</v>
      </c>
      <c r="AE25" s="7"/>
      <c r="AF25" s="7"/>
      <c r="AG25" s="7"/>
      <c r="AH25" s="7" t="str">
        <f t="shared" si="15"/>
        <v/>
      </c>
      <c r="AI25" s="7" t="str">
        <f t="shared" si="16"/>
        <v/>
      </c>
      <c r="AJ25" s="14">
        <f t="shared" si="3"/>
        <v>0</v>
      </c>
      <c r="AK25" s="14">
        <f t="shared" si="17"/>
        <v>3.8490000000000002</v>
      </c>
      <c r="AL25" s="14"/>
      <c r="AM25" s="124"/>
      <c r="AN25" s="40">
        <f t="shared" si="19"/>
        <v>100</v>
      </c>
      <c r="AO25" s="40">
        <f t="shared" si="20"/>
        <v>0</v>
      </c>
    </row>
    <row r="26" spans="2:41" x14ac:dyDescent="0.3">
      <c r="B26" s="186" t="s">
        <v>9</v>
      </c>
      <c r="C26" s="187">
        <v>6</v>
      </c>
      <c r="D26" s="7">
        <v>3.66</v>
      </c>
      <c r="E26" s="7">
        <v>217.62</v>
      </c>
      <c r="F26" s="7">
        <v>123.5</v>
      </c>
      <c r="G26" s="8">
        <f t="shared" si="5"/>
        <v>55.940455013575509</v>
      </c>
      <c r="H26" s="186">
        <v>2</v>
      </c>
      <c r="I26" s="7">
        <f t="shared" si="21"/>
        <v>0.68247355116562125</v>
      </c>
      <c r="J26" s="7">
        <f t="shared" si="6"/>
        <v>6.3191995478298263E-2</v>
      </c>
      <c r="K26" s="7">
        <f t="shared" si="7"/>
        <v>6.3191995478298262</v>
      </c>
      <c r="L26" s="187"/>
      <c r="M26" s="7">
        <f t="shared" si="8"/>
        <v>50.660000000000004</v>
      </c>
      <c r="N26" s="7">
        <v>55.34</v>
      </c>
      <c r="O26" s="7">
        <v>34.64</v>
      </c>
      <c r="P26" s="7">
        <f t="shared" si="9"/>
        <v>59.139360442163436</v>
      </c>
      <c r="Q26" s="7">
        <f t="shared" si="10"/>
        <v>2.9959999999999997E-2</v>
      </c>
      <c r="R26" s="14">
        <f t="shared" si="24"/>
        <v>2.9959999999999996</v>
      </c>
      <c r="S26" s="7">
        <f t="shared" si="23"/>
        <v>15.71</v>
      </c>
      <c r="T26" s="7">
        <v>20.39</v>
      </c>
      <c r="U26" s="7">
        <v>11.26</v>
      </c>
      <c r="V26" s="7">
        <f t="shared" si="11"/>
        <v>41.88415022278803</v>
      </c>
      <c r="W26" s="7">
        <f t="shared" si="12"/>
        <v>6.5799999999999999E-3</v>
      </c>
      <c r="X26" s="14">
        <f t="shared" si="25"/>
        <v>0.65799999999999992</v>
      </c>
      <c r="Y26" s="31" t="str">
        <f t="shared" si="22"/>
        <v/>
      </c>
      <c r="Z26" s="31"/>
      <c r="AA26" s="31"/>
      <c r="AB26" s="31" t="str">
        <f t="shared" si="13"/>
        <v/>
      </c>
      <c r="AC26" s="31" t="str">
        <f t="shared" si="14"/>
        <v/>
      </c>
      <c r="AD26" s="14">
        <f t="shared" si="26"/>
        <v>0</v>
      </c>
      <c r="AE26" s="7"/>
      <c r="AF26" s="7"/>
      <c r="AG26" s="7"/>
      <c r="AH26" s="7" t="str">
        <f t="shared" si="15"/>
        <v/>
      </c>
      <c r="AI26" s="7" t="str">
        <f t="shared" si="16"/>
        <v/>
      </c>
      <c r="AJ26" s="14">
        <f t="shared" si="3"/>
        <v>0</v>
      </c>
      <c r="AK26" s="14">
        <f t="shared" si="17"/>
        <v>2.9959999999999996</v>
      </c>
      <c r="AL26" s="14">
        <f t="shared" si="18"/>
        <v>0.65799999999999992</v>
      </c>
      <c r="AM26" s="124">
        <f t="shared" si="4"/>
        <v>18.007662835249043</v>
      </c>
      <c r="AN26" s="40">
        <f t="shared" si="19"/>
        <v>81.992337164750964</v>
      </c>
      <c r="AO26" s="40">
        <f t="shared" si="20"/>
        <v>0</v>
      </c>
    </row>
    <row r="27" spans="2:41" x14ac:dyDescent="0.3">
      <c r="B27" s="186" t="s">
        <v>9</v>
      </c>
      <c r="C27" s="187">
        <v>7</v>
      </c>
      <c r="D27" s="7">
        <v>3.14</v>
      </c>
      <c r="E27" s="7">
        <v>181.9</v>
      </c>
      <c r="F27" s="7">
        <v>119.82</v>
      </c>
      <c r="G27" s="8">
        <f t="shared" si="5"/>
        <v>65.10399100618325</v>
      </c>
      <c r="H27" s="186">
        <v>3</v>
      </c>
      <c r="I27" s="7">
        <f t="shared" si="21"/>
        <v>0.45572793704328285</v>
      </c>
      <c r="J27" s="7">
        <f t="shared" si="6"/>
        <v>2.8131354138474247E-2</v>
      </c>
      <c r="K27" s="7">
        <f t="shared" si="7"/>
        <v>2.8131354138474247</v>
      </c>
      <c r="L27" s="187"/>
      <c r="M27" s="7">
        <f t="shared" si="8"/>
        <v>32.53</v>
      </c>
      <c r="N27" s="7">
        <v>37.21</v>
      </c>
      <c r="O27" s="7">
        <v>27.55</v>
      </c>
      <c r="P27" s="7">
        <f t="shared" si="9"/>
        <v>70.304334460497998</v>
      </c>
      <c r="Q27" s="7">
        <f t="shared" si="10"/>
        <v>2.2869999999999998E-2</v>
      </c>
      <c r="R27" s="14">
        <f t="shared" si="24"/>
        <v>2.2869999999999999</v>
      </c>
      <c r="S27" s="7" t="str">
        <f t="shared" si="23"/>
        <v/>
      </c>
      <c r="T27" s="7"/>
      <c r="U27" s="7"/>
      <c r="V27" s="7" t="str">
        <f t="shared" si="11"/>
        <v/>
      </c>
      <c r="W27" s="7" t="str">
        <f t="shared" si="12"/>
        <v/>
      </c>
      <c r="X27" s="14">
        <f t="shared" si="25"/>
        <v>0</v>
      </c>
      <c r="Y27" s="31" t="str">
        <f t="shared" si="22"/>
        <v/>
      </c>
      <c r="Z27" s="31"/>
      <c r="AA27" s="31"/>
      <c r="AB27" s="31" t="str">
        <f t="shared" si="13"/>
        <v/>
      </c>
      <c r="AC27" s="31" t="str">
        <f t="shared" si="14"/>
        <v/>
      </c>
      <c r="AD27" s="14">
        <f t="shared" si="26"/>
        <v>0</v>
      </c>
      <c r="AE27" s="7"/>
      <c r="AF27" s="7"/>
      <c r="AG27" s="7"/>
      <c r="AH27" s="7" t="str">
        <f t="shared" si="15"/>
        <v/>
      </c>
      <c r="AI27" s="7" t="str">
        <f t="shared" si="16"/>
        <v/>
      </c>
      <c r="AJ27" s="14">
        <f t="shared" si="3"/>
        <v>0</v>
      </c>
      <c r="AK27" s="14">
        <f t="shared" si="17"/>
        <v>2.2869999999999999</v>
      </c>
      <c r="AL27" s="14">
        <f t="shared" si="18"/>
        <v>0</v>
      </c>
      <c r="AM27" s="124">
        <f t="shared" si="4"/>
        <v>0</v>
      </c>
      <c r="AN27" s="40">
        <f t="shared" si="19"/>
        <v>99.999999999999986</v>
      </c>
      <c r="AO27" s="40">
        <f t="shared" si="20"/>
        <v>0</v>
      </c>
    </row>
    <row r="28" spans="2:41" x14ac:dyDescent="0.3">
      <c r="B28" s="186" t="s">
        <v>9</v>
      </c>
      <c r="C28" s="187">
        <v>8</v>
      </c>
      <c r="D28" s="7">
        <v>3.4</v>
      </c>
      <c r="E28" s="7">
        <v>253.22</v>
      </c>
      <c r="F28" s="7">
        <v>138.6</v>
      </c>
      <c r="G28" s="8">
        <f t="shared" si="5"/>
        <v>54.008506540406067</v>
      </c>
      <c r="H28" s="186">
        <v>1</v>
      </c>
      <c r="I28" s="7">
        <f t="shared" si="21"/>
        <v>0.5184816627878982</v>
      </c>
      <c r="J28" s="7">
        <f t="shared" si="6"/>
        <v>9.6015122738499659E-2</v>
      </c>
      <c r="K28" s="7">
        <f t="shared" si="7"/>
        <v>9.6015122738499663</v>
      </c>
      <c r="L28" s="187"/>
      <c r="M28" s="7">
        <f t="shared" si="8"/>
        <v>104.80000000000001</v>
      </c>
      <c r="N28" s="7">
        <v>109.48</v>
      </c>
      <c r="O28" s="7">
        <v>60.07</v>
      </c>
      <c r="P28" s="7">
        <f t="shared" si="9"/>
        <v>52.853053435114496</v>
      </c>
      <c r="Q28" s="7">
        <f t="shared" si="10"/>
        <v>5.5389999999999995E-2</v>
      </c>
      <c r="R28" s="14">
        <f t="shared" si="24"/>
        <v>5.5389999999999997</v>
      </c>
      <c r="S28" s="7">
        <f t="shared" si="23"/>
        <v>22.41</v>
      </c>
      <c r="T28" s="7">
        <v>27.09</v>
      </c>
      <c r="U28" s="7">
        <v>14.95</v>
      </c>
      <c r="V28" s="7">
        <f t="shared" si="11"/>
        <v>45.827755466309682</v>
      </c>
      <c r="W28" s="7">
        <f t="shared" si="12"/>
        <v>1.027E-2</v>
      </c>
      <c r="X28" s="14">
        <f t="shared" si="25"/>
        <v>1.0270000000000001</v>
      </c>
      <c r="Y28" s="31" t="str">
        <f t="shared" si="22"/>
        <v/>
      </c>
      <c r="Z28" s="31"/>
      <c r="AA28" s="31"/>
      <c r="AB28" s="31" t="str">
        <f t="shared" si="13"/>
        <v/>
      </c>
      <c r="AC28" s="31" t="str">
        <f t="shared" si="14"/>
        <v/>
      </c>
      <c r="AD28" s="14">
        <f t="shared" si="26"/>
        <v>0</v>
      </c>
      <c r="AE28" s="7"/>
      <c r="AF28" s="7"/>
      <c r="AG28" s="7"/>
      <c r="AH28" s="7" t="str">
        <f t="shared" si="15"/>
        <v/>
      </c>
      <c r="AI28" s="7" t="str">
        <f t="shared" si="16"/>
        <v/>
      </c>
      <c r="AJ28" s="14">
        <f t="shared" si="3"/>
        <v>0</v>
      </c>
      <c r="AK28" s="14">
        <f t="shared" si="17"/>
        <v>5.5389999999999997</v>
      </c>
      <c r="AL28" s="14">
        <f t="shared" si="18"/>
        <v>1.0270000000000001</v>
      </c>
      <c r="AM28" s="124">
        <f t="shared" si="4"/>
        <v>15.64118184587268</v>
      </c>
      <c r="AN28" s="40">
        <f t="shared" si="19"/>
        <v>84.35881815412732</v>
      </c>
      <c r="AO28" s="40">
        <f t="shared" si="20"/>
        <v>0</v>
      </c>
    </row>
    <row r="29" spans="2:41" x14ac:dyDescent="0.3">
      <c r="B29" s="16" t="s">
        <v>9</v>
      </c>
      <c r="C29" s="17">
        <v>9</v>
      </c>
      <c r="D29" s="18">
        <v>4.9800000000000004</v>
      </c>
      <c r="E29" s="18">
        <v>265.27</v>
      </c>
      <c r="F29" s="18">
        <v>125.09</v>
      </c>
      <c r="G29" s="19">
        <f t="shared" si="5"/>
        <v>46.346691162399054</v>
      </c>
      <c r="H29" s="16">
        <v>1</v>
      </c>
      <c r="I29" s="18">
        <f t="shared" si="21"/>
        <v>1.1772059555249363</v>
      </c>
      <c r="J29" s="18">
        <f t="shared" si="6"/>
        <v>0.2180011028749882</v>
      </c>
      <c r="K29" s="18">
        <f t="shared" si="7"/>
        <v>21.800110287498818</v>
      </c>
      <c r="L29" s="17"/>
      <c r="M29" s="18">
        <f t="shared" si="8"/>
        <v>132.22</v>
      </c>
      <c r="N29" s="18">
        <v>136.9</v>
      </c>
      <c r="O29" s="18">
        <v>81.150000000000006</v>
      </c>
      <c r="P29" s="18">
        <f t="shared" si="9"/>
        <v>57.83542580547573</v>
      </c>
      <c r="Q29" s="18">
        <f t="shared" si="10"/>
        <v>7.6469999999999996E-2</v>
      </c>
      <c r="R29" s="14">
        <f t="shared" si="24"/>
        <v>7.6469999999999994</v>
      </c>
      <c r="S29" s="33" t="str">
        <f t="shared" si="23"/>
        <v/>
      </c>
      <c r="T29" s="33"/>
      <c r="U29" s="33"/>
      <c r="V29" s="33" t="str">
        <f t="shared" si="11"/>
        <v/>
      </c>
      <c r="W29" s="33" t="str">
        <f t="shared" si="12"/>
        <v/>
      </c>
      <c r="X29" s="14">
        <f t="shared" si="25"/>
        <v>0</v>
      </c>
      <c r="Y29" s="33" t="str">
        <f t="shared" si="22"/>
        <v/>
      </c>
      <c r="Z29" s="33"/>
      <c r="AA29" s="33"/>
      <c r="AB29" s="33" t="str">
        <f t="shared" si="13"/>
        <v/>
      </c>
      <c r="AC29" s="33" t="str">
        <f t="shared" si="14"/>
        <v/>
      </c>
      <c r="AD29" s="14">
        <f t="shared" si="26"/>
        <v>0</v>
      </c>
      <c r="AE29" s="18"/>
      <c r="AF29" s="18"/>
      <c r="AG29" s="18"/>
      <c r="AH29" s="18" t="str">
        <f t="shared" si="15"/>
        <v/>
      </c>
      <c r="AI29" s="18" t="str">
        <f t="shared" si="16"/>
        <v/>
      </c>
      <c r="AJ29" s="14">
        <f t="shared" si="3"/>
        <v>0</v>
      </c>
      <c r="AK29" s="14">
        <f t="shared" si="17"/>
        <v>7.6469999999999994</v>
      </c>
      <c r="AL29" s="14"/>
      <c r="AM29" s="124"/>
      <c r="AN29" s="40">
        <f t="shared" si="19"/>
        <v>100</v>
      </c>
      <c r="AO29" s="40">
        <f t="shared" si="20"/>
        <v>0</v>
      </c>
    </row>
    <row r="30" spans="2:41" x14ac:dyDescent="0.3">
      <c r="B30" s="186" t="s">
        <v>10</v>
      </c>
      <c r="C30" s="187">
        <v>1</v>
      </c>
      <c r="D30" s="7">
        <v>2.48</v>
      </c>
      <c r="E30" s="7">
        <v>35.75</v>
      </c>
      <c r="F30" s="7">
        <v>25.72</v>
      </c>
      <c r="G30" s="8">
        <f t="shared" si="5"/>
        <v>68.40944881889763</v>
      </c>
      <c r="H30" s="186">
        <v>2</v>
      </c>
      <c r="I30" s="7">
        <f t="shared" si="21"/>
        <v>2.7363779527559078E-2</v>
      </c>
      <c r="J30" s="7">
        <f t="shared" si="6"/>
        <v>2.5336832895888031E-3</v>
      </c>
      <c r="K30" s="7">
        <f t="shared" si="7"/>
        <v>0.25336832895888028</v>
      </c>
      <c r="L30" s="187"/>
      <c r="M30" s="31" t="str">
        <f t="shared" si="8"/>
        <v/>
      </c>
      <c r="N30" s="31"/>
      <c r="O30" s="31"/>
      <c r="P30" s="31" t="str">
        <f t="shared" si="9"/>
        <v/>
      </c>
      <c r="Q30" s="31" t="str">
        <f t="shared" si="10"/>
        <v/>
      </c>
      <c r="R30" s="14">
        <f t="shared" si="24"/>
        <v>0</v>
      </c>
      <c r="S30" s="7">
        <f t="shared" si="23"/>
        <v>6.91</v>
      </c>
      <c r="T30" s="7">
        <v>11.59</v>
      </c>
      <c r="U30" s="7">
        <v>9.91</v>
      </c>
      <c r="V30" s="7">
        <f t="shared" si="11"/>
        <v>75.687409551374827</v>
      </c>
      <c r="W30" s="7">
        <f t="shared" si="12"/>
        <v>5.2300000000000003E-3</v>
      </c>
      <c r="X30" s="14">
        <f t="shared" si="25"/>
        <v>0.52300000000000002</v>
      </c>
      <c r="Y30" s="31"/>
      <c r="Z30" s="31"/>
      <c r="AA30" s="31"/>
      <c r="AB30" s="31" t="str">
        <f t="shared" si="13"/>
        <v/>
      </c>
      <c r="AC30" s="31" t="str">
        <f t="shared" si="14"/>
        <v/>
      </c>
      <c r="AD30" s="14">
        <f t="shared" si="26"/>
        <v>0</v>
      </c>
      <c r="AE30" s="7">
        <f>IF(AF30&gt;0,AF30-$N$5,"")</f>
        <v>5.0000000000000711E-2</v>
      </c>
      <c r="AF30" s="7">
        <v>4.7300000000000004</v>
      </c>
      <c r="AG30" s="7">
        <v>4.6900000000000004</v>
      </c>
      <c r="AH30" s="40">
        <f t="shared" si="15"/>
        <v>20.000000000001066</v>
      </c>
      <c r="AI30" s="40">
        <f t="shared" si="16"/>
        <v>1.0000000000000675E-5</v>
      </c>
      <c r="AJ30" s="14">
        <f t="shared" si="3"/>
        <v>1.0000000000000675E-3</v>
      </c>
      <c r="AK30" s="14">
        <f t="shared" si="17"/>
        <v>0</v>
      </c>
      <c r="AL30" s="14">
        <f t="shared" ref="AL30" si="27">X30</f>
        <v>0.52300000000000002</v>
      </c>
      <c r="AM30" s="124">
        <f t="shared" si="4"/>
        <v>99.809160305343482</v>
      </c>
      <c r="AN30" s="40" t="str">
        <f t="shared" si="19"/>
        <v/>
      </c>
      <c r="AO30" s="40">
        <f t="shared" si="20"/>
        <v>0.19083969465650136</v>
      </c>
    </row>
    <row r="31" spans="2:41" x14ac:dyDescent="0.3">
      <c r="B31" s="186" t="s">
        <v>10</v>
      </c>
      <c r="C31" s="187">
        <v>2</v>
      </c>
      <c r="D31" s="7">
        <v>2.84</v>
      </c>
      <c r="E31" s="7">
        <v>102.16</v>
      </c>
      <c r="F31" s="7">
        <v>71.86</v>
      </c>
      <c r="G31" s="8">
        <f t="shared" si="5"/>
        <v>69.132029339853304</v>
      </c>
      <c r="H31" s="186">
        <v>1</v>
      </c>
      <c r="I31" s="7">
        <f t="shared" si="21"/>
        <v>0.27652811735941318</v>
      </c>
      <c r="J31" s="7">
        <f t="shared" si="6"/>
        <v>5.1208910622113551E-2</v>
      </c>
      <c r="K31" s="7">
        <f t="shared" si="7"/>
        <v>5.1208910622113546</v>
      </c>
      <c r="L31" s="187"/>
      <c r="M31" s="31" t="str">
        <f t="shared" si="8"/>
        <v/>
      </c>
      <c r="N31" s="31"/>
      <c r="O31" s="31"/>
      <c r="P31" s="31" t="str">
        <f t="shared" si="9"/>
        <v/>
      </c>
      <c r="Q31" s="31" t="str">
        <f t="shared" si="10"/>
        <v/>
      </c>
      <c r="R31" s="14">
        <f t="shared" si="24"/>
        <v>0</v>
      </c>
      <c r="S31" s="7">
        <f t="shared" si="23"/>
        <v>8.7200000000000006</v>
      </c>
      <c r="T31" s="7">
        <v>13.4</v>
      </c>
      <c r="U31" s="7">
        <v>9.4</v>
      </c>
      <c r="V31" s="7">
        <f t="shared" si="11"/>
        <v>54.128440366972484</v>
      </c>
      <c r="W31" s="7">
        <f t="shared" si="12"/>
        <v>4.7200000000000011E-3</v>
      </c>
      <c r="X31" s="14">
        <f t="shared" si="25"/>
        <v>0.47200000000000009</v>
      </c>
      <c r="Y31" s="7">
        <f t="shared" si="22"/>
        <v>26.88</v>
      </c>
      <c r="Z31" s="7">
        <v>31.56</v>
      </c>
      <c r="AA31" s="7">
        <v>25.92</v>
      </c>
      <c r="AB31" s="7">
        <f t="shared" si="13"/>
        <v>79.017857142857153</v>
      </c>
      <c r="AC31" s="7">
        <f t="shared" si="14"/>
        <v>2.1240000000000002E-2</v>
      </c>
      <c r="AD31" s="14">
        <f t="shared" si="26"/>
        <v>2.1240000000000001</v>
      </c>
      <c r="AE31" s="7"/>
      <c r="AF31" s="54"/>
      <c r="AG31" s="54"/>
      <c r="AH31" s="54" t="str">
        <f t="shared" si="15"/>
        <v/>
      </c>
      <c r="AI31" s="54" t="str">
        <f t="shared" si="16"/>
        <v/>
      </c>
      <c r="AJ31" s="14">
        <f t="shared" si="3"/>
        <v>0</v>
      </c>
      <c r="AK31" s="14">
        <f t="shared" si="17"/>
        <v>2.1240000000000001</v>
      </c>
      <c r="AL31" s="14">
        <f t="shared" si="18"/>
        <v>0.47200000000000009</v>
      </c>
      <c r="AM31" s="124">
        <f t="shared" si="4"/>
        <v>18.181818181818187</v>
      </c>
      <c r="AN31" s="40">
        <f t="shared" si="19"/>
        <v>81.818181818181827</v>
      </c>
      <c r="AO31" s="40">
        <f t="shared" si="20"/>
        <v>0</v>
      </c>
    </row>
    <row r="32" spans="2:41" x14ac:dyDescent="0.3">
      <c r="B32" s="186" t="s">
        <v>10</v>
      </c>
      <c r="C32" s="187">
        <v>3</v>
      </c>
      <c r="D32" s="7">
        <v>2.82</v>
      </c>
      <c r="E32" s="7">
        <v>111.74</v>
      </c>
      <c r="F32" s="7">
        <v>77.540000000000006</v>
      </c>
      <c r="G32" s="8">
        <f t="shared" si="5"/>
        <v>68.256914794876565</v>
      </c>
      <c r="H32" s="186">
        <v>1</v>
      </c>
      <c r="I32" s="7">
        <f t="shared" si="21"/>
        <v>0.25937627622053089</v>
      </c>
      <c r="J32" s="7">
        <f t="shared" si="6"/>
        <v>4.8032643744542754E-2</v>
      </c>
      <c r="K32" s="7">
        <f t="shared" si="7"/>
        <v>4.8032643744542751</v>
      </c>
      <c r="L32" s="187"/>
      <c r="M32" s="31" t="str">
        <f t="shared" si="8"/>
        <v/>
      </c>
      <c r="N32" s="31"/>
      <c r="O32" s="31"/>
      <c r="P32" s="31" t="str">
        <f t="shared" si="9"/>
        <v/>
      </c>
      <c r="Q32" s="31" t="str">
        <f t="shared" si="10"/>
        <v/>
      </c>
      <c r="R32" s="14">
        <f t="shared" si="24"/>
        <v>0</v>
      </c>
      <c r="S32" s="7">
        <f t="shared" si="23"/>
        <v>3.9500000000000011</v>
      </c>
      <c r="T32" s="7">
        <v>8.6300000000000008</v>
      </c>
      <c r="U32" s="7">
        <v>6.36</v>
      </c>
      <c r="V32" s="7">
        <f t="shared" si="11"/>
        <v>42.53164556962026</v>
      </c>
      <c r="W32" s="7">
        <f t="shared" si="12"/>
        <v>1.6800000000000005E-3</v>
      </c>
      <c r="X32" s="14">
        <f t="shared" si="25"/>
        <v>0.16800000000000004</v>
      </c>
      <c r="Y32" s="7">
        <f t="shared" si="22"/>
        <v>29.07</v>
      </c>
      <c r="Z32" s="7">
        <v>33.75</v>
      </c>
      <c r="AA32" s="7">
        <v>25.72</v>
      </c>
      <c r="AB32" s="7">
        <f t="shared" si="13"/>
        <v>72.377020983832125</v>
      </c>
      <c r="AC32" s="7">
        <f t="shared" si="14"/>
        <v>2.104E-2</v>
      </c>
      <c r="AD32" s="14">
        <f t="shared" si="26"/>
        <v>2.1040000000000001</v>
      </c>
      <c r="AE32" s="7"/>
      <c r="AF32" s="54"/>
      <c r="AG32" s="54"/>
      <c r="AH32" s="54" t="str">
        <f t="shared" si="15"/>
        <v/>
      </c>
      <c r="AI32" s="54" t="str">
        <f t="shared" si="16"/>
        <v/>
      </c>
      <c r="AJ32" s="14">
        <f t="shared" si="3"/>
        <v>0</v>
      </c>
      <c r="AK32" s="14">
        <f t="shared" si="17"/>
        <v>2.1040000000000001</v>
      </c>
      <c r="AL32" s="14">
        <f t="shared" si="18"/>
        <v>0.16800000000000004</v>
      </c>
      <c r="AM32" s="124">
        <f t="shared" si="4"/>
        <v>7.3943661971830998</v>
      </c>
      <c r="AN32" s="40">
        <f t="shared" si="19"/>
        <v>92.605633802816897</v>
      </c>
      <c r="AO32" s="40">
        <f t="shared" si="20"/>
        <v>0</v>
      </c>
    </row>
    <row r="33" spans="2:41" x14ac:dyDescent="0.3">
      <c r="B33" s="186" t="s">
        <v>10</v>
      </c>
      <c r="C33" s="187">
        <v>4</v>
      </c>
      <c r="D33" s="7">
        <v>2.64</v>
      </c>
      <c r="E33" s="7">
        <v>55.44</v>
      </c>
      <c r="F33" s="7">
        <v>44.53</v>
      </c>
      <c r="G33" s="8">
        <f t="shared" si="5"/>
        <v>78.790824261275276</v>
      </c>
      <c r="H33" s="186">
        <v>1</v>
      </c>
      <c r="I33" s="7">
        <f t="shared" si="21"/>
        <v>0.15758164852255069</v>
      </c>
      <c r="J33" s="7">
        <f t="shared" si="6"/>
        <v>2.9181786763435309E-2</v>
      </c>
      <c r="K33" s="7">
        <f t="shared" si="7"/>
        <v>2.9181786763435311</v>
      </c>
      <c r="L33" s="187"/>
      <c r="M33" s="31" t="str">
        <f t="shared" si="8"/>
        <v/>
      </c>
      <c r="N33" s="31"/>
      <c r="O33" s="31"/>
      <c r="P33" s="31" t="str">
        <f t="shared" si="9"/>
        <v/>
      </c>
      <c r="Q33" s="31" t="str">
        <f t="shared" si="10"/>
        <v/>
      </c>
      <c r="R33" s="14">
        <f t="shared" si="24"/>
        <v>0</v>
      </c>
      <c r="S33" s="7">
        <f t="shared" si="23"/>
        <v>12.55</v>
      </c>
      <c r="T33" s="7">
        <v>17.23</v>
      </c>
      <c r="U33" s="7">
        <v>11.48</v>
      </c>
      <c r="V33" s="7">
        <f t="shared" si="11"/>
        <v>54.183266932270925</v>
      </c>
      <c r="W33" s="7">
        <f t="shared" si="12"/>
        <v>6.8000000000000014E-3</v>
      </c>
      <c r="X33" s="14">
        <f t="shared" si="25"/>
        <v>0.68000000000000016</v>
      </c>
      <c r="Y33" s="7">
        <f t="shared" si="22"/>
        <v>21.55</v>
      </c>
      <c r="Z33" s="7">
        <v>26.23</v>
      </c>
      <c r="AA33" s="7">
        <v>21.61</v>
      </c>
      <c r="AB33" s="7">
        <f t="shared" si="13"/>
        <v>78.561484918793496</v>
      </c>
      <c r="AC33" s="7">
        <f t="shared" si="14"/>
        <v>1.6930000000000001E-2</v>
      </c>
      <c r="AD33" s="14">
        <f t="shared" si="26"/>
        <v>1.6930000000000001</v>
      </c>
      <c r="AE33" s="7"/>
      <c r="AF33" s="54"/>
      <c r="AG33" s="54"/>
      <c r="AH33" s="54" t="str">
        <f t="shared" si="15"/>
        <v/>
      </c>
      <c r="AI33" s="54" t="str">
        <f t="shared" si="16"/>
        <v/>
      </c>
      <c r="AJ33" s="14">
        <f t="shared" si="3"/>
        <v>0</v>
      </c>
      <c r="AK33" s="14">
        <f t="shared" si="17"/>
        <v>1.6930000000000001</v>
      </c>
      <c r="AL33" s="14">
        <f t="shared" si="18"/>
        <v>0.68000000000000016</v>
      </c>
      <c r="AM33" s="124">
        <f t="shared" si="4"/>
        <v>28.655710071639277</v>
      </c>
      <c r="AN33" s="40">
        <f t="shared" si="19"/>
        <v>71.344289928360723</v>
      </c>
      <c r="AO33" s="40">
        <f t="shared" si="20"/>
        <v>0</v>
      </c>
    </row>
    <row r="34" spans="2:41" x14ac:dyDescent="0.3">
      <c r="B34" s="186" t="s">
        <v>10</v>
      </c>
      <c r="C34" s="187">
        <v>5</v>
      </c>
      <c r="D34" s="7">
        <v>2.88</v>
      </c>
      <c r="E34" s="7">
        <v>88</v>
      </c>
      <c r="F34" s="7">
        <v>65.48</v>
      </c>
      <c r="G34" s="8">
        <f t="shared" si="5"/>
        <v>73.19047619047619</v>
      </c>
      <c r="H34" s="186">
        <v>1</v>
      </c>
      <c r="I34" s="7">
        <f t="shared" si="21"/>
        <v>0.32203809523809523</v>
      </c>
      <c r="J34" s="7">
        <f t="shared" si="6"/>
        <v>5.9636684303350965E-2</v>
      </c>
      <c r="K34" s="7">
        <f t="shared" si="7"/>
        <v>5.9636684303350966</v>
      </c>
      <c r="L34" s="187"/>
      <c r="M34" s="31" t="str">
        <f t="shared" si="8"/>
        <v/>
      </c>
      <c r="N34" s="31"/>
      <c r="O34" s="31"/>
      <c r="P34" s="31" t="str">
        <f t="shared" si="9"/>
        <v/>
      </c>
      <c r="Q34" s="31" t="str">
        <f t="shared" si="10"/>
        <v/>
      </c>
      <c r="R34" s="14">
        <f t="shared" si="24"/>
        <v>0</v>
      </c>
      <c r="S34" s="31" t="str">
        <f t="shared" si="23"/>
        <v/>
      </c>
      <c r="T34" s="31"/>
      <c r="U34" s="31"/>
      <c r="V34" s="31" t="str">
        <f t="shared" si="11"/>
        <v/>
      </c>
      <c r="W34" s="31" t="str">
        <f t="shared" si="12"/>
        <v/>
      </c>
      <c r="X34" s="14">
        <f t="shared" si="25"/>
        <v>0</v>
      </c>
      <c r="Y34" s="7">
        <f t="shared" si="22"/>
        <v>69.949999999999989</v>
      </c>
      <c r="Z34" s="7">
        <v>74.63</v>
      </c>
      <c r="AA34" s="7">
        <v>50.84</v>
      </c>
      <c r="AB34" s="7">
        <f t="shared" si="13"/>
        <v>65.989992852037176</v>
      </c>
      <c r="AC34" s="7">
        <f t="shared" si="14"/>
        <v>4.616E-2</v>
      </c>
      <c r="AD34" s="14">
        <f t="shared" si="26"/>
        <v>4.6160000000000005</v>
      </c>
      <c r="AE34" s="7"/>
      <c r="AF34" s="54"/>
      <c r="AG34" s="54"/>
      <c r="AH34" s="54" t="str">
        <f t="shared" si="15"/>
        <v/>
      </c>
      <c r="AI34" s="54" t="str">
        <f t="shared" si="16"/>
        <v/>
      </c>
      <c r="AJ34" s="14">
        <f t="shared" si="3"/>
        <v>0</v>
      </c>
      <c r="AK34" s="14">
        <f t="shared" si="17"/>
        <v>4.6160000000000005</v>
      </c>
      <c r="AL34" s="14"/>
      <c r="AM34" s="124"/>
      <c r="AN34" s="40">
        <f t="shared" si="19"/>
        <v>100</v>
      </c>
      <c r="AO34" s="40">
        <f t="shared" si="20"/>
        <v>0</v>
      </c>
    </row>
    <row r="35" spans="2:41" x14ac:dyDescent="0.3">
      <c r="B35" s="186" t="s">
        <v>10</v>
      </c>
      <c r="C35" s="187">
        <v>6</v>
      </c>
      <c r="D35" s="7">
        <v>2.82</v>
      </c>
      <c r="E35" s="7">
        <v>206.35</v>
      </c>
      <c r="F35" s="7">
        <v>106.86</v>
      </c>
      <c r="G35" s="8">
        <f t="shared" si="5"/>
        <v>50.832715591796394</v>
      </c>
      <c r="H35" s="186">
        <v>1</v>
      </c>
      <c r="I35" s="7">
        <f t="shared" si="21"/>
        <v>0.19316431924882624</v>
      </c>
      <c r="J35" s="7">
        <f t="shared" si="6"/>
        <v>3.5771170231264117E-2</v>
      </c>
      <c r="K35" s="7">
        <f t="shared" si="7"/>
        <v>3.5771170231264118</v>
      </c>
      <c r="L35" s="187"/>
      <c r="M35" s="7">
        <f t="shared" si="8"/>
        <v>71.19</v>
      </c>
      <c r="N35" s="7">
        <v>75.87</v>
      </c>
      <c r="O35" s="7">
        <v>41.61</v>
      </c>
      <c r="P35" s="7">
        <f t="shared" si="9"/>
        <v>51.875263379688164</v>
      </c>
      <c r="Q35" s="7">
        <f t="shared" si="10"/>
        <v>3.6929999999999998E-2</v>
      </c>
      <c r="R35" s="14">
        <f t="shared" si="24"/>
        <v>3.6929999999999996</v>
      </c>
      <c r="S35" s="7">
        <f t="shared" si="23"/>
        <v>16.77</v>
      </c>
      <c r="T35" s="7">
        <v>21.45</v>
      </c>
      <c r="U35" s="7">
        <v>11.53</v>
      </c>
      <c r="V35" s="7">
        <f t="shared" si="11"/>
        <v>40.846750149075731</v>
      </c>
      <c r="W35" s="7">
        <f t="shared" si="12"/>
        <v>6.8500000000000002E-3</v>
      </c>
      <c r="X35" s="14">
        <f t="shared" si="25"/>
        <v>0.68500000000000005</v>
      </c>
      <c r="Y35" s="31" t="str">
        <f t="shared" si="22"/>
        <v/>
      </c>
      <c r="Z35" s="31"/>
      <c r="AA35" s="31"/>
      <c r="AB35" s="31" t="str">
        <f t="shared" si="13"/>
        <v/>
      </c>
      <c r="AC35" s="31" t="str">
        <f t="shared" si="14"/>
        <v/>
      </c>
      <c r="AD35" s="14">
        <f t="shared" si="26"/>
        <v>0</v>
      </c>
      <c r="AE35" s="7">
        <f>AF35-$N$5</f>
        <v>0.61000000000000032</v>
      </c>
      <c r="AF35" s="54">
        <v>5.29</v>
      </c>
      <c r="AG35" s="54">
        <v>5.0199999999999996</v>
      </c>
      <c r="AH35" s="54">
        <f t="shared" si="15"/>
        <v>55.73770491803274</v>
      </c>
      <c r="AI35" s="54">
        <f t="shared" si="16"/>
        <v>3.3999999999999986E-4</v>
      </c>
      <c r="AJ35" s="14">
        <f t="shared" si="3"/>
        <v>3.3999999999999989E-2</v>
      </c>
      <c r="AK35" s="14">
        <f t="shared" si="17"/>
        <v>3.6929999999999996</v>
      </c>
      <c r="AL35" s="14">
        <f t="shared" si="18"/>
        <v>0.68500000000000005</v>
      </c>
      <c r="AM35" s="124">
        <f>IF((100/SUM(AJ35:AL35)*AL35),(100/SUM(AJ35:AL35)*AL35),(100/SUM(AJ35:AL35)*AL35))</f>
        <v>15.525838621940167</v>
      </c>
      <c r="AN35" s="40">
        <f t="shared" si="19"/>
        <v>83.703535811423407</v>
      </c>
      <c r="AO35" s="40">
        <f t="shared" si="20"/>
        <v>0.77062556663644599</v>
      </c>
    </row>
    <row r="36" spans="2:41" x14ac:dyDescent="0.3">
      <c r="B36" s="186" t="s">
        <v>10</v>
      </c>
      <c r="C36" s="187">
        <v>7</v>
      </c>
      <c r="D36" s="7">
        <v>3.34</v>
      </c>
      <c r="E36" s="7">
        <v>217.35</v>
      </c>
      <c r="F36" s="7">
        <v>133.29</v>
      </c>
      <c r="G36" s="8">
        <f t="shared" si="5"/>
        <v>60.599953128661824</v>
      </c>
      <c r="H36" s="186">
        <v>2</v>
      </c>
      <c r="I36" s="7">
        <f t="shared" si="21"/>
        <v>0.54539957815795637</v>
      </c>
      <c r="J36" s="7">
        <f t="shared" si="6"/>
        <v>5.0499960940551515E-2</v>
      </c>
      <c r="K36" s="7">
        <f t="shared" si="7"/>
        <v>5.0499960940551514</v>
      </c>
      <c r="L36" s="187"/>
      <c r="M36" s="7">
        <f t="shared" si="8"/>
        <v>34.119999999999997</v>
      </c>
      <c r="N36" s="7">
        <v>38.799999999999997</v>
      </c>
      <c r="O36" s="7">
        <v>30.87</v>
      </c>
      <c r="P36" s="7">
        <f t="shared" si="9"/>
        <v>76.758499413833533</v>
      </c>
      <c r="Q36" s="7">
        <f t="shared" si="10"/>
        <v>2.6190000000000001E-2</v>
      </c>
      <c r="R36" s="14">
        <f t="shared" si="24"/>
        <v>2.6190000000000002</v>
      </c>
      <c r="S36" s="7" t="str">
        <f t="shared" si="23"/>
        <v/>
      </c>
      <c r="T36" s="7"/>
      <c r="U36" s="7"/>
      <c r="V36" s="7" t="str">
        <f t="shared" si="11"/>
        <v/>
      </c>
      <c r="W36" s="7" t="str">
        <f t="shared" si="12"/>
        <v/>
      </c>
      <c r="X36" s="14">
        <f t="shared" si="25"/>
        <v>0</v>
      </c>
      <c r="Y36" s="31" t="str">
        <f t="shared" si="22"/>
        <v/>
      </c>
      <c r="Z36" s="31"/>
      <c r="AA36" s="31"/>
      <c r="AB36" s="31" t="str">
        <f t="shared" si="13"/>
        <v/>
      </c>
      <c r="AC36" s="31" t="str">
        <f t="shared" si="14"/>
        <v/>
      </c>
      <c r="AD36" s="14">
        <f t="shared" si="26"/>
        <v>0</v>
      </c>
      <c r="AE36" s="7"/>
      <c r="AF36" s="54"/>
      <c r="AG36" s="54"/>
      <c r="AH36" s="54" t="str">
        <f t="shared" si="15"/>
        <v/>
      </c>
      <c r="AI36" s="54" t="str">
        <f t="shared" si="16"/>
        <v/>
      </c>
      <c r="AJ36" s="14">
        <f t="shared" si="3"/>
        <v>0</v>
      </c>
      <c r="AK36" s="14">
        <f t="shared" si="17"/>
        <v>2.6190000000000002</v>
      </c>
      <c r="AL36" s="14">
        <f t="shared" si="18"/>
        <v>0</v>
      </c>
      <c r="AM36" s="124">
        <f t="shared" ref="AM36:AM46" si="28">IF((100/SUM(AJ36:AL36)*AL36),(100/SUM(AJ36:AL36)*AL36),(100/SUM(AJ36:AL36)*AL36))</f>
        <v>0</v>
      </c>
      <c r="AN36" s="40">
        <f t="shared" si="19"/>
        <v>100</v>
      </c>
      <c r="AO36" s="40">
        <f t="shared" si="20"/>
        <v>0</v>
      </c>
    </row>
    <row r="37" spans="2:41" x14ac:dyDescent="0.3">
      <c r="B37" s="186" t="s">
        <v>10</v>
      </c>
      <c r="C37" s="187">
        <v>8</v>
      </c>
      <c r="D37" s="7">
        <v>2.78</v>
      </c>
      <c r="E37" s="7">
        <v>173.77</v>
      </c>
      <c r="F37" s="7">
        <v>112.26</v>
      </c>
      <c r="G37" s="8">
        <f t="shared" si="5"/>
        <v>63.768628143959475</v>
      </c>
      <c r="H37" s="186">
        <v>2</v>
      </c>
      <c r="I37" s="7">
        <f t="shared" si="21"/>
        <v>0.21681333568946212</v>
      </c>
      <c r="J37" s="7">
        <f t="shared" si="6"/>
        <v>2.007530886013538E-2</v>
      </c>
      <c r="K37" s="7">
        <f t="shared" si="7"/>
        <v>2.0075308860135381</v>
      </c>
      <c r="L37" s="187"/>
      <c r="M37" s="7">
        <f t="shared" si="8"/>
        <v>23.34</v>
      </c>
      <c r="N37" s="7">
        <v>28.02</v>
      </c>
      <c r="O37" s="7">
        <v>20.96</v>
      </c>
      <c r="P37" s="7">
        <f t="shared" si="9"/>
        <v>69.751499571550994</v>
      </c>
      <c r="Q37" s="7">
        <f t="shared" si="10"/>
        <v>1.6280000000000003E-2</v>
      </c>
      <c r="R37" s="14">
        <f t="shared" si="24"/>
        <v>1.6280000000000003</v>
      </c>
      <c r="S37" s="7" t="str">
        <f t="shared" si="23"/>
        <v/>
      </c>
      <c r="T37" s="7"/>
      <c r="U37" s="7"/>
      <c r="V37" s="7" t="str">
        <f t="shared" si="11"/>
        <v/>
      </c>
      <c r="W37" s="7" t="str">
        <f t="shared" si="12"/>
        <v/>
      </c>
      <c r="X37" s="14">
        <f t="shared" si="25"/>
        <v>0</v>
      </c>
      <c r="Y37" s="31" t="str">
        <f t="shared" si="22"/>
        <v/>
      </c>
      <c r="Z37" s="31"/>
      <c r="AA37" s="31"/>
      <c r="AB37" s="31" t="str">
        <f t="shared" si="13"/>
        <v/>
      </c>
      <c r="AC37" s="31" t="str">
        <f t="shared" si="14"/>
        <v/>
      </c>
      <c r="AD37" s="14">
        <f t="shared" si="26"/>
        <v>0</v>
      </c>
      <c r="AE37" s="7"/>
      <c r="AF37" s="54"/>
      <c r="AG37" s="54"/>
      <c r="AH37" s="54" t="str">
        <f t="shared" si="15"/>
        <v/>
      </c>
      <c r="AI37" s="54" t="str">
        <f t="shared" si="16"/>
        <v/>
      </c>
      <c r="AJ37" s="14">
        <f t="shared" si="3"/>
        <v>0</v>
      </c>
      <c r="AK37" s="14">
        <f t="shared" si="17"/>
        <v>1.6280000000000003</v>
      </c>
      <c r="AL37" s="14">
        <f t="shared" si="18"/>
        <v>0</v>
      </c>
      <c r="AM37" s="124">
        <f t="shared" si="28"/>
        <v>0</v>
      </c>
      <c r="AN37" s="40">
        <f t="shared" si="19"/>
        <v>100</v>
      </c>
      <c r="AO37" s="40">
        <f t="shared" si="20"/>
        <v>0</v>
      </c>
    </row>
    <row r="38" spans="2:41" x14ac:dyDescent="0.3">
      <c r="B38" s="16" t="s">
        <v>10</v>
      </c>
      <c r="C38" s="17">
        <v>9</v>
      </c>
      <c r="D38" s="18">
        <v>3.18</v>
      </c>
      <c r="E38" s="18">
        <v>175.38</v>
      </c>
      <c r="F38" s="18">
        <v>118.63</v>
      </c>
      <c r="G38" s="19">
        <f t="shared" si="5"/>
        <v>66.886451161162327</v>
      </c>
      <c r="H38" s="16">
        <v>2</v>
      </c>
      <c r="I38" s="18">
        <f t="shared" si="21"/>
        <v>0.49495973859260139</v>
      </c>
      <c r="J38" s="18">
        <f t="shared" si="6"/>
        <v>4.5829605425240866E-2</v>
      </c>
      <c r="K38" s="18">
        <f t="shared" si="7"/>
        <v>4.5829605425240869</v>
      </c>
      <c r="L38" s="17"/>
      <c r="M38" s="18">
        <f t="shared" si="8"/>
        <v>47.68</v>
      </c>
      <c r="N38" s="18">
        <v>52.36</v>
      </c>
      <c r="O38" s="18">
        <v>34.700000000000003</v>
      </c>
      <c r="P38" s="18">
        <f t="shared" si="9"/>
        <v>62.961409395973156</v>
      </c>
      <c r="Q38" s="18">
        <f t="shared" si="10"/>
        <v>3.0019999999999998E-2</v>
      </c>
      <c r="R38" s="14">
        <f t="shared" si="24"/>
        <v>3.0019999999999998</v>
      </c>
      <c r="S38" s="33"/>
      <c r="T38" s="33"/>
      <c r="U38" s="33"/>
      <c r="V38" s="33" t="str">
        <f t="shared" si="11"/>
        <v/>
      </c>
      <c r="W38" s="33" t="str">
        <f t="shared" si="12"/>
        <v/>
      </c>
      <c r="X38" s="14">
        <f t="shared" si="25"/>
        <v>0</v>
      </c>
      <c r="Y38" s="33" t="str">
        <f t="shared" si="22"/>
        <v/>
      </c>
      <c r="Z38" s="33"/>
      <c r="AA38" s="33"/>
      <c r="AB38" s="33" t="str">
        <f t="shared" si="13"/>
        <v/>
      </c>
      <c r="AC38" s="33" t="str">
        <f t="shared" si="14"/>
        <v/>
      </c>
      <c r="AD38" s="14">
        <f t="shared" si="26"/>
        <v>0</v>
      </c>
      <c r="AE38" s="18"/>
      <c r="AF38" s="55"/>
      <c r="AG38" s="55"/>
      <c r="AH38" s="55" t="str">
        <f t="shared" si="15"/>
        <v/>
      </c>
      <c r="AI38" s="55" t="str">
        <f t="shared" si="16"/>
        <v/>
      </c>
      <c r="AJ38" s="14">
        <f t="shared" si="3"/>
        <v>0</v>
      </c>
      <c r="AK38" s="14">
        <f t="shared" si="17"/>
        <v>3.0019999999999998</v>
      </c>
      <c r="AL38" s="14"/>
      <c r="AM38" s="124"/>
      <c r="AN38" s="40">
        <f t="shared" si="19"/>
        <v>100</v>
      </c>
      <c r="AO38" s="40">
        <f t="shared" si="20"/>
        <v>0</v>
      </c>
    </row>
    <row r="39" spans="2:41" x14ac:dyDescent="0.3">
      <c r="B39" s="186" t="s">
        <v>11</v>
      </c>
      <c r="C39" s="187">
        <v>1</v>
      </c>
      <c r="D39" s="7">
        <v>2.7</v>
      </c>
      <c r="E39" s="7">
        <v>186.4</v>
      </c>
      <c r="F39" s="7">
        <v>109.74</v>
      </c>
      <c r="G39" s="8">
        <f t="shared" si="5"/>
        <v>57.971491228070171</v>
      </c>
      <c r="H39" s="186">
        <v>2</v>
      </c>
      <c r="I39" s="7">
        <f t="shared" si="21"/>
        <v>0.15072587719298258</v>
      </c>
      <c r="J39" s="7">
        <f t="shared" si="6"/>
        <v>1.3956099740090979E-2</v>
      </c>
      <c r="K39" s="7">
        <f t="shared" si="7"/>
        <v>1.3956099740090979</v>
      </c>
      <c r="L39" s="187"/>
      <c r="M39" s="31" t="str">
        <f t="shared" si="8"/>
        <v/>
      </c>
      <c r="N39" s="31"/>
      <c r="O39" s="31"/>
      <c r="P39" s="31" t="str">
        <f t="shared" si="9"/>
        <v/>
      </c>
      <c r="Q39" s="31" t="str">
        <f t="shared" si="10"/>
        <v/>
      </c>
      <c r="R39" s="14">
        <f t="shared" si="24"/>
        <v>0</v>
      </c>
      <c r="S39" s="7">
        <f t="shared" si="23"/>
        <v>14.57</v>
      </c>
      <c r="T39" s="7">
        <v>19.25</v>
      </c>
      <c r="U39" s="7">
        <v>15.93</v>
      </c>
      <c r="V39" s="7">
        <f t="shared" si="11"/>
        <v>77.21345229924502</v>
      </c>
      <c r="W39" s="7">
        <f t="shared" si="12"/>
        <v>1.125E-2</v>
      </c>
      <c r="X39" s="14">
        <f t="shared" si="25"/>
        <v>1.125</v>
      </c>
      <c r="Y39" s="31" t="str">
        <f t="shared" si="22"/>
        <v/>
      </c>
      <c r="Z39" s="31"/>
      <c r="AA39" s="31"/>
      <c r="AB39" s="31" t="str">
        <f t="shared" si="13"/>
        <v/>
      </c>
      <c r="AC39" s="31" t="str">
        <f t="shared" si="14"/>
        <v/>
      </c>
      <c r="AD39" s="14">
        <f t="shared" si="26"/>
        <v>0</v>
      </c>
      <c r="AE39" s="7">
        <f>AF39-$N$5</f>
        <v>0.70000000000000018</v>
      </c>
      <c r="AF39" s="54">
        <v>5.38</v>
      </c>
      <c r="AG39" s="54">
        <v>5.0599999999999996</v>
      </c>
      <c r="AH39" s="54">
        <f t="shared" si="15"/>
        <v>54.285714285714256</v>
      </c>
      <c r="AI39" s="54">
        <f t="shared" si="16"/>
        <v>3.7999999999999991E-4</v>
      </c>
      <c r="AJ39" s="14">
        <f t="shared" si="3"/>
        <v>3.7999999999999992E-2</v>
      </c>
      <c r="AK39" s="14"/>
      <c r="AL39" s="14">
        <f t="shared" si="18"/>
        <v>1.125</v>
      </c>
      <c r="AM39" s="124">
        <f t="shared" si="28"/>
        <v>96.732588134135852</v>
      </c>
      <c r="AN39" s="40" t="str">
        <f t="shared" si="19"/>
        <v/>
      </c>
      <c r="AO39" s="40">
        <f t="shared" si="20"/>
        <v>3.2674118658641436</v>
      </c>
    </row>
    <row r="40" spans="2:41" x14ac:dyDescent="0.3">
      <c r="B40" s="186" t="s">
        <v>11</v>
      </c>
      <c r="C40" s="187">
        <v>2</v>
      </c>
      <c r="D40" s="7">
        <v>2.56</v>
      </c>
      <c r="E40" s="7">
        <v>100.33</v>
      </c>
      <c r="F40" s="7">
        <v>79.87</v>
      </c>
      <c r="G40" s="8">
        <f t="shared" si="5"/>
        <v>78.76051074431642</v>
      </c>
      <c r="H40" s="186">
        <v>1</v>
      </c>
      <c r="I40" s="7">
        <f t="shared" si="21"/>
        <v>9.451261289317979E-2</v>
      </c>
      <c r="J40" s="7">
        <f t="shared" si="6"/>
        <v>1.750233572095922E-2</v>
      </c>
      <c r="K40" s="7">
        <f t="shared" si="7"/>
        <v>1.7502335720959221</v>
      </c>
      <c r="L40" s="187"/>
      <c r="M40" s="31" t="str">
        <f t="shared" si="8"/>
        <v/>
      </c>
      <c r="N40" s="31"/>
      <c r="O40" s="31"/>
      <c r="P40" s="31" t="str">
        <f t="shared" si="9"/>
        <v/>
      </c>
      <c r="Q40" s="31" t="str">
        <f t="shared" si="10"/>
        <v/>
      </c>
      <c r="R40" s="14">
        <f t="shared" si="24"/>
        <v>0</v>
      </c>
      <c r="S40" s="7">
        <f t="shared" si="23"/>
        <v>10.84</v>
      </c>
      <c r="T40" s="7">
        <v>15.52</v>
      </c>
      <c r="U40" s="7">
        <v>11.66</v>
      </c>
      <c r="V40" s="7">
        <f t="shared" si="11"/>
        <v>64.391143911439116</v>
      </c>
      <c r="W40" s="7">
        <f t="shared" si="12"/>
        <v>6.9800000000000001E-3</v>
      </c>
      <c r="X40" s="14">
        <f t="shared" si="25"/>
        <v>0.69799999999999995</v>
      </c>
      <c r="Y40" s="7">
        <f t="shared" si="22"/>
        <v>15.510000000000002</v>
      </c>
      <c r="Z40" s="7">
        <v>20.190000000000001</v>
      </c>
      <c r="AA40" s="7">
        <v>17.920000000000002</v>
      </c>
      <c r="AB40" s="7">
        <f t="shared" si="13"/>
        <v>85.364281108961961</v>
      </c>
      <c r="AC40" s="7">
        <f t="shared" si="14"/>
        <v>1.3240000000000002E-2</v>
      </c>
      <c r="AD40" s="14">
        <f t="shared" si="26"/>
        <v>1.3240000000000001</v>
      </c>
      <c r="AE40" s="7"/>
      <c r="AF40" s="40"/>
      <c r="AG40" s="40"/>
      <c r="AH40" s="40" t="str">
        <f t="shared" si="15"/>
        <v/>
      </c>
      <c r="AI40" s="40" t="str">
        <f t="shared" si="16"/>
        <v/>
      </c>
      <c r="AJ40" s="14">
        <f t="shared" si="3"/>
        <v>0</v>
      </c>
      <c r="AK40" s="14">
        <f t="shared" si="17"/>
        <v>1.3240000000000001</v>
      </c>
      <c r="AL40" s="14">
        <f t="shared" si="18"/>
        <v>0.69799999999999995</v>
      </c>
      <c r="AM40" s="124">
        <f t="shared" si="28"/>
        <v>34.52027695351137</v>
      </c>
      <c r="AN40" s="40">
        <f t="shared" si="19"/>
        <v>65.47972304648863</v>
      </c>
      <c r="AO40" s="40">
        <f t="shared" si="20"/>
        <v>0</v>
      </c>
    </row>
    <row r="41" spans="2:41" x14ac:dyDescent="0.3">
      <c r="B41" s="186" t="s">
        <v>11</v>
      </c>
      <c r="C41" s="187">
        <v>3</v>
      </c>
      <c r="D41" s="7">
        <v>2.66</v>
      </c>
      <c r="E41" s="7">
        <v>75.36</v>
      </c>
      <c r="F41" s="7">
        <v>63.55</v>
      </c>
      <c r="G41" s="8">
        <f t="shared" si="5"/>
        <v>83.450112107623326</v>
      </c>
      <c r="H41" s="186">
        <v>1</v>
      </c>
      <c r="I41" s="7">
        <f t="shared" si="21"/>
        <v>0.18359024663677148</v>
      </c>
      <c r="J41" s="7">
        <f t="shared" si="6"/>
        <v>3.3998193821624348E-2</v>
      </c>
      <c r="K41" s="7">
        <f t="shared" si="7"/>
        <v>3.3998193821624345</v>
      </c>
      <c r="L41" s="187"/>
      <c r="M41" s="31" t="str">
        <f t="shared" si="8"/>
        <v/>
      </c>
      <c r="N41" s="31"/>
      <c r="O41" s="31"/>
      <c r="P41" s="31" t="str">
        <f t="shared" si="9"/>
        <v/>
      </c>
      <c r="Q41" s="31" t="str">
        <f t="shared" si="10"/>
        <v/>
      </c>
      <c r="R41" s="14">
        <f t="shared" si="24"/>
        <v>0</v>
      </c>
      <c r="S41" s="7">
        <f t="shared" si="23"/>
        <v>2.4400000000000004</v>
      </c>
      <c r="T41" s="7">
        <v>7.12</v>
      </c>
      <c r="U41" s="7">
        <v>6.36</v>
      </c>
      <c r="V41" s="7">
        <f t="shared" si="11"/>
        <v>68.852459016393453</v>
      </c>
      <c r="W41" s="7">
        <f t="shared" si="12"/>
        <v>1.6800000000000005E-3</v>
      </c>
      <c r="X41" s="14">
        <f t="shared" si="25"/>
        <v>0.16800000000000004</v>
      </c>
      <c r="Y41" s="7">
        <f t="shared" si="22"/>
        <v>19.13</v>
      </c>
      <c r="Z41" s="7">
        <v>23.81</v>
      </c>
      <c r="AA41" s="7">
        <v>22.33</v>
      </c>
      <c r="AB41" s="7">
        <f t="shared" si="13"/>
        <v>92.263460533193935</v>
      </c>
      <c r="AC41" s="7">
        <f t="shared" si="14"/>
        <v>1.7649999999999999E-2</v>
      </c>
      <c r="AD41" s="14">
        <f t="shared" si="26"/>
        <v>1.7649999999999999</v>
      </c>
      <c r="AE41" s="7"/>
      <c r="AF41" s="40"/>
      <c r="AG41" s="40"/>
      <c r="AH41" s="40" t="str">
        <f t="shared" si="15"/>
        <v/>
      </c>
      <c r="AI41" s="40" t="str">
        <f t="shared" si="16"/>
        <v/>
      </c>
      <c r="AJ41" s="14">
        <f t="shared" si="3"/>
        <v>0</v>
      </c>
      <c r="AK41" s="14">
        <f t="shared" si="17"/>
        <v>1.7649999999999999</v>
      </c>
      <c r="AL41" s="14">
        <f>X41</f>
        <v>0.16800000000000004</v>
      </c>
      <c r="AM41" s="124">
        <f t="shared" si="28"/>
        <v>8.6911536471805508</v>
      </c>
      <c r="AN41" s="40">
        <f t="shared" si="19"/>
        <v>91.308846352819458</v>
      </c>
      <c r="AO41" s="40">
        <f t="shared" si="20"/>
        <v>0</v>
      </c>
    </row>
    <row r="42" spans="2:41" x14ac:dyDescent="0.3">
      <c r="B42" s="186" t="s">
        <v>11</v>
      </c>
      <c r="C42" s="187">
        <v>4</v>
      </c>
      <c r="D42" s="7">
        <v>2.64</v>
      </c>
      <c r="E42" s="7">
        <v>85.19</v>
      </c>
      <c r="F42" s="7">
        <v>56.62</v>
      </c>
      <c r="G42" s="8">
        <f t="shared" si="5"/>
        <v>64.810937307550191</v>
      </c>
      <c r="H42" s="186">
        <v>1</v>
      </c>
      <c r="I42" s="7">
        <f t="shared" si="21"/>
        <v>0.1296218746151005</v>
      </c>
      <c r="J42" s="7">
        <f t="shared" si="6"/>
        <v>2.400405085464824E-2</v>
      </c>
      <c r="K42" s="7">
        <f t="shared" si="7"/>
        <v>2.4004050854648242</v>
      </c>
      <c r="L42" s="187"/>
      <c r="M42" s="31" t="str">
        <f t="shared" si="8"/>
        <v/>
      </c>
      <c r="N42" s="31"/>
      <c r="O42" s="31"/>
      <c r="P42" s="31" t="str">
        <f t="shared" si="9"/>
        <v/>
      </c>
      <c r="Q42" s="31" t="str">
        <f t="shared" si="10"/>
        <v/>
      </c>
      <c r="R42" s="14">
        <f t="shared" si="24"/>
        <v>0</v>
      </c>
      <c r="S42" s="7" t="str">
        <f t="shared" si="23"/>
        <v/>
      </c>
      <c r="T42" s="7"/>
      <c r="U42" s="7"/>
      <c r="V42" s="7" t="str">
        <f t="shared" si="11"/>
        <v/>
      </c>
      <c r="W42" s="7" t="str">
        <f t="shared" si="12"/>
        <v/>
      </c>
      <c r="X42" s="14">
        <f t="shared" si="25"/>
        <v>0</v>
      </c>
      <c r="Y42" s="7">
        <f t="shared" si="22"/>
        <v>29.4</v>
      </c>
      <c r="Z42" s="7">
        <v>34.08</v>
      </c>
      <c r="AA42" s="7">
        <v>24.29</v>
      </c>
      <c r="AB42" s="7">
        <f t="shared" si="13"/>
        <v>66.700680272108855</v>
      </c>
      <c r="AC42" s="7">
        <f t="shared" si="14"/>
        <v>1.9610000000000002E-2</v>
      </c>
      <c r="AD42" s="14">
        <f t="shared" si="26"/>
        <v>1.9610000000000003</v>
      </c>
      <c r="AE42" s="7"/>
      <c r="AF42" s="40"/>
      <c r="AG42" s="40"/>
      <c r="AH42" s="40" t="str">
        <f t="shared" si="15"/>
        <v/>
      </c>
      <c r="AI42" s="40" t="str">
        <f t="shared" si="16"/>
        <v/>
      </c>
      <c r="AJ42" s="14"/>
      <c r="AK42" s="14">
        <f t="shared" si="17"/>
        <v>1.9610000000000003</v>
      </c>
      <c r="AL42" s="14">
        <f t="shared" si="18"/>
        <v>0</v>
      </c>
      <c r="AM42" s="124">
        <f t="shared" si="28"/>
        <v>0</v>
      </c>
      <c r="AN42" s="40">
        <f t="shared" si="19"/>
        <v>100</v>
      </c>
      <c r="AO42" s="40">
        <f t="shared" si="20"/>
        <v>0</v>
      </c>
    </row>
    <row r="43" spans="2:41" x14ac:dyDescent="0.3">
      <c r="B43" s="186" t="s">
        <v>11</v>
      </c>
      <c r="C43" s="187">
        <v>5</v>
      </c>
      <c r="D43" s="7">
        <v>2.76</v>
      </c>
      <c r="E43" s="7">
        <v>100.4</v>
      </c>
      <c r="F43" s="7">
        <v>77.77</v>
      </c>
      <c r="G43" s="8">
        <f t="shared" si="5"/>
        <v>76.524896265560159</v>
      </c>
      <c r="H43" s="186">
        <v>1</v>
      </c>
      <c r="I43" s="7">
        <f t="shared" si="21"/>
        <v>0.24487966804979239</v>
      </c>
      <c r="J43" s="7">
        <f t="shared" si="6"/>
        <v>4.5348086675887474E-2</v>
      </c>
      <c r="K43" s="7">
        <f t="shared" si="7"/>
        <v>4.5348086675887478</v>
      </c>
      <c r="L43" s="187"/>
      <c r="M43" s="31" t="str">
        <f t="shared" si="8"/>
        <v/>
      </c>
      <c r="N43" s="31"/>
      <c r="O43" s="31"/>
      <c r="P43" s="31" t="str">
        <f t="shared" si="9"/>
        <v/>
      </c>
      <c r="Q43" s="31" t="str">
        <f t="shared" si="10"/>
        <v/>
      </c>
      <c r="R43" s="14">
        <f t="shared" si="24"/>
        <v>0</v>
      </c>
      <c r="S43" s="31" t="str">
        <f t="shared" si="23"/>
        <v/>
      </c>
      <c r="T43" s="31"/>
      <c r="U43" s="31"/>
      <c r="V43" s="31" t="str">
        <f t="shared" si="11"/>
        <v/>
      </c>
      <c r="W43" s="31" t="str">
        <f t="shared" si="12"/>
        <v/>
      </c>
      <c r="X43" s="14">
        <f t="shared" si="25"/>
        <v>0</v>
      </c>
      <c r="Y43" s="7">
        <f t="shared" si="22"/>
        <v>23.98</v>
      </c>
      <c r="Z43" s="7">
        <v>28.66</v>
      </c>
      <c r="AA43" s="7">
        <v>25.02</v>
      </c>
      <c r="AB43" s="7">
        <f t="shared" si="13"/>
        <v>84.820683903252714</v>
      </c>
      <c r="AC43" s="7">
        <f t="shared" si="14"/>
        <v>2.034E-2</v>
      </c>
      <c r="AD43" s="14">
        <f t="shared" si="26"/>
        <v>2.0340000000000003</v>
      </c>
      <c r="AE43" s="7"/>
      <c r="AF43" s="40"/>
      <c r="AG43" s="40"/>
      <c r="AH43" s="40" t="str">
        <f t="shared" si="15"/>
        <v/>
      </c>
      <c r="AI43" s="40" t="str">
        <f t="shared" si="16"/>
        <v/>
      </c>
      <c r="AJ43" s="14">
        <f t="shared" ref="AJ43" si="29">IF(AF43&gt;0,AI43*10000/100,0)</f>
        <v>0</v>
      </c>
      <c r="AK43" s="14">
        <f t="shared" si="17"/>
        <v>2.0340000000000003</v>
      </c>
      <c r="AL43" s="14"/>
      <c r="AM43" s="124"/>
      <c r="AN43" s="40">
        <f t="shared" si="19"/>
        <v>100</v>
      </c>
      <c r="AO43" s="40">
        <f t="shared" si="20"/>
        <v>0</v>
      </c>
    </row>
    <row r="44" spans="2:41" x14ac:dyDescent="0.3">
      <c r="B44" s="186" t="s">
        <v>11</v>
      </c>
      <c r="C44" s="187">
        <v>6</v>
      </c>
      <c r="D44" s="7">
        <v>2.48</v>
      </c>
      <c r="E44" s="7">
        <v>89.1</v>
      </c>
      <c r="F44" s="7">
        <v>63.32</v>
      </c>
      <c r="G44" s="8">
        <f t="shared" si="5"/>
        <v>69.706227967097533</v>
      </c>
      <c r="H44" s="186">
        <v>2</v>
      </c>
      <c r="I44" s="7">
        <f t="shared" si="21"/>
        <v>2.788249118683904E-2</v>
      </c>
      <c r="J44" s="7">
        <f t="shared" si="6"/>
        <v>2.5817121469295405E-3</v>
      </c>
      <c r="K44" s="7">
        <f t="shared" si="7"/>
        <v>0.25817121469295407</v>
      </c>
      <c r="L44" s="187"/>
      <c r="M44" s="7">
        <f t="shared" si="8"/>
        <v>19.38</v>
      </c>
      <c r="N44" s="7">
        <v>24.06</v>
      </c>
      <c r="O44" s="7">
        <v>19.43</v>
      </c>
      <c r="P44" s="7">
        <f t="shared" si="9"/>
        <v>76.10939112487101</v>
      </c>
      <c r="Q44" s="7">
        <f t="shared" si="10"/>
        <v>1.4749999999999999E-2</v>
      </c>
      <c r="R44" s="14">
        <f t="shared" si="24"/>
        <v>1.4750000000000001</v>
      </c>
      <c r="S44" s="7" t="str">
        <f t="shared" si="23"/>
        <v/>
      </c>
      <c r="T44" s="7"/>
      <c r="U44" s="7"/>
      <c r="V44" s="7" t="str">
        <f t="shared" si="11"/>
        <v/>
      </c>
      <c r="W44" s="7" t="str">
        <f t="shared" si="12"/>
        <v/>
      </c>
      <c r="X44" s="14">
        <f t="shared" si="25"/>
        <v>0</v>
      </c>
      <c r="Y44" s="31" t="str">
        <f t="shared" si="22"/>
        <v/>
      </c>
      <c r="Z44" s="31"/>
      <c r="AA44" s="31"/>
      <c r="AB44" s="31" t="str">
        <f t="shared" si="13"/>
        <v/>
      </c>
      <c r="AC44" s="31" t="str">
        <f t="shared" si="14"/>
        <v/>
      </c>
      <c r="AD44" s="14">
        <f t="shared" si="26"/>
        <v>0</v>
      </c>
      <c r="AE44" s="7"/>
      <c r="AF44" s="40"/>
      <c r="AG44" s="40"/>
      <c r="AH44" s="40" t="str">
        <f t="shared" si="15"/>
        <v/>
      </c>
      <c r="AI44" s="40" t="str">
        <f t="shared" si="16"/>
        <v/>
      </c>
      <c r="AJ44" s="14">
        <f t="shared" si="3"/>
        <v>0</v>
      </c>
      <c r="AK44" s="14">
        <f t="shared" si="17"/>
        <v>1.4750000000000001</v>
      </c>
      <c r="AL44" s="14">
        <f t="shared" si="18"/>
        <v>0</v>
      </c>
      <c r="AM44" s="124">
        <f t="shared" si="28"/>
        <v>0</v>
      </c>
      <c r="AN44" s="40">
        <f t="shared" si="19"/>
        <v>99.999999999999986</v>
      </c>
      <c r="AO44" s="40">
        <f t="shared" si="20"/>
        <v>0</v>
      </c>
    </row>
    <row r="45" spans="2:41" x14ac:dyDescent="0.3">
      <c r="B45" s="186" t="s">
        <v>11</v>
      </c>
      <c r="C45" s="187">
        <v>7</v>
      </c>
      <c r="D45" s="7">
        <v>2.88</v>
      </c>
      <c r="E45" s="7">
        <v>161.01</v>
      </c>
      <c r="F45" s="7">
        <v>110.35</v>
      </c>
      <c r="G45" s="8">
        <f t="shared" si="5"/>
        <v>67.734539201324765</v>
      </c>
      <c r="H45" s="186">
        <v>1</v>
      </c>
      <c r="I45" s="7">
        <f t="shared" si="21"/>
        <v>0.29803197248582891</v>
      </c>
      <c r="J45" s="7">
        <f t="shared" si="6"/>
        <v>5.5191106015894241E-2</v>
      </c>
      <c r="K45" s="7">
        <f t="shared" si="7"/>
        <v>5.519110601589424</v>
      </c>
      <c r="L45" s="187"/>
      <c r="M45" s="7">
        <f t="shared" si="8"/>
        <v>57.76</v>
      </c>
      <c r="N45" s="7">
        <v>62.44</v>
      </c>
      <c r="O45" s="7">
        <v>41.17</v>
      </c>
      <c r="P45" s="7">
        <f t="shared" si="9"/>
        <v>63.175207756232687</v>
      </c>
      <c r="Q45" s="7">
        <f t="shared" si="10"/>
        <v>3.6490000000000002E-2</v>
      </c>
      <c r="R45" s="14">
        <f t="shared" si="24"/>
        <v>3.6490000000000005</v>
      </c>
      <c r="S45" s="7">
        <f>IF(T45&gt;0,T45-$N$5,"")</f>
        <v>8.2200000000000006</v>
      </c>
      <c r="T45" s="7">
        <v>12.9</v>
      </c>
      <c r="U45" s="7">
        <v>9.76</v>
      </c>
      <c r="V45" s="7">
        <f>IF(T45&gt;0,((U45-$N$5)/(T45-$N$5))*100,"")</f>
        <v>61.800486618004854</v>
      </c>
      <c r="W45" s="7">
        <f>IF(T45&gt;0,((V45/100)*S45)/$N$7/1000,"")</f>
        <v>5.0800000000000003E-3</v>
      </c>
      <c r="X45" s="14">
        <f>IF(T45&gt;0,W45*10000/100,0)</f>
        <v>0.50800000000000001</v>
      </c>
      <c r="Y45" s="31" t="str">
        <f t="shared" si="22"/>
        <v/>
      </c>
      <c r="Z45" s="31"/>
      <c r="AA45" s="31"/>
      <c r="AB45" s="31" t="str">
        <f t="shared" si="13"/>
        <v/>
      </c>
      <c r="AC45" s="31" t="str">
        <f t="shared" si="14"/>
        <v/>
      </c>
      <c r="AD45" s="14">
        <f t="shared" si="26"/>
        <v>0</v>
      </c>
      <c r="AE45" s="7"/>
      <c r="AF45" s="40"/>
      <c r="AG45" s="40"/>
      <c r="AH45" s="40" t="str">
        <f t="shared" si="15"/>
        <v/>
      </c>
      <c r="AI45" s="40" t="str">
        <f t="shared" si="16"/>
        <v/>
      </c>
      <c r="AJ45" s="14">
        <f t="shared" si="3"/>
        <v>0</v>
      </c>
      <c r="AK45" s="14">
        <f t="shared" si="17"/>
        <v>3.6490000000000005</v>
      </c>
      <c r="AL45" s="14">
        <f t="shared" si="18"/>
        <v>0.50800000000000001</v>
      </c>
      <c r="AM45" s="124">
        <f t="shared" si="28"/>
        <v>12.220351214818379</v>
      </c>
      <c r="AN45" s="40">
        <f t="shared" si="19"/>
        <v>87.779648785181635</v>
      </c>
      <c r="AO45" s="40">
        <f t="shared" si="20"/>
        <v>0</v>
      </c>
    </row>
    <row r="46" spans="2:41" x14ac:dyDescent="0.3">
      <c r="B46" s="186" t="s">
        <v>11</v>
      </c>
      <c r="C46" s="187">
        <v>8</v>
      </c>
      <c r="D46" s="7">
        <v>2.76</v>
      </c>
      <c r="E46" s="7">
        <v>128.11000000000001</v>
      </c>
      <c r="F46" s="7">
        <v>96.61</v>
      </c>
      <c r="G46" s="8">
        <f t="shared" si="5"/>
        <v>74.619289340101517</v>
      </c>
      <c r="H46" s="186">
        <v>2</v>
      </c>
      <c r="I46" s="7">
        <f t="shared" si="21"/>
        <v>0.23878172588832472</v>
      </c>
      <c r="J46" s="7">
        <f t="shared" si="6"/>
        <v>2.210941906373377E-2</v>
      </c>
      <c r="K46" s="7">
        <f t="shared" si="7"/>
        <v>2.2109419063733768</v>
      </c>
      <c r="L46" s="187"/>
      <c r="M46" s="7">
        <f t="shared" si="8"/>
        <v>33.14</v>
      </c>
      <c r="N46" s="7">
        <v>37.82</v>
      </c>
      <c r="O46" s="7">
        <v>28.73</v>
      </c>
      <c r="P46" s="7">
        <f t="shared" si="9"/>
        <v>72.570911285455637</v>
      </c>
      <c r="Q46" s="7">
        <f t="shared" si="10"/>
        <v>2.4050000000000002E-2</v>
      </c>
      <c r="R46" s="14">
        <f t="shared" si="24"/>
        <v>2.4050000000000002</v>
      </c>
      <c r="S46" s="7" t="str">
        <f t="shared" si="23"/>
        <v/>
      </c>
      <c r="T46" s="7"/>
      <c r="U46" s="7"/>
      <c r="V46" s="7" t="str">
        <f t="shared" si="11"/>
        <v/>
      </c>
      <c r="W46" s="7" t="str">
        <f t="shared" si="12"/>
        <v/>
      </c>
      <c r="X46" s="14">
        <f t="shared" si="25"/>
        <v>0</v>
      </c>
      <c r="Y46" s="31" t="str">
        <f t="shared" si="22"/>
        <v/>
      </c>
      <c r="Z46" s="31"/>
      <c r="AA46" s="31"/>
      <c r="AB46" s="31" t="str">
        <f t="shared" si="13"/>
        <v/>
      </c>
      <c r="AC46" s="31" t="str">
        <f t="shared" si="14"/>
        <v/>
      </c>
      <c r="AD46" s="14">
        <f t="shared" si="26"/>
        <v>0</v>
      </c>
      <c r="AE46" s="7"/>
      <c r="AF46" s="40"/>
      <c r="AG46" s="40"/>
      <c r="AH46" s="40" t="str">
        <f t="shared" si="15"/>
        <v/>
      </c>
      <c r="AI46" s="40" t="str">
        <f t="shared" si="16"/>
        <v/>
      </c>
      <c r="AJ46" s="14">
        <f t="shared" si="3"/>
        <v>0</v>
      </c>
      <c r="AK46" s="14">
        <f t="shared" si="17"/>
        <v>2.4050000000000002</v>
      </c>
      <c r="AL46" s="14">
        <f t="shared" si="18"/>
        <v>0</v>
      </c>
      <c r="AM46" s="124">
        <f t="shared" si="28"/>
        <v>0</v>
      </c>
      <c r="AN46" s="40">
        <f t="shared" si="19"/>
        <v>100</v>
      </c>
      <c r="AO46" s="40">
        <f t="shared" si="20"/>
        <v>0</v>
      </c>
    </row>
    <row r="47" spans="2:41" x14ac:dyDescent="0.3">
      <c r="B47" s="186" t="s">
        <v>11</v>
      </c>
      <c r="C47" s="187">
        <v>9</v>
      </c>
      <c r="D47" s="7">
        <v>3.2</v>
      </c>
      <c r="E47" s="7">
        <v>180.66</v>
      </c>
      <c r="F47" s="7">
        <v>119.49</v>
      </c>
      <c r="G47" s="8">
        <f t="shared" si="5"/>
        <v>65.37416506283256</v>
      </c>
      <c r="H47" s="186">
        <v>2</v>
      </c>
      <c r="I47" s="7">
        <f t="shared" si="21"/>
        <v>0.4968436544775276</v>
      </c>
      <c r="J47" s="7">
        <f t="shared" si="6"/>
        <v>4.6004042081252555E-2</v>
      </c>
      <c r="K47" s="7">
        <f t="shared" si="7"/>
        <v>4.6004042081252559</v>
      </c>
      <c r="L47" s="187"/>
      <c r="M47" s="7">
        <f t="shared" si="8"/>
        <v>41.61</v>
      </c>
      <c r="N47" s="7">
        <v>46.29</v>
      </c>
      <c r="O47" s="7">
        <v>34.47</v>
      </c>
      <c r="P47" s="7">
        <f t="shared" si="9"/>
        <v>71.59336697909157</v>
      </c>
      <c r="Q47" s="7">
        <f t="shared" si="10"/>
        <v>2.9790000000000001E-2</v>
      </c>
      <c r="R47" s="14">
        <f t="shared" si="24"/>
        <v>2.9789999999999996</v>
      </c>
      <c r="S47" s="31" t="str">
        <f t="shared" si="23"/>
        <v/>
      </c>
      <c r="T47" s="31"/>
      <c r="U47" s="31"/>
      <c r="V47" s="31" t="str">
        <f t="shared" si="11"/>
        <v/>
      </c>
      <c r="W47" s="31" t="str">
        <f t="shared" si="12"/>
        <v/>
      </c>
      <c r="X47" s="14">
        <f t="shared" si="25"/>
        <v>0</v>
      </c>
      <c r="Y47" s="31" t="str">
        <f t="shared" si="22"/>
        <v/>
      </c>
      <c r="Z47" s="31"/>
      <c r="AA47" s="31"/>
      <c r="AB47" s="31" t="str">
        <f t="shared" si="13"/>
        <v/>
      </c>
      <c r="AC47" s="31" t="str">
        <f t="shared" si="14"/>
        <v/>
      </c>
      <c r="AD47" s="14">
        <f t="shared" si="26"/>
        <v>0</v>
      </c>
      <c r="AE47" s="7"/>
      <c r="AF47" s="40"/>
      <c r="AG47" s="40"/>
      <c r="AH47" s="40" t="str">
        <f t="shared" si="15"/>
        <v/>
      </c>
      <c r="AI47" s="40" t="str">
        <f t="shared" si="16"/>
        <v/>
      </c>
      <c r="AJ47" s="14">
        <f t="shared" si="3"/>
        <v>0</v>
      </c>
      <c r="AK47" s="14">
        <f t="shared" si="17"/>
        <v>2.9789999999999996</v>
      </c>
      <c r="AL47" s="14"/>
      <c r="AM47" s="124"/>
      <c r="AN47" s="40">
        <f t="shared" si="19"/>
        <v>100</v>
      </c>
      <c r="AO47" s="40">
        <f t="shared" si="20"/>
        <v>0</v>
      </c>
    </row>
  </sheetData>
  <autoFilter ref="B11:AK11" xr:uid="{00000000-0009-0000-0000-000001000000}"/>
  <conditionalFormatting sqref="G12:G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7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0CBE-8BEE-410F-B614-A4E98B87ABE3}">
  <sheetPr>
    <tabColor theme="9" tint="0.79998168889431442"/>
  </sheetPr>
  <dimension ref="B2:AO47"/>
  <sheetViews>
    <sheetView zoomScale="48" zoomScaleNormal="48" workbookViewId="0">
      <selection activeCell="V52" sqref="V52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3" width="9.08203125" style="186" customWidth="1"/>
    <col min="4" max="4" width="14.6640625" style="186" customWidth="1"/>
    <col min="5" max="5" width="10.6640625" style="186"/>
    <col min="6" max="6" width="10.08203125" style="186" customWidth="1"/>
    <col min="7" max="7" width="11.6640625" style="186" customWidth="1"/>
    <col min="8" max="8" width="9.9140625" style="186" customWidth="1"/>
    <col min="9" max="9" width="15.4140625" style="186" customWidth="1"/>
    <col min="10" max="10" width="11" style="186" bestFit="1" customWidth="1"/>
    <col min="11" max="11" width="10.4140625" style="186" bestFit="1" customWidth="1"/>
    <col min="12" max="12" width="9.58203125" style="186" customWidth="1"/>
    <col min="13" max="13" width="10.6640625" style="186"/>
    <col min="14" max="15" width="8.08203125" style="186" bestFit="1" customWidth="1"/>
    <col min="16" max="16" width="8.08203125" style="186" customWidth="1"/>
    <col min="17" max="17" width="12.4140625" style="186" bestFit="1" customWidth="1"/>
    <col min="18" max="18" width="11.6640625" style="186" bestFit="1" customWidth="1"/>
    <col min="19" max="19" width="9.9140625" style="186" customWidth="1"/>
    <col min="20" max="20" width="8.9140625" style="186" customWidth="1"/>
    <col min="21" max="21" width="8.08203125" style="186" bestFit="1" customWidth="1"/>
    <col min="22" max="22" width="8.08203125" style="186" customWidth="1"/>
    <col min="23" max="23" width="12.4140625" style="186" bestFit="1" customWidth="1"/>
    <col min="24" max="24" width="11.6640625" style="186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4</v>
      </c>
    </row>
    <row r="4" spans="2:41" ht="14.5" thickBot="1" x14ac:dyDescent="0.35"/>
    <row r="5" spans="2:41" x14ac:dyDescent="0.3">
      <c r="D5" s="25" t="s">
        <v>31</v>
      </c>
      <c r="E5" s="26">
        <v>0</v>
      </c>
      <c r="F5" s="27" t="s">
        <v>20</v>
      </c>
      <c r="M5" s="25" t="s">
        <v>21</v>
      </c>
      <c r="N5" s="26">
        <v>4.68</v>
      </c>
      <c r="O5" s="27" t="s">
        <v>22</v>
      </c>
      <c r="P5" s="224"/>
      <c r="Q5" s="34" t="s">
        <v>33</v>
      </c>
      <c r="R5" s="32"/>
      <c r="S5" s="32"/>
    </row>
    <row r="6" spans="2:41" x14ac:dyDescent="0.3">
      <c r="D6" s="29" t="s">
        <v>32</v>
      </c>
      <c r="E6" s="165">
        <v>4</v>
      </c>
      <c r="F6" s="30" t="s">
        <v>22</v>
      </c>
      <c r="M6" s="29"/>
      <c r="O6" s="30"/>
      <c r="P6" s="224"/>
      <c r="Q6" s="224"/>
      <c r="R6" s="224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224"/>
      <c r="Q7" s="224"/>
      <c r="R7" s="224"/>
    </row>
    <row r="9" spans="2:41" x14ac:dyDescent="0.3">
      <c r="C9" s="187"/>
      <c r="D9" s="5" t="s">
        <v>5</v>
      </c>
      <c r="L9" s="187"/>
      <c r="M9" s="5" t="s">
        <v>13</v>
      </c>
      <c r="N9" s="185"/>
      <c r="O9" s="185"/>
      <c r="P9" s="185"/>
      <c r="Q9" s="185"/>
      <c r="R9" s="50"/>
      <c r="S9" s="5" t="s">
        <v>17</v>
      </c>
      <c r="T9" s="185"/>
      <c r="U9" s="185"/>
      <c r="V9" s="185"/>
      <c r="W9" s="185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187"/>
      <c r="D10" s="28" t="s">
        <v>30</v>
      </c>
      <c r="G10" s="28" t="s">
        <v>29</v>
      </c>
      <c r="L10" s="187"/>
      <c r="M10" s="28" t="s">
        <v>30</v>
      </c>
      <c r="N10" s="28"/>
      <c r="O10" s="28"/>
      <c r="P10" s="28" t="s">
        <v>29</v>
      </c>
      <c r="Q10" s="28"/>
      <c r="R10" s="46"/>
      <c r="S10" s="28" t="s">
        <v>30</v>
      </c>
      <c r="T10" s="28"/>
      <c r="U10" s="28"/>
      <c r="V10" s="28" t="s">
        <v>29</v>
      </c>
      <c r="W10" s="28"/>
      <c r="X10" s="46"/>
      <c r="Y10" s="28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186" t="s">
        <v>2</v>
      </c>
      <c r="C12" s="187">
        <v>1</v>
      </c>
      <c r="D12" s="7">
        <v>4.0599999999999996</v>
      </c>
      <c r="E12" s="7">
        <v>329.94</v>
      </c>
      <c r="F12" s="7">
        <v>59.05</v>
      </c>
      <c r="G12" s="8">
        <f t="shared" ref="G12:G47" si="0">((F12-$E$6)/(E12-$E$6))*100</f>
        <v>16.889611584954288</v>
      </c>
      <c r="H12" s="186">
        <v>1</v>
      </c>
      <c r="I12" s="7">
        <f t="shared" ref="I12:I47" si="1">(D12-$E$5)*(G12/100)</f>
        <v>0.68571823034914403</v>
      </c>
      <c r="J12" s="7">
        <f t="shared" ref="J12:J47" si="2">I12/($E$7*H12)</f>
        <v>0.1269848574720637</v>
      </c>
      <c r="K12" s="7">
        <f t="shared" ref="K12:K47" si="3">J12*10000/100</f>
        <v>12.698485747206371</v>
      </c>
      <c r="L12" s="187"/>
      <c r="M12" s="31"/>
      <c r="N12" s="31"/>
      <c r="O12" s="31"/>
      <c r="P12" s="31" t="str">
        <f t="shared" ref="P12:P47" si="4">IF(M12&gt;0,((O12-$N$5)/(N12-$N$5))*100,"")</f>
        <v/>
      </c>
      <c r="Q12" s="31" t="str">
        <f t="shared" ref="Q12:Q47" si="5">IF(M12&gt;0,((P12/100)*M12)/$N$7/1000,"")</f>
        <v/>
      </c>
      <c r="R12" s="14">
        <f t="shared" ref="R12:R16" si="6">IF(N12&gt;0,Q12*10000/100,0)</f>
        <v>0</v>
      </c>
      <c r="S12" s="7">
        <v>515.05999999999995</v>
      </c>
      <c r="T12" s="7">
        <v>308.74</v>
      </c>
      <c r="U12" s="7">
        <v>53.61</v>
      </c>
      <c r="V12" s="7">
        <f t="shared" ref="V12:V47" si="7">IF(S12&gt;0,((U12-$N$5)/(T12-$N$5))*100,"")</f>
        <v>16.092218641057684</v>
      </c>
      <c r="W12" s="7">
        <f t="shared" ref="W12:W47" si="8">IF(S12&gt;0,((V12/100)*S12)/$N$7/1000,"")</f>
        <v>8.2884581332631699E-2</v>
      </c>
      <c r="X12" s="14">
        <f t="shared" ref="X12:X16" si="9">IF(T12&gt;0,W12*10000/100,0)</f>
        <v>8.2884581332631697</v>
      </c>
      <c r="Y12" s="31"/>
      <c r="Z12" s="31"/>
      <c r="AA12" s="31"/>
      <c r="AB12" s="31" t="str">
        <f t="shared" ref="AB12:AB47" si="10">IF(Y12&gt;0,((AA12-$N$5)/(Z12-$N$5))*100,"")</f>
        <v/>
      </c>
      <c r="AC12" s="31" t="str">
        <f t="shared" ref="AC12:AC47" si="11">IF(Y12&gt;0,((AB12/100)*Y12)/$N$7/1000,"")</f>
        <v/>
      </c>
      <c r="AD12" s="14">
        <f t="shared" ref="AD12:AD16" si="12">IF(Z12&gt;0,AC12*10000/100,0)</f>
        <v>0</v>
      </c>
      <c r="AE12" s="7"/>
      <c r="AF12" s="7"/>
      <c r="AG12" s="7"/>
      <c r="AH12" s="7" t="str">
        <f t="shared" ref="AH12:AH47" si="13">IF(AE12&gt;0,((AG12-$N$5)/(AF12-$N$5))*100,"")</f>
        <v/>
      </c>
      <c r="AI12" s="7" t="str">
        <f t="shared" ref="AI12:AI47" si="14">IF(AE12&gt;0,((AH12/100)*AE12)/$N$7/1000,"")</f>
        <v/>
      </c>
      <c r="AJ12" s="14">
        <f t="shared" ref="AJ12:AJ47" si="15">IF(AF12&gt;0,AI12*10000/100,0)</f>
        <v>0</v>
      </c>
      <c r="AK12" s="14"/>
      <c r="AL12" s="14">
        <f>X12</f>
        <v>8.2884581332631697</v>
      </c>
      <c r="AM12" s="124">
        <f>IF((100/SUM(AJ12:AL12)*AL12),(100/SUM(AJ12:AL12)*AL12),"")</f>
        <v>100</v>
      </c>
      <c r="AN12" s="40" t="str">
        <f>IF((100/SUM(AJ12:AL12)*AK12),(100/SUM(AJ12:AL12)*AK12),"")</f>
        <v/>
      </c>
      <c r="AO12" s="40">
        <f>(100/SUM(AJ12:AL12)*AJ12)</f>
        <v>0</v>
      </c>
    </row>
    <row r="13" spans="2:41" x14ac:dyDescent="0.3">
      <c r="B13" s="186" t="s">
        <v>2</v>
      </c>
      <c r="C13" s="187">
        <v>2</v>
      </c>
      <c r="D13" s="7">
        <v>4.78</v>
      </c>
      <c r="E13" s="7">
        <v>259.88</v>
      </c>
      <c r="F13" s="7">
        <v>50.43</v>
      </c>
      <c r="G13" s="8">
        <f t="shared" si="0"/>
        <v>18.145224323901829</v>
      </c>
      <c r="H13" s="186">
        <v>1</v>
      </c>
      <c r="I13" s="7">
        <f t="shared" si="1"/>
        <v>0.86734172268250742</v>
      </c>
      <c r="J13" s="7">
        <f t="shared" si="2"/>
        <v>0.16061883753379766</v>
      </c>
      <c r="K13" s="7">
        <f t="shared" si="3"/>
        <v>16.061883753379767</v>
      </c>
      <c r="L13" s="187"/>
      <c r="M13" s="31"/>
      <c r="N13" s="31"/>
      <c r="O13" s="31"/>
      <c r="P13" s="31" t="str">
        <f t="shared" si="4"/>
        <v/>
      </c>
      <c r="Q13" s="31" t="str">
        <f t="shared" si="5"/>
        <v/>
      </c>
      <c r="R13" s="14">
        <f t="shared" si="6"/>
        <v>0</v>
      </c>
      <c r="S13" s="7">
        <v>350.89</v>
      </c>
      <c r="T13" s="7">
        <v>237.15</v>
      </c>
      <c r="U13" s="7">
        <v>45.22</v>
      </c>
      <c r="V13" s="7">
        <f t="shared" si="7"/>
        <v>17.438809308728008</v>
      </c>
      <c r="W13" s="7">
        <f t="shared" si="8"/>
        <v>6.1191037983395702E-2</v>
      </c>
      <c r="X13" s="14">
        <f t="shared" si="9"/>
        <v>6.1191037983395695</v>
      </c>
      <c r="Y13" s="7">
        <v>426.98</v>
      </c>
      <c r="Z13" s="7">
        <v>212.8</v>
      </c>
      <c r="AA13" s="7">
        <v>44.18</v>
      </c>
      <c r="AB13" s="7">
        <f t="shared" si="10"/>
        <v>18.979434941379971</v>
      </c>
      <c r="AC13" s="7">
        <f t="shared" si="11"/>
        <v>8.1038391312704211E-2</v>
      </c>
      <c r="AD13" s="14">
        <f t="shared" si="12"/>
        <v>8.103839131270421</v>
      </c>
      <c r="AE13" s="7"/>
      <c r="AF13" s="7"/>
      <c r="AG13" s="7"/>
      <c r="AH13" s="7" t="str">
        <f t="shared" si="13"/>
        <v/>
      </c>
      <c r="AI13" s="7" t="str">
        <f t="shared" si="14"/>
        <v/>
      </c>
      <c r="AJ13" s="14">
        <f t="shared" si="15"/>
        <v>0</v>
      </c>
      <c r="AK13" s="14">
        <f t="shared" ref="AK13:AK47" si="16">R13+AD13</f>
        <v>8.103839131270421</v>
      </c>
      <c r="AL13" s="14">
        <f t="shared" ref="AL13:AL46" si="17">X13</f>
        <v>6.1191037983395695</v>
      </c>
      <c r="AM13" s="124">
        <f t="shared" ref="AM13:AM47" si="18">IF((100/SUM(AJ13:AL13)*AL13),(100/SUM(AJ13:AL13)*AL13),"")</f>
        <v>43.022768414548942</v>
      </c>
      <c r="AN13" s="40">
        <f t="shared" ref="AN13:AN47" si="19">IF((100/SUM(AJ13:AL13)*AK13),(100/SUM(AJ13:AL13)*AK13),"")</f>
        <v>56.977231585451051</v>
      </c>
      <c r="AO13" s="40">
        <f t="shared" ref="AO13:AO47" si="20">(100/SUM(AJ13:AL13)*AJ13)</f>
        <v>0</v>
      </c>
    </row>
    <row r="14" spans="2:41" x14ac:dyDescent="0.3">
      <c r="B14" s="186" t="s">
        <v>2</v>
      </c>
      <c r="C14" s="187">
        <v>3</v>
      </c>
      <c r="D14" s="7">
        <v>2.38</v>
      </c>
      <c r="E14" s="7">
        <v>270.25</v>
      </c>
      <c r="F14" s="7">
        <v>58.17</v>
      </c>
      <c r="G14" s="8">
        <f t="shared" si="0"/>
        <v>20.345539906103287</v>
      </c>
      <c r="H14" s="186">
        <v>1</v>
      </c>
      <c r="I14" s="7">
        <f>(D14-$E$5)*(G14/100)</f>
        <v>0.48422384976525823</v>
      </c>
      <c r="J14" s="7">
        <f>I14/($E$7*H14)</f>
        <v>8.9671083289862633E-2</v>
      </c>
      <c r="K14" s="7">
        <f>J14*10000/100</f>
        <v>8.9671083289862636</v>
      </c>
      <c r="L14" s="187"/>
      <c r="M14" s="31"/>
      <c r="N14" s="31"/>
      <c r="O14" s="31"/>
      <c r="P14" s="31" t="str">
        <f t="shared" si="4"/>
        <v/>
      </c>
      <c r="Q14" s="31" t="str">
        <f t="shared" si="5"/>
        <v/>
      </c>
      <c r="R14" s="14">
        <f t="shared" si="6"/>
        <v>0</v>
      </c>
      <c r="S14" s="7">
        <v>98.96</v>
      </c>
      <c r="T14" s="7">
        <v>98.96</v>
      </c>
      <c r="U14" s="172">
        <v>21.64</v>
      </c>
      <c r="V14" s="7">
        <f t="shared" si="7"/>
        <v>17.988969028425966</v>
      </c>
      <c r="W14" s="7">
        <f t="shared" si="8"/>
        <v>1.7801883750530337E-2</v>
      </c>
      <c r="X14" s="14">
        <f t="shared" si="9"/>
        <v>1.7801883750530336</v>
      </c>
      <c r="Y14" s="7">
        <v>487.23</v>
      </c>
      <c r="Z14" s="7">
        <v>220.1</v>
      </c>
      <c r="AA14" s="7">
        <v>46.47</v>
      </c>
      <c r="AB14" s="7">
        <f t="shared" si="10"/>
        <v>19.399312970012069</v>
      </c>
      <c r="AC14" s="7">
        <f t="shared" si="11"/>
        <v>9.451927258378981E-2</v>
      </c>
      <c r="AD14" s="14">
        <f t="shared" si="12"/>
        <v>9.4519272583789817</v>
      </c>
      <c r="AE14" s="7"/>
      <c r="AF14" s="7"/>
      <c r="AG14" s="7"/>
      <c r="AH14" s="7" t="str">
        <f t="shared" si="13"/>
        <v/>
      </c>
      <c r="AI14" s="7" t="str">
        <f t="shared" si="14"/>
        <v/>
      </c>
      <c r="AJ14" s="14">
        <f t="shared" si="15"/>
        <v>0</v>
      </c>
      <c r="AK14" s="14">
        <f t="shared" si="16"/>
        <v>9.4519272583789817</v>
      </c>
      <c r="AL14" s="14">
        <f t="shared" si="17"/>
        <v>1.7801883750530336</v>
      </c>
      <c r="AM14" s="124">
        <f t="shared" si="18"/>
        <v>15.849092309505458</v>
      </c>
      <c r="AN14" s="40">
        <f t="shared" si="19"/>
        <v>84.150907690494549</v>
      </c>
      <c r="AO14" s="40">
        <f t="shared" si="20"/>
        <v>0</v>
      </c>
    </row>
    <row r="15" spans="2:41" x14ac:dyDescent="0.3">
      <c r="B15" s="186" t="s">
        <v>2</v>
      </c>
      <c r="C15" s="187">
        <v>4</v>
      </c>
      <c r="D15" s="7">
        <v>3.72</v>
      </c>
      <c r="E15" s="7">
        <v>281.66000000000003</v>
      </c>
      <c r="F15" s="7">
        <v>56.15</v>
      </c>
      <c r="G15" s="8">
        <f t="shared" si="0"/>
        <v>18.781963552546276</v>
      </c>
      <c r="H15" s="186">
        <v>1</v>
      </c>
      <c r="I15" s="7">
        <f t="shared" si="1"/>
        <v>0.69868904415472155</v>
      </c>
      <c r="J15" s="7">
        <f t="shared" si="2"/>
        <v>0.12938686002865213</v>
      </c>
      <c r="K15" s="7">
        <f t="shared" si="3"/>
        <v>12.938686002865213</v>
      </c>
      <c r="L15" s="187"/>
      <c r="M15" s="31"/>
      <c r="N15" s="31"/>
      <c r="O15" s="31"/>
      <c r="P15" s="31" t="str">
        <f t="shared" si="4"/>
        <v/>
      </c>
      <c r="Q15" s="31" t="str">
        <f t="shared" si="5"/>
        <v/>
      </c>
      <c r="R15" s="14">
        <f t="shared" si="6"/>
        <v>0</v>
      </c>
      <c r="S15" s="7">
        <v>342.89</v>
      </c>
      <c r="T15" s="7">
        <v>225.96</v>
      </c>
      <c r="U15" s="7">
        <v>44.72</v>
      </c>
      <c r="V15" s="7">
        <f t="shared" si="7"/>
        <v>18.094721619667389</v>
      </c>
      <c r="W15" s="7">
        <f t="shared" si="8"/>
        <v>6.2044990961677503E-2</v>
      </c>
      <c r="X15" s="14">
        <f t="shared" si="9"/>
        <v>6.2044990961677504</v>
      </c>
      <c r="Y15" s="7">
        <v>383.2</v>
      </c>
      <c r="Z15" s="7">
        <v>205.1</v>
      </c>
      <c r="AA15" s="7">
        <v>54.68</v>
      </c>
      <c r="AB15" s="7">
        <f t="shared" si="10"/>
        <v>24.947610018960184</v>
      </c>
      <c r="AC15" s="7">
        <f t="shared" si="11"/>
        <v>9.5599241592655412E-2</v>
      </c>
      <c r="AD15" s="14">
        <f t="shared" si="12"/>
        <v>9.5599241592655417</v>
      </c>
      <c r="AE15" s="7"/>
      <c r="AF15" s="7"/>
      <c r="AG15" s="7"/>
      <c r="AH15" s="7" t="str">
        <f t="shared" si="13"/>
        <v/>
      </c>
      <c r="AI15" s="7" t="str">
        <f t="shared" si="14"/>
        <v/>
      </c>
      <c r="AJ15" s="14">
        <f t="shared" si="15"/>
        <v>0</v>
      </c>
      <c r="AK15" s="14">
        <f t="shared" si="16"/>
        <v>9.5599241592655417</v>
      </c>
      <c r="AL15" s="14">
        <f t="shared" si="17"/>
        <v>6.2044990961677504</v>
      </c>
      <c r="AM15" s="124">
        <f t="shared" si="18"/>
        <v>39.35760284810506</v>
      </c>
      <c r="AN15" s="40">
        <f t="shared" si="19"/>
        <v>60.642397151894933</v>
      </c>
      <c r="AO15" s="40">
        <f t="shared" si="20"/>
        <v>0</v>
      </c>
    </row>
    <row r="16" spans="2:41" x14ac:dyDescent="0.3">
      <c r="B16" s="186" t="s">
        <v>2</v>
      </c>
      <c r="C16" s="187">
        <v>5</v>
      </c>
      <c r="D16" s="7">
        <v>2.2599999999999998</v>
      </c>
      <c r="E16" s="7">
        <v>251.4</v>
      </c>
      <c r="F16" s="7">
        <v>55.95</v>
      </c>
      <c r="G16" s="8">
        <f t="shared" si="0"/>
        <v>20.998383185125306</v>
      </c>
      <c r="H16" s="186">
        <v>1</v>
      </c>
      <c r="I16" s="7">
        <f t="shared" si="1"/>
        <v>0.47456345998383187</v>
      </c>
      <c r="J16" s="7">
        <f t="shared" si="2"/>
        <v>8.7882122219228115E-2</v>
      </c>
      <c r="K16" s="7">
        <f t="shared" si="3"/>
        <v>8.7882122219228123</v>
      </c>
      <c r="L16" s="187"/>
      <c r="M16" s="31"/>
      <c r="N16" s="31"/>
      <c r="O16" s="31"/>
      <c r="P16" s="31" t="str">
        <f t="shared" si="4"/>
        <v/>
      </c>
      <c r="Q16" s="31" t="str">
        <f t="shared" si="5"/>
        <v/>
      </c>
      <c r="R16" s="14">
        <f t="shared" si="6"/>
        <v>0</v>
      </c>
      <c r="S16" s="31"/>
      <c r="T16" s="31"/>
      <c r="U16" s="31"/>
      <c r="V16" s="31" t="str">
        <f t="shared" si="7"/>
        <v/>
      </c>
      <c r="W16" s="31" t="str">
        <f t="shared" si="8"/>
        <v/>
      </c>
      <c r="X16" s="14">
        <f t="shared" si="9"/>
        <v>0</v>
      </c>
      <c r="Y16" s="7">
        <v>402.54</v>
      </c>
      <c r="Z16" s="7">
        <v>203.44</v>
      </c>
      <c r="AA16" s="7">
        <v>47.68</v>
      </c>
      <c r="AB16" s="7">
        <f t="shared" si="10"/>
        <v>21.634131616019321</v>
      </c>
      <c r="AC16" s="7">
        <f t="shared" si="11"/>
        <v>8.7086033407124175E-2</v>
      </c>
      <c r="AD16" s="14">
        <f t="shared" si="12"/>
        <v>8.7086033407124166</v>
      </c>
      <c r="AE16" s="7"/>
      <c r="AF16" s="7"/>
      <c r="AG16" s="7"/>
      <c r="AH16" s="7" t="str">
        <f t="shared" si="13"/>
        <v/>
      </c>
      <c r="AI16" s="7" t="str">
        <f t="shared" si="14"/>
        <v/>
      </c>
      <c r="AJ16" s="14">
        <f t="shared" si="15"/>
        <v>0</v>
      </c>
      <c r="AK16" s="14">
        <f t="shared" si="16"/>
        <v>8.7086033407124166</v>
      </c>
      <c r="AL16" s="14"/>
      <c r="AM16" s="124" t="str">
        <f t="shared" si="18"/>
        <v/>
      </c>
      <c r="AN16" s="40">
        <f t="shared" si="19"/>
        <v>100</v>
      </c>
      <c r="AO16" s="40">
        <f t="shared" si="20"/>
        <v>0</v>
      </c>
    </row>
    <row r="17" spans="2:41" x14ac:dyDescent="0.3">
      <c r="B17" s="186" t="s">
        <v>2</v>
      </c>
      <c r="C17" s="187">
        <v>6</v>
      </c>
      <c r="D17" s="7">
        <v>6.16</v>
      </c>
      <c r="E17" s="7">
        <v>313.48</v>
      </c>
      <c r="F17" s="7">
        <v>60.88</v>
      </c>
      <c r="G17" s="8">
        <f t="shared" si="0"/>
        <v>18.379216750678555</v>
      </c>
      <c r="H17" s="186">
        <v>1</v>
      </c>
      <c r="I17" s="7">
        <f t="shared" si="1"/>
        <v>1.1321597518417992</v>
      </c>
      <c r="J17" s="7">
        <f t="shared" si="2"/>
        <v>0.20965921330403686</v>
      </c>
      <c r="K17" s="7">
        <f t="shared" si="3"/>
        <v>20.965921330403685</v>
      </c>
      <c r="L17" s="187"/>
      <c r="M17" s="7">
        <v>633.4</v>
      </c>
      <c r="N17" s="7">
        <v>292.56</v>
      </c>
      <c r="O17" s="7">
        <v>64.069999999999993</v>
      </c>
      <c r="P17" s="7">
        <f t="shared" si="4"/>
        <v>20.63012366263721</v>
      </c>
      <c r="Q17" s="7">
        <f t="shared" si="5"/>
        <v>0.13067120327914405</v>
      </c>
      <c r="R17" s="14">
        <f>IF(N17&gt;0,Q17*10000/100,0)</f>
        <v>13.067120327914406</v>
      </c>
      <c r="S17" s="7">
        <v>67.48</v>
      </c>
      <c r="T17" s="7">
        <v>67.48</v>
      </c>
      <c r="U17" s="7">
        <v>20.18</v>
      </c>
      <c r="V17" s="7">
        <f t="shared" si="7"/>
        <v>24.68152866242038</v>
      </c>
      <c r="W17" s="7">
        <f t="shared" si="8"/>
        <v>1.6655095541401273E-2</v>
      </c>
      <c r="X17" s="14">
        <f>IF(T17&gt;0,W17*10000/100,0)</f>
        <v>1.6655095541401272</v>
      </c>
      <c r="Y17" s="31"/>
      <c r="Z17" s="31"/>
      <c r="AA17" s="31"/>
      <c r="AB17" s="31" t="str">
        <f t="shared" si="10"/>
        <v/>
      </c>
      <c r="AC17" s="31" t="str">
        <f t="shared" si="11"/>
        <v/>
      </c>
      <c r="AD17" s="14">
        <f>IF(Z17&gt;0,AC17*10000/100,0)</f>
        <v>0</v>
      </c>
      <c r="AE17" s="7"/>
      <c r="AF17" s="7"/>
      <c r="AG17" s="7"/>
      <c r="AH17" s="7" t="str">
        <f t="shared" si="13"/>
        <v/>
      </c>
      <c r="AI17" s="7" t="str">
        <f t="shared" si="14"/>
        <v/>
      </c>
      <c r="AJ17" s="14">
        <f t="shared" si="15"/>
        <v>0</v>
      </c>
      <c r="AK17" s="14">
        <f t="shared" si="16"/>
        <v>13.067120327914406</v>
      </c>
      <c r="AL17" s="14">
        <f t="shared" si="17"/>
        <v>1.6655095541401272</v>
      </c>
      <c r="AM17" s="124">
        <f t="shared" si="18"/>
        <v>11.30490324859681</v>
      </c>
      <c r="AN17" s="40">
        <f t="shared" si="19"/>
        <v>88.695096751403184</v>
      </c>
      <c r="AO17" s="40">
        <f t="shared" si="20"/>
        <v>0</v>
      </c>
    </row>
    <row r="18" spans="2:41" x14ac:dyDescent="0.3">
      <c r="B18" s="186" t="s">
        <v>2</v>
      </c>
      <c r="C18" s="187">
        <v>7</v>
      </c>
      <c r="D18" s="7">
        <v>3.48</v>
      </c>
      <c r="E18" s="7">
        <v>313.86</v>
      </c>
      <c r="F18" s="7">
        <v>61.7</v>
      </c>
      <c r="G18" s="8">
        <f t="shared" si="0"/>
        <v>18.621312850964951</v>
      </c>
      <c r="H18" s="186">
        <v>1</v>
      </c>
      <c r="I18" s="7">
        <f t="shared" si="1"/>
        <v>0.64802168721358033</v>
      </c>
      <c r="J18" s="7">
        <f t="shared" si="2"/>
        <v>0.12000401615066301</v>
      </c>
      <c r="K18" s="7">
        <f t="shared" si="3"/>
        <v>12.0004016150663</v>
      </c>
      <c r="L18" s="187"/>
      <c r="M18" s="7">
        <v>614.64</v>
      </c>
      <c r="N18" s="7">
        <v>250.54</v>
      </c>
      <c r="O18" s="7">
        <v>49.03</v>
      </c>
      <c r="P18" s="7">
        <f t="shared" si="4"/>
        <v>18.038721223460506</v>
      </c>
      <c r="Q18" s="7">
        <f t="shared" si="5"/>
        <v>0.11087319612787765</v>
      </c>
      <c r="R18" s="14">
        <f t="shared" ref="R18:R47" si="21">IF(N18&gt;0,Q18*10000/100,0)</f>
        <v>11.087319612787764</v>
      </c>
      <c r="S18" s="7">
        <v>94.62</v>
      </c>
      <c r="T18" s="7">
        <v>94.62</v>
      </c>
      <c r="U18" s="7">
        <v>22.58</v>
      </c>
      <c r="V18" s="7">
        <f t="shared" si="7"/>
        <v>19.902156993551255</v>
      </c>
      <c r="W18" s="7">
        <f t="shared" si="8"/>
        <v>1.88314209472982E-2</v>
      </c>
      <c r="X18" s="14">
        <f t="shared" ref="X18:X47" si="22">IF(T18&gt;0,W18*10000/100,0)</f>
        <v>1.8831420947298199</v>
      </c>
      <c r="Y18" s="31"/>
      <c r="Z18" s="31"/>
      <c r="AA18" s="31"/>
      <c r="AB18" s="31" t="str">
        <f t="shared" si="10"/>
        <v/>
      </c>
      <c r="AC18" s="31" t="str">
        <f t="shared" si="11"/>
        <v/>
      </c>
      <c r="AD18" s="14">
        <f t="shared" ref="AD18:AD47" si="23">IF(Z18&gt;0,AC18*10000/100,0)</f>
        <v>0</v>
      </c>
      <c r="AE18" s="7"/>
      <c r="AF18" s="7"/>
      <c r="AG18" s="7"/>
      <c r="AH18" s="7" t="str">
        <f t="shared" si="13"/>
        <v/>
      </c>
      <c r="AI18" s="7" t="str">
        <f t="shared" si="14"/>
        <v/>
      </c>
      <c r="AJ18" s="14">
        <f t="shared" si="15"/>
        <v>0</v>
      </c>
      <c r="AK18" s="14">
        <f t="shared" si="16"/>
        <v>11.087319612787764</v>
      </c>
      <c r="AL18" s="14">
        <f t="shared" si="17"/>
        <v>1.8831420947298199</v>
      </c>
      <c r="AM18" s="124">
        <f t="shared" si="18"/>
        <v>14.518697461928934</v>
      </c>
      <c r="AN18" s="40">
        <f t="shared" si="19"/>
        <v>85.481302538071063</v>
      </c>
      <c r="AO18" s="40">
        <f t="shared" si="20"/>
        <v>0</v>
      </c>
    </row>
    <row r="19" spans="2:41" x14ac:dyDescent="0.3">
      <c r="B19" s="186" t="s">
        <v>2</v>
      </c>
      <c r="C19" s="187">
        <v>8</v>
      </c>
      <c r="D19" s="7">
        <v>4.0599999999999996</v>
      </c>
      <c r="E19" s="7">
        <v>364.59</v>
      </c>
      <c r="F19" s="7">
        <v>70.06</v>
      </c>
      <c r="G19" s="8">
        <f t="shared" si="0"/>
        <v>18.319975595551739</v>
      </c>
      <c r="H19" s="186">
        <v>1</v>
      </c>
      <c r="I19" s="7">
        <f t="shared" si="1"/>
        <v>0.74379100917940044</v>
      </c>
      <c r="J19" s="7">
        <f t="shared" si="2"/>
        <v>0.13773907577396305</v>
      </c>
      <c r="K19" s="7">
        <f t="shared" si="3"/>
        <v>13.773907577396306</v>
      </c>
      <c r="L19" s="187"/>
      <c r="M19" s="7">
        <v>506.73</v>
      </c>
      <c r="N19" s="7">
        <v>272.5</v>
      </c>
      <c r="O19" s="7">
        <v>57.03</v>
      </c>
      <c r="P19" s="7">
        <f t="shared" si="4"/>
        <v>19.546710477186171</v>
      </c>
      <c r="Q19" s="7">
        <f t="shared" si="5"/>
        <v>9.9049046001045499E-2</v>
      </c>
      <c r="R19" s="14">
        <f t="shared" si="21"/>
        <v>9.9049046001045493</v>
      </c>
      <c r="S19" s="7">
        <v>63.77</v>
      </c>
      <c r="T19" s="7">
        <v>63.77</v>
      </c>
      <c r="U19" s="7">
        <v>18.8</v>
      </c>
      <c r="V19" s="7">
        <f t="shared" si="7"/>
        <v>23.895752242342191</v>
      </c>
      <c r="W19" s="7">
        <f t="shared" si="8"/>
        <v>1.5238321204941617E-2</v>
      </c>
      <c r="X19" s="14">
        <f t="shared" si="22"/>
        <v>1.5238321204941616</v>
      </c>
      <c r="Y19" s="31"/>
      <c r="Z19" s="31"/>
      <c r="AA19" s="31"/>
      <c r="AB19" s="31" t="str">
        <f t="shared" si="10"/>
        <v/>
      </c>
      <c r="AC19" s="31" t="str">
        <f t="shared" si="11"/>
        <v/>
      </c>
      <c r="AD19" s="14">
        <f t="shared" si="23"/>
        <v>0</v>
      </c>
      <c r="AE19" s="7"/>
      <c r="AF19" s="7"/>
      <c r="AG19" s="7"/>
      <c r="AH19" s="7" t="str">
        <f t="shared" si="13"/>
        <v/>
      </c>
      <c r="AI19" s="7" t="str">
        <f t="shared" si="14"/>
        <v/>
      </c>
      <c r="AJ19" s="14">
        <f t="shared" si="15"/>
        <v>0</v>
      </c>
      <c r="AK19" s="14">
        <f t="shared" si="16"/>
        <v>9.9049046001045493</v>
      </c>
      <c r="AL19" s="14">
        <f t="shared" si="17"/>
        <v>1.5238321204941616</v>
      </c>
      <c r="AM19" s="124">
        <f t="shared" si="18"/>
        <v>13.333338213554837</v>
      </c>
      <c r="AN19" s="40">
        <f t="shared" si="19"/>
        <v>86.666661786445175</v>
      </c>
      <c r="AO19" s="40">
        <f t="shared" si="20"/>
        <v>0</v>
      </c>
    </row>
    <row r="20" spans="2:41" x14ac:dyDescent="0.3">
      <c r="B20" s="16" t="s">
        <v>2</v>
      </c>
      <c r="C20" s="17">
        <v>9</v>
      </c>
      <c r="D20" s="18">
        <v>3.24</v>
      </c>
      <c r="E20" s="18">
        <v>333.32</v>
      </c>
      <c r="F20" s="18">
        <v>80.59</v>
      </c>
      <c r="G20" s="19">
        <f t="shared" si="0"/>
        <v>23.257014454026482</v>
      </c>
      <c r="H20" s="16">
        <v>1</v>
      </c>
      <c r="I20" s="18">
        <f t="shared" si="1"/>
        <v>0.75352726831045802</v>
      </c>
      <c r="J20" s="18">
        <f t="shared" si="2"/>
        <v>0.13954208672415888</v>
      </c>
      <c r="K20" s="18">
        <f t="shared" si="3"/>
        <v>13.95420867241589</v>
      </c>
      <c r="L20" s="17"/>
      <c r="M20" s="18">
        <v>589.41</v>
      </c>
      <c r="N20" s="18">
        <v>263.74</v>
      </c>
      <c r="O20" s="18">
        <v>51.72</v>
      </c>
      <c r="P20" s="18">
        <f t="shared" si="4"/>
        <v>18.157955685941481</v>
      </c>
      <c r="Q20" s="18">
        <f t="shared" si="5"/>
        <v>0.10702480660850769</v>
      </c>
      <c r="R20" s="14">
        <f t="shared" si="21"/>
        <v>10.702480660850769</v>
      </c>
      <c r="S20" s="33"/>
      <c r="T20" s="33"/>
      <c r="U20" s="33"/>
      <c r="V20" s="33" t="str">
        <f t="shared" si="7"/>
        <v/>
      </c>
      <c r="W20" s="33" t="str">
        <f t="shared" si="8"/>
        <v/>
      </c>
      <c r="X20" s="14">
        <f t="shared" si="22"/>
        <v>0</v>
      </c>
      <c r="Y20" s="33"/>
      <c r="Z20" s="33"/>
      <c r="AA20" s="33"/>
      <c r="AB20" s="33" t="str">
        <f t="shared" si="10"/>
        <v/>
      </c>
      <c r="AC20" s="33" t="str">
        <f t="shared" si="11"/>
        <v/>
      </c>
      <c r="AD20" s="14">
        <f t="shared" si="23"/>
        <v>0</v>
      </c>
      <c r="AE20" s="18"/>
      <c r="AF20" s="18"/>
      <c r="AG20" s="18"/>
      <c r="AH20" s="18" t="str">
        <f t="shared" si="13"/>
        <v/>
      </c>
      <c r="AI20" s="18" t="str">
        <f t="shared" si="14"/>
        <v/>
      </c>
      <c r="AJ20" s="14">
        <f t="shared" si="15"/>
        <v>0</v>
      </c>
      <c r="AK20" s="14">
        <f t="shared" si="16"/>
        <v>10.702480660850769</v>
      </c>
      <c r="AL20" s="14"/>
      <c r="AM20" s="124" t="str">
        <f t="shared" si="18"/>
        <v/>
      </c>
      <c r="AN20" s="40">
        <f t="shared" si="19"/>
        <v>100</v>
      </c>
      <c r="AO20" s="40">
        <f t="shared" si="20"/>
        <v>0</v>
      </c>
    </row>
    <row r="21" spans="2:41" x14ac:dyDescent="0.3">
      <c r="B21" s="186" t="s">
        <v>9</v>
      </c>
      <c r="C21" s="187">
        <v>1</v>
      </c>
      <c r="D21" s="7">
        <v>4.5</v>
      </c>
      <c r="E21" s="7">
        <v>224.89</v>
      </c>
      <c r="F21" s="7">
        <v>39.06</v>
      </c>
      <c r="G21" s="8">
        <f t="shared" si="0"/>
        <v>15.872153560595773</v>
      </c>
      <c r="H21" s="186">
        <v>1</v>
      </c>
      <c r="I21" s="7">
        <f t="shared" si="1"/>
        <v>0.71424691022680975</v>
      </c>
      <c r="J21" s="7">
        <f t="shared" si="2"/>
        <v>0.13226794633829808</v>
      </c>
      <c r="K21" s="7">
        <f t="shared" si="3"/>
        <v>13.226794633829808</v>
      </c>
      <c r="L21" s="187"/>
      <c r="M21" s="31"/>
      <c r="N21" s="31"/>
      <c r="O21" s="31"/>
      <c r="P21" s="31" t="str">
        <f t="shared" si="4"/>
        <v/>
      </c>
      <c r="Q21" s="31" t="str">
        <f t="shared" si="5"/>
        <v/>
      </c>
      <c r="R21" s="14">
        <f t="shared" si="21"/>
        <v>0</v>
      </c>
      <c r="S21" s="7">
        <v>901.92</v>
      </c>
      <c r="T21" s="7">
        <v>323.3</v>
      </c>
      <c r="U21" s="7">
        <v>56.18</v>
      </c>
      <c r="V21" s="7">
        <f t="shared" si="7"/>
        <v>16.163454899253029</v>
      </c>
      <c r="W21" s="7">
        <f t="shared" si="8"/>
        <v>0.1457814324273429</v>
      </c>
      <c r="X21" s="14">
        <f t="shared" si="22"/>
        <v>14.57814324273429</v>
      </c>
      <c r="Y21" s="31"/>
      <c r="Z21" s="31"/>
      <c r="AA21" s="31"/>
      <c r="AB21" s="31" t="str">
        <f t="shared" si="10"/>
        <v/>
      </c>
      <c r="AC21" s="31" t="str">
        <f t="shared" si="11"/>
        <v/>
      </c>
      <c r="AD21" s="14">
        <f t="shared" si="23"/>
        <v>0</v>
      </c>
      <c r="AE21" s="7"/>
      <c r="AF21" s="7"/>
      <c r="AG21" s="7"/>
      <c r="AH21" s="7" t="str">
        <f t="shared" si="13"/>
        <v/>
      </c>
      <c r="AI21" s="7" t="str">
        <f t="shared" si="14"/>
        <v/>
      </c>
      <c r="AJ21" s="14">
        <f t="shared" si="15"/>
        <v>0</v>
      </c>
      <c r="AK21" s="14"/>
      <c r="AL21" s="14">
        <f t="shared" si="17"/>
        <v>14.57814324273429</v>
      </c>
      <c r="AM21" s="124">
        <f t="shared" si="18"/>
        <v>100</v>
      </c>
      <c r="AN21" s="40" t="str">
        <f t="shared" si="19"/>
        <v/>
      </c>
      <c r="AO21" s="40">
        <f t="shared" si="20"/>
        <v>0</v>
      </c>
    </row>
    <row r="22" spans="2:41" x14ac:dyDescent="0.3">
      <c r="B22" s="186" t="s">
        <v>9</v>
      </c>
      <c r="C22" s="187">
        <v>2</v>
      </c>
      <c r="D22" s="7">
        <v>5.58</v>
      </c>
      <c r="E22" s="7">
        <v>248.89</v>
      </c>
      <c r="F22" s="7">
        <v>45.04</v>
      </c>
      <c r="G22" s="8">
        <f t="shared" si="0"/>
        <v>16.758544652701211</v>
      </c>
      <c r="H22" s="186">
        <v>1</v>
      </c>
      <c r="I22" s="7">
        <f t="shared" si="1"/>
        <v>0.93512679162072754</v>
      </c>
      <c r="J22" s="7">
        <f t="shared" si="2"/>
        <v>0.1731716280779125</v>
      </c>
      <c r="K22" s="7">
        <f t="shared" si="3"/>
        <v>17.317162807791252</v>
      </c>
      <c r="L22" s="187"/>
      <c r="M22" s="31"/>
      <c r="N22" s="31"/>
      <c r="O22" s="31"/>
      <c r="P22" s="31" t="str">
        <f t="shared" si="4"/>
        <v/>
      </c>
      <c r="Q22" s="31" t="str">
        <f t="shared" si="5"/>
        <v/>
      </c>
      <c r="R22" s="14">
        <f t="shared" si="21"/>
        <v>0</v>
      </c>
      <c r="S22" s="7">
        <v>455.24</v>
      </c>
      <c r="T22" s="7">
        <v>190.6</v>
      </c>
      <c r="U22" s="7">
        <v>37.06</v>
      </c>
      <c r="V22" s="7">
        <f t="shared" si="7"/>
        <v>17.416092943201381</v>
      </c>
      <c r="W22" s="7">
        <f t="shared" si="8"/>
        <v>7.9285021514629961E-2</v>
      </c>
      <c r="X22" s="14">
        <f t="shared" si="22"/>
        <v>7.9285021514629967</v>
      </c>
      <c r="Y22" s="7">
        <v>456.6</v>
      </c>
      <c r="Z22" s="7">
        <v>248.23</v>
      </c>
      <c r="AA22" s="7">
        <v>50.05</v>
      </c>
      <c r="AB22" s="7">
        <f t="shared" si="10"/>
        <v>18.628618353520839</v>
      </c>
      <c r="AC22" s="7">
        <f t="shared" si="11"/>
        <v>8.5058271402176158E-2</v>
      </c>
      <c r="AD22" s="14">
        <f t="shared" si="23"/>
        <v>8.5058271402176153</v>
      </c>
      <c r="AE22" s="7"/>
      <c r="AF22" s="7"/>
      <c r="AG22" s="7"/>
      <c r="AH22" s="7" t="str">
        <f t="shared" si="13"/>
        <v/>
      </c>
      <c r="AI22" s="7" t="str">
        <f t="shared" si="14"/>
        <v/>
      </c>
      <c r="AJ22" s="14">
        <f t="shared" si="15"/>
        <v>0</v>
      </c>
      <c r="AK22" s="14">
        <f t="shared" si="16"/>
        <v>8.5058271402176153</v>
      </c>
      <c r="AL22" s="14">
        <f t="shared" si="17"/>
        <v>7.9285021514629967</v>
      </c>
      <c r="AM22" s="124">
        <f t="shared" si="18"/>
        <v>48.243539549110558</v>
      </c>
      <c r="AN22" s="40">
        <f t="shared" si="19"/>
        <v>51.756460450889442</v>
      </c>
      <c r="AO22" s="40">
        <f t="shared" si="20"/>
        <v>0</v>
      </c>
    </row>
    <row r="23" spans="2:41" x14ac:dyDescent="0.3">
      <c r="B23" s="186" t="s">
        <v>9</v>
      </c>
      <c r="C23" s="187">
        <v>3</v>
      </c>
      <c r="D23" s="7">
        <v>3.56</v>
      </c>
      <c r="E23" s="7">
        <v>232.96</v>
      </c>
      <c r="F23" s="7">
        <v>49.08</v>
      </c>
      <c r="G23" s="8">
        <f t="shared" si="0"/>
        <v>19.689028651292801</v>
      </c>
      <c r="H23" s="186">
        <v>1</v>
      </c>
      <c r="I23" s="7">
        <f t="shared" si="1"/>
        <v>0.70092941998602365</v>
      </c>
      <c r="J23" s="7">
        <f t="shared" si="2"/>
        <v>0.12980174444185621</v>
      </c>
      <c r="K23" s="7">
        <f t="shared" si="3"/>
        <v>12.980174444185623</v>
      </c>
      <c r="L23" s="187"/>
      <c r="M23" s="31"/>
      <c r="N23" s="31"/>
      <c r="O23" s="31"/>
      <c r="P23" s="31" t="str">
        <f t="shared" si="4"/>
        <v/>
      </c>
      <c r="Q23" s="31" t="str">
        <f t="shared" si="5"/>
        <v/>
      </c>
      <c r="R23" s="14">
        <f t="shared" si="21"/>
        <v>0</v>
      </c>
      <c r="S23" s="7">
        <v>443.56</v>
      </c>
      <c r="T23" s="7">
        <v>242.19</v>
      </c>
      <c r="U23" s="7">
        <v>46.34</v>
      </c>
      <c r="V23" s="7">
        <f t="shared" si="7"/>
        <v>17.54031409203823</v>
      </c>
      <c r="W23" s="7">
        <f t="shared" si="8"/>
        <v>7.7801817186644778E-2</v>
      </c>
      <c r="X23" s="14">
        <f t="shared" si="22"/>
        <v>7.7801817186644779</v>
      </c>
      <c r="Y23" s="7">
        <v>334.76</v>
      </c>
      <c r="Z23" s="7">
        <v>334.76</v>
      </c>
      <c r="AA23" s="7">
        <v>46.2</v>
      </c>
      <c r="AB23" s="7">
        <f t="shared" si="10"/>
        <v>12.578768783325255</v>
      </c>
      <c r="AC23" s="7">
        <f t="shared" si="11"/>
        <v>4.210868637905963E-2</v>
      </c>
      <c r="AD23" s="14">
        <f t="shared" si="23"/>
        <v>4.2108686379059632</v>
      </c>
      <c r="AE23" s="7"/>
      <c r="AF23" s="7"/>
      <c r="AG23" s="7"/>
      <c r="AH23" s="7" t="str">
        <f t="shared" si="13"/>
        <v/>
      </c>
      <c r="AI23" s="7" t="str">
        <f t="shared" si="14"/>
        <v/>
      </c>
      <c r="AJ23" s="14">
        <f t="shared" si="15"/>
        <v>0</v>
      </c>
      <c r="AK23" s="14">
        <f t="shared" si="16"/>
        <v>4.2108686379059632</v>
      </c>
      <c r="AL23" s="14">
        <f t="shared" si="17"/>
        <v>7.7801817186644779</v>
      </c>
      <c r="AM23" s="124">
        <f t="shared" si="18"/>
        <v>64.883237809116224</v>
      </c>
      <c r="AN23" s="40">
        <f t="shared" si="19"/>
        <v>35.116762190883783</v>
      </c>
      <c r="AO23" s="40">
        <f t="shared" si="20"/>
        <v>0</v>
      </c>
    </row>
    <row r="24" spans="2:41" x14ac:dyDescent="0.3">
      <c r="B24" s="186" t="s">
        <v>9</v>
      </c>
      <c r="C24" s="187">
        <v>4</v>
      </c>
      <c r="D24" s="7">
        <v>4.84</v>
      </c>
      <c r="E24" s="7">
        <v>255.89</v>
      </c>
      <c r="F24" s="7">
        <v>52.54</v>
      </c>
      <c r="G24" s="8">
        <f t="shared" si="0"/>
        <v>19.270316407955853</v>
      </c>
      <c r="H24" s="186">
        <v>1</v>
      </c>
      <c r="I24" s="7">
        <f t="shared" si="1"/>
        <v>0.93268331414506334</v>
      </c>
      <c r="J24" s="7">
        <f t="shared" si="2"/>
        <v>0.1727191322490858</v>
      </c>
      <c r="K24" s="7">
        <f t="shared" si="3"/>
        <v>17.27191322490858</v>
      </c>
      <c r="L24" s="187"/>
      <c r="M24" s="31"/>
      <c r="N24" s="31"/>
      <c r="O24" s="31"/>
      <c r="P24" s="31" t="str">
        <f t="shared" si="4"/>
        <v/>
      </c>
      <c r="Q24" s="31" t="str">
        <f t="shared" si="5"/>
        <v/>
      </c>
      <c r="R24" s="14">
        <f t="shared" si="21"/>
        <v>0</v>
      </c>
      <c r="S24" s="7">
        <v>134.46</v>
      </c>
      <c r="T24" s="7">
        <v>134.46</v>
      </c>
      <c r="U24" s="7">
        <v>30.74</v>
      </c>
      <c r="V24" s="7">
        <f t="shared" si="7"/>
        <v>20.080135614116195</v>
      </c>
      <c r="W24" s="7">
        <f t="shared" si="8"/>
        <v>2.6999750346740636E-2</v>
      </c>
      <c r="X24" s="14">
        <f t="shared" si="22"/>
        <v>2.6999750346740639</v>
      </c>
      <c r="Y24" s="7">
        <v>386.39</v>
      </c>
      <c r="Z24" s="7">
        <v>225.23</v>
      </c>
      <c r="AA24" s="7">
        <v>50.62</v>
      </c>
      <c r="AB24" s="7">
        <f t="shared" si="10"/>
        <v>20.829743822262525</v>
      </c>
      <c r="AC24" s="7">
        <f t="shared" si="11"/>
        <v>8.0484047154840171E-2</v>
      </c>
      <c r="AD24" s="14">
        <f t="shared" si="23"/>
        <v>8.0484047154840184</v>
      </c>
      <c r="AE24" s="7"/>
      <c r="AF24" s="7"/>
      <c r="AG24" s="7"/>
      <c r="AH24" s="7" t="str">
        <f t="shared" si="13"/>
        <v/>
      </c>
      <c r="AI24" s="7" t="str">
        <f t="shared" si="14"/>
        <v/>
      </c>
      <c r="AJ24" s="14">
        <f t="shared" si="15"/>
        <v>0</v>
      </c>
      <c r="AK24" s="14">
        <f t="shared" si="16"/>
        <v>8.0484047154840184</v>
      </c>
      <c r="AL24" s="14">
        <f t="shared" si="17"/>
        <v>2.6999750346740639</v>
      </c>
      <c r="AM24" s="124">
        <f t="shared" si="18"/>
        <v>25.119832918392689</v>
      </c>
      <c r="AN24" s="40">
        <f t="shared" si="19"/>
        <v>74.880167081607297</v>
      </c>
      <c r="AO24" s="40">
        <f t="shared" si="20"/>
        <v>0</v>
      </c>
    </row>
    <row r="25" spans="2:41" x14ac:dyDescent="0.3">
      <c r="B25" s="186" t="s">
        <v>9</v>
      </c>
      <c r="C25" s="187">
        <v>5</v>
      </c>
      <c r="D25" s="7">
        <v>4.9800000000000004</v>
      </c>
      <c r="E25" s="7">
        <v>274.48</v>
      </c>
      <c r="F25" s="7">
        <v>57.94</v>
      </c>
      <c r="G25" s="8">
        <f t="shared" si="0"/>
        <v>19.94232475598935</v>
      </c>
      <c r="H25" s="186">
        <v>1</v>
      </c>
      <c r="I25" s="7">
        <f t="shared" si="1"/>
        <v>0.9931277728482697</v>
      </c>
      <c r="J25" s="7">
        <f t="shared" si="2"/>
        <v>0.18391255052745734</v>
      </c>
      <c r="K25" s="7">
        <f t="shared" si="3"/>
        <v>18.391255052745734</v>
      </c>
      <c r="L25" s="187"/>
      <c r="M25" s="31"/>
      <c r="N25" s="31"/>
      <c r="O25" s="31"/>
      <c r="P25" s="31" t="str">
        <f t="shared" si="4"/>
        <v/>
      </c>
      <c r="Q25" s="31" t="str">
        <f t="shared" si="5"/>
        <v/>
      </c>
      <c r="R25" s="14">
        <f t="shared" si="21"/>
        <v>0</v>
      </c>
      <c r="S25" s="31"/>
      <c r="T25" s="31"/>
      <c r="U25" s="31"/>
      <c r="V25" s="31" t="str">
        <f t="shared" si="7"/>
        <v/>
      </c>
      <c r="W25" s="31" t="str">
        <f t="shared" si="8"/>
        <v/>
      </c>
      <c r="X25" s="14">
        <f t="shared" si="22"/>
        <v>0</v>
      </c>
      <c r="Y25" s="7">
        <v>362.34</v>
      </c>
      <c r="Z25" s="7">
        <v>234.61</v>
      </c>
      <c r="AA25" s="7">
        <v>58.52</v>
      </c>
      <c r="AB25" s="7">
        <f t="shared" si="10"/>
        <v>23.41582220675858</v>
      </c>
      <c r="AC25" s="7">
        <f t="shared" si="11"/>
        <v>8.4844890183969027E-2</v>
      </c>
      <c r="AD25" s="14">
        <f t="shared" si="23"/>
        <v>8.4844890183969035</v>
      </c>
      <c r="AE25" s="7"/>
      <c r="AF25" s="7"/>
      <c r="AG25" s="7"/>
      <c r="AH25" s="7" t="str">
        <f t="shared" si="13"/>
        <v/>
      </c>
      <c r="AI25" s="7" t="str">
        <f t="shared" si="14"/>
        <v/>
      </c>
      <c r="AJ25" s="14">
        <f t="shared" si="15"/>
        <v>0</v>
      </c>
      <c r="AK25" s="14">
        <f t="shared" si="16"/>
        <v>8.4844890183969035</v>
      </c>
      <c r="AL25" s="14"/>
      <c r="AM25" s="124" t="str">
        <f t="shared" si="18"/>
        <v/>
      </c>
      <c r="AN25" s="40">
        <f t="shared" si="19"/>
        <v>100</v>
      </c>
      <c r="AO25" s="40">
        <f t="shared" si="20"/>
        <v>0</v>
      </c>
    </row>
    <row r="26" spans="2:41" x14ac:dyDescent="0.3">
      <c r="B26" s="186" t="s">
        <v>9</v>
      </c>
      <c r="C26" s="187">
        <v>6</v>
      </c>
      <c r="D26" s="7">
        <v>3.56</v>
      </c>
      <c r="E26" s="7">
        <v>288.06</v>
      </c>
      <c r="F26" s="7">
        <v>51.82</v>
      </c>
      <c r="G26" s="8">
        <f t="shared" si="0"/>
        <v>16.834471590509047</v>
      </c>
      <c r="H26" s="186">
        <v>1</v>
      </c>
      <c r="I26" s="7">
        <f t="shared" si="1"/>
        <v>0.59930718862212207</v>
      </c>
      <c r="J26" s="7">
        <f t="shared" si="2"/>
        <v>0.11098281270780037</v>
      </c>
      <c r="K26" s="7">
        <f t="shared" si="3"/>
        <v>11.098281270780037</v>
      </c>
      <c r="L26" s="187"/>
      <c r="M26" s="7">
        <v>369.28</v>
      </c>
      <c r="N26" s="18">
        <v>214.85</v>
      </c>
      <c r="O26" s="7">
        <v>41.04</v>
      </c>
      <c r="P26" s="7">
        <f t="shared" si="4"/>
        <v>17.30028072512728</v>
      </c>
      <c r="Q26" s="7">
        <f t="shared" si="5"/>
        <v>6.3886476661750013E-2</v>
      </c>
      <c r="R26" s="14">
        <f t="shared" si="21"/>
        <v>6.3886476661750011</v>
      </c>
      <c r="S26" s="7">
        <v>387.58</v>
      </c>
      <c r="T26" s="7">
        <v>235.56</v>
      </c>
      <c r="U26" s="7">
        <v>45.46</v>
      </c>
      <c r="V26" s="7">
        <f t="shared" si="7"/>
        <v>17.662855162855166</v>
      </c>
      <c r="W26" s="7">
        <f t="shared" si="8"/>
        <v>6.8457694040194042E-2</v>
      </c>
      <c r="X26" s="14">
        <f t="shared" si="22"/>
        <v>6.8457694040194044</v>
      </c>
      <c r="Y26" s="31"/>
      <c r="Z26" s="31"/>
      <c r="AA26" s="31"/>
      <c r="AB26" s="31" t="str">
        <f t="shared" si="10"/>
        <v/>
      </c>
      <c r="AC26" s="31" t="str">
        <f t="shared" si="11"/>
        <v/>
      </c>
      <c r="AD26" s="14">
        <f t="shared" si="23"/>
        <v>0</v>
      </c>
      <c r="AE26" s="7"/>
      <c r="AF26" s="7"/>
      <c r="AG26" s="7"/>
      <c r="AH26" s="7" t="str">
        <f t="shared" si="13"/>
        <v/>
      </c>
      <c r="AI26" s="7" t="str">
        <f t="shared" si="14"/>
        <v/>
      </c>
      <c r="AJ26" s="14">
        <f t="shared" si="15"/>
        <v>0</v>
      </c>
      <c r="AK26" s="14">
        <f t="shared" si="16"/>
        <v>6.3886476661750011</v>
      </c>
      <c r="AL26" s="14">
        <f t="shared" si="17"/>
        <v>6.8457694040194044</v>
      </c>
      <c r="AM26" s="124">
        <f t="shared" si="18"/>
        <v>51.727018785262175</v>
      </c>
      <c r="AN26" s="40">
        <f t="shared" si="19"/>
        <v>48.272981214737825</v>
      </c>
      <c r="AO26" s="40">
        <f t="shared" si="20"/>
        <v>0</v>
      </c>
    </row>
    <row r="27" spans="2:41" x14ac:dyDescent="0.3">
      <c r="B27" s="186" t="s">
        <v>9</v>
      </c>
      <c r="C27" s="187">
        <v>7</v>
      </c>
      <c r="D27" s="7">
        <v>4.84</v>
      </c>
      <c r="E27" s="7">
        <v>321.07</v>
      </c>
      <c r="F27" s="7">
        <v>61.4</v>
      </c>
      <c r="G27" s="8">
        <f t="shared" si="0"/>
        <v>18.103257955656478</v>
      </c>
      <c r="H27" s="186">
        <v>1</v>
      </c>
      <c r="I27" s="7">
        <f t="shared" si="1"/>
        <v>0.87619768505377349</v>
      </c>
      <c r="J27" s="7">
        <f t="shared" si="2"/>
        <v>0.1622588305655136</v>
      </c>
      <c r="K27" s="7">
        <f t="shared" si="3"/>
        <v>16.225883056551361</v>
      </c>
      <c r="L27" s="187"/>
      <c r="M27" s="7">
        <v>673.47</v>
      </c>
      <c r="N27" s="7">
        <v>324.98</v>
      </c>
      <c r="O27" s="7">
        <v>58.51</v>
      </c>
      <c r="P27" s="7">
        <f t="shared" si="4"/>
        <v>16.806119263190759</v>
      </c>
      <c r="Q27" s="7">
        <f t="shared" si="5"/>
        <v>0.11318417140181081</v>
      </c>
      <c r="R27" s="14">
        <f t="shared" si="21"/>
        <v>11.318417140181081</v>
      </c>
      <c r="S27" s="7">
        <v>426.46</v>
      </c>
      <c r="T27" s="7">
        <v>239.25</v>
      </c>
      <c r="U27" s="7">
        <v>46.24</v>
      </c>
      <c r="V27" s="7">
        <f t="shared" si="7"/>
        <v>17.717525685296501</v>
      </c>
      <c r="W27" s="7">
        <f t="shared" si="8"/>
        <v>7.5558160037515448E-2</v>
      </c>
      <c r="X27" s="14">
        <f t="shared" si="22"/>
        <v>7.5558160037515449</v>
      </c>
      <c r="Y27" s="31"/>
      <c r="Z27" s="31"/>
      <c r="AA27" s="31"/>
      <c r="AB27" s="31" t="str">
        <f t="shared" si="10"/>
        <v/>
      </c>
      <c r="AC27" s="31" t="str">
        <f t="shared" si="11"/>
        <v/>
      </c>
      <c r="AD27" s="14">
        <f t="shared" si="23"/>
        <v>0</v>
      </c>
      <c r="AE27" s="7"/>
      <c r="AF27" s="7"/>
      <c r="AG27" s="7"/>
      <c r="AH27" s="7" t="str">
        <f t="shared" si="13"/>
        <v/>
      </c>
      <c r="AI27" s="7" t="str">
        <f t="shared" si="14"/>
        <v/>
      </c>
      <c r="AJ27" s="14">
        <f t="shared" si="15"/>
        <v>0</v>
      </c>
      <c r="AK27" s="14">
        <f t="shared" si="16"/>
        <v>11.318417140181081</v>
      </c>
      <c r="AL27" s="14">
        <f t="shared" si="17"/>
        <v>7.5558160037515449</v>
      </c>
      <c r="AM27" s="124">
        <f t="shared" si="18"/>
        <v>40.03243970831452</v>
      </c>
      <c r="AN27" s="40">
        <f t="shared" si="19"/>
        <v>59.96756029168548</v>
      </c>
      <c r="AO27" s="40">
        <f t="shared" si="20"/>
        <v>0</v>
      </c>
    </row>
    <row r="28" spans="2:41" x14ac:dyDescent="0.3">
      <c r="B28" s="186" t="s">
        <v>9</v>
      </c>
      <c r="C28" s="187">
        <v>8</v>
      </c>
      <c r="D28" s="7">
        <v>3.6</v>
      </c>
      <c r="E28" s="7">
        <v>263.45</v>
      </c>
      <c r="F28" s="7">
        <v>52.91</v>
      </c>
      <c r="G28" s="8">
        <f t="shared" si="0"/>
        <v>18.851416457891691</v>
      </c>
      <c r="H28" s="186">
        <v>1</v>
      </c>
      <c r="I28" s="7">
        <f t="shared" si="1"/>
        <v>0.67865099248410088</v>
      </c>
      <c r="J28" s="7">
        <f t="shared" si="2"/>
        <v>0.12567610971927792</v>
      </c>
      <c r="K28" s="7">
        <f t="shared" si="3"/>
        <v>12.567610971927794</v>
      </c>
      <c r="L28" s="187"/>
      <c r="M28" s="7">
        <v>426.72</v>
      </c>
      <c r="N28" s="7">
        <v>263.08</v>
      </c>
      <c r="O28" s="7">
        <v>53.34</v>
      </c>
      <c r="P28" s="7">
        <f t="shared" si="4"/>
        <v>18.831269349845204</v>
      </c>
      <c r="Q28" s="7">
        <f t="shared" si="5"/>
        <v>8.0356792569659455E-2</v>
      </c>
      <c r="R28" s="14">
        <f t="shared" si="21"/>
        <v>8.0356792569659454</v>
      </c>
      <c r="S28" s="7">
        <v>89.2</v>
      </c>
      <c r="T28" s="7">
        <f>S28</f>
        <v>89.2</v>
      </c>
      <c r="U28" s="7">
        <v>23.44</v>
      </c>
      <c r="V28" s="7">
        <f t="shared" si="7"/>
        <v>22.195929957406531</v>
      </c>
      <c r="W28" s="7">
        <f t="shared" si="8"/>
        <v>1.9798769522006626E-2</v>
      </c>
      <c r="X28" s="14">
        <f t="shared" si="22"/>
        <v>1.9798769522006625</v>
      </c>
      <c r="Y28" s="31"/>
      <c r="Z28" s="31"/>
      <c r="AA28" s="31"/>
      <c r="AB28" s="31" t="str">
        <f t="shared" si="10"/>
        <v/>
      </c>
      <c r="AC28" s="31" t="str">
        <f t="shared" si="11"/>
        <v/>
      </c>
      <c r="AD28" s="14">
        <f t="shared" si="23"/>
        <v>0</v>
      </c>
      <c r="AE28" s="7"/>
      <c r="AF28" s="7"/>
      <c r="AG28" s="7"/>
      <c r="AH28" s="7" t="str">
        <f t="shared" si="13"/>
        <v/>
      </c>
      <c r="AI28" s="7" t="str">
        <f t="shared" si="14"/>
        <v/>
      </c>
      <c r="AJ28" s="14">
        <f t="shared" si="15"/>
        <v>0</v>
      </c>
      <c r="AK28" s="14">
        <f t="shared" si="16"/>
        <v>8.0356792569659454</v>
      </c>
      <c r="AL28" s="14">
        <f t="shared" si="17"/>
        <v>1.9798769522006625</v>
      </c>
      <c r="AM28" s="124">
        <f t="shared" si="18"/>
        <v>19.76801797975639</v>
      </c>
      <c r="AN28" s="40">
        <f t="shared" si="19"/>
        <v>80.231982020243606</v>
      </c>
      <c r="AO28" s="40">
        <f t="shared" si="20"/>
        <v>0</v>
      </c>
    </row>
    <row r="29" spans="2:41" x14ac:dyDescent="0.3">
      <c r="B29" s="16" t="s">
        <v>9</v>
      </c>
      <c r="C29" s="17">
        <v>9</v>
      </c>
      <c r="D29" s="18">
        <v>3.06</v>
      </c>
      <c r="E29" s="18">
        <v>247.62</v>
      </c>
      <c r="F29" s="18">
        <v>49.98</v>
      </c>
      <c r="G29" s="19">
        <f t="shared" si="0"/>
        <v>18.873655693292832</v>
      </c>
      <c r="H29" s="16">
        <v>1</v>
      </c>
      <c r="I29" s="18">
        <f t="shared" si="1"/>
        <v>0.57753386421476072</v>
      </c>
      <c r="J29" s="18">
        <f t="shared" si="2"/>
        <v>0.10695071559532605</v>
      </c>
      <c r="K29" s="18">
        <f t="shared" si="3"/>
        <v>10.695071559532606</v>
      </c>
      <c r="L29" s="17"/>
      <c r="M29" s="18">
        <v>502.96</v>
      </c>
      <c r="N29" s="18">
        <v>268.99</v>
      </c>
      <c r="O29" s="18">
        <v>54.37</v>
      </c>
      <c r="P29" s="18">
        <f t="shared" si="4"/>
        <v>18.799894063788734</v>
      </c>
      <c r="Q29" s="18">
        <f t="shared" si="5"/>
        <v>9.455594718323182E-2</v>
      </c>
      <c r="R29" s="14">
        <f t="shared" si="21"/>
        <v>9.4555947183231819</v>
      </c>
      <c r="S29" s="228">
        <v>29.62</v>
      </c>
      <c r="T29" s="228">
        <f>S29</f>
        <v>29.62</v>
      </c>
      <c r="U29" s="228">
        <v>11.46</v>
      </c>
      <c r="V29" s="33">
        <f t="shared" si="7"/>
        <v>27.185244587008821</v>
      </c>
      <c r="W29" s="33">
        <f t="shared" si="8"/>
        <v>8.0522694466720144E-3</v>
      </c>
      <c r="X29" s="14">
        <f t="shared" si="22"/>
        <v>0.80522694466720135</v>
      </c>
      <c r="Y29" s="33"/>
      <c r="Z29" s="33"/>
      <c r="AA29" s="33"/>
      <c r="AB29" s="33" t="str">
        <f t="shared" si="10"/>
        <v/>
      </c>
      <c r="AC29" s="33" t="str">
        <f t="shared" si="11"/>
        <v/>
      </c>
      <c r="AD29" s="14">
        <f t="shared" si="23"/>
        <v>0</v>
      </c>
      <c r="AE29" s="18"/>
      <c r="AF29" s="18"/>
      <c r="AG29" s="18"/>
      <c r="AH29" s="18" t="str">
        <f t="shared" si="13"/>
        <v/>
      </c>
      <c r="AI29" s="18" t="str">
        <f t="shared" si="14"/>
        <v/>
      </c>
      <c r="AJ29" s="14"/>
      <c r="AK29" s="14"/>
      <c r="AL29" s="14"/>
      <c r="AM29" s="124"/>
      <c r="AN29" s="40"/>
      <c r="AO29" s="40"/>
    </row>
    <row r="30" spans="2:41" x14ac:dyDescent="0.3">
      <c r="B30" s="186" t="s">
        <v>10</v>
      </c>
      <c r="C30" s="187">
        <v>1</v>
      </c>
      <c r="D30" s="7">
        <v>3.78</v>
      </c>
      <c r="E30" s="7">
        <v>325.26</v>
      </c>
      <c r="F30" s="7">
        <v>63.14</v>
      </c>
      <c r="G30" s="8">
        <f t="shared" si="0"/>
        <v>18.408765485899274</v>
      </c>
      <c r="H30" s="186">
        <v>1</v>
      </c>
      <c r="I30" s="7">
        <f t="shared" si="1"/>
        <v>0.69585133536699251</v>
      </c>
      <c r="J30" s="7">
        <f t="shared" si="2"/>
        <v>0.1288613584012949</v>
      </c>
      <c r="K30" s="7">
        <f t="shared" si="3"/>
        <v>12.886135840129489</v>
      </c>
      <c r="L30" s="187"/>
      <c r="M30" s="31">
        <v>584.66</v>
      </c>
      <c r="N30" s="31">
        <v>233.02</v>
      </c>
      <c r="O30" s="31">
        <v>54.94</v>
      </c>
      <c r="P30" s="31">
        <f t="shared" si="4"/>
        <v>22.011036174126303</v>
      </c>
      <c r="Q30" s="31">
        <f t="shared" si="5"/>
        <v>0.12868972409564683</v>
      </c>
      <c r="R30" s="14">
        <f t="shared" si="21"/>
        <v>12.868972409564684</v>
      </c>
      <c r="S30" s="7">
        <v>83.91</v>
      </c>
      <c r="T30" s="7">
        <f>S30</f>
        <v>83.91</v>
      </c>
      <c r="U30" s="7">
        <v>22.06</v>
      </c>
      <c r="V30" s="7">
        <f t="shared" si="7"/>
        <v>21.936135302284491</v>
      </c>
      <c r="W30" s="7">
        <f t="shared" si="8"/>
        <v>1.8406611132146915E-2</v>
      </c>
      <c r="X30" s="14">
        <f t="shared" si="22"/>
        <v>1.8406611132146915</v>
      </c>
      <c r="Y30" s="31"/>
      <c r="Z30" s="31"/>
      <c r="AA30" s="31"/>
      <c r="AB30" s="31" t="str">
        <f t="shared" si="10"/>
        <v/>
      </c>
      <c r="AC30" s="31" t="str">
        <f t="shared" si="11"/>
        <v/>
      </c>
      <c r="AD30" s="14">
        <f t="shared" si="23"/>
        <v>0</v>
      </c>
      <c r="AE30" s="7"/>
      <c r="AF30" s="40"/>
      <c r="AG30" s="40"/>
      <c r="AH30" s="40" t="str">
        <f t="shared" si="13"/>
        <v/>
      </c>
      <c r="AI30" s="40" t="str">
        <f t="shared" si="14"/>
        <v/>
      </c>
      <c r="AJ30" s="14"/>
      <c r="AK30" s="14"/>
      <c r="AL30" s="14"/>
      <c r="AM30" s="124"/>
      <c r="AN30" s="40"/>
      <c r="AO30" s="40"/>
    </row>
    <row r="31" spans="2:41" x14ac:dyDescent="0.3">
      <c r="B31" s="186" t="s">
        <v>10</v>
      </c>
      <c r="C31" s="187">
        <v>2</v>
      </c>
      <c r="D31" s="7">
        <v>5.04</v>
      </c>
      <c r="E31" s="7">
        <v>251.55</v>
      </c>
      <c r="F31" s="7">
        <v>44.11</v>
      </c>
      <c r="G31" s="8">
        <f t="shared" si="0"/>
        <v>16.202787315693797</v>
      </c>
      <c r="H31" s="186">
        <v>1</v>
      </c>
      <c r="I31" s="7">
        <f t="shared" si="1"/>
        <v>0.81662048071096738</v>
      </c>
      <c r="J31" s="7">
        <f t="shared" si="2"/>
        <v>0.15122601494647542</v>
      </c>
      <c r="K31" s="7">
        <f t="shared" si="3"/>
        <v>15.122601494647542</v>
      </c>
      <c r="L31" s="187"/>
      <c r="M31" s="31"/>
      <c r="N31" s="31"/>
      <c r="O31" s="31"/>
      <c r="P31" s="31" t="str">
        <f t="shared" si="4"/>
        <v/>
      </c>
      <c r="Q31" s="31" t="str">
        <f t="shared" si="5"/>
        <v/>
      </c>
      <c r="R31" s="14">
        <f t="shared" si="21"/>
        <v>0</v>
      </c>
      <c r="S31" s="7">
        <v>396.55</v>
      </c>
      <c r="T31" s="7">
        <v>235.36</v>
      </c>
      <c r="U31" s="7">
        <v>44.42</v>
      </c>
      <c r="V31" s="7">
        <f t="shared" si="7"/>
        <v>17.227327900121381</v>
      </c>
      <c r="W31" s="7">
        <f t="shared" si="8"/>
        <v>6.8314968787931335E-2</v>
      </c>
      <c r="X31" s="14">
        <f t="shared" si="22"/>
        <v>6.8314968787931329</v>
      </c>
      <c r="Y31" s="7">
        <v>453.41</v>
      </c>
      <c r="Z31" s="7">
        <v>239.11</v>
      </c>
      <c r="AA31" s="7">
        <v>52.74</v>
      </c>
      <c r="AB31" s="7">
        <f t="shared" si="10"/>
        <v>20.50078914814657</v>
      </c>
      <c r="AC31" s="7">
        <f t="shared" si="11"/>
        <v>9.2952628076611366E-2</v>
      </c>
      <c r="AD31" s="14">
        <f t="shared" si="23"/>
        <v>9.2952628076611372</v>
      </c>
      <c r="AE31" s="7"/>
      <c r="AF31" s="40"/>
      <c r="AG31" s="40"/>
      <c r="AH31" s="40" t="str">
        <f t="shared" si="13"/>
        <v/>
      </c>
      <c r="AI31" s="40" t="str">
        <f t="shared" si="14"/>
        <v/>
      </c>
      <c r="AJ31" s="14">
        <f t="shared" si="15"/>
        <v>0</v>
      </c>
      <c r="AK31" s="14">
        <f t="shared" si="16"/>
        <v>9.2952628076611372</v>
      </c>
      <c r="AL31" s="14">
        <f t="shared" si="17"/>
        <v>6.8314968787931329</v>
      </c>
      <c r="AM31" s="124">
        <f t="shared" si="18"/>
        <v>42.361249324818012</v>
      </c>
      <c r="AN31" s="40">
        <f t="shared" si="19"/>
        <v>57.638750675181988</v>
      </c>
      <c r="AO31" s="40">
        <f t="shared" si="20"/>
        <v>0</v>
      </c>
    </row>
    <row r="32" spans="2:41" x14ac:dyDescent="0.3">
      <c r="B32" s="186" t="s">
        <v>10</v>
      </c>
      <c r="C32" s="187">
        <v>3</v>
      </c>
      <c r="D32" s="7">
        <v>4.26</v>
      </c>
      <c r="E32" s="7">
        <v>272.14999999999998</v>
      </c>
      <c r="F32" s="7">
        <v>51.16</v>
      </c>
      <c r="G32" s="8">
        <f t="shared" si="0"/>
        <v>17.587171359313817</v>
      </c>
      <c r="H32" s="186">
        <v>1</v>
      </c>
      <c r="I32" s="7">
        <f t="shared" si="1"/>
        <v>0.74921349990676855</v>
      </c>
      <c r="J32" s="7">
        <f t="shared" si="2"/>
        <v>0.13874324072347566</v>
      </c>
      <c r="K32" s="7">
        <f t="shared" si="3"/>
        <v>13.874324072347566</v>
      </c>
      <c r="L32" s="187"/>
      <c r="M32" s="31"/>
      <c r="N32" s="31"/>
      <c r="O32" s="31"/>
      <c r="P32" s="31" t="str">
        <f t="shared" si="4"/>
        <v/>
      </c>
      <c r="Q32" s="31" t="str">
        <f t="shared" si="5"/>
        <v/>
      </c>
      <c r="R32" s="14">
        <f t="shared" si="21"/>
        <v>0</v>
      </c>
      <c r="S32" s="7">
        <v>307.38</v>
      </c>
      <c r="T32" s="7">
        <f t="shared" ref="T32:T33" si="24">S32</f>
        <v>307.38</v>
      </c>
      <c r="U32" s="7">
        <v>57.43</v>
      </c>
      <c r="V32" s="7">
        <f t="shared" si="7"/>
        <v>17.426494879418566</v>
      </c>
      <c r="W32" s="7">
        <f t="shared" si="8"/>
        <v>5.3565559960356786E-2</v>
      </c>
      <c r="X32" s="14">
        <f t="shared" si="22"/>
        <v>5.356555996035679</v>
      </c>
      <c r="Y32" s="7">
        <v>652.1</v>
      </c>
      <c r="Z32" s="7">
        <v>234.91</v>
      </c>
      <c r="AA32" s="7">
        <v>47.22</v>
      </c>
      <c r="AB32" s="7">
        <f t="shared" si="10"/>
        <v>18.47717499891413</v>
      </c>
      <c r="AC32" s="7">
        <f t="shared" si="11"/>
        <v>0.12048965816791904</v>
      </c>
      <c r="AD32" s="14">
        <f t="shared" si="23"/>
        <v>12.048965816791904</v>
      </c>
      <c r="AE32" s="7"/>
      <c r="AF32" s="40"/>
      <c r="AG32" s="40"/>
      <c r="AH32" s="40" t="str">
        <f t="shared" si="13"/>
        <v/>
      </c>
      <c r="AI32" s="40" t="str">
        <f t="shared" si="14"/>
        <v/>
      </c>
      <c r="AJ32" s="14">
        <f t="shared" si="15"/>
        <v>0</v>
      </c>
      <c r="AK32" s="14">
        <f t="shared" si="16"/>
        <v>12.048965816791904</v>
      </c>
      <c r="AL32" s="14">
        <f t="shared" si="17"/>
        <v>5.356555996035679</v>
      </c>
      <c r="AM32" s="124">
        <f t="shared" si="18"/>
        <v>30.775038253021439</v>
      </c>
      <c r="AN32" s="40">
        <f t="shared" si="19"/>
        <v>69.224961746978565</v>
      </c>
      <c r="AO32" s="40">
        <f t="shared" si="20"/>
        <v>0</v>
      </c>
    </row>
    <row r="33" spans="2:41" x14ac:dyDescent="0.3">
      <c r="B33" s="186" t="s">
        <v>10</v>
      </c>
      <c r="C33" s="187">
        <v>4</v>
      </c>
      <c r="D33" s="7">
        <v>5.44</v>
      </c>
      <c r="E33" s="7">
        <v>266.7</v>
      </c>
      <c r="F33" s="7">
        <v>53.5</v>
      </c>
      <c r="G33" s="8">
        <f t="shared" si="0"/>
        <v>18.842786448420252</v>
      </c>
      <c r="H33" s="186">
        <v>1</v>
      </c>
      <c r="I33" s="7">
        <f t="shared" si="1"/>
        <v>1.0250475827940617</v>
      </c>
      <c r="J33" s="7">
        <f t="shared" si="2"/>
        <v>0.18982362644334475</v>
      </c>
      <c r="K33" s="7">
        <f t="shared" si="3"/>
        <v>18.982362644334476</v>
      </c>
      <c r="L33" s="187"/>
      <c r="M33" s="31"/>
      <c r="N33" s="31"/>
      <c r="O33" s="31"/>
      <c r="P33" s="31" t="str">
        <f t="shared" si="4"/>
        <v/>
      </c>
      <c r="Q33" s="31" t="str">
        <f t="shared" si="5"/>
        <v/>
      </c>
      <c r="R33" s="14">
        <f t="shared" si="21"/>
        <v>0</v>
      </c>
      <c r="S33" s="7">
        <v>98.73</v>
      </c>
      <c r="T33" s="7">
        <f t="shared" si="24"/>
        <v>98.73</v>
      </c>
      <c r="U33" s="7">
        <v>22.58</v>
      </c>
      <c r="V33" s="7">
        <f t="shared" si="7"/>
        <v>19.032429558745346</v>
      </c>
      <c r="W33" s="7">
        <f t="shared" si="8"/>
        <v>1.879071770334928E-2</v>
      </c>
      <c r="X33" s="14">
        <f t="shared" si="22"/>
        <v>1.8790717703349282</v>
      </c>
      <c r="Y33" s="7">
        <v>438.2</v>
      </c>
      <c r="Z33" s="7">
        <v>323.89999999999998</v>
      </c>
      <c r="AA33" s="7">
        <v>56.64</v>
      </c>
      <c r="AB33" s="7">
        <f t="shared" si="10"/>
        <v>16.277175615562935</v>
      </c>
      <c r="AC33" s="7">
        <f t="shared" si="11"/>
        <v>7.132658354739678E-2</v>
      </c>
      <c r="AD33" s="14">
        <f t="shared" si="23"/>
        <v>7.1326583547396778</v>
      </c>
      <c r="AE33" s="7"/>
      <c r="AF33" s="40"/>
      <c r="AG33" s="40"/>
      <c r="AH33" s="40" t="str">
        <f t="shared" si="13"/>
        <v/>
      </c>
      <c r="AI33" s="40" t="str">
        <f t="shared" si="14"/>
        <v/>
      </c>
      <c r="AJ33" s="14">
        <f t="shared" si="15"/>
        <v>0</v>
      </c>
      <c r="AK33" s="14">
        <f t="shared" si="16"/>
        <v>7.1326583547396778</v>
      </c>
      <c r="AL33" s="14">
        <f t="shared" si="17"/>
        <v>1.8790717703349282</v>
      </c>
      <c r="AM33" s="124">
        <f t="shared" si="18"/>
        <v>20.851398613308692</v>
      </c>
      <c r="AN33" s="40">
        <f t="shared" si="19"/>
        <v>79.148601386691297</v>
      </c>
      <c r="AO33" s="40">
        <f t="shared" si="20"/>
        <v>0</v>
      </c>
    </row>
    <row r="34" spans="2:41" x14ac:dyDescent="0.3">
      <c r="B34" s="186" t="s">
        <v>10</v>
      </c>
      <c r="C34" s="187">
        <v>5</v>
      </c>
      <c r="D34" s="7">
        <v>3.5</v>
      </c>
      <c r="E34" s="7">
        <v>261.93</v>
      </c>
      <c r="F34" s="7">
        <v>54.85</v>
      </c>
      <c r="G34" s="8">
        <f t="shared" si="0"/>
        <v>19.7146512619703</v>
      </c>
      <c r="H34" s="186">
        <v>1</v>
      </c>
      <c r="I34" s="7">
        <f t="shared" si="1"/>
        <v>0.69001279416896055</v>
      </c>
      <c r="J34" s="7">
        <f t="shared" si="2"/>
        <v>0.12778014706832602</v>
      </c>
      <c r="K34" s="7">
        <f t="shared" si="3"/>
        <v>12.778014706832602</v>
      </c>
      <c r="L34" s="187"/>
      <c r="M34" s="31"/>
      <c r="N34" s="31"/>
      <c r="O34" s="31"/>
      <c r="P34" s="31" t="str">
        <f t="shared" si="4"/>
        <v/>
      </c>
      <c r="Q34" s="31" t="str">
        <f t="shared" si="5"/>
        <v/>
      </c>
      <c r="R34" s="14">
        <f t="shared" si="21"/>
        <v>0</v>
      </c>
      <c r="S34" s="31"/>
      <c r="T34" s="31"/>
      <c r="U34" s="31"/>
      <c r="V34" s="31" t="str">
        <f t="shared" si="7"/>
        <v/>
      </c>
      <c r="W34" s="31" t="str">
        <f t="shared" si="8"/>
        <v/>
      </c>
      <c r="X34" s="14">
        <f t="shared" si="22"/>
        <v>0</v>
      </c>
      <c r="Y34" s="7">
        <v>316.27999999999997</v>
      </c>
      <c r="Z34" s="7">
        <v>316.27999999999997</v>
      </c>
      <c r="AA34" s="7">
        <v>70.64</v>
      </c>
      <c r="AB34" s="7">
        <f t="shared" si="10"/>
        <v>21.168164313222086</v>
      </c>
      <c r="AC34" s="7">
        <f t="shared" si="11"/>
        <v>6.6950670089858805E-2</v>
      </c>
      <c r="AD34" s="14">
        <f t="shared" si="23"/>
        <v>6.6950670089858804</v>
      </c>
      <c r="AE34" s="7"/>
      <c r="AF34" s="40"/>
      <c r="AG34" s="40"/>
      <c r="AH34" s="40" t="str">
        <f t="shared" si="13"/>
        <v/>
      </c>
      <c r="AI34" s="40" t="str">
        <f t="shared" si="14"/>
        <v/>
      </c>
      <c r="AJ34" s="14">
        <f t="shared" si="15"/>
        <v>0</v>
      </c>
      <c r="AK34" s="14">
        <f t="shared" si="16"/>
        <v>6.6950670089858804</v>
      </c>
      <c r="AL34" s="14"/>
      <c r="AM34" s="124" t="str">
        <f t="shared" si="18"/>
        <v/>
      </c>
      <c r="AN34" s="40">
        <f t="shared" si="19"/>
        <v>100</v>
      </c>
      <c r="AO34" s="40">
        <f t="shared" si="20"/>
        <v>0</v>
      </c>
    </row>
    <row r="35" spans="2:41" x14ac:dyDescent="0.3">
      <c r="B35" s="186" t="s">
        <v>10</v>
      </c>
      <c r="C35" s="187">
        <v>6</v>
      </c>
      <c r="D35" s="7">
        <v>4.5</v>
      </c>
      <c r="E35" s="7">
        <v>365.16</v>
      </c>
      <c r="F35" s="7">
        <v>64.290000000000006</v>
      </c>
      <c r="G35" s="8">
        <f t="shared" si="0"/>
        <v>16.693432273784474</v>
      </c>
      <c r="H35" s="186">
        <v>1</v>
      </c>
      <c r="I35" s="7">
        <f t="shared" si="1"/>
        <v>0.75120445232030131</v>
      </c>
      <c r="J35" s="7">
        <f t="shared" si="2"/>
        <v>0.13911193561487059</v>
      </c>
      <c r="K35" s="7">
        <f t="shared" si="3"/>
        <v>13.91119356148706</v>
      </c>
      <c r="L35" s="187"/>
      <c r="M35" s="7">
        <v>580.1</v>
      </c>
      <c r="N35" s="7">
        <v>307.98</v>
      </c>
      <c r="O35" s="7">
        <v>60.02</v>
      </c>
      <c r="P35" s="7">
        <f t="shared" si="4"/>
        <v>18.245961094625784</v>
      </c>
      <c r="Q35" s="7">
        <f t="shared" si="5"/>
        <v>0.10584482030992418</v>
      </c>
      <c r="R35" s="14">
        <f t="shared" si="21"/>
        <v>10.584482030992417</v>
      </c>
      <c r="S35" s="7">
        <v>354.73</v>
      </c>
      <c r="T35" s="7">
        <v>230</v>
      </c>
      <c r="U35" s="7">
        <v>46.06</v>
      </c>
      <c r="V35" s="7">
        <f t="shared" si="7"/>
        <v>18.364992011361618</v>
      </c>
      <c r="W35" s="7">
        <f t="shared" si="8"/>
        <v>6.5146136161903068E-2</v>
      </c>
      <c r="X35" s="14">
        <f t="shared" si="22"/>
        <v>6.5146136161903065</v>
      </c>
      <c r="Y35" s="31"/>
      <c r="Z35" s="31"/>
      <c r="AA35" s="31"/>
      <c r="AB35" s="31" t="str">
        <f t="shared" si="10"/>
        <v/>
      </c>
      <c r="AC35" s="31" t="str">
        <f t="shared" si="11"/>
        <v/>
      </c>
      <c r="AD35" s="14">
        <f t="shared" si="23"/>
        <v>0</v>
      </c>
      <c r="AE35" s="7"/>
      <c r="AF35" s="40"/>
      <c r="AG35" s="40"/>
      <c r="AH35" s="40" t="str">
        <f t="shared" si="13"/>
        <v/>
      </c>
      <c r="AI35" s="40" t="str">
        <f t="shared" si="14"/>
        <v/>
      </c>
      <c r="AJ35" s="14">
        <f t="shared" si="15"/>
        <v>0</v>
      </c>
      <c r="AK35" s="14">
        <f t="shared" si="16"/>
        <v>10.584482030992417</v>
      </c>
      <c r="AL35" s="14">
        <f t="shared" si="17"/>
        <v>6.5146136161903065</v>
      </c>
      <c r="AM35" s="124">
        <f t="shared" si="18"/>
        <v>38.099170567910512</v>
      </c>
      <c r="AN35" s="40">
        <f t="shared" si="19"/>
        <v>61.900829432089502</v>
      </c>
      <c r="AO35" s="40">
        <f t="shared" si="20"/>
        <v>0</v>
      </c>
    </row>
    <row r="36" spans="2:41" x14ac:dyDescent="0.3">
      <c r="B36" s="186" t="s">
        <v>10</v>
      </c>
      <c r="C36" s="187">
        <v>7</v>
      </c>
      <c r="D36" s="7">
        <v>5.24</v>
      </c>
      <c r="E36" s="7">
        <v>304</v>
      </c>
      <c r="F36" s="7">
        <v>61.17</v>
      </c>
      <c r="G36" s="8">
        <f t="shared" si="0"/>
        <v>19.056666666666665</v>
      </c>
      <c r="H36" s="186">
        <v>1</v>
      </c>
      <c r="I36" s="7">
        <f t="shared" si="1"/>
        <v>0.99856933333333331</v>
      </c>
      <c r="J36" s="7">
        <f t="shared" si="2"/>
        <v>0.18492024691358022</v>
      </c>
      <c r="K36" s="7">
        <f t="shared" si="3"/>
        <v>18.492024691358022</v>
      </c>
      <c r="L36" s="187"/>
      <c r="M36" s="7">
        <v>274.99</v>
      </c>
      <c r="N36" s="7">
        <v>274.99</v>
      </c>
      <c r="O36" s="7">
        <v>53.93</v>
      </c>
      <c r="P36" s="7">
        <f t="shared" si="4"/>
        <v>18.219821686212125</v>
      </c>
      <c r="Q36" s="7">
        <f t="shared" si="5"/>
        <v>5.0102687654914727E-2</v>
      </c>
      <c r="R36" s="14">
        <f t="shared" si="21"/>
        <v>5.0102687654914728</v>
      </c>
      <c r="S36" s="7">
        <v>250.94</v>
      </c>
      <c r="T36" s="7">
        <f t="shared" ref="T36:T37" si="25">S36</f>
        <v>250.94</v>
      </c>
      <c r="U36" s="7">
        <v>48.34</v>
      </c>
      <c r="V36" s="7">
        <f t="shared" si="7"/>
        <v>17.729229269877365</v>
      </c>
      <c r="W36" s="7">
        <f t="shared" si="8"/>
        <v>4.4489727929830261E-2</v>
      </c>
      <c r="X36" s="14">
        <f t="shared" si="22"/>
        <v>4.4489727929830263</v>
      </c>
      <c r="Y36" s="31"/>
      <c r="Z36" s="31"/>
      <c r="AA36" s="31"/>
      <c r="AB36" s="31" t="str">
        <f t="shared" si="10"/>
        <v/>
      </c>
      <c r="AC36" s="31" t="str">
        <f t="shared" si="11"/>
        <v/>
      </c>
      <c r="AD36" s="14">
        <f t="shared" si="23"/>
        <v>0</v>
      </c>
      <c r="AE36" s="7"/>
      <c r="AF36" s="40"/>
      <c r="AG36" s="40"/>
      <c r="AH36" s="40" t="str">
        <f t="shared" si="13"/>
        <v/>
      </c>
      <c r="AI36" s="40" t="str">
        <f t="shared" si="14"/>
        <v/>
      </c>
      <c r="AJ36" s="14">
        <f t="shared" si="15"/>
        <v>0</v>
      </c>
      <c r="AK36" s="14">
        <f t="shared" si="16"/>
        <v>5.0102687654914728</v>
      </c>
      <c r="AL36" s="14">
        <f t="shared" si="17"/>
        <v>4.4489727929830263</v>
      </c>
      <c r="AM36" s="124">
        <f t="shared" si="18"/>
        <v>47.033081515898154</v>
      </c>
      <c r="AN36" s="40">
        <f t="shared" si="19"/>
        <v>52.966918484101846</v>
      </c>
      <c r="AO36" s="40">
        <f t="shared" si="20"/>
        <v>0</v>
      </c>
    </row>
    <row r="37" spans="2:41" x14ac:dyDescent="0.3">
      <c r="B37" s="186" t="s">
        <v>10</v>
      </c>
      <c r="C37" s="187">
        <v>8</v>
      </c>
      <c r="D37" s="7">
        <v>3.9</v>
      </c>
      <c r="E37" s="7">
        <v>264.08</v>
      </c>
      <c r="F37" s="7">
        <v>58.2</v>
      </c>
      <c r="G37" s="8">
        <f t="shared" si="0"/>
        <v>20.839741617963707</v>
      </c>
      <c r="H37" s="186">
        <v>1</v>
      </c>
      <c r="I37" s="7">
        <f t="shared" si="1"/>
        <v>0.81274992310058447</v>
      </c>
      <c r="J37" s="7">
        <f t="shared" si="2"/>
        <v>0.15050924501862675</v>
      </c>
      <c r="K37" s="7">
        <f t="shared" si="3"/>
        <v>15.050924501862676</v>
      </c>
      <c r="L37" s="187"/>
      <c r="M37" s="7">
        <v>398.31</v>
      </c>
      <c r="N37" s="7">
        <v>223.86</v>
      </c>
      <c r="O37" s="7">
        <v>55.75</v>
      </c>
      <c r="P37" s="7">
        <f t="shared" si="4"/>
        <v>23.300483620768318</v>
      </c>
      <c r="Q37" s="7">
        <f t="shared" si="5"/>
        <v>9.2808156309882289E-2</v>
      </c>
      <c r="R37" s="14">
        <f t="shared" si="21"/>
        <v>9.2808156309882293</v>
      </c>
      <c r="S37" s="7">
        <v>81.23</v>
      </c>
      <c r="T37" s="7">
        <f t="shared" si="25"/>
        <v>81.23</v>
      </c>
      <c r="U37" s="7">
        <v>20.38</v>
      </c>
      <c r="V37" s="7">
        <f t="shared" si="7"/>
        <v>20.509470934030041</v>
      </c>
      <c r="W37" s="7">
        <f t="shared" si="8"/>
        <v>1.6659843239712605E-2</v>
      </c>
      <c r="X37" s="14">
        <f t="shared" si="22"/>
        <v>1.6659843239712604</v>
      </c>
      <c r="Y37" s="31"/>
      <c r="Z37" s="31"/>
      <c r="AA37" s="31"/>
      <c r="AB37" s="31" t="str">
        <f t="shared" si="10"/>
        <v/>
      </c>
      <c r="AC37" s="31" t="str">
        <f t="shared" si="11"/>
        <v/>
      </c>
      <c r="AD37" s="14">
        <f t="shared" si="23"/>
        <v>0</v>
      </c>
      <c r="AE37" s="7"/>
      <c r="AF37" s="40"/>
      <c r="AG37" s="40"/>
      <c r="AH37" s="40" t="str">
        <f t="shared" si="13"/>
        <v/>
      </c>
      <c r="AI37" s="40" t="str">
        <f t="shared" si="14"/>
        <v/>
      </c>
      <c r="AJ37" s="14">
        <f t="shared" si="15"/>
        <v>0</v>
      </c>
      <c r="AK37" s="14">
        <f t="shared" si="16"/>
        <v>9.2808156309882293</v>
      </c>
      <c r="AL37" s="14">
        <f t="shared" si="17"/>
        <v>1.6659843239712604</v>
      </c>
      <c r="AM37" s="124">
        <f t="shared" si="18"/>
        <v>15.218916311853127</v>
      </c>
      <c r="AN37" s="40">
        <f t="shared" si="19"/>
        <v>84.781083688146879</v>
      </c>
      <c r="AO37" s="40">
        <f t="shared" si="20"/>
        <v>0</v>
      </c>
    </row>
    <row r="38" spans="2:41" x14ac:dyDescent="0.3">
      <c r="B38" s="16" t="s">
        <v>10</v>
      </c>
      <c r="C38" s="17">
        <v>9</v>
      </c>
      <c r="D38" s="18">
        <v>2.6</v>
      </c>
      <c r="E38" s="18">
        <v>277.64999999999998</v>
      </c>
      <c r="F38" s="18">
        <v>68.27</v>
      </c>
      <c r="G38" s="19">
        <f t="shared" si="0"/>
        <v>23.486205006395032</v>
      </c>
      <c r="H38" s="16">
        <v>1</v>
      </c>
      <c r="I38" s="18">
        <f t="shared" si="1"/>
        <v>0.61064133016627087</v>
      </c>
      <c r="J38" s="18">
        <f t="shared" si="2"/>
        <v>0.11308172780856868</v>
      </c>
      <c r="K38" s="18">
        <f t="shared" si="3"/>
        <v>11.308172780856866</v>
      </c>
      <c r="L38" s="17"/>
      <c r="M38" s="18">
        <v>412.63</v>
      </c>
      <c r="N38" s="18">
        <v>273.31</v>
      </c>
      <c r="O38" s="18">
        <v>69.430000000000007</v>
      </c>
      <c r="P38" s="18">
        <f t="shared" si="4"/>
        <v>24.103785876484384</v>
      </c>
      <c r="Q38" s="18">
        <f t="shared" si="5"/>
        <v>9.9459451662137516E-2</v>
      </c>
      <c r="R38" s="14">
        <f t="shared" si="21"/>
        <v>9.9459451662137521</v>
      </c>
      <c r="S38" s="33"/>
      <c r="T38" s="33"/>
      <c r="U38" s="33"/>
      <c r="V38" s="33" t="str">
        <f t="shared" si="7"/>
        <v/>
      </c>
      <c r="W38" s="33" t="str">
        <f t="shared" si="8"/>
        <v/>
      </c>
      <c r="X38" s="14">
        <f t="shared" si="22"/>
        <v>0</v>
      </c>
      <c r="Y38" s="33"/>
      <c r="Z38" s="33"/>
      <c r="AA38" s="33"/>
      <c r="AB38" s="33" t="str">
        <f t="shared" si="10"/>
        <v/>
      </c>
      <c r="AC38" s="33" t="str">
        <f t="shared" si="11"/>
        <v/>
      </c>
      <c r="AD38" s="14">
        <f t="shared" si="23"/>
        <v>0</v>
      </c>
      <c r="AE38" s="18"/>
      <c r="AF38" s="42"/>
      <c r="AG38" s="42"/>
      <c r="AH38" s="42" t="str">
        <f t="shared" si="13"/>
        <v/>
      </c>
      <c r="AI38" s="42" t="str">
        <f t="shared" si="14"/>
        <v/>
      </c>
      <c r="AJ38" s="14">
        <f t="shared" si="15"/>
        <v>0</v>
      </c>
      <c r="AK38" s="14">
        <f t="shared" si="16"/>
        <v>9.9459451662137521</v>
      </c>
      <c r="AL38" s="14"/>
      <c r="AM38" s="124" t="str">
        <f t="shared" si="18"/>
        <v/>
      </c>
      <c r="AN38" s="40">
        <f t="shared" si="19"/>
        <v>100</v>
      </c>
      <c r="AO38" s="40">
        <f t="shared" si="20"/>
        <v>0</v>
      </c>
    </row>
    <row r="39" spans="2:41" x14ac:dyDescent="0.3">
      <c r="B39" s="186" t="s">
        <v>11</v>
      </c>
      <c r="C39" s="187">
        <v>1</v>
      </c>
      <c r="D39" s="7">
        <v>4.16</v>
      </c>
      <c r="E39" s="7">
        <v>310.45999999999998</v>
      </c>
      <c r="F39" s="7">
        <v>50.03</v>
      </c>
      <c r="G39" s="8">
        <f t="shared" si="0"/>
        <v>15.019904718397182</v>
      </c>
      <c r="H39" s="186">
        <v>1</v>
      </c>
      <c r="I39" s="7">
        <f t="shared" si="1"/>
        <v>0.6248280362853228</v>
      </c>
      <c r="J39" s="7">
        <f t="shared" si="2"/>
        <v>0.11570889560839311</v>
      </c>
      <c r="K39" s="7">
        <f t="shared" si="3"/>
        <v>11.57088956083931</v>
      </c>
      <c r="L39" s="187"/>
      <c r="M39" s="31"/>
      <c r="N39" s="31"/>
      <c r="O39" s="31"/>
      <c r="P39" s="31" t="str">
        <f t="shared" si="4"/>
        <v/>
      </c>
      <c r="Q39" s="31" t="str">
        <f t="shared" si="5"/>
        <v/>
      </c>
      <c r="R39" s="14">
        <f t="shared" si="21"/>
        <v>0</v>
      </c>
      <c r="S39" s="7">
        <v>758.63</v>
      </c>
      <c r="T39" s="7">
        <v>261.19</v>
      </c>
      <c r="U39" s="7">
        <v>46.59</v>
      </c>
      <c r="V39" s="7">
        <f t="shared" si="7"/>
        <v>16.338544306264865</v>
      </c>
      <c r="W39" s="7">
        <f t="shared" si="8"/>
        <v>0.12394909867061715</v>
      </c>
      <c r="X39" s="14">
        <f t="shared" si="22"/>
        <v>12.394909867061715</v>
      </c>
      <c r="Y39" s="31"/>
      <c r="Z39" s="31"/>
      <c r="AA39" s="31"/>
      <c r="AB39" s="31" t="str">
        <f t="shared" si="10"/>
        <v/>
      </c>
      <c r="AC39" s="31" t="str">
        <f t="shared" si="11"/>
        <v/>
      </c>
      <c r="AD39" s="14">
        <f t="shared" si="23"/>
        <v>0</v>
      </c>
      <c r="AE39" s="7"/>
      <c r="AF39" s="40"/>
      <c r="AG39" s="40"/>
      <c r="AH39" s="40" t="str">
        <f t="shared" si="13"/>
        <v/>
      </c>
      <c r="AI39" s="40" t="str">
        <f t="shared" si="14"/>
        <v/>
      </c>
      <c r="AJ39" s="14">
        <f t="shared" si="15"/>
        <v>0</v>
      </c>
      <c r="AK39" s="14"/>
      <c r="AL39" s="14">
        <f t="shared" si="17"/>
        <v>12.394909867061715</v>
      </c>
      <c r="AM39" s="124">
        <f t="shared" si="18"/>
        <v>100.00000000000001</v>
      </c>
      <c r="AN39" s="40" t="str">
        <f t="shared" si="19"/>
        <v/>
      </c>
      <c r="AO39" s="40">
        <f t="shared" si="20"/>
        <v>0</v>
      </c>
    </row>
    <row r="40" spans="2:41" x14ac:dyDescent="0.3">
      <c r="B40" s="186" t="s">
        <v>11</v>
      </c>
      <c r="C40" s="187">
        <v>2</v>
      </c>
      <c r="D40" s="7">
        <v>3.84</v>
      </c>
      <c r="E40" s="7">
        <v>256.77</v>
      </c>
      <c r="F40" s="7">
        <v>48.86</v>
      </c>
      <c r="G40" s="8">
        <f t="shared" si="0"/>
        <v>17.747359259405783</v>
      </c>
      <c r="H40" s="186">
        <v>1</v>
      </c>
      <c r="I40" s="7">
        <f t="shared" si="1"/>
        <v>0.68149859556118209</v>
      </c>
      <c r="J40" s="7">
        <f t="shared" si="2"/>
        <v>0.12620344362244112</v>
      </c>
      <c r="K40" s="7">
        <f t="shared" si="3"/>
        <v>12.620344362244111</v>
      </c>
      <c r="L40" s="187"/>
      <c r="M40" s="31"/>
      <c r="N40" s="31"/>
      <c r="O40" s="31"/>
      <c r="P40" s="31" t="str">
        <f t="shared" si="4"/>
        <v/>
      </c>
      <c r="Q40" s="31" t="str">
        <f t="shared" si="5"/>
        <v/>
      </c>
      <c r="R40" s="14">
        <f t="shared" si="21"/>
        <v>0</v>
      </c>
      <c r="S40" s="7">
        <v>82.83</v>
      </c>
      <c r="T40" s="7">
        <f>S40</f>
        <v>82.83</v>
      </c>
      <c r="U40" s="7">
        <v>21.4</v>
      </c>
      <c r="V40" s="7">
        <f t="shared" si="7"/>
        <v>21.394753678822774</v>
      </c>
      <c r="W40" s="7">
        <f t="shared" si="8"/>
        <v>1.77212744721689E-2</v>
      </c>
      <c r="X40" s="14">
        <f t="shared" si="22"/>
        <v>1.77212744721689</v>
      </c>
      <c r="Y40" s="7">
        <v>158.06</v>
      </c>
      <c r="Z40" s="7">
        <v>158.06</v>
      </c>
      <c r="AA40" s="7">
        <v>43.4</v>
      </c>
      <c r="AB40" s="7">
        <f t="shared" si="10"/>
        <v>25.244490807145652</v>
      </c>
      <c r="AC40" s="7">
        <f t="shared" si="11"/>
        <v>3.9901442169774419E-2</v>
      </c>
      <c r="AD40" s="14">
        <f t="shared" si="23"/>
        <v>3.9901442169774417</v>
      </c>
      <c r="AE40" s="7"/>
      <c r="AF40" s="40"/>
      <c r="AG40" s="40"/>
      <c r="AH40" s="40" t="str">
        <f t="shared" si="13"/>
        <v/>
      </c>
      <c r="AI40" s="40" t="str">
        <f t="shared" si="14"/>
        <v/>
      </c>
      <c r="AJ40" s="14">
        <f t="shared" si="15"/>
        <v>0</v>
      </c>
      <c r="AK40" s="14">
        <f t="shared" si="16"/>
        <v>3.9901442169774417</v>
      </c>
      <c r="AL40" s="14">
        <f t="shared" si="17"/>
        <v>1.77212744721689</v>
      </c>
      <c r="AM40" s="124">
        <f t="shared" si="18"/>
        <v>30.753972573500057</v>
      </c>
      <c r="AN40" s="40">
        <f t="shared" si="19"/>
        <v>69.24602742649995</v>
      </c>
      <c r="AO40" s="40">
        <f t="shared" si="20"/>
        <v>0</v>
      </c>
    </row>
    <row r="41" spans="2:41" x14ac:dyDescent="0.3">
      <c r="B41" s="186" t="s">
        <v>11</v>
      </c>
      <c r="C41" s="187">
        <v>3</v>
      </c>
      <c r="D41" s="7">
        <v>3.78</v>
      </c>
      <c r="E41" s="7">
        <v>286.35000000000002</v>
      </c>
      <c r="F41" s="7">
        <v>60.28</v>
      </c>
      <c r="G41" s="8">
        <f t="shared" si="0"/>
        <v>19.932707632371169</v>
      </c>
      <c r="H41" s="186">
        <v>1</v>
      </c>
      <c r="I41" s="7">
        <f t="shared" si="1"/>
        <v>0.75345634850363019</v>
      </c>
      <c r="J41" s="7">
        <f t="shared" si="2"/>
        <v>0.13952895342659818</v>
      </c>
      <c r="K41" s="7">
        <f t="shared" si="3"/>
        <v>13.95289534265982</v>
      </c>
      <c r="L41" s="187"/>
      <c r="M41" s="31"/>
      <c r="N41" s="31"/>
      <c r="O41" s="31"/>
      <c r="P41" s="31" t="str">
        <f t="shared" si="4"/>
        <v/>
      </c>
      <c r="Q41" s="31" t="str">
        <f t="shared" si="5"/>
        <v/>
      </c>
      <c r="R41" s="14">
        <f t="shared" si="21"/>
        <v>0</v>
      </c>
      <c r="S41" s="7">
        <v>359.19</v>
      </c>
      <c r="T41" s="7">
        <v>191.28</v>
      </c>
      <c r="U41" s="7">
        <v>38.5</v>
      </c>
      <c r="V41" s="7">
        <f t="shared" si="7"/>
        <v>18.124330117899252</v>
      </c>
      <c r="W41" s="7">
        <f t="shared" si="8"/>
        <v>6.510078135048232E-2</v>
      </c>
      <c r="X41" s="14">
        <f t="shared" si="22"/>
        <v>6.5100781350482313</v>
      </c>
      <c r="Y41" s="7">
        <v>316.44</v>
      </c>
      <c r="Z41" s="7">
        <v>316.44</v>
      </c>
      <c r="AA41" s="7">
        <v>43.36</v>
      </c>
      <c r="AB41" s="7">
        <f t="shared" si="10"/>
        <v>12.406979727995894</v>
      </c>
      <c r="AC41" s="7">
        <f t="shared" si="11"/>
        <v>3.9260646651270208E-2</v>
      </c>
      <c r="AD41" s="14">
        <f t="shared" si="23"/>
        <v>3.9260646651270208</v>
      </c>
      <c r="AE41" s="7"/>
      <c r="AF41" s="40"/>
      <c r="AG41" s="40"/>
      <c r="AH41" s="40" t="str">
        <f t="shared" si="13"/>
        <v/>
      </c>
      <c r="AI41" s="40" t="str">
        <f t="shared" si="14"/>
        <v/>
      </c>
      <c r="AJ41" s="14">
        <f t="shared" si="15"/>
        <v>0</v>
      </c>
      <c r="AK41" s="14">
        <f t="shared" si="16"/>
        <v>3.9260646651270208</v>
      </c>
      <c r="AL41" s="14">
        <f t="shared" si="17"/>
        <v>6.5100781350482313</v>
      </c>
      <c r="AM41" s="124">
        <f t="shared" si="18"/>
        <v>62.380117440889258</v>
      </c>
      <c r="AN41" s="40">
        <f t="shared" si="19"/>
        <v>37.619882559110742</v>
      </c>
      <c r="AO41" s="40">
        <f t="shared" si="20"/>
        <v>0</v>
      </c>
    </row>
    <row r="42" spans="2:41" x14ac:dyDescent="0.3">
      <c r="B42" s="186" t="s">
        <v>11</v>
      </c>
      <c r="C42" s="187">
        <v>4</v>
      </c>
      <c r="D42" s="7">
        <v>3.44</v>
      </c>
      <c r="E42" s="7">
        <v>359.78</v>
      </c>
      <c r="F42" s="7">
        <v>72.63</v>
      </c>
      <c r="G42" s="8">
        <f t="shared" si="0"/>
        <v>19.290010680757771</v>
      </c>
      <c r="H42" s="186">
        <v>1</v>
      </c>
      <c r="I42" s="7">
        <f t="shared" si="1"/>
        <v>0.66357636741806736</v>
      </c>
      <c r="J42" s="7">
        <f t="shared" si="2"/>
        <v>0.12288451248482728</v>
      </c>
      <c r="K42" s="7">
        <f t="shared" si="3"/>
        <v>12.288451248482726</v>
      </c>
      <c r="L42" s="187"/>
      <c r="M42" s="31"/>
      <c r="N42" s="31"/>
      <c r="O42" s="31"/>
      <c r="P42" s="31" t="str">
        <f t="shared" si="4"/>
        <v/>
      </c>
      <c r="Q42" s="31" t="str">
        <f t="shared" si="5"/>
        <v/>
      </c>
      <c r="R42" s="14">
        <f t="shared" si="21"/>
        <v>0</v>
      </c>
      <c r="S42" s="7">
        <v>51.36</v>
      </c>
      <c r="T42" s="7">
        <f>S42</f>
        <v>51.36</v>
      </c>
      <c r="U42" s="7">
        <v>15.9</v>
      </c>
      <c r="V42" s="7">
        <f t="shared" si="7"/>
        <v>24.035989717223654</v>
      </c>
      <c r="W42" s="7">
        <f t="shared" si="8"/>
        <v>1.2344884318766068E-2</v>
      </c>
      <c r="X42" s="14">
        <f t="shared" si="22"/>
        <v>1.2344884318766067</v>
      </c>
      <c r="Y42" s="7">
        <v>614.82000000000005</v>
      </c>
      <c r="Z42" s="7">
        <v>614.82000000000005</v>
      </c>
      <c r="AA42" s="7">
        <v>68.39</v>
      </c>
      <c r="AB42" s="7">
        <f t="shared" si="10"/>
        <v>10.441865801291506</v>
      </c>
      <c r="AC42" s="7">
        <f t="shared" si="11"/>
        <v>6.4198679319500448E-2</v>
      </c>
      <c r="AD42" s="14">
        <f t="shared" si="23"/>
        <v>6.4198679319500442</v>
      </c>
      <c r="AE42" s="7"/>
      <c r="AF42" s="40"/>
      <c r="AG42" s="40"/>
      <c r="AH42" s="40" t="str">
        <f t="shared" si="13"/>
        <v/>
      </c>
      <c r="AI42" s="40" t="str">
        <f t="shared" si="14"/>
        <v/>
      </c>
      <c r="AJ42" s="14">
        <f t="shared" si="15"/>
        <v>0</v>
      </c>
      <c r="AK42" s="14">
        <f t="shared" si="16"/>
        <v>6.4198679319500442</v>
      </c>
      <c r="AL42" s="14">
        <f t="shared" si="17"/>
        <v>1.2344884318766067</v>
      </c>
      <c r="AM42" s="124">
        <f t="shared" si="18"/>
        <v>16.127919490535028</v>
      </c>
      <c r="AN42" s="40">
        <f t="shared" si="19"/>
        <v>83.872080509464979</v>
      </c>
      <c r="AO42" s="40">
        <f t="shared" si="20"/>
        <v>0</v>
      </c>
    </row>
    <row r="43" spans="2:41" x14ac:dyDescent="0.3">
      <c r="B43" s="186" t="s">
        <v>11</v>
      </c>
      <c r="C43" s="187">
        <v>5</v>
      </c>
      <c r="D43" s="7">
        <v>2</v>
      </c>
      <c r="E43" s="7">
        <v>267.68</v>
      </c>
      <c r="F43" s="7">
        <v>49.98</v>
      </c>
      <c r="G43" s="8">
        <f t="shared" si="0"/>
        <v>17.437803398058254</v>
      </c>
      <c r="H43" s="186">
        <v>1</v>
      </c>
      <c r="I43" s="7">
        <f t="shared" si="1"/>
        <v>0.34875606796116509</v>
      </c>
      <c r="J43" s="7">
        <f t="shared" si="2"/>
        <v>6.4584457029845388E-2</v>
      </c>
      <c r="K43" s="7">
        <f t="shared" si="3"/>
        <v>6.4584457029845384</v>
      </c>
      <c r="L43" s="187"/>
      <c r="M43" s="31"/>
      <c r="N43" s="31"/>
      <c r="O43" s="31"/>
      <c r="P43" s="31" t="str">
        <f t="shared" si="4"/>
        <v/>
      </c>
      <c r="Q43" s="31" t="str">
        <f t="shared" si="5"/>
        <v/>
      </c>
      <c r="R43" s="14">
        <f t="shared" si="21"/>
        <v>0</v>
      </c>
      <c r="S43" s="228"/>
      <c r="T43" s="228"/>
      <c r="U43" s="228"/>
      <c r="V43" s="229" t="str">
        <f t="shared" si="7"/>
        <v/>
      </c>
      <c r="W43" s="229" t="str">
        <f t="shared" si="8"/>
        <v/>
      </c>
      <c r="X43" s="14">
        <f t="shared" si="22"/>
        <v>0</v>
      </c>
      <c r="Y43" s="7">
        <v>532.20000000000005</v>
      </c>
      <c r="Z43" s="7">
        <v>532.20000000000005</v>
      </c>
      <c r="AA43" s="7">
        <v>62.84</v>
      </c>
      <c r="AB43" s="7">
        <f t="shared" si="10"/>
        <v>11.025174400970577</v>
      </c>
      <c r="AC43" s="7">
        <f t="shared" si="11"/>
        <v>5.8675978161965417E-2</v>
      </c>
      <c r="AD43" s="14">
        <f t="shared" si="23"/>
        <v>5.8675978161965414</v>
      </c>
      <c r="AE43" s="7"/>
      <c r="AF43" s="40"/>
      <c r="AG43" s="40"/>
      <c r="AH43" s="40" t="str">
        <f t="shared" si="13"/>
        <v/>
      </c>
      <c r="AI43" s="40" t="str">
        <f t="shared" si="14"/>
        <v/>
      </c>
      <c r="AJ43" s="14"/>
      <c r="AK43" s="14"/>
      <c r="AL43" s="14"/>
      <c r="AM43" s="124"/>
      <c r="AN43" s="40"/>
      <c r="AO43" s="40"/>
    </row>
    <row r="44" spans="2:41" x14ac:dyDescent="0.3">
      <c r="B44" s="186" t="s">
        <v>11</v>
      </c>
      <c r="C44" s="187">
        <v>6</v>
      </c>
      <c r="D44" s="7">
        <v>5.74</v>
      </c>
      <c r="E44" s="7">
        <v>291.66000000000003</v>
      </c>
      <c r="F44" s="7">
        <v>51.11</v>
      </c>
      <c r="G44" s="8">
        <f t="shared" si="0"/>
        <v>16.376972815128969</v>
      </c>
      <c r="H44" s="186">
        <v>1</v>
      </c>
      <c r="I44" s="7">
        <f t="shared" si="1"/>
        <v>0.94003823958840282</v>
      </c>
      <c r="J44" s="7">
        <f t="shared" si="2"/>
        <v>0.17408115547933384</v>
      </c>
      <c r="K44" s="7">
        <f t="shared" si="3"/>
        <v>17.408115547933384</v>
      </c>
      <c r="L44" s="187"/>
      <c r="M44" s="7">
        <v>528.05999999999995</v>
      </c>
      <c r="N44" s="7">
        <v>254.96</v>
      </c>
      <c r="O44" s="7">
        <v>56.93</v>
      </c>
      <c r="P44" s="7">
        <f t="shared" si="4"/>
        <v>20.876618187629855</v>
      </c>
      <c r="Q44" s="7">
        <f t="shared" si="5"/>
        <v>0.1102410700015982</v>
      </c>
      <c r="R44" s="14">
        <f t="shared" si="21"/>
        <v>11.02410700015982</v>
      </c>
      <c r="S44" s="7">
        <v>31.32</v>
      </c>
      <c r="T44" s="7">
        <f t="shared" ref="T44:T46" si="26">S44</f>
        <v>31.32</v>
      </c>
      <c r="U44" s="7">
        <v>12.43</v>
      </c>
      <c r="V44" s="7">
        <f t="shared" si="7"/>
        <v>29.091591591591591</v>
      </c>
      <c r="W44" s="7">
        <f t="shared" si="8"/>
        <v>9.1114864864864867E-3</v>
      </c>
      <c r="X44" s="14">
        <f t="shared" si="22"/>
        <v>0.91114864864864875</v>
      </c>
      <c r="Y44" s="31"/>
      <c r="Z44" s="31"/>
      <c r="AA44" s="31"/>
      <c r="AB44" s="31" t="str">
        <f t="shared" si="10"/>
        <v/>
      </c>
      <c r="AC44" s="31" t="str">
        <f t="shared" si="11"/>
        <v/>
      </c>
      <c r="AD44" s="14">
        <f t="shared" si="23"/>
        <v>0</v>
      </c>
      <c r="AE44" s="7"/>
      <c r="AF44" s="40"/>
      <c r="AG44" s="40"/>
      <c r="AH44" s="40" t="str">
        <f t="shared" si="13"/>
        <v/>
      </c>
      <c r="AI44" s="40" t="str">
        <f t="shared" si="14"/>
        <v/>
      </c>
      <c r="AJ44" s="14">
        <f t="shared" si="15"/>
        <v>0</v>
      </c>
      <c r="AK44" s="14">
        <f t="shared" si="16"/>
        <v>11.02410700015982</v>
      </c>
      <c r="AL44" s="14">
        <f t="shared" si="17"/>
        <v>0.91114864864864875</v>
      </c>
      <c r="AM44" s="124">
        <f t="shared" si="18"/>
        <v>7.6340941112527521</v>
      </c>
      <c r="AN44" s="40">
        <f t="shared" si="19"/>
        <v>92.36590588874725</v>
      </c>
      <c r="AO44" s="40">
        <f t="shared" si="20"/>
        <v>0</v>
      </c>
    </row>
    <row r="45" spans="2:41" x14ac:dyDescent="0.3">
      <c r="B45" s="186" t="s">
        <v>11</v>
      </c>
      <c r="C45" s="187">
        <v>7</v>
      </c>
      <c r="D45" s="7">
        <v>3.74</v>
      </c>
      <c r="E45" s="7">
        <v>288.97000000000003</v>
      </c>
      <c r="F45" s="7">
        <v>57.19</v>
      </c>
      <c r="G45" s="8">
        <f t="shared" si="0"/>
        <v>18.665122644488889</v>
      </c>
      <c r="H45" s="186">
        <v>1</v>
      </c>
      <c r="I45" s="7">
        <f t="shared" si="1"/>
        <v>0.69807558690388449</v>
      </c>
      <c r="J45" s="7">
        <f t="shared" si="2"/>
        <v>0.12927325683405266</v>
      </c>
      <c r="K45" s="7">
        <f t="shared" si="3"/>
        <v>12.927325683405265</v>
      </c>
      <c r="L45" s="187"/>
      <c r="M45" s="7">
        <v>598.58000000000004</v>
      </c>
      <c r="N45" s="7">
        <v>179.04</v>
      </c>
      <c r="O45" s="7">
        <v>39.869999999999997</v>
      </c>
      <c r="P45" s="7">
        <f t="shared" si="4"/>
        <v>20.182381280110118</v>
      </c>
      <c r="Q45" s="7">
        <f t="shared" si="5"/>
        <v>0.12080769786648315</v>
      </c>
      <c r="R45" s="14">
        <f t="shared" si="21"/>
        <v>12.080769786648316</v>
      </c>
      <c r="S45" s="7">
        <v>25.75</v>
      </c>
      <c r="T45" s="7">
        <f t="shared" si="26"/>
        <v>25.75</v>
      </c>
      <c r="U45" s="7">
        <v>11.99</v>
      </c>
      <c r="V45" s="7">
        <f t="shared" si="7"/>
        <v>34.693877551020407</v>
      </c>
      <c r="W45" s="7">
        <f t="shared" si="8"/>
        <v>8.933673469387754E-3</v>
      </c>
      <c r="X45" s="14">
        <f t="shared" si="22"/>
        <v>0.89336734693877551</v>
      </c>
      <c r="Y45" s="31"/>
      <c r="Z45" s="31"/>
      <c r="AA45" s="31"/>
      <c r="AB45" s="31" t="str">
        <f t="shared" si="10"/>
        <v/>
      </c>
      <c r="AC45" s="31" t="str">
        <f t="shared" si="11"/>
        <v/>
      </c>
      <c r="AD45" s="14">
        <f t="shared" si="23"/>
        <v>0</v>
      </c>
      <c r="AE45" s="7"/>
      <c r="AF45" s="40"/>
      <c r="AG45" s="40"/>
      <c r="AH45" s="40" t="str">
        <f t="shared" si="13"/>
        <v/>
      </c>
      <c r="AI45" s="40" t="str">
        <f t="shared" si="14"/>
        <v/>
      </c>
      <c r="AJ45" s="14">
        <f t="shared" si="15"/>
        <v>0</v>
      </c>
      <c r="AK45" s="14">
        <f t="shared" si="16"/>
        <v>12.080769786648316</v>
      </c>
      <c r="AL45" s="14">
        <f t="shared" si="17"/>
        <v>0.89336734693877551</v>
      </c>
      <c r="AM45" s="124">
        <f t="shared" si="18"/>
        <v>6.8857553896671133</v>
      </c>
      <c r="AN45" s="40">
        <f t="shared" si="19"/>
        <v>93.114244610332889</v>
      </c>
      <c r="AO45" s="40">
        <f t="shared" si="20"/>
        <v>0</v>
      </c>
    </row>
    <row r="46" spans="2:41" x14ac:dyDescent="0.3">
      <c r="B46" s="186" t="s">
        <v>11</v>
      </c>
      <c r="C46" s="187">
        <v>8</v>
      </c>
      <c r="D46" s="7">
        <v>3.54</v>
      </c>
      <c r="E46" s="7">
        <v>279.73</v>
      </c>
      <c r="F46" s="7">
        <v>62.78</v>
      </c>
      <c r="G46" s="8">
        <f t="shared" si="0"/>
        <v>21.317955971421316</v>
      </c>
      <c r="H46" s="186">
        <v>1</v>
      </c>
      <c r="I46" s="7">
        <f t="shared" si="1"/>
        <v>0.75465564138831454</v>
      </c>
      <c r="J46" s="7">
        <f t="shared" si="2"/>
        <v>0.13975104470153971</v>
      </c>
      <c r="K46" s="7">
        <f t="shared" si="3"/>
        <v>13.975104470153969</v>
      </c>
      <c r="L46" s="187"/>
      <c r="M46" s="7">
        <v>453.89</v>
      </c>
      <c r="N46" s="7">
        <v>202.15</v>
      </c>
      <c r="O46" s="7">
        <v>44.41</v>
      </c>
      <c r="P46" s="7">
        <f t="shared" si="4"/>
        <v>20.119511824580947</v>
      </c>
      <c r="Q46" s="7">
        <f t="shared" si="5"/>
        <v>9.1320452220590459E-2</v>
      </c>
      <c r="R46" s="14">
        <f t="shared" si="21"/>
        <v>9.1320452220590465</v>
      </c>
      <c r="S46" s="7">
        <v>295.2</v>
      </c>
      <c r="T46" s="7">
        <f t="shared" si="26"/>
        <v>295.2</v>
      </c>
      <c r="U46" s="7">
        <v>59.22</v>
      </c>
      <c r="V46" s="7">
        <f t="shared" si="7"/>
        <v>18.773234200743495</v>
      </c>
      <c r="W46" s="7">
        <f t="shared" si="8"/>
        <v>5.5418587360594788E-2</v>
      </c>
      <c r="X46" s="14">
        <f t="shared" si="22"/>
        <v>5.5418587360594787</v>
      </c>
      <c r="Y46" s="31"/>
      <c r="Z46" s="31"/>
      <c r="AA46" s="31"/>
      <c r="AB46" s="31" t="str">
        <f t="shared" si="10"/>
        <v/>
      </c>
      <c r="AC46" s="31" t="str">
        <f t="shared" si="11"/>
        <v/>
      </c>
      <c r="AD46" s="14">
        <f t="shared" si="23"/>
        <v>0</v>
      </c>
      <c r="AE46" s="7"/>
      <c r="AF46" s="40"/>
      <c r="AG46" s="40"/>
      <c r="AH46" s="40" t="str">
        <f t="shared" si="13"/>
        <v/>
      </c>
      <c r="AI46" s="40" t="str">
        <f t="shared" si="14"/>
        <v/>
      </c>
      <c r="AJ46" s="14">
        <f t="shared" si="15"/>
        <v>0</v>
      </c>
      <c r="AK46" s="14">
        <f t="shared" si="16"/>
        <v>9.1320452220590465</v>
      </c>
      <c r="AL46" s="14">
        <f t="shared" si="17"/>
        <v>5.5418587360594787</v>
      </c>
      <c r="AM46" s="124">
        <f t="shared" si="18"/>
        <v>37.76676439941788</v>
      </c>
      <c r="AN46" s="40">
        <f t="shared" si="19"/>
        <v>62.233235600582113</v>
      </c>
      <c r="AO46" s="40">
        <f t="shared" si="20"/>
        <v>0</v>
      </c>
    </row>
    <row r="47" spans="2:41" x14ac:dyDescent="0.3">
      <c r="B47" s="186" t="s">
        <v>11</v>
      </c>
      <c r="C47" s="187">
        <v>9</v>
      </c>
      <c r="D47" s="7">
        <v>1.82</v>
      </c>
      <c r="E47" s="7">
        <v>306.39999999999998</v>
      </c>
      <c r="F47" s="7">
        <v>67.989999999999995</v>
      </c>
      <c r="G47" s="8">
        <f t="shared" si="0"/>
        <v>21.160714285714285</v>
      </c>
      <c r="H47" s="186">
        <v>1</v>
      </c>
      <c r="I47" s="7">
        <f t="shared" si="1"/>
        <v>0.385125</v>
      </c>
      <c r="J47" s="7">
        <f t="shared" si="2"/>
        <v>7.1319444444444435E-2</v>
      </c>
      <c r="K47" s="7">
        <f t="shared" si="3"/>
        <v>7.1319444444444438</v>
      </c>
      <c r="L47" s="187"/>
      <c r="M47" s="7">
        <v>439.2</v>
      </c>
      <c r="N47" s="7">
        <v>439.2</v>
      </c>
      <c r="O47" s="7">
        <v>93.86</v>
      </c>
      <c r="P47" s="7">
        <f t="shared" si="4"/>
        <v>20.523796373009301</v>
      </c>
      <c r="Q47" s="7">
        <f t="shared" si="5"/>
        <v>9.0140513670256855E-2</v>
      </c>
      <c r="R47" s="14">
        <f t="shared" si="21"/>
        <v>9.0140513670256865</v>
      </c>
      <c r="S47" s="31"/>
      <c r="T47" s="31"/>
      <c r="U47" s="31"/>
      <c r="V47" s="31" t="str">
        <f t="shared" si="7"/>
        <v/>
      </c>
      <c r="W47" s="31" t="str">
        <f t="shared" si="8"/>
        <v/>
      </c>
      <c r="X47" s="14">
        <f t="shared" si="22"/>
        <v>0</v>
      </c>
      <c r="Y47" s="31"/>
      <c r="Z47" s="31"/>
      <c r="AA47" s="31"/>
      <c r="AB47" s="31" t="str">
        <f t="shared" si="10"/>
        <v/>
      </c>
      <c r="AC47" s="31" t="str">
        <f t="shared" si="11"/>
        <v/>
      </c>
      <c r="AD47" s="14">
        <f t="shared" si="23"/>
        <v>0</v>
      </c>
      <c r="AE47" s="7"/>
      <c r="AF47" s="40"/>
      <c r="AG47" s="40"/>
      <c r="AH47" s="40" t="str">
        <f t="shared" si="13"/>
        <v/>
      </c>
      <c r="AI47" s="40" t="str">
        <f t="shared" si="14"/>
        <v/>
      </c>
      <c r="AJ47" s="14">
        <f t="shared" si="15"/>
        <v>0</v>
      </c>
      <c r="AK47" s="14">
        <f t="shared" si="16"/>
        <v>9.0140513670256865</v>
      </c>
      <c r="AL47" s="14"/>
      <c r="AM47" s="124" t="str">
        <f t="shared" si="18"/>
        <v/>
      </c>
      <c r="AN47" s="40">
        <f t="shared" si="19"/>
        <v>100.00000000000001</v>
      </c>
      <c r="AO47" s="40">
        <f t="shared" si="20"/>
        <v>0</v>
      </c>
    </row>
  </sheetData>
  <autoFilter ref="B11:AK11" xr:uid="{00000000-0009-0000-0000-000000000000}">
    <sortState xmlns:xlrd2="http://schemas.microsoft.com/office/spreadsheetml/2017/richdata2" ref="B12:AJ47">
      <sortCondition ref="B11"/>
    </sortState>
  </autoFilter>
  <conditionalFormatting sqref="G12:G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7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8C15-0634-482E-A374-F62FD038A901}">
  <sheetPr>
    <tabColor theme="9" tint="0.79998168889431442"/>
  </sheetPr>
  <dimension ref="B2:AO47"/>
  <sheetViews>
    <sheetView zoomScale="66" zoomScaleNormal="66" workbookViewId="0">
      <selection activeCell="D12" sqref="D12"/>
    </sheetView>
  </sheetViews>
  <sheetFormatPr baseColWidth="10" defaultRowHeight="14" x14ac:dyDescent="0.3"/>
  <cols>
    <col min="1" max="1" width="2.9140625" customWidth="1"/>
    <col min="2" max="2" width="7.4140625" style="186" customWidth="1"/>
    <col min="3" max="3" width="9.08203125" style="186" customWidth="1"/>
    <col min="4" max="4" width="14.6640625" style="186" customWidth="1"/>
    <col min="5" max="5" width="10.6640625" style="186"/>
    <col min="6" max="6" width="10.08203125" style="186" customWidth="1"/>
    <col min="7" max="7" width="11.6640625" style="186" customWidth="1"/>
    <col min="8" max="8" width="9.9140625" style="186" customWidth="1"/>
    <col min="9" max="9" width="15.4140625" style="186" customWidth="1"/>
    <col min="10" max="10" width="11" style="186" bestFit="1" customWidth="1"/>
    <col min="11" max="11" width="10.4140625" style="186" bestFit="1" customWidth="1"/>
    <col min="12" max="12" width="9.58203125" style="186" customWidth="1"/>
    <col min="13" max="13" width="11.6640625" style="186" customWidth="1"/>
    <col min="14" max="15" width="8.08203125" style="186" bestFit="1" customWidth="1"/>
    <col min="16" max="16" width="8.08203125" style="186" customWidth="1"/>
    <col min="17" max="17" width="12.4140625" style="186" bestFit="1" customWidth="1"/>
    <col min="18" max="18" width="11.6640625" style="186" bestFit="1" customWidth="1"/>
    <col min="19" max="19" width="9.9140625" style="186" customWidth="1"/>
    <col min="20" max="20" width="8.9140625" style="186" customWidth="1"/>
    <col min="21" max="21" width="8.08203125" style="186" bestFit="1" customWidth="1"/>
    <col min="22" max="22" width="8.08203125" style="186" customWidth="1"/>
    <col min="23" max="23" width="12.4140625" style="186" bestFit="1" customWidth="1"/>
    <col min="24" max="24" width="11.6640625" style="186" bestFit="1" customWidth="1"/>
    <col min="25" max="25" width="9.9140625" customWidth="1"/>
    <col min="26" max="27" width="8.08203125" bestFit="1" customWidth="1"/>
    <col min="28" max="28" width="8.08203125" customWidth="1"/>
    <col min="29" max="29" width="12.4140625" bestFit="1" customWidth="1"/>
    <col min="30" max="30" width="11.6640625" bestFit="1" customWidth="1"/>
    <col min="31" max="31" width="8.08203125" customWidth="1"/>
    <col min="32" max="32" width="8.58203125" bestFit="1" customWidth="1"/>
    <col min="33" max="33" width="8.6640625" bestFit="1" customWidth="1"/>
    <col min="34" max="34" width="10.4140625" customWidth="1"/>
    <col min="35" max="35" width="12.4140625" bestFit="1" customWidth="1"/>
    <col min="36" max="36" width="11.6640625" bestFit="1" customWidth="1"/>
  </cols>
  <sheetData>
    <row r="2" spans="2:41" ht="18" x14ac:dyDescent="0.3">
      <c r="B2" s="4" t="s">
        <v>0</v>
      </c>
      <c r="E2" s="12" t="s">
        <v>19</v>
      </c>
    </row>
    <row r="3" spans="2:41" x14ac:dyDescent="0.3">
      <c r="B3" s="1" t="s">
        <v>37</v>
      </c>
    </row>
    <row r="4" spans="2:41" ht="14.5" thickBot="1" x14ac:dyDescent="0.35"/>
    <row r="5" spans="2:41" x14ac:dyDescent="0.3">
      <c r="D5" s="25" t="s">
        <v>31</v>
      </c>
      <c r="E5" s="26">
        <v>2.44</v>
      </c>
      <c r="F5" s="27" t="s">
        <v>20</v>
      </c>
      <c r="M5" s="25" t="s">
        <v>21</v>
      </c>
      <c r="N5" s="26">
        <v>4.68</v>
      </c>
      <c r="O5" s="27" t="s">
        <v>22</v>
      </c>
      <c r="P5" s="224"/>
      <c r="Q5" s="34" t="s">
        <v>33</v>
      </c>
      <c r="R5" s="32"/>
      <c r="S5" s="32"/>
    </row>
    <row r="6" spans="2:41" x14ac:dyDescent="0.3">
      <c r="D6" s="29" t="s">
        <v>32</v>
      </c>
      <c r="E6" s="165">
        <v>4</v>
      </c>
      <c r="F6" s="30" t="s">
        <v>22</v>
      </c>
      <c r="M6" s="29"/>
      <c r="O6" s="30"/>
      <c r="P6" s="224"/>
      <c r="Q6" s="224"/>
      <c r="R6" s="224"/>
    </row>
    <row r="7" spans="2:41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23">
        <v>1</v>
      </c>
      <c r="O7" s="24" t="s">
        <v>23</v>
      </c>
      <c r="P7" s="224"/>
      <c r="Q7" s="224"/>
      <c r="R7" s="224"/>
    </row>
    <row r="9" spans="2:41" x14ac:dyDescent="0.3">
      <c r="C9" s="187"/>
      <c r="D9" s="5" t="s">
        <v>5</v>
      </c>
      <c r="L9" s="187"/>
      <c r="M9" s="5" t="s">
        <v>13</v>
      </c>
      <c r="N9" s="185"/>
      <c r="O9" s="185"/>
      <c r="P9" s="185"/>
      <c r="Q9" s="185"/>
      <c r="R9" s="50"/>
      <c r="S9" s="5" t="s">
        <v>17</v>
      </c>
      <c r="T9" s="185"/>
      <c r="U9" s="185"/>
      <c r="V9" s="185"/>
      <c r="W9" s="185"/>
      <c r="X9" s="50"/>
      <c r="Y9" s="5" t="s">
        <v>18</v>
      </c>
      <c r="Z9" s="51"/>
      <c r="AA9" s="51"/>
      <c r="AB9" s="51"/>
      <c r="AC9" s="51"/>
      <c r="AD9" s="52"/>
      <c r="AE9" s="53" t="s">
        <v>34</v>
      </c>
    </row>
    <row r="10" spans="2:41" x14ac:dyDescent="0.3">
      <c r="C10" s="187"/>
      <c r="D10" s="28" t="s">
        <v>30</v>
      </c>
      <c r="G10" s="28" t="s">
        <v>29</v>
      </c>
      <c r="L10" s="187"/>
      <c r="M10" s="28" t="s">
        <v>30</v>
      </c>
      <c r="N10" s="28"/>
      <c r="O10" s="28"/>
      <c r="P10" s="28" t="s">
        <v>29</v>
      </c>
      <c r="Q10" s="28"/>
      <c r="R10" s="46"/>
      <c r="S10" s="28" t="s">
        <v>30</v>
      </c>
      <c r="T10" s="28"/>
      <c r="U10" s="28"/>
      <c r="V10" s="28" t="s">
        <v>29</v>
      </c>
      <c r="W10" s="28"/>
      <c r="X10" s="46"/>
      <c r="Y10" s="28" t="s">
        <v>30</v>
      </c>
      <c r="Z10" s="28"/>
      <c r="AA10" s="28"/>
      <c r="AB10" s="28" t="s">
        <v>29</v>
      </c>
      <c r="AC10" s="28"/>
      <c r="AD10" s="46"/>
      <c r="AE10" s="28" t="s">
        <v>30</v>
      </c>
      <c r="AF10" s="48"/>
      <c r="AG10" s="48"/>
      <c r="AH10" s="48" t="s">
        <v>29</v>
      </c>
      <c r="AI10" s="48"/>
      <c r="AJ10" s="39"/>
    </row>
    <row r="11" spans="2:41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14</v>
      </c>
      <c r="N11" s="11" t="s">
        <v>15</v>
      </c>
      <c r="O11" s="11" t="s">
        <v>16</v>
      </c>
      <c r="P11" s="11" t="s">
        <v>8</v>
      </c>
      <c r="Q11" s="11" t="s">
        <v>27</v>
      </c>
      <c r="R11" s="13" t="s">
        <v>28</v>
      </c>
      <c r="S11" s="11" t="s">
        <v>14</v>
      </c>
      <c r="T11" s="11" t="s">
        <v>15</v>
      </c>
      <c r="U11" s="11" t="s">
        <v>16</v>
      </c>
      <c r="V11" s="11" t="s">
        <v>8</v>
      </c>
      <c r="W11" s="11" t="s">
        <v>27</v>
      </c>
      <c r="X11" s="13" t="s">
        <v>28</v>
      </c>
      <c r="Y11" s="11" t="s">
        <v>14</v>
      </c>
      <c r="Z11" s="11" t="s">
        <v>15</v>
      </c>
      <c r="AA11" s="11" t="s">
        <v>16</v>
      </c>
      <c r="AB11" s="11" t="s">
        <v>8</v>
      </c>
      <c r="AC11" s="11" t="s">
        <v>27</v>
      </c>
      <c r="AD11" s="13" t="s">
        <v>28</v>
      </c>
      <c r="AE11" s="11" t="s">
        <v>14</v>
      </c>
      <c r="AF11" s="11" t="s">
        <v>35</v>
      </c>
      <c r="AG11" s="11" t="s">
        <v>36</v>
      </c>
      <c r="AH11" s="11" t="s">
        <v>8</v>
      </c>
      <c r="AI11" s="11" t="s">
        <v>27</v>
      </c>
      <c r="AJ11" s="11" t="s">
        <v>28</v>
      </c>
      <c r="AK11" s="11" t="s">
        <v>91</v>
      </c>
      <c r="AL11" s="11" t="s">
        <v>92</v>
      </c>
      <c r="AM11" s="123" t="s">
        <v>94</v>
      </c>
      <c r="AN11" s="123" t="s">
        <v>95</v>
      </c>
      <c r="AO11" s="123" t="s">
        <v>96</v>
      </c>
    </row>
    <row r="12" spans="2:41" x14ac:dyDescent="0.3">
      <c r="B12" s="186" t="s">
        <v>2</v>
      </c>
      <c r="C12" s="187">
        <v>1</v>
      </c>
      <c r="D12" s="7">
        <v>5.2</v>
      </c>
      <c r="E12" s="7">
        <v>398.86</v>
      </c>
      <c r="F12" s="7">
        <v>69.7</v>
      </c>
      <c r="G12" s="8">
        <f>((F12-$E$6)/(E12-$E$6))*100</f>
        <v>16.638808691688194</v>
      </c>
      <c r="H12" s="186">
        <v>1</v>
      </c>
      <c r="I12" s="7">
        <f>(D12-$E$5)*(G12/100)</f>
        <v>0.45923111989059423</v>
      </c>
      <c r="J12" s="7">
        <f>I12/($E$7*H12)</f>
        <v>8.5042799979739667E-2</v>
      </c>
      <c r="K12" s="7">
        <f>J12*10000/100</f>
        <v>8.5042799979739669</v>
      </c>
      <c r="L12" s="187"/>
      <c r="M12" s="31" t="str">
        <f>IF(N12&gt;0,N12-$N$5,"")</f>
        <v/>
      </c>
      <c r="N12" s="31"/>
      <c r="O12" s="31"/>
      <c r="P12" s="31" t="str">
        <f>IF(N12&gt;0,((O12-$N$5)/(N12-$N$5))*100,"")</f>
        <v/>
      </c>
      <c r="Q12" s="31" t="str">
        <f>IF(N12&gt;0,((P12/100)*M12)/$N$7/1000,"")</f>
        <v/>
      </c>
      <c r="R12" s="14">
        <f t="shared" ref="R12:R16" si="0">IF(N12&gt;0,Q12*10000/100,0)</f>
        <v>0</v>
      </c>
      <c r="S12" s="7">
        <v>418.7</v>
      </c>
      <c r="T12" s="7">
        <v>217.96</v>
      </c>
      <c r="U12" s="7">
        <v>56.5</v>
      </c>
      <c r="V12" s="7">
        <f>IF(T12&gt;0,((U12-$N$5)/(T12-$N$5))*100,"")</f>
        <v>24.296699174793698</v>
      </c>
      <c r="W12" s="7">
        <f>IF(T12&gt;0,((V12/100)*S12)/$N$7/1000,"")</f>
        <v>0.10173027944486121</v>
      </c>
      <c r="X12" s="14">
        <f t="shared" ref="X12:X16" si="1">IF(T12&gt;0,W12*10000/100,0)</f>
        <v>10.173027944486121</v>
      </c>
      <c r="Y12" s="31" t="str">
        <f>IF(Z12&gt;0,Z12-$N$5,"")</f>
        <v/>
      </c>
      <c r="Z12" s="31"/>
      <c r="AA12" s="31"/>
      <c r="AB12" s="31" t="str">
        <f>IF(Z12&gt;0,((AA12-$N$5)/(Z12-$N$5))*100,"")</f>
        <v/>
      </c>
      <c r="AC12" s="31" t="str">
        <f>IF(Z12&gt;0,((AB12/100)*Y12)/$N$7/1000,"")</f>
        <v/>
      </c>
      <c r="AD12" s="14">
        <f t="shared" ref="AD12:AD16" si="2">IF(Z12&gt;0,AC12*10000/100,0)</f>
        <v>0</v>
      </c>
      <c r="AE12" s="7"/>
      <c r="AF12" s="7"/>
      <c r="AG12" s="7"/>
      <c r="AH12" s="7" t="str">
        <f>IF(AE12&gt;0,((AG12-$N$5)/(AF12-$N$5))*100,"")</f>
        <v/>
      </c>
      <c r="AI12" s="7" t="str">
        <f>IF(AE12&gt;0,((AH12/100)*AE12)/$N$7/1000,"")</f>
        <v/>
      </c>
      <c r="AJ12" s="14">
        <f t="shared" ref="AJ12:AJ47" si="3">IF(AF12&gt;0,AI12*10000/100,0)</f>
        <v>0</v>
      </c>
      <c r="AK12" s="14"/>
      <c r="AL12" s="14">
        <f>X12</f>
        <v>10.173027944486121</v>
      </c>
      <c r="AM12" s="124">
        <f t="shared" ref="AM12:AM33" si="4">IF((100/SUM(AJ12:AL12)*AL12),(100/SUM(AJ12:AL12)*AL12),(100/SUM(AJ12:AL12)*AL12))</f>
        <v>100</v>
      </c>
      <c r="AN12" s="40" t="str">
        <f>IF((100/SUM(AJ12:AL12)*AK12),(100/SUM(AJ12:AL12)*AK12),"")</f>
        <v/>
      </c>
      <c r="AO12" s="40">
        <f>(100/SUM(AJ12:AL12)*AJ12)</f>
        <v>0</v>
      </c>
    </row>
    <row r="13" spans="2:41" x14ac:dyDescent="0.3">
      <c r="B13" s="186" t="s">
        <v>2</v>
      </c>
      <c r="C13" s="187">
        <v>2</v>
      </c>
      <c r="D13" s="7">
        <v>7.06</v>
      </c>
      <c r="E13" s="7">
        <v>259.24</v>
      </c>
      <c r="F13" s="7">
        <v>50.53</v>
      </c>
      <c r="G13" s="8">
        <f t="shared" ref="G13:G47" si="5">((F13-$E$6)/(E13-$E$6))*100</f>
        <v>18.229901269393512</v>
      </c>
      <c r="H13" s="186">
        <v>1</v>
      </c>
      <c r="I13" s="7">
        <f>(D13-$E$5)*(G13/100)</f>
        <v>0.84222143864598009</v>
      </c>
      <c r="J13" s="7">
        <f t="shared" ref="J13:J47" si="6">I13/($E$7*H13)</f>
        <v>0.15596693308258888</v>
      </c>
      <c r="K13" s="7">
        <f t="shared" ref="K13:K47" si="7">J13*10000/100</f>
        <v>15.596693308258889</v>
      </c>
      <c r="L13" s="187"/>
      <c r="M13" s="31" t="str">
        <f t="shared" ref="M13:M16" si="8">IF(N13&gt;0,N13-$N$5,"")</f>
        <v/>
      </c>
      <c r="N13" s="31"/>
      <c r="O13" s="31"/>
      <c r="P13" s="31" t="str">
        <f t="shared" ref="P13:P47" si="9">IF(N13&gt;0,((O13-$N$5)/(N13-$N$5))*100,"")</f>
        <v/>
      </c>
      <c r="Q13" s="31" t="str">
        <f t="shared" ref="Q13:Q47" si="10">IF(N13&gt;0,((P13/100)*M13)/$N$7/1000,"")</f>
        <v/>
      </c>
      <c r="R13" s="14">
        <f t="shared" si="0"/>
        <v>0</v>
      </c>
      <c r="S13" s="7">
        <v>387.14</v>
      </c>
      <c r="T13" s="7">
        <v>197.66</v>
      </c>
      <c r="U13" s="7">
        <v>43.05</v>
      </c>
      <c r="V13" s="7">
        <f t="shared" ref="V13:V47" si="11">IF(T13&gt;0,((U13-$N$5)/(T13-$N$5))*100,"")</f>
        <v>19.882889418592601</v>
      </c>
      <c r="W13" s="7">
        <f t="shared" ref="W13:W47" si="12">IF(T13&gt;0,((V13/100)*S13)/$N$7/1000,"")</f>
        <v>7.6974618095139391E-2</v>
      </c>
      <c r="X13" s="14">
        <f t="shared" si="1"/>
        <v>7.6974618095139382</v>
      </c>
      <c r="Y13" s="7">
        <v>375.35</v>
      </c>
      <c r="Z13" s="7">
        <v>225.46</v>
      </c>
      <c r="AA13" s="7">
        <v>52.86</v>
      </c>
      <c r="AB13" s="7">
        <f t="shared" ref="AB13:AB47" si="13">IF(Z13&gt;0,((AA13-$N$5)/(Z13-$N$5))*100,"")</f>
        <v>21.822628861309902</v>
      </c>
      <c r="AC13" s="7">
        <f t="shared" ref="AC13:AC47" si="14">IF(Z13&gt;0,((AB13/100)*Y13)/$N$7/1000,"")</f>
        <v>8.1911237430926723E-2</v>
      </c>
      <c r="AD13" s="14">
        <f t="shared" si="2"/>
        <v>8.1911237430926729</v>
      </c>
      <c r="AE13" s="7"/>
      <c r="AF13" s="7"/>
      <c r="AG13" s="7"/>
      <c r="AH13" s="7" t="str">
        <f t="shared" ref="AH13:AH47" si="15">IF(AE13&gt;0,((AG13-$N$5)/(AF13-$N$5))*100,"")</f>
        <v/>
      </c>
      <c r="AI13" s="7" t="str">
        <f t="shared" ref="AI13:AI47" si="16">IF(AE13&gt;0,((AH13/100)*AE13)/$N$7/1000,"")</f>
        <v/>
      </c>
      <c r="AJ13" s="14">
        <f t="shared" si="3"/>
        <v>0</v>
      </c>
      <c r="AK13" s="14">
        <f t="shared" ref="AK13:AK47" si="17">R13+AD13</f>
        <v>8.1911237430926729</v>
      </c>
      <c r="AL13" s="14">
        <f t="shared" ref="AL13:AL46" si="18">X13</f>
        <v>7.6974618095139382</v>
      </c>
      <c r="AM13" s="124">
        <f t="shared" si="4"/>
        <v>48.446488732605445</v>
      </c>
      <c r="AN13" s="40">
        <f t="shared" ref="AN13:AN47" si="19">IF((100/SUM(AJ13:AL13)*AK13),(100/SUM(AJ13:AL13)*AK13),"")</f>
        <v>51.553511267394562</v>
      </c>
      <c r="AO13" s="40">
        <f t="shared" ref="AO13:AO47" si="20">(100/SUM(AJ13:AL13)*AJ13)</f>
        <v>0</v>
      </c>
    </row>
    <row r="14" spans="2:41" x14ac:dyDescent="0.3">
      <c r="B14" s="186" t="s">
        <v>2</v>
      </c>
      <c r="C14" s="187">
        <v>3</v>
      </c>
      <c r="D14" s="7">
        <v>5.34</v>
      </c>
      <c r="E14" s="7">
        <v>204.84</v>
      </c>
      <c r="F14" s="7">
        <v>58.48</v>
      </c>
      <c r="G14" s="8">
        <f t="shared" si="5"/>
        <v>27.126070503883685</v>
      </c>
      <c r="H14" s="186">
        <v>1</v>
      </c>
      <c r="I14" s="7">
        <f t="shared" ref="I14:I47" si="21">(D14-$E$5)*(G14/100)</f>
        <v>0.78665604461262695</v>
      </c>
      <c r="J14" s="7">
        <f t="shared" si="6"/>
        <v>0.14567704529863462</v>
      </c>
      <c r="K14" s="7">
        <f t="shared" si="7"/>
        <v>14.567704529863462</v>
      </c>
      <c r="L14" s="187"/>
      <c r="M14" s="31" t="str">
        <f t="shared" si="8"/>
        <v/>
      </c>
      <c r="N14" s="31"/>
      <c r="O14" s="31"/>
      <c r="P14" s="31" t="str">
        <f t="shared" si="9"/>
        <v/>
      </c>
      <c r="Q14" s="31" t="str">
        <f t="shared" si="10"/>
        <v/>
      </c>
      <c r="R14" s="14">
        <f t="shared" si="0"/>
        <v>0</v>
      </c>
      <c r="S14" s="7">
        <v>254.46</v>
      </c>
      <c r="T14" s="7">
        <f>S14</f>
        <v>254.46</v>
      </c>
      <c r="U14" s="7">
        <v>56.47</v>
      </c>
      <c r="V14" s="7">
        <f t="shared" si="11"/>
        <v>20.734246136600206</v>
      </c>
      <c r="W14" s="7">
        <f t="shared" si="12"/>
        <v>5.2760362719192891E-2</v>
      </c>
      <c r="X14" s="14">
        <f t="shared" si="1"/>
        <v>5.2760362719192893</v>
      </c>
      <c r="Y14" s="7">
        <v>290.29000000000002</v>
      </c>
      <c r="Z14" s="7">
        <f>Y14</f>
        <v>290.29000000000002</v>
      </c>
      <c r="AA14" s="7">
        <v>72.77</v>
      </c>
      <c r="AB14" s="7">
        <f t="shared" si="13"/>
        <v>23.840201673610867</v>
      </c>
      <c r="AC14" s="7">
        <f t="shared" si="14"/>
        <v>6.9205721438324985E-2</v>
      </c>
      <c r="AD14" s="14">
        <f t="shared" si="2"/>
        <v>6.9205721438324987</v>
      </c>
      <c r="AE14" s="7"/>
      <c r="AF14" s="7"/>
      <c r="AG14" s="7"/>
      <c r="AH14" s="7" t="str">
        <f t="shared" si="15"/>
        <v/>
      </c>
      <c r="AI14" s="7" t="str">
        <f t="shared" si="16"/>
        <v/>
      </c>
      <c r="AJ14" s="14">
        <f t="shared" si="3"/>
        <v>0</v>
      </c>
      <c r="AK14" s="14">
        <f t="shared" si="17"/>
        <v>6.9205721438324987</v>
      </c>
      <c r="AL14" s="14">
        <f t="shared" si="18"/>
        <v>5.2760362719192893</v>
      </c>
      <c r="AM14" s="124">
        <f t="shared" si="4"/>
        <v>43.25822468076737</v>
      </c>
      <c r="AN14" s="40">
        <f t="shared" si="19"/>
        <v>56.741775319232644</v>
      </c>
      <c r="AO14" s="40">
        <f t="shared" si="20"/>
        <v>0</v>
      </c>
    </row>
    <row r="15" spans="2:41" x14ac:dyDescent="0.3">
      <c r="B15" s="186" t="s">
        <v>2</v>
      </c>
      <c r="C15" s="187">
        <v>4</v>
      </c>
      <c r="D15" s="7">
        <v>4.16</v>
      </c>
      <c r="E15" s="7">
        <v>244.9</v>
      </c>
      <c r="F15" s="7">
        <v>82.33</v>
      </c>
      <c r="G15" s="8">
        <f t="shared" si="5"/>
        <v>32.515566625155671</v>
      </c>
      <c r="H15" s="186">
        <v>1</v>
      </c>
      <c r="I15" s="7">
        <f t="shared" si="21"/>
        <v>0.55926774595267759</v>
      </c>
      <c r="J15" s="7">
        <f t="shared" si="6"/>
        <v>0.1035681011023477</v>
      </c>
      <c r="K15" s="7">
        <f t="shared" si="7"/>
        <v>10.356810110234768</v>
      </c>
      <c r="L15" s="187"/>
      <c r="M15" s="31" t="str">
        <f t="shared" si="8"/>
        <v/>
      </c>
      <c r="N15" s="31"/>
      <c r="O15" s="31"/>
      <c r="P15" s="31" t="str">
        <f t="shared" si="9"/>
        <v/>
      </c>
      <c r="Q15" s="31" t="str">
        <f t="shared" si="10"/>
        <v/>
      </c>
      <c r="R15" s="14">
        <f t="shared" si="0"/>
        <v>0</v>
      </c>
      <c r="S15" s="7">
        <v>249.2</v>
      </c>
      <c r="T15" s="7">
        <f>S15</f>
        <v>249.2</v>
      </c>
      <c r="U15" s="7">
        <v>56.73</v>
      </c>
      <c r="V15" s="7">
        <f t="shared" si="11"/>
        <v>21.286602322918373</v>
      </c>
      <c r="W15" s="7">
        <f t="shared" si="12"/>
        <v>5.3046212988712586E-2</v>
      </c>
      <c r="X15" s="14">
        <f t="shared" si="1"/>
        <v>5.3046212988712593</v>
      </c>
      <c r="Y15" s="7">
        <v>209.08</v>
      </c>
      <c r="Z15" s="7">
        <f>Y15</f>
        <v>209.08</v>
      </c>
      <c r="AA15" s="7">
        <v>52.7</v>
      </c>
      <c r="AB15" s="7">
        <f t="shared" si="13"/>
        <v>23.493150684931507</v>
      </c>
      <c r="AC15" s="7">
        <f t="shared" si="14"/>
        <v>4.9119479452054797E-2</v>
      </c>
      <c r="AD15" s="14">
        <f t="shared" si="2"/>
        <v>4.9119479452054797</v>
      </c>
      <c r="AE15" s="7"/>
      <c r="AF15" s="7"/>
      <c r="AG15" s="7"/>
      <c r="AH15" s="7" t="str">
        <f t="shared" si="15"/>
        <v/>
      </c>
      <c r="AI15" s="7" t="str">
        <f t="shared" si="16"/>
        <v/>
      </c>
      <c r="AJ15" s="14">
        <f t="shared" si="3"/>
        <v>0</v>
      </c>
      <c r="AK15" s="14">
        <f t="shared" si="17"/>
        <v>4.9119479452054797</v>
      </c>
      <c r="AL15" s="14">
        <f t="shared" si="18"/>
        <v>5.3046212988712593</v>
      </c>
      <c r="AM15" s="124">
        <f t="shared" si="4"/>
        <v>51.921747625277632</v>
      </c>
      <c r="AN15" s="40">
        <f t="shared" si="19"/>
        <v>48.078252374722361</v>
      </c>
      <c r="AO15" s="40">
        <f t="shared" si="20"/>
        <v>0</v>
      </c>
    </row>
    <row r="16" spans="2:41" x14ac:dyDescent="0.3">
      <c r="B16" s="186" t="s">
        <v>2</v>
      </c>
      <c r="C16" s="187">
        <v>5</v>
      </c>
      <c r="D16" s="7">
        <v>3.5</v>
      </c>
      <c r="E16" s="7">
        <v>176.76</v>
      </c>
      <c r="F16" s="7">
        <v>62.15</v>
      </c>
      <c r="G16" s="8">
        <f t="shared" si="5"/>
        <v>33.659411900902988</v>
      </c>
      <c r="H16" s="186">
        <v>1</v>
      </c>
      <c r="I16" s="7">
        <f t="shared" si="21"/>
        <v>0.35678976614957164</v>
      </c>
      <c r="J16" s="7">
        <f t="shared" si="6"/>
        <v>6.6072178916587343E-2</v>
      </c>
      <c r="K16" s="7">
        <f t="shared" si="7"/>
        <v>6.6072178916587347</v>
      </c>
      <c r="L16" s="187"/>
      <c r="M16" s="31" t="str">
        <f t="shared" si="8"/>
        <v/>
      </c>
      <c r="N16" s="31"/>
      <c r="O16" s="31"/>
      <c r="P16" s="31" t="str">
        <f t="shared" si="9"/>
        <v/>
      </c>
      <c r="Q16" s="31" t="str">
        <f t="shared" si="10"/>
        <v/>
      </c>
      <c r="R16" s="14">
        <f t="shared" si="0"/>
        <v>0</v>
      </c>
      <c r="S16" s="31"/>
      <c r="T16" s="31"/>
      <c r="U16" s="31"/>
      <c r="V16" s="31" t="str">
        <f t="shared" si="11"/>
        <v/>
      </c>
      <c r="W16" s="31" t="str">
        <f t="shared" si="12"/>
        <v/>
      </c>
      <c r="X16" s="14">
        <f t="shared" si="1"/>
        <v>0</v>
      </c>
      <c r="Y16" s="7">
        <v>344.67</v>
      </c>
      <c r="Z16" s="7">
        <v>209.36</v>
      </c>
      <c r="AA16" s="7">
        <v>67.77</v>
      </c>
      <c r="AB16" s="7">
        <f t="shared" si="13"/>
        <v>30.823724838772716</v>
      </c>
      <c r="AC16" s="7">
        <f t="shared" si="14"/>
        <v>0.10624013240179792</v>
      </c>
      <c r="AD16" s="14">
        <f t="shared" si="2"/>
        <v>10.62401324017979</v>
      </c>
      <c r="AE16" s="7"/>
      <c r="AF16" s="7"/>
      <c r="AG16" s="7"/>
      <c r="AH16" s="7" t="str">
        <f t="shared" si="15"/>
        <v/>
      </c>
      <c r="AI16" s="7" t="str">
        <f t="shared" si="16"/>
        <v/>
      </c>
      <c r="AJ16" s="14">
        <f t="shared" si="3"/>
        <v>0</v>
      </c>
      <c r="AK16" s="14">
        <f t="shared" si="17"/>
        <v>10.62401324017979</v>
      </c>
      <c r="AL16" s="14"/>
      <c r="AM16" s="124"/>
      <c r="AN16" s="40">
        <f t="shared" si="19"/>
        <v>100</v>
      </c>
      <c r="AO16" s="40">
        <f t="shared" si="20"/>
        <v>0</v>
      </c>
    </row>
    <row r="17" spans="2:41" x14ac:dyDescent="0.3">
      <c r="B17" s="186" t="s">
        <v>2</v>
      </c>
      <c r="C17" s="187">
        <v>6</v>
      </c>
      <c r="D17" s="7">
        <v>4.5199999999999996</v>
      </c>
      <c r="E17" s="7">
        <v>337.82</v>
      </c>
      <c r="F17" s="7">
        <v>95.2</v>
      </c>
      <c r="G17" s="8">
        <f t="shared" si="5"/>
        <v>27.320112635552096</v>
      </c>
      <c r="H17" s="186">
        <v>1</v>
      </c>
      <c r="I17" s="7">
        <f t="shared" si="21"/>
        <v>0.56825834281948351</v>
      </c>
      <c r="J17" s="7">
        <f t="shared" si="6"/>
        <v>0.10523302644805249</v>
      </c>
      <c r="K17" s="7">
        <f t="shared" si="7"/>
        <v>10.523302644805248</v>
      </c>
      <c r="L17" s="187"/>
      <c r="M17" s="7">
        <v>414.2</v>
      </c>
      <c r="N17" s="7">
        <v>239.22</v>
      </c>
      <c r="O17" s="7">
        <v>56.9</v>
      </c>
      <c r="P17" s="7">
        <f t="shared" si="9"/>
        <v>22.264858872686961</v>
      </c>
      <c r="Q17" s="7">
        <f t="shared" si="10"/>
        <v>9.2221045450669378E-2</v>
      </c>
      <c r="R17" s="14">
        <f>IF(N17&gt;0,Q17*10000/100,0)</f>
        <v>9.2221045450669372</v>
      </c>
      <c r="S17" s="7">
        <v>127.52</v>
      </c>
      <c r="T17" s="7">
        <f t="shared" ref="T17:T19" si="22">S17</f>
        <v>127.52</v>
      </c>
      <c r="U17" s="7">
        <v>37.799999999999997</v>
      </c>
      <c r="V17" s="7">
        <f t="shared" si="11"/>
        <v>26.961901660696842</v>
      </c>
      <c r="W17" s="7">
        <f t="shared" si="12"/>
        <v>3.438181699772061E-2</v>
      </c>
      <c r="X17" s="14">
        <f>IF(T17&gt;0,W17*10000/100,0)</f>
        <v>3.4381816997720609</v>
      </c>
      <c r="Y17" s="31"/>
      <c r="Z17" s="31"/>
      <c r="AA17" s="31"/>
      <c r="AB17" s="31" t="str">
        <f t="shared" si="13"/>
        <v/>
      </c>
      <c r="AC17" s="31" t="str">
        <f t="shared" si="14"/>
        <v/>
      </c>
      <c r="AD17" s="14">
        <f>IF(Z17&gt;0,AC17*10000/100,0)</f>
        <v>0</v>
      </c>
      <c r="AE17" s="7"/>
      <c r="AF17" s="7"/>
      <c r="AG17" s="7"/>
      <c r="AH17" s="7" t="str">
        <f t="shared" si="15"/>
        <v/>
      </c>
      <c r="AI17" s="7" t="str">
        <f t="shared" si="16"/>
        <v/>
      </c>
      <c r="AJ17" s="14">
        <f t="shared" si="3"/>
        <v>0</v>
      </c>
      <c r="AK17" s="14">
        <f t="shared" si="17"/>
        <v>9.2221045450669372</v>
      </c>
      <c r="AL17" s="14">
        <f t="shared" si="18"/>
        <v>3.4381816997720609</v>
      </c>
      <c r="AM17" s="124">
        <f t="shared" si="4"/>
        <v>27.157219302001529</v>
      </c>
      <c r="AN17" s="40">
        <f t="shared" si="19"/>
        <v>72.842780697998478</v>
      </c>
      <c r="AO17" s="40">
        <f t="shared" si="20"/>
        <v>0</v>
      </c>
    </row>
    <row r="18" spans="2:41" x14ac:dyDescent="0.3">
      <c r="B18" s="186" t="s">
        <v>2</v>
      </c>
      <c r="C18" s="187">
        <v>7</v>
      </c>
      <c r="D18" s="7">
        <v>5.48</v>
      </c>
      <c r="E18" s="7">
        <v>317.75</v>
      </c>
      <c r="F18" s="7">
        <v>86.47</v>
      </c>
      <c r="G18" s="8">
        <f t="shared" si="5"/>
        <v>26.285258964143427</v>
      </c>
      <c r="H18" s="186">
        <v>1</v>
      </c>
      <c r="I18" s="7">
        <f t="shared" si="21"/>
        <v>0.79907187250996026</v>
      </c>
      <c r="J18" s="7">
        <f t="shared" si="6"/>
        <v>0.14797627268702968</v>
      </c>
      <c r="K18" s="7">
        <f t="shared" si="7"/>
        <v>14.797627268702968</v>
      </c>
      <c r="L18" s="187"/>
      <c r="M18" s="7">
        <v>533.35</v>
      </c>
      <c r="N18" s="7">
        <v>253.23</v>
      </c>
      <c r="O18" s="7">
        <v>55.74</v>
      </c>
      <c r="P18" s="7">
        <f t="shared" si="9"/>
        <v>20.54315027157514</v>
      </c>
      <c r="Q18" s="7">
        <f t="shared" si="10"/>
        <v>0.109566891973446</v>
      </c>
      <c r="R18" s="14">
        <f t="shared" ref="R18:R47" si="23">IF(N18&gt;0,Q18*10000/100,0)</f>
        <v>10.956689197344602</v>
      </c>
      <c r="S18" s="7">
        <v>112.97</v>
      </c>
      <c r="T18" s="7">
        <f t="shared" si="22"/>
        <v>112.97</v>
      </c>
      <c r="U18" s="7">
        <v>33.89</v>
      </c>
      <c r="V18" s="7">
        <f t="shared" si="11"/>
        <v>26.973866469664792</v>
      </c>
      <c r="W18" s="7">
        <f t="shared" si="12"/>
        <v>3.0472376950780315E-2</v>
      </c>
      <c r="X18" s="14">
        <f t="shared" ref="X18:X47" si="24">IF(T18&gt;0,W18*10000/100,0)</f>
        <v>3.0472376950780311</v>
      </c>
      <c r="Y18" s="31"/>
      <c r="Z18" s="31"/>
      <c r="AA18" s="31"/>
      <c r="AB18" s="31" t="str">
        <f t="shared" si="13"/>
        <v/>
      </c>
      <c r="AC18" s="31" t="str">
        <f t="shared" si="14"/>
        <v/>
      </c>
      <c r="AD18" s="14">
        <f t="shared" ref="AD18:AD47" si="25">IF(Z18&gt;0,AC18*10000/100,0)</f>
        <v>0</v>
      </c>
      <c r="AE18" s="7"/>
      <c r="AF18" s="7"/>
      <c r="AG18" s="7"/>
      <c r="AH18" s="7" t="str">
        <f t="shared" si="15"/>
        <v/>
      </c>
      <c r="AI18" s="7" t="str">
        <f t="shared" si="16"/>
        <v/>
      </c>
      <c r="AJ18" s="14">
        <f t="shared" si="3"/>
        <v>0</v>
      </c>
      <c r="AK18" s="14">
        <f t="shared" si="17"/>
        <v>10.956689197344602</v>
      </c>
      <c r="AL18" s="14">
        <f t="shared" si="18"/>
        <v>3.0472376950780311</v>
      </c>
      <c r="AM18" s="124">
        <f t="shared" si="4"/>
        <v>21.759880057120672</v>
      </c>
      <c r="AN18" s="40">
        <f t="shared" si="19"/>
        <v>78.240119942879332</v>
      </c>
      <c r="AO18" s="40">
        <f t="shared" si="20"/>
        <v>0</v>
      </c>
    </row>
    <row r="19" spans="2:41" x14ac:dyDescent="0.3">
      <c r="B19" s="186" t="s">
        <v>2</v>
      </c>
      <c r="C19" s="187">
        <v>8</v>
      </c>
      <c r="D19" s="7">
        <v>4.24</v>
      </c>
      <c r="E19" s="7">
        <v>279.42</v>
      </c>
      <c r="F19" s="7">
        <v>78.7</v>
      </c>
      <c r="G19" s="8">
        <f t="shared" si="5"/>
        <v>27.12221334688839</v>
      </c>
      <c r="H19" s="186">
        <v>1</v>
      </c>
      <c r="I19" s="7">
        <f t="shared" si="21"/>
        <v>0.4881998402439911</v>
      </c>
      <c r="J19" s="7">
        <f t="shared" si="6"/>
        <v>9.0407377822961307E-2</v>
      </c>
      <c r="K19" s="7">
        <f t="shared" si="7"/>
        <v>9.0407377822961301</v>
      </c>
      <c r="L19" s="187"/>
      <c r="M19" s="7">
        <v>609.72</v>
      </c>
      <c r="N19" s="7">
        <v>286.31</v>
      </c>
      <c r="O19" s="7">
        <v>77.86</v>
      </c>
      <c r="P19" s="7">
        <f t="shared" si="9"/>
        <v>25.984447679579592</v>
      </c>
      <c r="Q19" s="7">
        <f t="shared" si="10"/>
        <v>0.1584323743919327</v>
      </c>
      <c r="R19" s="14">
        <f t="shared" si="23"/>
        <v>15.843237439193269</v>
      </c>
      <c r="S19" s="7"/>
      <c r="T19" s="7">
        <f t="shared" si="22"/>
        <v>0</v>
      </c>
      <c r="U19" s="7"/>
      <c r="V19" s="7" t="str">
        <f t="shared" si="11"/>
        <v/>
      </c>
      <c r="W19" s="7" t="str">
        <f t="shared" si="12"/>
        <v/>
      </c>
      <c r="X19" s="14">
        <f t="shared" si="24"/>
        <v>0</v>
      </c>
      <c r="Y19" s="31"/>
      <c r="Z19" s="31"/>
      <c r="AA19" s="31"/>
      <c r="AB19" s="31" t="str">
        <f t="shared" si="13"/>
        <v/>
      </c>
      <c r="AC19" s="31" t="str">
        <f t="shared" si="14"/>
        <v/>
      </c>
      <c r="AD19" s="14">
        <f t="shared" si="25"/>
        <v>0</v>
      </c>
      <c r="AE19" s="7"/>
      <c r="AF19" s="7"/>
      <c r="AG19" s="7"/>
      <c r="AH19" s="7" t="str">
        <f t="shared" si="15"/>
        <v/>
      </c>
      <c r="AI19" s="7" t="str">
        <f t="shared" si="16"/>
        <v/>
      </c>
      <c r="AJ19" s="14">
        <f t="shared" si="3"/>
        <v>0</v>
      </c>
      <c r="AK19" s="14">
        <f t="shared" si="17"/>
        <v>15.843237439193269</v>
      </c>
      <c r="AL19" s="14">
        <f t="shared" si="18"/>
        <v>0</v>
      </c>
      <c r="AM19" s="124">
        <f t="shared" si="4"/>
        <v>0</v>
      </c>
      <c r="AN19" s="40">
        <f t="shared" si="19"/>
        <v>100</v>
      </c>
      <c r="AO19" s="40">
        <f t="shared" si="20"/>
        <v>0</v>
      </c>
    </row>
    <row r="20" spans="2:41" x14ac:dyDescent="0.3">
      <c r="B20" s="16" t="s">
        <v>2</v>
      </c>
      <c r="C20" s="17">
        <v>9</v>
      </c>
      <c r="D20" s="18">
        <v>3.14</v>
      </c>
      <c r="E20" s="18">
        <v>195.05</v>
      </c>
      <c r="F20" s="18">
        <v>61.55</v>
      </c>
      <c r="G20" s="19">
        <f t="shared" si="5"/>
        <v>30.123004449097092</v>
      </c>
      <c r="H20" s="186">
        <v>1</v>
      </c>
      <c r="I20" s="18">
        <f t="shared" si="21"/>
        <v>0.21086103114367968</v>
      </c>
      <c r="J20" s="18">
        <f t="shared" si="6"/>
        <v>3.9048339100681423E-2</v>
      </c>
      <c r="K20" s="18">
        <f t="shared" si="7"/>
        <v>3.9048339100681422</v>
      </c>
      <c r="L20" s="17"/>
      <c r="M20" s="18">
        <v>574.4</v>
      </c>
      <c r="N20" s="18">
        <v>194.97</v>
      </c>
      <c r="O20" s="18">
        <v>52.19</v>
      </c>
      <c r="P20" s="18">
        <f t="shared" si="9"/>
        <v>24.967155394398024</v>
      </c>
      <c r="Q20" s="18">
        <f t="shared" si="10"/>
        <v>0.14341134058542224</v>
      </c>
      <c r="R20" s="14">
        <f t="shared" si="23"/>
        <v>14.341134058542222</v>
      </c>
      <c r="S20" s="33"/>
      <c r="T20" s="33"/>
      <c r="U20" s="33"/>
      <c r="V20" s="33" t="str">
        <f t="shared" si="11"/>
        <v/>
      </c>
      <c r="W20" s="33" t="str">
        <f t="shared" si="12"/>
        <v/>
      </c>
      <c r="X20" s="14">
        <f t="shared" si="24"/>
        <v>0</v>
      </c>
      <c r="Y20" s="33"/>
      <c r="Z20" s="33"/>
      <c r="AA20" s="33"/>
      <c r="AB20" s="33" t="str">
        <f t="shared" si="13"/>
        <v/>
      </c>
      <c r="AC20" s="33" t="str">
        <f t="shared" si="14"/>
        <v/>
      </c>
      <c r="AD20" s="14">
        <f t="shared" si="25"/>
        <v>0</v>
      </c>
      <c r="AE20" s="18"/>
      <c r="AF20" s="18"/>
      <c r="AG20" s="18"/>
      <c r="AH20" s="18" t="str">
        <f t="shared" si="15"/>
        <v/>
      </c>
      <c r="AI20" s="18" t="str">
        <f t="shared" si="16"/>
        <v/>
      </c>
      <c r="AJ20" s="14">
        <f t="shared" si="3"/>
        <v>0</v>
      </c>
      <c r="AK20" s="14">
        <f t="shared" si="17"/>
        <v>14.341134058542222</v>
      </c>
      <c r="AL20" s="14"/>
      <c r="AM20" s="124"/>
      <c r="AN20" s="40">
        <f t="shared" si="19"/>
        <v>100</v>
      </c>
      <c r="AO20" s="40">
        <f t="shared" si="20"/>
        <v>0</v>
      </c>
    </row>
    <row r="21" spans="2:41" x14ac:dyDescent="0.3">
      <c r="B21" s="186" t="s">
        <v>9</v>
      </c>
      <c r="C21" s="187">
        <v>1</v>
      </c>
      <c r="D21" s="7">
        <v>7.34</v>
      </c>
      <c r="E21" s="7">
        <v>378.64</v>
      </c>
      <c r="F21" s="7">
        <v>77.97</v>
      </c>
      <c r="G21" s="8">
        <f t="shared" si="5"/>
        <v>19.744287849669014</v>
      </c>
      <c r="H21" s="186">
        <v>1</v>
      </c>
      <c r="I21" s="7">
        <f t="shared" si="21"/>
        <v>0.9674701046337818</v>
      </c>
      <c r="J21" s="7">
        <f t="shared" si="6"/>
        <v>0.17916113048773735</v>
      </c>
      <c r="K21" s="7">
        <f t="shared" si="7"/>
        <v>17.916113048773735</v>
      </c>
      <c r="L21" s="187"/>
      <c r="M21" s="31"/>
      <c r="N21" s="31"/>
      <c r="O21" s="31"/>
      <c r="P21" s="31" t="str">
        <f t="shared" si="9"/>
        <v/>
      </c>
      <c r="Q21" s="31" t="str">
        <f t="shared" si="10"/>
        <v/>
      </c>
      <c r="R21" s="14">
        <f t="shared" si="23"/>
        <v>0</v>
      </c>
      <c r="S21" s="7">
        <v>865.63</v>
      </c>
      <c r="T21" s="7">
        <v>341.62</v>
      </c>
      <c r="U21" s="7">
        <v>76.400000000000006</v>
      </c>
      <c r="V21" s="7">
        <f t="shared" si="11"/>
        <v>21.285688846678934</v>
      </c>
      <c r="W21" s="7">
        <f t="shared" si="12"/>
        <v>0.18425530836350681</v>
      </c>
      <c r="X21" s="14">
        <f t="shared" si="24"/>
        <v>18.425530836350681</v>
      </c>
      <c r="Y21" s="31"/>
      <c r="Z21" s="31"/>
      <c r="AA21" s="31"/>
      <c r="AB21" s="31" t="str">
        <f t="shared" si="13"/>
        <v/>
      </c>
      <c r="AC21" s="31" t="str">
        <f t="shared" si="14"/>
        <v/>
      </c>
      <c r="AD21" s="14">
        <f t="shared" si="25"/>
        <v>0</v>
      </c>
      <c r="AE21" s="7"/>
      <c r="AF21" s="7"/>
      <c r="AG21" s="7"/>
      <c r="AH21" s="7" t="str">
        <f t="shared" si="15"/>
        <v/>
      </c>
      <c r="AI21" s="7" t="str">
        <f t="shared" si="16"/>
        <v/>
      </c>
      <c r="AJ21" s="14">
        <f t="shared" si="3"/>
        <v>0</v>
      </c>
      <c r="AK21" s="14"/>
      <c r="AL21" s="14">
        <f t="shared" si="18"/>
        <v>18.425530836350681</v>
      </c>
      <c r="AM21" s="124">
        <f t="shared" si="4"/>
        <v>100</v>
      </c>
      <c r="AN21" s="40" t="str">
        <f t="shared" si="19"/>
        <v/>
      </c>
      <c r="AO21" s="40">
        <f t="shared" si="20"/>
        <v>0</v>
      </c>
    </row>
    <row r="22" spans="2:41" x14ac:dyDescent="0.3">
      <c r="B22" s="186" t="s">
        <v>9</v>
      </c>
      <c r="C22" s="187">
        <v>2</v>
      </c>
      <c r="D22" s="7">
        <v>6.84</v>
      </c>
      <c r="E22" s="7">
        <v>313.97000000000003</v>
      </c>
      <c r="F22" s="7">
        <v>68.87</v>
      </c>
      <c r="G22" s="8">
        <f t="shared" si="5"/>
        <v>20.927831725650869</v>
      </c>
      <c r="H22" s="186">
        <v>1</v>
      </c>
      <c r="I22" s="7">
        <f t="shared" si="21"/>
        <v>0.9208245959286383</v>
      </c>
      <c r="J22" s="7">
        <f t="shared" si="6"/>
        <v>0.17052307332011818</v>
      </c>
      <c r="K22" s="7">
        <f t="shared" si="7"/>
        <v>17.052307332011818</v>
      </c>
      <c r="L22" s="187"/>
      <c r="M22" s="31"/>
      <c r="N22" s="31"/>
      <c r="O22" s="31"/>
      <c r="P22" s="31" t="str">
        <f t="shared" si="9"/>
        <v/>
      </c>
      <c r="Q22" s="31" t="str">
        <f t="shared" si="10"/>
        <v/>
      </c>
      <c r="R22" s="14">
        <f t="shared" si="23"/>
        <v>0</v>
      </c>
      <c r="S22" s="7">
        <v>381.85</v>
      </c>
      <c r="T22" s="7">
        <v>233.99</v>
      </c>
      <c r="U22" s="7">
        <v>51.08</v>
      </c>
      <c r="V22" s="7">
        <f t="shared" si="11"/>
        <v>20.234616894160741</v>
      </c>
      <c r="W22" s="7">
        <f t="shared" si="12"/>
        <v>7.7265884610352789E-2</v>
      </c>
      <c r="X22" s="14">
        <f t="shared" si="24"/>
        <v>7.7265884610352797</v>
      </c>
      <c r="Y22" s="7">
        <v>241.74</v>
      </c>
      <c r="Z22" s="7">
        <f>Y22</f>
        <v>241.74</v>
      </c>
      <c r="AA22" s="7">
        <v>63.6</v>
      </c>
      <c r="AB22" s="7">
        <f t="shared" si="13"/>
        <v>24.854467223487724</v>
      </c>
      <c r="AC22" s="7">
        <f t="shared" si="14"/>
        <v>6.008318906605923E-2</v>
      </c>
      <c r="AD22" s="14">
        <f t="shared" si="25"/>
        <v>6.0083189066059228</v>
      </c>
      <c r="AE22" s="7"/>
      <c r="AF22" s="7"/>
      <c r="AG22" s="7"/>
      <c r="AH22" s="7" t="str">
        <f t="shared" si="15"/>
        <v/>
      </c>
      <c r="AI22" s="7" t="str">
        <f t="shared" si="16"/>
        <v/>
      </c>
      <c r="AJ22" s="14">
        <f t="shared" si="3"/>
        <v>0</v>
      </c>
      <c r="AK22" s="14">
        <f t="shared" si="17"/>
        <v>6.0083189066059228</v>
      </c>
      <c r="AL22" s="14">
        <f t="shared" si="18"/>
        <v>7.7265884610352797</v>
      </c>
      <c r="AM22" s="124">
        <f t="shared" si="4"/>
        <v>56.25511883129812</v>
      </c>
      <c r="AN22" s="40">
        <f t="shared" si="19"/>
        <v>43.744881168701873</v>
      </c>
      <c r="AO22" s="40">
        <f t="shared" si="20"/>
        <v>0</v>
      </c>
    </row>
    <row r="23" spans="2:41" x14ac:dyDescent="0.3">
      <c r="B23" s="186" t="s">
        <v>9</v>
      </c>
      <c r="C23" s="187">
        <v>3</v>
      </c>
      <c r="D23" s="7">
        <v>4.2</v>
      </c>
      <c r="E23" s="7"/>
      <c r="F23" s="7"/>
      <c r="G23" s="8">
        <f>AVERAGE(G14,G32,G41)</f>
        <v>29.733773889252934</v>
      </c>
      <c r="H23" s="186">
        <v>1</v>
      </c>
      <c r="I23" s="7">
        <f>(D23-$E$5)*(G23/100)</f>
        <v>0.52331442045085175</v>
      </c>
      <c r="J23" s="7">
        <f>I23/($E$7*H23)</f>
        <v>9.6910077861268831E-2</v>
      </c>
      <c r="K23" s="7">
        <f>J23*10000/100</f>
        <v>9.6910077861268817</v>
      </c>
      <c r="L23" s="187"/>
      <c r="M23" s="31"/>
      <c r="N23" s="31"/>
      <c r="O23" s="31"/>
      <c r="P23" s="31" t="str">
        <f t="shared" si="9"/>
        <v/>
      </c>
      <c r="Q23" s="31" t="str">
        <f t="shared" si="10"/>
        <v/>
      </c>
      <c r="R23" s="14">
        <f t="shared" si="23"/>
        <v>0</v>
      </c>
      <c r="S23" s="7">
        <v>164.74</v>
      </c>
      <c r="T23" s="7">
        <f>S23</f>
        <v>164.74</v>
      </c>
      <c r="U23" s="7">
        <v>43.86</v>
      </c>
      <c r="V23" s="7">
        <f t="shared" si="11"/>
        <v>24.478320629763839</v>
      </c>
      <c r="W23" s="7">
        <f t="shared" si="12"/>
        <v>4.0325585405472951E-2</v>
      </c>
      <c r="X23" s="14">
        <f t="shared" si="24"/>
        <v>4.0325585405472957</v>
      </c>
      <c r="Y23" s="7">
        <v>390.99</v>
      </c>
      <c r="Z23" s="7">
        <v>247.77</v>
      </c>
      <c r="AA23" s="7">
        <v>70</v>
      </c>
      <c r="AB23" s="7">
        <f t="shared" si="13"/>
        <v>26.870706322761112</v>
      </c>
      <c r="AC23" s="7">
        <f t="shared" si="14"/>
        <v>0.10506177465136368</v>
      </c>
      <c r="AD23" s="14">
        <f t="shared" si="25"/>
        <v>10.506177465136368</v>
      </c>
      <c r="AE23" s="7"/>
      <c r="AF23" s="7"/>
      <c r="AG23" s="7"/>
      <c r="AH23" s="7" t="str">
        <f t="shared" si="15"/>
        <v/>
      </c>
      <c r="AI23" s="7" t="str">
        <f t="shared" si="16"/>
        <v/>
      </c>
      <c r="AJ23" s="14">
        <f t="shared" si="3"/>
        <v>0</v>
      </c>
      <c r="AK23" s="14">
        <f t="shared" si="17"/>
        <v>10.506177465136368</v>
      </c>
      <c r="AL23" s="14">
        <f t="shared" si="18"/>
        <v>4.0325585405472957</v>
      </c>
      <c r="AM23" s="124">
        <f t="shared" si="4"/>
        <v>27.736651514759174</v>
      </c>
      <c r="AN23" s="40">
        <f t="shared" si="19"/>
        <v>72.263348485240826</v>
      </c>
      <c r="AO23" s="40">
        <f t="shared" si="20"/>
        <v>0</v>
      </c>
    </row>
    <row r="24" spans="2:41" x14ac:dyDescent="0.3">
      <c r="B24" s="186" t="s">
        <v>9</v>
      </c>
      <c r="C24" s="187">
        <v>4</v>
      </c>
      <c r="D24" s="7">
        <v>5.48</v>
      </c>
      <c r="E24" s="7">
        <v>290.58</v>
      </c>
      <c r="F24" s="7">
        <v>75.12</v>
      </c>
      <c r="G24" s="8">
        <f t="shared" si="5"/>
        <v>24.816805080605768</v>
      </c>
      <c r="H24" s="186">
        <v>1</v>
      </c>
      <c r="I24" s="7">
        <f t="shared" si="21"/>
        <v>0.75443087445041546</v>
      </c>
      <c r="J24" s="7">
        <f t="shared" si="6"/>
        <v>0.13970942119452137</v>
      </c>
      <c r="K24" s="7">
        <f t="shared" si="7"/>
        <v>13.970942119452138</v>
      </c>
      <c r="L24" s="187"/>
      <c r="M24" s="31"/>
      <c r="N24" s="31"/>
      <c r="O24" s="31"/>
      <c r="P24" s="31" t="str">
        <f t="shared" si="9"/>
        <v/>
      </c>
      <c r="Q24" s="31" t="str">
        <f t="shared" si="10"/>
        <v/>
      </c>
      <c r="R24" s="14">
        <f t="shared" si="23"/>
        <v>0</v>
      </c>
      <c r="S24" s="7">
        <v>344.13</v>
      </c>
      <c r="T24" s="7">
        <v>187.55</v>
      </c>
      <c r="U24" s="7">
        <v>42.44</v>
      </c>
      <c r="V24" s="7">
        <f t="shared" si="11"/>
        <v>20.648548148958273</v>
      </c>
      <c r="W24" s="7">
        <f t="shared" si="12"/>
        <v>7.1057848745010102E-2</v>
      </c>
      <c r="X24" s="14">
        <f t="shared" si="24"/>
        <v>7.1057848745010093</v>
      </c>
      <c r="Y24" s="7">
        <v>228.03</v>
      </c>
      <c r="Z24" s="7">
        <f t="shared" ref="Z24:Z25" si="26">Y24</f>
        <v>228.03</v>
      </c>
      <c r="AA24" s="7">
        <v>63.13</v>
      </c>
      <c r="AB24" s="7">
        <f t="shared" si="13"/>
        <v>26.169688829191852</v>
      </c>
      <c r="AC24" s="7">
        <f t="shared" si="14"/>
        <v>5.9674741437206177E-2</v>
      </c>
      <c r="AD24" s="14">
        <f t="shared" si="25"/>
        <v>5.9674741437206187</v>
      </c>
      <c r="AE24" s="7"/>
      <c r="AF24" s="7"/>
      <c r="AG24" s="7"/>
      <c r="AH24" s="7" t="str">
        <f t="shared" si="15"/>
        <v/>
      </c>
      <c r="AI24" s="7" t="str">
        <f t="shared" si="16"/>
        <v/>
      </c>
      <c r="AJ24" s="14">
        <f t="shared" si="3"/>
        <v>0</v>
      </c>
      <c r="AK24" s="14">
        <f t="shared" si="17"/>
        <v>5.9674741437206187</v>
      </c>
      <c r="AL24" s="14">
        <f t="shared" si="18"/>
        <v>7.1057848745010093</v>
      </c>
      <c r="AM24" s="124">
        <f t="shared" si="4"/>
        <v>54.353584401539834</v>
      </c>
      <c r="AN24" s="40">
        <f t="shared" si="19"/>
        <v>45.64641559846018</v>
      </c>
      <c r="AO24" s="40">
        <f t="shared" si="20"/>
        <v>0</v>
      </c>
    </row>
    <row r="25" spans="2:41" x14ac:dyDescent="0.3">
      <c r="B25" s="186" t="s">
        <v>9</v>
      </c>
      <c r="C25" s="187">
        <v>5</v>
      </c>
      <c r="D25" s="7">
        <v>3.58</v>
      </c>
      <c r="E25" s="7">
        <v>229.83</v>
      </c>
      <c r="F25" s="7">
        <v>93.33</v>
      </c>
      <c r="G25" s="8">
        <f t="shared" si="5"/>
        <v>39.556303414072531</v>
      </c>
      <c r="H25" s="186">
        <v>1</v>
      </c>
      <c r="I25" s="7">
        <f t="shared" si="21"/>
        <v>0.45094185892042687</v>
      </c>
      <c r="J25" s="7">
        <f t="shared" si="6"/>
        <v>8.3507751651930903E-2</v>
      </c>
      <c r="K25" s="7">
        <f t="shared" si="7"/>
        <v>8.3507751651930899</v>
      </c>
      <c r="L25" s="187"/>
      <c r="M25" s="31"/>
      <c r="N25" s="31"/>
      <c r="O25" s="31"/>
      <c r="P25" s="31" t="str">
        <f t="shared" si="9"/>
        <v/>
      </c>
      <c r="Q25" s="31" t="str">
        <f t="shared" si="10"/>
        <v/>
      </c>
      <c r="R25" s="14">
        <f t="shared" si="23"/>
        <v>0</v>
      </c>
      <c r="S25" s="31"/>
      <c r="T25" s="31"/>
      <c r="U25" s="31"/>
      <c r="V25" s="31" t="str">
        <f t="shared" si="11"/>
        <v/>
      </c>
      <c r="W25" s="31" t="str">
        <f t="shared" si="12"/>
        <v/>
      </c>
      <c r="X25" s="14">
        <f t="shared" si="24"/>
        <v>0</v>
      </c>
      <c r="Y25" s="7">
        <v>208.88</v>
      </c>
      <c r="Z25" s="7">
        <f t="shared" si="26"/>
        <v>208.88</v>
      </c>
      <c r="AA25" s="7">
        <v>82.9</v>
      </c>
      <c r="AB25" s="7">
        <f t="shared" si="13"/>
        <v>38.305582761998039</v>
      </c>
      <c r="AC25" s="7">
        <f t="shared" si="14"/>
        <v>8.0012701273261516E-2</v>
      </c>
      <c r="AD25" s="14">
        <f t="shared" si="25"/>
        <v>8.0012701273261513</v>
      </c>
      <c r="AE25" s="7"/>
      <c r="AF25" s="7"/>
      <c r="AG25" s="7"/>
      <c r="AH25" s="7" t="str">
        <f t="shared" si="15"/>
        <v/>
      </c>
      <c r="AI25" s="7" t="str">
        <f t="shared" si="16"/>
        <v/>
      </c>
      <c r="AJ25" s="14">
        <f t="shared" si="3"/>
        <v>0</v>
      </c>
      <c r="AK25" s="14">
        <f t="shared" si="17"/>
        <v>8.0012701273261513</v>
      </c>
      <c r="AL25" s="14"/>
      <c r="AM25" s="124"/>
      <c r="AN25" s="40">
        <f t="shared" si="19"/>
        <v>100</v>
      </c>
      <c r="AO25" s="40">
        <f t="shared" si="20"/>
        <v>0</v>
      </c>
    </row>
    <row r="26" spans="2:41" x14ac:dyDescent="0.3">
      <c r="B26" s="186" t="s">
        <v>9</v>
      </c>
      <c r="C26" s="187">
        <v>6</v>
      </c>
      <c r="D26" s="7">
        <v>5.18</v>
      </c>
      <c r="E26" s="7">
        <v>246.6</v>
      </c>
      <c r="F26" s="7">
        <v>64.099999999999994</v>
      </c>
      <c r="G26" s="8">
        <f t="shared" si="5"/>
        <v>24.773289365210221</v>
      </c>
      <c r="H26" s="186">
        <v>1</v>
      </c>
      <c r="I26" s="7">
        <f t="shared" si="21"/>
        <v>0.67878812860675997</v>
      </c>
      <c r="J26" s="7">
        <f t="shared" si="6"/>
        <v>0.12570150529754814</v>
      </c>
      <c r="K26" s="7">
        <f t="shared" si="7"/>
        <v>12.570150529754814</v>
      </c>
      <c r="L26" s="187"/>
      <c r="M26" s="7">
        <v>269.99</v>
      </c>
      <c r="N26" s="7">
        <f>M26</f>
        <v>269.99</v>
      </c>
      <c r="O26" s="7">
        <v>66.83</v>
      </c>
      <c r="P26" s="7">
        <f t="shared" si="9"/>
        <v>23.425426859145905</v>
      </c>
      <c r="Q26" s="7">
        <f t="shared" si="10"/>
        <v>6.3246309977008031E-2</v>
      </c>
      <c r="R26" s="14">
        <f t="shared" si="23"/>
        <v>6.3246309977008037</v>
      </c>
      <c r="S26" s="7">
        <v>202.71</v>
      </c>
      <c r="T26" s="7">
        <f t="shared" ref="T26:T27" si="27">S26</f>
        <v>202.71</v>
      </c>
      <c r="U26" s="7">
        <v>56.59</v>
      </c>
      <c r="V26" s="7">
        <f t="shared" si="11"/>
        <v>26.213200020198961</v>
      </c>
      <c r="W26" s="7">
        <f t="shared" si="12"/>
        <v>5.3136777760945324E-2</v>
      </c>
      <c r="X26" s="14">
        <f t="shared" si="24"/>
        <v>5.3136777760945328</v>
      </c>
      <c r="Y26" s="31"/>
      <c r="Z26" s="31"/>
      <c r="AA26" s="31"/>
      <c r="AB26" s="31" t="str">
        <f t="shared" si="13"/>
        <v/>
      </c>
      <c r="AC26" s="31" t="str">
        <f t="shared" si="14"/>
        <v/>
      </c>
      <c r="AD26" s="14">
        <f t="shared" si="25"/>
        <v>0</v>
      </c>
      <c r="AE26" s="7"/>
      <c r="AF26" s="7"/>
      <c r="AG26" s="7"/>
      <c r="AH26" s="7" t="str">
        <f t="shared" si="15"/>
        <v/>
      </c>
      <c r="AI26" s="7" t="str">
        <f t="shared" si="16"/>
        <v/>
      </c>
      <c r="AJ26" s="14">
        <f t="shared" si="3"/>
        <v>0</v>
      </c>
      <c r="AK26" s="14">
        <f t="shared" si="17"/>
        <v>6.3246309977008037</v>
      </c>
      <c r="AL26" s="14">
        <f t="shared" si="18"/>
        <v>5.3136777760945328</v>
      </c>
      <c r="AM26" s="124">
        <f t="shared" si="4"/>
        <v>45.656786388575114</v>
      </c>
      <c r="AN26" s="40">
        <f t="shared" si="19"/>
        <v>54.343213611424879</v>
      </c>
      <c r="AO26" s="40">
        <f t="shared" si="20"/>
        <v>0</v>
      </c>
    </row>
    <row r="27" spans="2:41" x14ac:dyDescent="0.3">
      <c r="B27" s="186" t="s">
        <v>9</v>
      </c>
      <c r="C27" s="187">
        <v>7</v>
      </c>
      <c r="D27" s="7">
        <v>4.88</v>
      </c>
      <c r="E27" s="7">
        <v>279.3</v>
      </c>
      <c r="F27" s="7">
        <v>76.56</v>
      </c>
      <c r="G27" s="8">
        <f t="shared" si="5"/>
        <v>26.356701779876495</v>
      </c>
      <c r="H27" s="186">
        <v>1</v>
      </c>
      <c r="I27" s="7">
        <f t="shared" si="21"/>
        <v>0.64310352342898647</v>
      </c>
      <c r="J27" s="7">
        <f t="shared" si="6"/>
        <v>0.11909324507944193</v>
      </c>
      <c r="K27" s="7">
        <f t="shared" si="7"/>
        <v>11.909324507944193</v>
      </c>
      <c r="L27" s="187"/>
      <c r="M27" s="7">
        <v>277.47000000000003</v>
      </c>
      <c r="N27" s="7">
        <f>M27</f>
        <v>277.47000000000003</v>
      </c>
      <c r="O27" s="7">
        <v>63.95</v>
      </c>
      <c r="P27" s="7">
        <f t="shared" si="9"/>
        <v>21.72733604604274</v>
      </c>
      <c r="Q27" s="7">
        <f t="shared" si="10"/>
        <v>6.0286839326954798E-2</v>
      </c>
      <c r="R27" s="14">
        <f t="shared" si="23"/>
        <v>6.0286839326954791</v>
      </c>
      <c r="S27" s="7">
        <v>236.84</v>
      </c>
      <c r="T27" s="7">
        <f t="shared" si="27"/>
        <v>236.84</v>
      </c>
      <c r="U27" s="7">
        <v>59.83</v>
      </c>
      <c r="V27" s="7">
        <f t="shared" si="11"/>
        <v>23.755168849069609</v>
      </c>
      <c r="W27" s="7">
        <f t="shared" si="12"/>
        <v>5.626174190213646E-2</v>
      </c>
      <c r="X27" s="14">
        <f t="shared" si="24"/>
        <v>5.6261741902136464</v>
      </c>
      <c r="Y27" s="31"/>
      <c r="Z27" s="31"/>
      <c r="AA27" s="31"/>
      <c r="AB27" s="31" t="str">
        <f t="shared" si="13"/>
        <v/>
      </c>
      <c r="AC27" s="31" t="str">
        <f t="shared" si="14"/>
        <v/>
      </c>
      <c r="AD27" s="14">
        <f t="shared" si="25"/>
        <v>0</v>
      </c>
      <c r="AE27" s="7"/>
      <c r="AF27" s="7"/>
      <c r="AG27" s="7"/>
      <c r="AH27" s="7" t="str">
        <f t="shared" si="15"/>
        <v/>
      </c>
      <c r="AI27" s="7" t="str">
        <f t="shared" si="16"/>
        <v/>
      </c>
      <c r="AJ27" s="14">
        <f t="shared" si="3"/>
        <v>0</v>
      </c>
      <c r="AK27" s="14">
        <f t="shared" si="17"/>
        <v>6.0286839326954791</v>
      </c>
      <c r="AL27" s="14">
        <f t="shared" si="18"/>
        <v>5.6261741902136464</v>
      </c>
      <c r="AM27" s="124">
        <f t="shared" si="4"/>
        <v>48.273210457660362</v>
      </c>
      <c r="AN27" s="40">
        <f t="shared" si="19"/>
        <v>51.726789542339631</v>
      </c>
      <c r="AO27" s="40">
        <f t="shared" si="20"/>
        <v>0</v>
      </c>
    </row>
    <row r="28" spans="2:41" x14ac:dyDescent="0.3">
      <c r="B28" s="186" t="s">
        <v>9</v>
      </c>
      <c r="C28" s="187">
        <v>8</v>
      </c>
      <c r="D28" s="7">
        <v>4.96</v>
      </c>
      <c r="E28" s="7">
        <v>309.5</v>
      </c>
      <c r="F28" s="7">
        <v>90.23</v>
      </c>
      <c r="G28" s="8">
        <f t="shared" si="5"/>
        <v>28.225859247135844</v>
      </c>
      <c r="H28" s="186">
        <v>1</v>
      </c>
      <c r="I28" s="7">
        <f t="shared" si="21"/>
        <v>0.71129165302782327</v>
      </c>
      <c r="J28" s="7">
        <f t="shared" si="6"/>
        <v>0.13172067648663394</v>
      </c>
      <c r="K28" s="7">
        <f t="shared" si="7"/>
        <v>13.172067648663393</v>
      </c>
      <c r="L28" s="187"/>
      <c r="M28" s="7">
        <v>243.85</v>
      </c>
      <c r="N28" s="7">
        <f>M28</f>
        <v>243.85</v>
      </c>
      <c r="O28" s="7">
        <v>54.64</v>
      </c>
      <c r="P28" s="7">
        <f t="shared" si="9"/>
        <v>20.888907471672873</v>
      </c>
      <c r="Q28" s="7">
        <f t="shared" si="10"/>
        <v>5.0937600869674297E-2</v>
      </c>
      <c r="R28" s="14">
        <f t="shared" si="23"/>
        <v>5.0937600869674302</v>
      </c>
      <c r="S28" s="7">
        <v>342.52</v>
      </c>
      <c r="T28" s="7">
        <v>174.51</v>
      </c>
      <c r="U28" s="7">
        <v>44.15</v>
      </c>
      <c r="V28" s="7">
        <f t="shared" si="11"/>
        <v>23.2408879467703</v>
      </c>
      <c r="W28" s="7">
        <f t="shared" si="12"/>
        <v>7.9604689395277636E-2</v>
      </c>
      <c r="X28" s="14">
        <f t="shared" si="24"/>
        <v>7.9604689395277637</v>
      </c>
      <c r="Y28" s="31"/>
      <c r="Z28" s="31"/>
      <c r="AA28" s="31"/>
      <c r="AB28" s="31" t="str">
        <f t="shared" si="13"/>
        <v/>
      </c>
      <c r="AC28" s="31" t="str">
        <f t="shared" si="14"/>
        <v/>
      </c>
      <c r="AD28" s="14">
        <f t="shared" si="25"/>
        <v>0</v>
      </c>
      <c r="AE28" s="7"/>
      <c r="AF28" s="7"/>
      <c r="AG28" s="7"/>
      <c r="AH28" s="7" t="str">
        <f t="shared" si="15"/>
        <v/>
      </c>
      <c r="AI28" s="7" t="str">
        <f t="shared" si="16"/>
        <v/>
      </c>
      <c r="AJ28" s="14">
        <f t="shared" si="3"/>
        <v>0</v>
      </c>
      <c r="AK28" s="14">
        <f t="shared" si="17"/>
        <v>5.0937600869674302</v>
      </c>
      <c r="AL28" s="14">
        <f t="shared" si="18"/>
        <v>7.9604689395277637</v>
      </c>
      <c r="AM28" s="124">
        <f t="shared" si="4"/>
        <v>60.980000606477752</v>
      </c>
      <c r="AN28" s="40">
        <f t="shared" si="19"/>
        <v>39.019999393522255</v>
      </c>
      <c r="AO28" s="40">
        <f t="shared" si="20"/>
        <v>0</v>
      </c>
    </row>
    <row r="29" spans="2:41" x14ac:dyDescent="0.3">
      <c r="B29" s="16" t="s">
        <v>9</v>
      </c>
      <c r="C29" s="17">
        <v>9</v>
      </c>
      <c r="D29" s="18">
        <v>3.02</v>
      </c>
      <c r="E29" s="18">
        <v>285.14999999999998</v>
      </c>
      <c r="F29" s="18">
        <v>107.63</v>
      </c>
      <c r="G29" s="19">
        <f t="shared" si="5"/>
        <v>36.859327760981685</v>
      </c>
      <c r="H29" s="186">
        <v>1</v>
      </c>
      <c r="I29" s="18">
        <f t="shared" si="21"/>
        <v>0.2137841010136938</v>
      </c>
      <c r="J29" s="18">
        <f t="shared" si="6"/>
        <v>3.9589648335869219E-2</v>
      </c>
      <c r="K29" s="18">
        <f t="shared" si="7"/>
        <v>3.9589648335869221</v>
      </c>
      <c r="L29" s="17"/>
      <c r="M29" s="18">
        <v>275.12</v>
      </c>
      <c r="N29" s="18">
        <v>177.29</v>
      </c>
      <c r="O29" s="18">
        <v>78.599999999999994</v>
      </c>
      <c r="P29" s="18">
        <f t="shared" si="9"/>
        <v>42.824865303284859</v>
      </c>
      <c r="Q29" s="18">
        <f t="shared" si="10"/>
        <v>0.1178197694223973</v>
      </c>
      <c r="R29" s="14">
        <f t="shared" si="23"/>
        <v>11.78197694223973</v>
      </c>
      <c r="S29" s="33"/>
      <c r="T29" s="33"/>
      <c r="U29" s="33"/>
      <c r="V29" s="33" t="str">
        <f t="shared" si="11"/>
        <v/>
      </c>
      <c r="W29" s="33" t="str">
        <f t="shared" si="12"/>
        <v/>
      </c>
      <c r="X29" s="14">
        <f t="shared" si="24"/>
        <v>0</v>
      </c>
      <c r="Y29" s="33"/>
      <c r="Z29" s="33"/>
      <c r="AA29" s="33"/>
      <c r="AB29" s="33" t="str">
        <f t="shared" si="13"/>
        <v/>
      </c>
      <c r="AC29" s="33" t="str">
        <f t="shared" si="14"/>
        <v/>
      </c>
      <c r="AD29" s="14">
        <f t="shared" si="25"/>
        <v>0</v>
      </c>
      <c r="AE29" s="18"/>
      <c r="AF29" s="18"/>
      <c r="AG29" s="18"/>
      <c r="AH29" s="18" t="str">
        <f t="shared" si="15"/>
        <v/>
      </c>
      <c r="AI29" s="18" t="str">
        <f t="shared" si="16"/>
        <v/>
      </c>
      <c r="AJ29" s="14">
        <f t="shared" si="3"/>
        <v>0</v>
      </c>
      <c r="AK29" s="14">
        <f t="shared" si="17"/>
        <v>11.78197694223973</v>
      </c>
      <c r="AL29" s="14"/>
      <c r="AM29" s="124"/>
      <c r="AN29" s="40">
        <f t="shared" si="19"/>
        <v>99.999999999999986</v>
      </c>
      <c r="AO29" s="40">
        <f t="shared" si="20"/>
        <v>0</v>
      </c>
    </row>
    <row r="30" spans="2:41" x14ac:dyDescent="0.3">
      <c r="B30" s="186" t="s">
        <v>10</v>
      </c>
      <c r="C30" s="187">
        <v>1</v>
      </c>
      <c r="D30" s="7">
        <v>6.08</v>
      </c>
      <c r="E30" s="7">
        <v>364.1</v>
      </c>
      <c r="F30" s="7">
        <v>84.47</v>
      </c>
      <c r="G30" s="8">
        <f t="shared" si="5"/>
        <v>22.346570397111911</v>
      </c>
      <c r="H30" s="186">
        <v>1</v>
      </c>
      <c r="I30" s="7">
        <f t="shared" si="21"/>
        <v>0.81341516245487366</v>
      </c>
      <c r="J30" s="7">
        <f t="shared" si="6"/>
        <v>0.15063243749164326</v>
      </c>
      <c r="K30" s="7">
        <f t="shared" si="7"/>
        <v>15.063243749164325</v>
      </c>
      <c r="L30" s="187"/>
      <c r="M30" s="31"/>
      <c r="N30" s="31"/>
      <c r="O30" s="31"/>
      <c r="P30" s="31" t="str">
        <f t="shared" si="9"/>
        <v/>
      </c>
      <c r="Q30" s="31" t="str">
        <f t="shared" si="10"/>
        <v/>
      </c>
      <c r="R30" s="14">
        <f t="shared" si="23"/>
        <v>0</v>
      </c>
      <c r="S30" s="7">
        <v>782.99</v>
      </c>
      <c r="T30" s="7">
        <v>275.73</v>
      </c>
      <c r="U30" s="7">
        <v>64.12</v>
      </c>
      <c r="V30" s="7">
        <f t="shared" si="11"/>
        <v>21.929533296439772</v>
      </c>
      <c r="W30" s="7">
        <f t="shared" si="12"/>
        <v>0.17170605275779377</v>
      </c>
      <c r="X30" s="14">
        <f t="shared" si="24"/>
        <v>17.170605275779376</v>
      </c>
      <c r="Y30" s="31"/>
      <c r="Z30" s="31"/>
      <c r="AA30" s="31"/>
      <c r="AB30" s="31" t="str">
        <f t="shared" si="13"/>
        <v/>
      </c>
      <c r="AC30" s="31" t="str">
        <f t="shared" si="14"/>
        <v/>
      </c>
      <c r="AD30" s="14">
        <f t="shared" si="25"/>
        <v>0</v>
      </c>
      <c r="AE30" s="7"/>
      <c r="AF30" s="7"/>
      <c r="AG30" s="7"/>
      <c r="AH30" s="40" t="str">
        <f t="shared" si="15"/>
        <v/>
      </c>
      <c r="AI30" s="40" t="str">
        <f t="shared" si="16"/>
        <v/>
      </c>
      <c r="AJ30" s="14">
        <f t="shared" si="3"/>
        <v>0</v>
      </c>
      <c r="AK30" s="14">
        <f t="shared" si="17"/>
        <v>0</v>
      </c>
      <c r="AL30" s="14">
        <f t="shared" ref="AL30" si="28">X30</f>
        <v>17.170605275779376</v>
      </c>
      <c r="AM30" s="124">
        <f t="shared" si="4"/>
        <v>100</v>
      </c>
      <c r="AN30" s="40" t="str">
        <f t="shared" si="19"/>
        <v/>
      </c>
      <c r="AO30" s="40">
        <f t="shared" si="20"/>
        <v>0</v>
      </c>
    </row>
    <row r="31" spans="2:41" x14ac:dyDescent="0.3">
      <c r="B31" s="186" t="s">
        <v>10</v>
      </c>
      <c r="C31" s="187">
        <v>2</v>
      </c>
      <c r="D31" s="7">
        <v>5.34</v>
      </c>
      <c r="E31" s="7">
        <v>311.16000000000003</v>
      </c>
      <c r="F31" s="7">
        <v>80.760000000000005</v>
      </c>
      <c r="G31" s="8">
        <f t="shared" si="5"/>
        <v>24.990233103268654</v>
      </c>
      <c r="H31" s="186">
        <v>1</v>
      </c>
      <c r="I31" s="7">
        <f t="shared" si="21"/>
        <v>0.72471675999479102</v>
      </c>
      <c r="J31" s="7">
        <f t="shared" si="6"/>
        <v>0.13420680740644278</v>
      </c>
      <c r="K31" s="7">
        <f t="shared" si="7"/>
        <v>13.420680740644277</v>
      </c>
      <c r="L31" s="187"/>
      <c r="M31" s="31"/>
      <c r="N31" s="31"/>
      <c r="O31" s="31"/>
      <c r="P31" s="31" t="str">
        <f t="shared" si="9"/>
        <v/>
      </c>
      <c r="Q31" s="31" t="str">
        <f t="shared" si="10"/>
        <v/>
      </c>
      <c r="R31" s="14">
        <f t="shared" si="23"/>
        <v>0</v>
      </c>
      <c r="S31" s="7">
        <v>382.81</v>
      </c>
      <c r="T31" s="7">
        <v>232.37</v>
      </c>
      <c r="U31" s="7">
        <v>56.6</v>
      </c>
      <c r="V31" s="7">
        <f t="shared" si="11"/>
        <v>22.802933813518379</v>
      </c>
      <c r="W31" s="7">
        <f t="shared" si="12"/>
        <v>8.7291910931529701E-2</v>
      </c>
      <c r="X31" s="14">
        <f t="shared" si="24"/>
        <v>8.7291910931529699</v>
      </c>
      <c r="Y31" s="7">
        <v>273.55</v>
      </c>
      <c r="Z31" s="7">
        <v>158.21</v>
      </c>
      <c r="AA31" s="7">
        <v>46.13</v>
      </c>
      <c r="AB31" s="7">
        <f t="shared" si="13"/>
        <v>26.997980850648084</v>
      </c>
      <c r="AC31" s="7">
        <f t="shared" si="14"/>
        <v>7.3852976616947841E-2</v>
      </c>
      <c r="AD31" s="14">
        <f t="shared" si="25"/>
        <v>7.3852976616947839</v>
      </c>
      <c r="AE31" s="7"/>
      <c r="AF31" s="54"/>
      <c r="AG31" s="54"/>
      <c r="AH31" s="54" t="str">
        <f t="shared" si="15"/>
        <v/>
      </c>
      <c r="AI31" s="54" t="str">
        <f t="shared" si="16"/>
        <v/>
      </c>
      <c r="AJ31" s="14">
        <f t="shared" si="3"/>
        <v>0</v>
      </c>
      <c r="AK31" s="14">
        <f t="shared" si="17"/>
        <v>7.3852976616947839</v>
      </c>
      <c r="AL31" s="14">
        <f t="shared" si="18"/>
        <v>8.7291910931529699</v>
      </c>
      <c r="AM31" s="124">
        <f t="shared" si="4"/>
        <v>54.169829561157812</v>
      </c>
      <c r="AN31" s="40">
        <f t="shared" si="19"/>
        <v>45.830170438842188</v>
      </c>
      <c r="AO31" s="40">
        <f t="shared" si="20"/>
        <v>0</v>
      </c>
    </row>
    <row r="32" spans="2:41" x14ac:dyDescent="0.3">
      <c r="B32" s="186" t="s">
        <v>10</v>
      </c>
      <c r="C32" s="187">
        <v>3</v>
      </c>
      <c r="D32" s="7">
        <v>5.22</v>
      </c>
      <c r="E32" s="7">
        <v>341.68</v>
      </c>
      <c r="F32" s="7">
        <v>97.75</v>
      </c>
      <c r="G32" s="8">
        <f t="shared" si="5"/>
        <v>27.762970859985785</v>
      </c>
      <c r="H32" s="186">
        <v>1</v>
      </c>
      <c r="I32" s="7">
        <f t="shared" si="21"/>
        <v>0.77181058990760476</v>
      </c>
      <c r="J32" s="7">
        <f t="shared" si="6"/>
        <v>0.14292788701992679</v>
      </c>
      <c r="K32" s="7">
        <f t="shared" si="7"/>
        <v>14.292788701992679</v>
      </c>
      <c r="L32" s="187"/>
      <c r="M32" s="31"/>
      <c r="N32" s="31"/>
      <c r="O32" s="31"/>
      <c r="P32" s="31" t="str">
        <f t="shared" si="9"/>
        <v/>
      </c>
      <c r="Q32" s="31" t="str">
        <f t="shared" si="10"/>
        <v/>
      </c>
      <c r="R32" s="14">
        <f t="shared" si="23"/>
        <v>0</v>
      </c>
      <c r="S32" s="7">
        <v>349.95</v>
      </c>
      <c r="T32" s="7">
        <v>223.4</v>
      </c>
      <c r="U32" s="7">
        <v>51.71</v>
      </c>
      <c r="V32" s="7">
        <f t="shared" si="11"/>
        <v>21.502377468910023</v>
      </c>
      <c r="W32" s="7">
        <f t="shared" si="12"/>
        <v>7.5247569952450619E-2</v>
      </c>
      <c r="X32" s="14">
        <f t="shared" si="24"/>
        <v>7.5247569952450624</v>
      </c>
      <c r="Y32" s="7">
        <v>188.99</v>
      </c>
      <c r="Z32" s="7">
        <f t="shared" ref="Z32:Z34" si="29">Y32</f>
        <v>188.99</v>
      </c>
      <c r="AA32" s="7">
        <v>57.89</v>
      </c>
      <c r="AB32" s="7">
        <f t="shared" si="13"/>
        <v>28.869838858445014</v>
      </c>
      <c r="AC32" s="7">
        <f t="shared" si="14"/>
        <v>5.456110845857523E-2</v>
      </c>
      <c r="AD32" s="14">
        <f t="shared" si="25"/>
        <v>5.4561108458575234</v>
      </c>
      <c r="AE32" s="7"/>
      <c r="AF32" s="54"/>
      <c r="AG32" s="54"/>
      <c r="AH32" s="54" t="str">
        <f t="shared" si="15"/>
        <v/>
      </c>
      <c r="AI32" s="54" t="str">
        <f t="shared" si="16"/>
        <v/>
      </c>
      <c r="AJ32" s="14">
        <f t="shared" si="3"/>
        <v>0</v>
      </c>
      <c r="AK32" s="14">
        <f t="shared" si="17"/>
        <v>5.4561108458575234</v>
      </c>
      <c r="AL32" s="14">
        <f t="shared" si="18"/>
        <v>7.5247569952450624</v>
      </c>
      <c r="AM32" s="124">
        <f t="shared" si="4"/>
        <v>57.968057970813717</v>
      </c>
      <c r="AN32" s="40">
        <f t="shared" si="19"/>
        <v>42.031942029186276</v>
      </c>
      <c r="AO32" s="40">
        <f t="shared" si="20"/>
        <v>0</v>
      </c>
    </row>
    <row r="33" spans="2:41" x14ac:dyDescent="0.3">
      <c r="B33" s="186" t="s">
        <v>10</v>
      </c>
      <c r="C33" s="187">
        <v>4</v>
      </c>
      <c r="D33" s="7">
        <v>3.96</v>
      </c>
      <c r="E33" s="7">
        <v>267.48</v>
      </c>
      <c r="F33" s="7">
        <v>79.400000000000006</v>
      </c>
      <c r="G33" s="8">
        <f t="shared" si="5"/>
        <v>28.616972825261875</v>
      </c>
      <c r="H33" s="186">
        <v>1</v>
      </c>
      <c r="I33" s="7">
        <f t="shared" si="21"/>
        <v>0.43497798694398054</v>
      </c>
      <c r="J33" s="7">
        <f t="shared" si="6"/>
        <v>8.0551479063700096E-2</v>
      </c>
      <c r="K33" s="7">
        <f t="shared" si="7"/>
        <v>8.05514790637001</v>
      </c>
      <c r="L33" s="187"/>
      <c r="M33" s="31"/>
      <c r="N33" s="31"/>
      <c r="O33" s="31"/>
      <c r="P33" s="31" t="str">
        <f t="shared" si="9"/>
        <v/>
      </c>
      <c r="Q33" s="31" t="str">
        <f t="shared" si="10"/>
        <v/>
      </c>
      <c r="R33" s="14">
        <f t="shared" si="23"/>
        <v>0</v>
      </c>
      <c r="S33" s="7">
        <v>305.58999999999997</v>
      </c>
      <c r="T33" s="7">
        <v>163.32</v>
      </c>
      <c r="U33" s="7">
        <v>41.64</v>
      </c>
      <c r="V33" s="7">
        <f t="shared" si="11"/>
        <v>23.298033282904694</v>
      </c>
      <c r="W33" s="7">
        <f t="shared" si="12"/>
        <v>7.1196459909228446E-2</v>
      </c>
      <c r="X33" s="14">
        <f t="shared" si="24"/>
        <v>7.1196459909228453</v>
      </c>
      <c r="Y33" s="7">
        <v>149.44999999999999</v>
      </c>
      <c r="Z33" s="7">
        <f t="shared" si="29"/>
        <v>149.44999999999999</v>
      </c>
      <c r="AA33" s="7">
        <v>51.62</v>
      </c>
      <c r="AB33" s="7">
        <f t="shared" si="13"/>
        <v>32.423844719209782</v>
      </c>
      <c r="AC33" s="7">
        <f t="shared" si="14"/>
        <v>4.8457435932859012E-2</v>
      </c>
      <c r="AD33" s="14">
        <f t="shared" si="25"/>
        <v>4.845743593285901</v>
      </c>
      <c r="AE33" s="7"/>
      <c r="AF33" s="54"/>
      <c r="AG33" s="54"/>
      <c r="AH33" s="54" t="str">
        <f t="shared" si="15"/>
        <v/>
      </c>
      <c r="AI33" s="54" t="str">
        <f t="shared" si="16"/>
        <v/>
      </c>
      <c r="AJ33" s="14">
        <f t="shared" si="3"/>
        <v>0</v>
      </c>
      <c r="AK33" s="14">
        <f t="shared" si="17"/>
        <v>4.845743593285901</v>
      </c>
      <c r="AL33" s="14">
        <f t="shared" si="18"/>
        <v>7.1196459909228453</v>
      </c>
      <c r="AM33" s="124">
        <f t="shared" si="4"/>
        <v>59.501999001511464</v>
      </c>
      <c r="AN33" s="40">
        <f t="shared" si="19"/>
        <v>40.498000998488529</v>
      </c>
      <c r="AO33" s="40">
        <f t="shared" si="20"/>
        <v>0</v>
      </c>
    </row>
    <row r="34" spans="2:41" x14ac:dyDescent="0.3">
      <c r="B34" s="186" t="s">
        <v>10</v>
      </c>
      <c r="C34" s="187">
        <v>5</v>
      </c>
      <c r="D34" s="7">
        <v>3.38</v>
      </c>
      <c r="E34" s="7">
        <v>245.79</v>
      </c>
      <c r="F34" s="7">
        <v>92.02</v>
      </c>
      <c r="G34" s="8">
        <f t="shared" si="5"/>
        <v>36.403490632366932</v>
      </c>
      <c r="H34" s="186">
        <v>1</v>
      </c>
      <c r="I34" s="7">
        <f t="shared" si="21"/>
        <v>0.34219281194424911</v>
      </c>
      <c r="J34" s="7">
        <f t="shared" si="6"/>
        <v>6.3369039248935013E-2</v>
      </c>
      <c r="K34" s="7">
        <f t="shared" si="7"/>
        <v>6.3369039248935017</v>
      </c>
      <c r="L34" s="187"/>
      <c r="M34" s="31"/>
      <c r="N34" s="31"/>
      <c r="O34" s="31"/>
      <c r="P34" s="31" t="str">
        <f t="shared" si="9"/>
        <v/>
      </c>
      <c r="Q34" s="31" t="str">
        <f t="shared" si="10"/>
        <v/>
      </c>
      <c r="R34" s="14">
        <f t="shared" si="23"/>
        <v>0</v>
      </c>
      <c r="S34" s="31"/>
      <c r="T34" s="31"/>
      <c r="U34" s="31"/>
      <c r="V34" s="31" t="str">
        <f t="shared" si="11"/>
        <v/>
      </c>
      <c r="W34" s="31" t="str">
        <f t="shared" si="12"/>
        <v/>
      </c>
      <c r="X34" s="14">
        <f t="shared" si="24"/>
        <v>0</v>
      </c>
      <c r="Y34" s="7">
        <v>216.33</v>
      </c>
      <c r="Z34" s="7">
        <f t="shared" si="29"/>
        <v>216.33</v>
      </c>
      <c r="AA34" s="7">
        <v>91.62</v>
      </c>
      <c r="AB34" s="7">
        <f t="shared" si="13"/>
        <v>41.077250177179302</v>
      </c>
      <c r="AC34" s="7">
        <f t="shared" si="14"/>
        <v>8.8862415308291989E-2</v>
      </c>
      <c r="AD34" s="14">
        <f t="shared" si="25"/>
        <v>8.8862415308291993</v>
      </c>
      <c r="AE34" s="7"/>
      <c r="AF34" s="54"/>
      <c r="AG34" s="54"/>
      <c r="AH34" s="54" t="str">
        <f t="shared" si="15"/>
        <v/>
      </c>
      <c r="AI34" s="54" t="str">
        <f t="shared" si="16"/>
        <v/>
      </c>
      <c r="AJ34" s="14">
        <f t="shared" si="3"/>
        <v>0</v>
      </c>
      <c r="AK34" s="14">
        <f t="shared" si="17"/>
        <v>8.8862415308291993</v>
      </c>
      <c r="AL34" s="14"/>
      <c r="AM34" s="124"/>
      <c r="AN34" s="40">
        <f t="shared" si="19"/>
        <v>100</v>
      </c>
      <c r="AO34" s="40">
        <f t="shared" si="20"/>
        <v>0</v>
      </c>
    </row>
    <row r="35" spans="2:41" x14ac:dyDescent="0.3">
      <c r="B35" s="186" t="s">
        <v>10</v>
      </c>
      <c r="C35" s="187">
        <v>6</v>
      </c>
      <c r="D35" s="7">
        <v>5.48</v>
      </c>
      <c r="E35" s="7">
        <v>366.83</v>
      </c>
      <c r="F35" s="7">
        <v>88.81</v>
      </c>
      <c r="G35" s="8">
        <f t="shared" si="5"/>
        <v>23.374583138108758</v>
      </c>
      <c r="H35" s="186">
        <v>1</v>
      </c>
      <c r="I35" s="7">
        <f t="shared" si="21"/>
        <v>0.71058732739850627</v>
      </c>
      <c r="J35" s="7">
        <f t="shared" si="6"/>
        <v>0.13159024581453818</v>
      </c>
      <c r="K35" s="7">
        <f t="shared" si="7"/>
        <v>13.159024581453819</v>
      </c>
      <c r="L35" s="187"/>
      <c r="M35" s="7">
        <v>351.52</v>
      </c>
      <c r="N35" s="7">
        <v>270.04000000000002</v>
      </c>
      <c r="O35" s="7">
        <v>55.22</v>
      </c>
      <c r="P35" s="7">
        <f t="shared" si="9"/>
        <v>19.04582454024721</v>
      </c>
      <c r="Q35" s="7">
        <f t="shared" si="10"/>
        <v>6.6949882423876991E-2</v>
      </c>
      <c r="R35" s="14">
        <f t="shared" si="23"/>
        <v>6.6949882423876987</v>
      </c>
      <c r="S35" s="7">
        <v>393.64</v>
      </c>
      <c r="T35" s="7">
        <v>280.43</v>
      </c>
      <c r="U35" s="7">
        <v>63.36</v>
      </c>
      <c r="V35" s="7">
        <f t="shared" si="11"/>
        <v>21.280145058930191</v>
      </c>
      <c r="W35" s="7">
        <f t="shared" si="12"/>
        <v>8.3767163009972806E-2</v>
      </c>
      <c r="X35" s="14">
        <f t="shared" si="24"/>
        <v>8.3767163009972805</v>
      </c>
      <c r="Y35" s="31"/>
      <c r="Z35" s="31"/>
      <c r="AA35" s="31"/>
      <c r="AB35" s="31" t="str">
        <f t="shared" si="13"/>
        <v/>
      </c>
      <c r="AC35" s="31" t="str">
        <f t="shared" si="14"/>
        <v/>
      </c>
      <c r="AD35" s="14">
        <f t="shared" si="25"/>
        <v>0</v>
      </c>
      <c r="AE35" s="7"/>
      <c r="AF35" s="54"/>
      <c r="AG35" s="54"/>
      <c r="AH35" s="54" t="str">
        <f t="shared" si="15"/>
        <v/>
      </c>
      <c r="AI35" s="54" t="str">
        <f t="shared" si="16"/>
        <v/>
      </c>
      <c r="AJ35" s="14">
        <f t="shared" si="3"/>
        <v>0</v>
      </c>
      <c r="AK35" s="14">
        <f t="shared" si="17"/>
        <v>6.6949882423876987</v>
      </c>
      <c r="AL35" s="14">
        <f t="shared" si="18"/>
        <v>8.3767163009972805</v>
      </c>
      <c r="AM35" s="124">
        <f>IF((100/SUM(AJ35:AL35)*AL35),(100/SUM(AJ35:AL35)*AL35),(100/SUM(AJ35:AL35)*AL35))</f>
        <v>55.579090453135571</v>
      </c>
      <c r="AN35" s="40">
        <f t="shared" si="19"/>
        <v>44.420909546864436</v>
      </c>
      <c r="AO35" s="40">
        <f t="shared" si="20"/>
        <v>0</v>
      </c>
    </row>
    <row r="36" spans="2:41" x14ac:dyDescent="0.3">
      <c r="B36" s="186" t="s">
        <v>10</v>
      </c>
      <c r="C36" s="187">
        <v>7</v>
      </c>
      <c r="D36" s="7">
        <v>4.04</v>
      </c>
      <c r="E36" s="7">
        <v>272</v>
      </c>
      <c r="F36" s="7">
        <v>84.5</v>
      </c>
      <c r="G36" s="8">
        <f t="shared" si="5"/>
        <v>30.037313432835823</v>
      </c>
      <c r="H36" s="186">
        <v>1</v>
      </c>
      <c r="I36" s="7">
        <f t="shared" si="21"/>
        <v>0.48059701492537316</v>
      </c>
      <c r="J36" s="7">
        <f t="shared" si="6"/>
        <v>8.899944720840243E-2</v>
      </c>
      <c r="K36" s="7">
        <f t="shared" si="7"/>
        <v>8.899944720840244</v>
      </c>
      <c r="L36" s="187"/>
      <c r="M36" s="7">
        <v>227.61</v>
      </c>
      <c r="N36" s="7">
        <f>M36</f>
        <v>227.61</v>
      </c>
      <c r="O36" s="7">
        <v>63.9</v>
      </c>
      <c r="P36" s="7">
        <f t="shared" si="9"/>
        <v>26.5643924101736</v>
      </c>
      <c r="Q36" s="7">
        <f t="shared" si="10"/>
        <v>6.0463213564796128E-2</v>
      </c>
      <c r="R36" s="14">
        <f t="shared" si="23"/>
        <v>6.0463213564796128</v>
      </c>
      <c r="S36" s="7">
        <v>105.03</v>
      </c>
      <c r="T36" s="7">
        <f t="shared" ref="T36:T37" si="30">S36</f>
        <v>105.03</v>
      </c>
      <c r="U36" s="7">
        <v>30.04</v>
      </c>
      <c r="V36" s="7">
        <f t="shared" si="11"/>
        <v>25.271549576482311</v>
      </c>
      <c r="W36" s="7">
        <f t="shared" si="12"/>
        <v>2.654270852017937E-2</v>
      </c>
      <c r="X36" s="14">
        <f t="shared" si="24"/>
        <v>2.654270852017937</v>
      </c>
      <c r="Y36" s="31"/>
      <c r="Z36" s="31"/>
      <c r="AA36" s="31"/>
      <c r="AB36" s="31" t="str">
        <f t="shared" si="13"/>
        <v/>
      </c>
      <c r="AC36" s="31" t="str">
        <f t="shared" si="14"/>
        <v/>
      </c>
      <c r="AD36" s="14">
        <f t="shared" si="25"/>
        <v>0</v>
      </c>
      <c r="AE36" s="7"/>
      <c r="AF36" s="54"/>
      <c r="AG36" s="54"/>
      <c r="AH36" s="54" t="str">
        <f t="shared" si="15"/>
        <v/>
      </c>
      <c r="AI36" s="54" t="str">
        <f t="shared" si="16"/>
        <v/>
      </c>
      <c r="AJ36" s="14">
        <f t="shared" si="3"/>
        <v>0</v>
      </c>
      <c r="AK36" s="14">
        <f t="shared" si="17"/>
        <v>6.0463213564796128</v>
      </c>
      <c r="AL36" s="14">
        <f t="shared" si="18"/>
        <v>2.654270852017937</v>
      </c>
      <c r="AM36" s="124">
        <f t="shared" ref="AM36:AM46" si="31">IF((100/SUM(AJ36:AL36)*AL36),(100/SUM(AJ36:AL36)*AL36),(100/SUM(AJ36:AL36)*AL36))</f>
        <v>30.506783773012689</v>
      </c>
      <c r="AN36" s="40">
        <f t="shared" si="19"/>
        <v>69.4932162269873</v>
      </c>
      <c r="AO36" s="40">
        <f t="shared" si="20"/>
        <v>0</v>
      </c>
    </row>
    <row r="37" spans="2:41" x14ac:dyDescent="0.3">
      <c r="B37" s="186" t="s">
        <v>10</v>
      </c>
      <c r="C37" s="187">
        <v>8</v>
      </c>
      <c r="D37" s="7">
        <v>3.7</v>
      </c>
      <c r="E37" s="7">
        <v>364.71</v>
      </c>
      <c r="F37" s="7">
        <v>88.18</v>
      </c>
      <c r="G37" s="8">
        <f t="shared" si="5"/>
        <v>23.337306977904689</v>
      </c>
      <c r="H37" s="186">
        <v>1</v>
      </c>
      <c r="I37" s="7">
        <f t="shared" si="21"/>
        <v>0.29405006792159916</v>
      </c>
      <c r="J37" s="7">
        <f t="shared" si="6"/>
        <v>5.4453716281777621E-2</v>
      </c>
      <c r="K37" s="7">
        <f t="shared" si="7"/>
        <v>5.445371628177762</v>
      </c>
      <c r="L37" s="187"/>
      <c r="M37" s="7">
        <v>226.58</v>
      </c>
      <c r="N37" s="7">
        <f t="shared" ref="N37:N38" si="32">M37</f>
        <v>226.58</v>
      </c>
      <c r="O37" s="7">
        <v>60.55</v>
      </c>
      <c r="P37" s="7">
        <f t="shared" si="9"/>
        <v>25.17800811176205</v>
      </c>
      <c r="Q37" s="7">
        <f t="shared" si="10"/>
        <v>5.7048330779630459E-2</v>
      </c>
      <c r="R37" s="14">
        <f t="shared" si="23"/>
        <v>5.7048330779630465</v>
      </c>
      <c r="S37" s="7">
        <v>107.92</v>
      </c>
      <c r="T37" s="7">
        <f t="shared" si="30"/>
        <v>107.92</v>
      </c>
      <c r="U37" s="7">
        <v>31.48</v>
      </c>
      <c r="V37" s="7">
        <f t="shared" si="11"/>
        <v>25.958930647036034</v>
      </c>
      <c r="W37" s="7">
        <f t="shared" si="12"/>
        <v>2.8014877954281286E-2</v>
      </c>
      <c r="X37" s="14">
        <f t="shared" si="24"/>
        <v>2.8014877954281285</v>
      </c>
      <c r="Y37" s="31"/>
      <c r="Z37" s="31"/>
      <c r="AA37" s="31"/>
      <c r="AB37" s="31" t="str">
        <f t="shared" si="13"/>
        <v/>
      </c>
      <c r="AC37" s="31" t="str">
        <f t="shared" si="14"/>
        <v/>
      </c>
      <c r="AD37" s="14">
        <f t="shared" si="25"/>
        <v>0</v>
      </c>
      <c r="AE37" s="7"/>
      <c r="AF37" s="54"/>
      <c r="AG37" s="54"/>
      <c r="AH37" s="54" t="str">
        <f t="shared" si="15"/>
        <v/>
      </c>
      <c r="AI37" s="54" t="str">
        <f t="shared" si="16"/>
        <v/>
      </c>
      <c r="AJ37" s="14">
        <f t="shared" si="3"/>
        <v>0</v>
      </c>
      <c r="AK37" s="14">
        <f t="shared" si="17"/>
        <v>5.7048330779630465</v>
      </c>
      <c r="AL37" s="14">
        <f t="shared" si="18"/>
        <v>2.8014877954281285</v>
      </c>
      <c r="AM37" s="124">
        <f t="shared" si="31"/>
        <v>32.934189023970745</v>
      </c>
      <c r="AN37" s="40">
        <f t="shared" si="19"/>
        <v>67.065810976029255</v>
      </c>
      <c r="AO37" s="40">
        <f t="shared" si="20"/>
        <v>0</v>
      </c>
    </row>
    <row r="38" spans="2:41" x14ac:dyDescent="0.3">
      <c r="B38" s="16" t="s">
        <v>10</v>
      </c>
      <c r="C38" s="17">
        <v>9</v>
      </c>
      <c r="D38" s="18">
        <v>2.94</v>
      </c>
      <c r="E38" s="18">
        <v>245.68</v>
      </c>
      <c r="F38" s="18">
        <v>100.79</v>
      </c>
      <c r="G38" s="19">
        <f t="shared" si="5"/>
        <v>40.048824892419731</v>
      </c>
      <c r="H38" s="186">
        <v>1</v>
      </c>
      <c r="I38" s="18">
        <f t="shared" si="21"/>
        <v>0.20024412446209866</v>
      </c>
      <c r="J38" s="18">
        <f t="shared" si="6"/>
        <v>3.7082245270759012E-2</v>
      </c>
      <c r="K38" s="18">
        <f t="shared" si="7"/>
        <v>3.7082245270759011</v>
      </c>
      <c r="L38" s="17"/>
      <c r="M38" s="18">
        <v>210.24</v>
      </c>
      <c r="N38" s="7">
        <f t="shared" si="32"/>
        <v>210.24</v>
      </c>
      <c r="O38" s="18">
        <v>79.5</v>
      </c>
      <c r="P38" s="18">
        <f t="shared" si="9"/>
        <v>36.398131932282539</v>
      </c>
      <c r="Q38" s="18">
        <f t="shared" si="10"/>
        <v>7.6523432574430811E-2</v>
      </c>
      <c r="R38" s="14">
        <f t="shared" si="23"/>
        <v>7.6523432574430812</v>
      </c>
      <c r="S38" s="33"/>
      <c r="T38" s="33"/>
      <c r="U38" s="33"/>
      <c r="V38" s="33" t="str">
        <f t="shared" si="11"/>
        <v/>
      </c>
      <c r="W38" s="33" t="str">
        <f t="shared" si="12"/>
        <v/>
      </c>
      <c r="X38" s="14">
        <f t="shared" si="24"/>
        <v>0</v>
      </c>
      <c r="Y38" s="33"/>
      <c r="Z38" s="33"/>
      <c r="AA38" s="33"/>
      <c r="AB38" s="33" t="str">
        <f t="shared" si="13"/>
        <v/>
      </c>
      <c r="AC38" s="33" t="str">
        <f t="shared" si="14"/>
        <v/>
      </c>
      <c r="AD38" s="14">
        <f t="shared" si="25"/>
        <v>0</v>
      </c>
      <c r="AE38" s="18"/>
      <c r="AF38" s="55"/>
      <c r="AG38" s="55"/>
      <c r="AH38" s="55" t="str">
        <f t="shared" si="15"/>
        <v/>
      </c>
      <c r="AI38" s="55" t="str">
        <f t="shared" si="16"/>
        <v/>
      </c>
      <c r="AJ38" s="14">
        <f t="shared" si="3"/>
        <v>0</v>
      </c>
      <c r="AK38" s="14">
        <f t="shared" si="17"/>
        <v>7.6523432574430812</v>
      </c>
      <c r="AL38" s="14"/>
      <c r="AM38" s="124"/>
      <c r="AN38" s="40">
        <f t="shared" si="19"/>
        <v>100</v>
      </c>
      <c r="AO38" s="40">
        <f t="shared" si="20"/>
        <v>0</v>
      </c>
    </row>
    <row r="39" spans="2:41" x14ac:dyDescent="0.3">
      <c r="B39" s="186" t="s">
        <v>11</v>
      </c>
      <c r="C39" s="187">
        <v>1</v>
      </c>
      <c r="D39" s="7">
        <v>4.96</v>
      </c>
      <c r="E39" s="7">
        <v>309.66000000000003</v>
      </c>
      <c r="F39" s="7">
        <v>71.13</v>
      </c>
      <c r="G39" s="8">
        <f t="shared" si="5"/>
        <v>21.962311064581559</v>
      </c>
      <c r="H39" s="186">
        <v>1</v>
      </c>
      <c r="I39" s="7">
        <f t="shared" si="21"/>
        <v>0.55345023882745537</v>
      </c>
      <c r="J39" s="7">
        <f t="shared" si="6"/>
        <v>0.10249078496804728</v>
      </c>
      <c r="K39" s="7">
        <f t="shared" si="7"/>
        <v>10.249078496804728</v>
      </c>
      <c r="L39" s="187"/>
      <c r="M39" s="31"/>
      <c r="N39" s="31"/>
      <c r="O39" s="31"/>
      <c r="P39" s="31" t="str">
        <f t="shared" si="9"/>
        <v/>
      </c>
      <c r="Q39" s="31" t="str">
        <f t="shared" si="10"/>
        <v/>
      </c>
      <c r="R39" s="14">
        <f t="shared" si="23"/>
        <v>0</v>
      </c>
      <c r="S39" s="7">
        <v>646.70000000000005</v>
      </c>
      <c r="T39" s="7">
        <v>229.51</v>
      </c>
      <c r="U39" s="7">
        <v>57.93</v>
      </c>
      <c r="V39" s="7">
        <f t="shared" si="11"/>
        <v>23.684561668816439</v>
      </c>
      <c r="W39" s="7">
        <f t="shared" si="12"/>
        <v>0.15316806031223593</v>
      </c>
      <c r="X39" s="14">
        <f t="shared" si="24"/>
        <v>15.316806031223594</v>
      </c>
      <c r="Y39" s="31"/>
      <c r="Z39" s="31"/>
      <c r="AA39" s="31"/>
      <c r="AB39" s="31" t="str">
        <f t="shared" si="13"/>
        <v/>
      </c>
      <c r="AC39" s="31" t="str">
        <f t="shared" si="14"/>
        <v/>
      </c>
      <c r="AD39" s="14">
        <f t="shared" si="25"/>
        <v>0</v>
      </c>
      <c r="AE39" s="7"/>
      <c r="AF39" s="54"/>
      <c r="AG39" s="54"/>
      <c r="AH39" s="54" t="str">
        <f t="shared" si="15"/>
        <v/>
      </c>
      <c r="AI39" s="54" t="str">
        <f t="shared" si="16"/>
        <v/>
      </c>
      <c r="AJ39" s="14">
        <f t="shared" si="3"/>
        <v>0</v>
      </c>
      <c r="AK39" s="14"/>
      <c r="AL39" s="14">
        <f t="shared" si="18"/>
        <v>15.316806031223594</v>
      </c>
      <c r="AM39" s="124">
        <f t="shared" si="31"/>
        <v>100</v>
      </c>
      <c r="AN39" s="40" t="str">
        <f t="shared" si="19"/>
        <v/>
      </c>
      <c r="AO39" s="40">
        <f t="shared" si="20"/>
        <v>0</v>
      </c>
    </row>
    <row r="40" spans="2:41" x14ac:dyDescent="0.3">
      <c r="B40" s="186" t="s">
        <v>11</v>
      </c>
      <c r="C40" s="187">
        <v>2</v>
      </c>
      <c r="D40" s="7">
        <v>5.34</v>
      </c>
      <c r="E40" s="7">
        <v>279.36</v>
      </c>
      <c r="F40" s="7">
        <v>78.38</v>
      </c>
      <c r="G40" s="8">
        <f t="shared" si="5"/>
        <v>27.011911679256244</v>
      </c>
      <c r="H40" s="186">
        <v>1</v>
      </c>
      <c r="I40" s="7">
        <f t="shared" si="21"/>
        <v>0.7833454386984311</v>
      </c>
      <c r="J40" s="7">
        <f t="shared" si="6"/>
        <v>0.14506397012933908</v>
      </c>
      <c r="K40" s="7">
        <f t="shared" si="7"/>
        <v>14.506397012933908</v>
      </c>
      <c r="L40" s="187"/>
      <c r="M40" s="31"/>
      <c r="N40" s="31"/>
      <c r="O40" s="31"/>
      <c r="P40" s="31" t="str">
        <f t="shared" si="9"/>
        <v/>
      </c>
      <c r="Q40" s="31" t="str">
        <f t="shared" si="10"/>
        <v/>
      </c>
      <c r="R40" s="14">
        <f t="shared" si="23"/>
        <v>0</v>
      </c>
      <c r="S40" s="7">
        <v>408.99</v>
      </c>
      <c r="T40" s="7">
        <v>195.24</v>
      </c>
      <c r="U40" s="7">
        <v>47.24</v>
      </c>
      <c r="V40" s="7">
        <f t="shared" si="11"/>
        <v>22.334172963895888</v>
      </c>
      <c r="W40" s="7">
        <f t="shared" si="12"/>
        <v>9.1344534005037781E-2</v>
      </c>
      <c r="X40" s="14">
        <f t="shared" si="24"/>
        <v>9.1344534005037783</v>
      </c>
      <c r="Y40" s="7">
        <v>219.33</v>
      </c>
      <c r="Z40" s="7">
        <f t="shared" ref="Z40:Z43" si="33">Y40</f>
        <v>219.33</v>
      </c>
      <c r="AA40" s="7">
        <v>65.2</v>
      </c>
      <c r="AB40" s="7">
        <f t="shared" si="13"/>
        <v>28.194735616119264</v>
      </c>
      <c r="AC40" s="7">
        <f t="shared" si="14"/>
        <v>6.1839513626834389E-2</v>
      </c>
      <c r="AD40" s="14">
        <f t="shared" si="25"/>
        <v>6.1839513626834393</v>
      </c>
      <c r="AE40" s="7"/>
      <c r="AF40" s="40"/>
      <c r="AG40" s="40"/>
      <c r="AH40" s="40" t="str">
        <f t="shared" si="15"/>
        <v/>
      </c>
      <c r="AI40" s="40" t="str">
        <f t="shared" si="16"/>
        <v/>
      </c>
      <c r="AJ40" s="14">
        <f t="shared" si="3"/>
        <v>0</v>
      </c>
      <c r="AK40" s="14">
        <f t="shared" si="17"/>
        <v>6.1839513626834393</v>
      </c>
      <c r="AL40" s="14">
        <f t="shared" si="18"/>
        <v>9.1344534005037783</v>
      </c>
      <c r="AM40" s="124">
        <f t="shared" si="31"/>
        <v>59.630578651736982</v>
      </c>
      <c r="AN40" s="40">
        <f t="shared" si="19"/>
        <v>40.36942134826301</v>
      </c>
      <c r="AO40" s="40">
        <f t="shared" si="20"/>
        <v>0</v>
      </c>
    </row>
    <row r="41" spans="2:41" x14ac:dyDescent="0.3">
      <c r="B41" s="186" t="s">
        <v>11</v>
      </c>
      <c r="C41" s="187">
        <v>3</v>
      </c>
      <c r="D41" s="7">
        <v>4.5</v>
      </c>
      <c r="E41" s="7">
        <v>268.57</v>
      </c>
      <c r="F41" s="7">
        <v>94.78</v>
      </c>
      <c r="G41" s="8">
        <f t="shared" si="5"/>
        <v>34.312280303889331</v>
      </c>
      <c r="H41" s="186">
        <v>1</v>
      </c>
      <c r="I41" s="7">
        <f t="shared" si="21"/>
        <v>0.70683297426012026</v>
      </c>
      <c r="J41" s="7">
        <f t="shared" si="6"/>
        <v>0.1308949952333556</v>
      </c>
      <c r="K41" s="7">
        <f t="shared" si="7"/>
        <v>13.08949952333556</v>
      </c>
      <c r="L41" s="187"/>
      <c r="M41" s="31"/>
      <c r="N41" s="31"/>
      <c r="O41" s="31"/>
      <c r="P41" s="31" t="str">
        <f t="shared" si="9"/>
        <v/>
      </c>
      <c r="Q41" s="31" t="str">
        <f t="shared" si="10"/>
        <v/>
      </c>
      <c r="R41" s="14">
        <f t="shared" si="23"/>
        <v>0</v>
      </c>
      <c r="S41" s="7">
        <v>167.09</v>
      </c>
      <c r="T41" s="7">
        <f t="shared" ref="T41:T42" si="34">S41</f>
        <v>167.09</v>
      </c>
      <c r="U41" s="7">
        <v>44.81</v>
      </c>
      <c r="V41" s="7">
        <f t="shared" si="11"/>
        <v>24.709069638569055</v>
      </c>
      <c r="W41" s="7">
        <f t="shared" si="12"/>
        <v>4.1286384459085036E-2</v>
      </c>
      <c r="X41" s="14">
        <f t="shared" si="24"/>
        <v>4.1286384459085035</v>
      </c>
      <c r="Y41" s="7">
        <v>211.54</v>
      </c>
      <c r="Z41" s="7">
        <f t="shared" si="33"/>
        <v>211.54</v>
      </c>
      <c r="AA41" s="7">
        <v>76.17</v>
      </c>
      <c r="AB41" s="7">
        <f t="shared" si="13"/>
        <v>34.559605530310364</v>
      </c>
      <c r="AC41" s="7">
        <f t="shared" si="14"/>
        <v>7.3107389538818554E-2</v>
      </c>
      <c r="AD41" s="14">
        <f t="shared" si="25"/>
        <v>7.310738953881855</v>
      </c>
      <c r="AE41" s="7"/>
      <c r="AF41" s="40"/>
      <c r="AG41" s="40"/>
      <c r="AH41" s="40" t="str">
        <f t="shared" si="15"/>
        <v/>
      </c>
      <c r="AI41" s="40" t="str">
        <f t="shared" si="16"/>
        <v/>
      </c>
      <c r="AJ41" s="14">
        <f t="shared" si="3"/>
        <v>0</v>
      </c>
      <c r="AK41" s="14">
        <f t="shared" si="17"/>
        <v>7.310738953881855</v>
      </c>
      <c r="AL41" s="14">
        <f>X41</f>
        <v>4.1286384459085035</v>
      </c>
      <c r="AM41" s="124">
        <f t="shared" si="31"/>
        <v>36.091461113820465</v>
      </c>
      <c r="AN41" s="40">
        <f t="shared" si="19"/>
        <v>63.908538886179535</v>
      </c>
      <c r="AO41" s="40">
        <f t="shared" si="20"/>
        <v>0</v>
      </c>
    </row>
    <row r="42" spans="2:41" x14ac:dyDescent="0.3">
      <c r="B42" s="186" t="s">
        <v>11</v>
      </c>
      <c r="C42" s="187">
        <v>4</v>
      </c>
      <c r="D42" s="7">
        <v>4.38</v>
      </c>
      <c r="E42" s="7">
        <v>308.87</v>
      </c>
      <c r="F42" s="7">
        <v>97.15</v>
      </c>
      <c r="G42" s="8">
        <f t="shared" si="5"/>
        <v>30.554006625774921</v>
      </c>
      <c r="H42" s="186">
        <v>1</v>
      </c>
      <c r="I42" s="7">
        <f t="shared" si="21"/>
        <v>0.59274772854003344</v>
      </c>
      <c r="J42" s="7">
        <f t="shared" si="6"/>
        <v>0.10976809787778397</v>
      </c>
      <c r="K42" s="7">
        <f t="shared" si="7"/>
        <v>10.976809787778398</v>
      </c>
      <c r="L42" s="187"/>
      <c r="M42" s="31"/>
      <c r="N42" s="31"/>
      <c r="O42" s="31"/>
      <c r="P42" s="31" t="str">
        <f t="shared" si="9"/>
        <v/>
      </c>
      <c r="Q42" s="31" t="str">
        <f t="shared" si="10"/>
        <v/>
      </c>
      <c r="R42" s="14">
        <f t="shared" si="23"/>
        <v>0</v>
      </c>
      <c r="S42" s="7">
        <v>309.75</v>
      </c>
      <c r="T42" s="7">
        <f t="shared" si="34"/>
        <v>309.75</v>
      </c>
      <c r="U42" s="7">
        <v>69.36</v>
      </c>
      <c r="V42" s="7">
        <f t="shared" si="11"/>
        <v>21.201691415085065</v>
      </c>
      <c r="W42" s="7">
        <f t="shared" si="12"/>
        <v>6.5672239158225995E-2</v>
      </c>
      <c r="X42" s="14">
        <f t="shared" si="24"/>
        <v>6.5672239158226002</v>
      </c>
      <c r="Y42" s="7">
        <v>221.79</v>
      </c>
      <c r="Z42" s="7">
        <f t="shared" si="33"/>
        <v>221.79</v>
      </c>
      <c r="AA42" s="7">
        <v>68</v>
      </c>
      <c r="AB42" s="7">
        <f t="shared" si="13"/>
        <v>29.164939431624525</v>
      </c>
      <c r="AC42" s="7">
        <f t="shared" si="14"/>
        <v>6.4684919165400034E-2</v>
      </c>
      <c r="AD42" s="14">
        <f t="shared" si="25"/>
        <v>6.4684919165400041</v>
      </c>
      <c r="AE42" s="7"/>
      <c r="AF42" s="40"/>
      <c r="AG42" s="40"/>
      <c r="AH42" s="40" t="str">
        <f t="shared" si="15"/>
        <v/>
      </c>
      <c r="AI42" s="40" t="str">
        <f t="shared" si="16"/>
        <v/>
      </c>
      <c r="AJ42" s="14"/>
      <c r="AK42" s="14">
        <f t="shared" si="17"/>
        <v>6.4684919165400041</v>
      </c>
      <c r="AL42" s="14">
        <f t="shared" si="18"/>
        <v>6.5672239158226002</v>
      </c>
      <c r="AM42" s="124">
        <f t="shared" si="31"/>
        <v>50.378698034508709</v>
      </c>
      <c r="AN42" s="40">
        <f t="shared" si="19"/>
        <v>49.621301965491291</v>
      </c>
      <c r="AO42" s="40">
        <f t="shared" si="20"/>
        <v>0</v>
      </c>
    </row>
    <row r="43" spans="2:41" x14ac:dyDescent="0.3">
      <c r="B43" s="186" t="s">
        <v>11</v>
      </c>
      <c r="C43" s="187">
        <v>5</v>
      </c>
      <c r="D43" s="7">
        <v>3.22</v>
      </c>
      <c r="E43" s="7">
        <v>206.89</v>
      </c>
      <c r="F43" s="7">
        <v>80.599999999999994</v>
      </c>
      <c r="G43" s="8">
        <f t="shared" si="5"/>
        <v>37.754448223175118</v>
      </c>
      <c r="H43" s="186">
        <v>1</v>
      </c>
      <c r="I43" s="7">
        <f t="shared" si="21"/>
        <v>0.294484696140766</v>
      </c>
      <c r="J43" s="7">
        <f t="shared" si="6"/>
        <v>5.4534202989030736E-2</v>
      </c>
      <c r="K43" s="7">
        <f t="shared" si="7"/>
        <v>5.4534202989030733</v>
      </c>
      <c r="L43" s="187"/>
      <c r="M43" s="31"/>
      <c r="N43" s="31"/>
      <c r="O43" s="31"/>
      <c r="P43" s="31" t="str">
        <f t="shared" si="9"/>
        <v/>
      </c>
      <c r="Q43" s="31" t="str">
        <f t="shared" si="10"/>
        <v/>
      </c>
      <c r="R43" s="14">
        <f t="shared" si="23"/>
        <v>0</v>
      </c>
      <c r="S43" s="31"/>
      <c r="T43" s="31"/>
      <c r="U43" s="31"/>
      <c r="V43" s="31" t="str">
        <f t="shared" si="11"/>
        <v/>
      </c>
      <c r="W43" s="31" t="str">
        <f t="shared" si="12"/>
        <v/>
      </c>
      <c r="X43" s="14">
        <f t="shared" si="24"/>
        <v>0</v>
      </c>
      <c r="Y43" s="7">
        <v>253.67</v>
      </c>
      <c r="Z43" s="7">
        <f t="shared" si="33"/>
        <v>253.67</v>
      </c>
      <c r="AA43" s="7">
        <v>91.91</v>
      </c>
      <c r="AB43" s="7">
        <f t="shared" si="13"/>
        <v>35.033535483352743</v>
      </c>
      <c r="AC43" s="7">
        <f t="shared" si="14"/>
        <v>8.8869569460620912E-2</v>
      </c>
      <c r="AD43" s="14">
        <f t="shared" si="25"/>
        <v>8.8869569460620923</v>
      </c>
      <c r="AE43" s="7"/>
      <c r="AF43" s="40"/>
      <c r="AG43" s="40"/>
      <c r="AH43" s="40" t="str">
        <f t="shared" si="15"/>
        <v/>
      </c>
      <c r="AI43" s="40" t="str">
        <f t="shared" si="16"/>
        <v/>
      </c>
      <c r="AJ43" s="14">
        <f t="shared" ref="AJ43" si="35">IF(AF43&gt;0,AI43*10000/100,0)</f>
        <v>0</v>
      </c>
      <c r="AK43" s="14">
        <f t="shared" si="17"/>
        <v>8.8869569460620923</v>
      </c>
      <c r="AL43" s="14"/>
      <c r="AM43" s="124"/>
      <c r="AN43" s="40">
        <f t="shared" si="19"/>
        <v>100</v>
      </c>
      <c r="AO43" s="40">
        <f t="shared" si="20"/>
        <v>0</v>
      </c>
    </row>
    <row r="44" spans="2:41" x14ac:dyDescent="0.3">
      <c r="B44" s="186" t="s">
        <v>11</v>
      </c>
      <c r="C44" s="187">
        <v>6</v>
      </c>
      <c r="D44" s="7">
        <v>5.3</v>
      </c>
      <c r="E44" s="7">
        <v>378.31</v>
      </c>
      <c r="F44" s="7">
        <v>103.66</v>
      </c>
      <c r="G44" s="8">
        <f t="shared" si="5"/>
        <v>26.624989981566081</v>
      </c>
      <c r="H44" s="186">
        <v>1</v>
      </c>
      <c r="I44" s="7">
        <f t="shared" si="21"/>
        <v>0.76147471347278994</v>
      </c>
      <c r="J44" s="7">
        <f t="shared" si="6"/>
        <v>0.14101383582829444</v>
      </c>
      <c r="K44" s="7">
        <f t="shared" si="7"/>
        <v>14.101383582829444</v>
      </c>
      <c r="L44" s="187"/>
      <c r="M44" s="7">
        <v>429.66</v>
      </c>
      <c r="N44" s="7">
        <v>292.08999999999997</v>
      </c>
      <c r="O44" s="7">
        <v>66.56</v>
      </c>
      <c r="P44" s="7">
        <f t="shared" si="9"/>
        <v>21.530218155248605</v>
      </c>
      <c r="Q44" s="7">
        <f t="shared" si="10"/>
        <v>9.2506735325841166E-2</v>
      </c>
      <c r="R44" s="14">
        <f t="shared" si="23"/>
        <v>9.2506735325841163</v>
      </c>
      <c r="S44" s="7">
        <v>145.38</v>
      </c>
      <c r="T44" s="7">
        <f t="shared" ref="T44:T46" si="36">S44</f>
        <v>145.38</v>
      </c>
      <c r="U44" s="7">
        <v>37.369999999999997</v>
      </c>
      <c r="V44" s="7">
        <f t="shared" si="11"/>
        <v>23.233830845771145</v>
      </c>
      <c r="W44" s="7">
        <f t="shared" si="12"/>
        <v>3.377734328358209E-2</v>
      </c>
      <c r="X44" s="14">
        <f t="shared" si="24"/>
        <v>3.3777343283582089</v>
      </c>
      <c r="Y44" s="31" t="str">
        <f t="shared" ref="Y44:Y47" si="37">IF(Z44&gt;0,Z44-$N$5,"")</f>
        <v/>
      </c>
      <c r="Z44" s="31"/>
      <c r="AA44" s="31"/>
      <c r="AB44" s="31" t="str">
        <f t="shared" si="13"/>
        <v/>
      </c>
      <c r="AC44" s="31" t="str">
        <f t="shared" si="14"/>
        <v/>
      </c>
      <c r="AD44" s="14">
        <f t="shared" si="25"/>
        <v>0</v>
      </c>
      <c r="AE44" s="7"/>
      <c r="AF44" s="40"/>
      <c r="AG44" s="40"/>
      <c r="AH44" s="40" t="str">
        <f t="shared" si="15"/>
        <v/>
      </c>
      <c r="AI44" s="40" t="str">
        <f t="shared" si="16"/>
        <v/>
      </c>
      <c r="AJ44" s="14">
        <f t="shared" si="3"/>
        <v>0</v>
      </c>
      <c r="AK44" s="14">
        <f t="shared" si="17"/>
        <v>9.2506735325841163</v>
      </c>
      <c r="AL44" s="14">
        <f t="shared" si="18"/>
        <v>3.3777343283582089</v>
      </c>
      <c r="AM44" s="124">
        <f t="shared" si="31"/>
        <v>26.747111477172105</v>
      </c>
      <c r="AN44" s="40">
        <f t="shared" si="19"/>
        <v>73.252888522827902</v>
      </c>
      <c r="AO44" s="40">
        <f t="shared" si="20"/>
        <v>0</v>
      </c>
    </row>
    <row r="45" spans="2:41" x14ac:dyDescent="0.3">
      <c r="B45" s="186" t="s">
        <v>11</v>
      </c>
      <c r="C45" s="187">
        <v>7</v>
      </c>
      <c r="D45" s="7">
        <v>5.14</v>
      </c>
      <c r="E45" s="7">
        <v>287.74</v>
      </c>
      <c r="F45" s="7">
        <v>78.77</v>
      </c>
      <c r="G45" s="8">
        <f t="shared" si="5"/>
        <v>26.351589483329807</v>
      </c>
      <c r="H45" s="186">
        <v>1</v>
      </c>
      <c r="I45" s="7">
        <f t="shared" si="21"/>
        <v>0.71149291604990472</v>
      </c>
      <c r="J45" s="7">
        <f t="shared" si="6"/>
        <v>0.13175794741664901</v>
      </c>
      <c r="K45" s="7">
        <f t="shared" si="7"/>
        <v>13.175794741664902</v>
      </c>
      <c r="L45" s="187"/>
      <c r="M45" s="7">
        <v>305.63</v>
      </c>
      <c r="N45" s="7">
        <v>202.37</v>
      </c>
      <c r="O45" s="7">
        <v>50</v>
      </c>
      <c r="P45" s="7">
        <f t="shared" si="9"/>
        <v>22.92478122312712</v>
      </c>
      <c r="Q45" s="7">
        <f t="shared" si="10"/>
        <v>7.0065008852243413E-2</v>
      </c>
      <c r="R45" s="14">
        <f t="shared" si="23"/>
        <v>7.0065008852243409</v>
      </c>
      <c r="S45" s="7">
        <v>213.01</v>
      </c>
      <c r="T45" s="7">
        <f t="shared" si="36"/>
        <v>213.01</v>
      </c>
      <c r="U45" s="7">
        <v>54.87</v>
      </c>
      <c r="V45" s="7">
        <f t="shared" si="11"/>
        <v>24.091585465367444</v>
      </c>
      <c r="W45" s="7">
        <f t="shared" si="12"/>
        <v>5.1317486199779189E-2</v>
      </c>
      <c r="X45" s="14">
        <f t="shared" si="24"/>
        <v>5.1317486199779196</v>
      </c>
      <c r="Y45" s="31" t="str">
        <f t="shared" si="37"/>
        <v/>
      </c>
      <c r="Z45" s="31"/>
      <c r="AA45" s="31"/>
      <c r="AB45" s="31" t="str">
        <f t="shared" si="13"/>
        <v/>
      </c>
      <c r="AC45" s="31" t="str">
        <f t="shared" si="14"/>
        <v/>
      </c>
      <c r="AD45" s="14">
        <f t="shared" si="25"/>
        <v>0</v>
      </c>
      <c r="AE45" s="7"/>
      <c r="AF45" s="40"/>
      <c r="AG45" s="40"/>
      <c r="AH45" s="40" t="str">
        <f t="shared" si="15"/>
        <v/>
      </c>
      <c r="AI45" s="40" t="str">
        <f t="shared" si="16"/>
        <v/>
      </c>
      <c r="AJ45" s="14">
        <f t="shared" si="3"/>
        <v>0</v>
      </c>
      <c r="AK45" s="14">
        <f t="shared" si="17"/>
        <v>7.0065008852243409</v>
      </c>
      <c r="AL45" s="14">
        <f t="shared" si="18"/>
        <v>5.1317486199779196</v>
      </c>
      <c r="AM45" s="124">
        <f t="shared" si="31"/>
        <v>42.2775015275352</v>
      </c>
      <c r="AN45" s="40">
        <f t="shared" si="19"/>
        <v>57.7224984724648</v>
      </c>
      <c r="AO45" s="40">
        <f t="shared" si="20"/>
        <v>0</v>
      </c>
    </row>
    <row r="46" spans="2:41" x14ac:dyDescent="0.3">
      <c r="B46" s="186" t="s">
        <v>11</v>
      </c>
      <c r="C46" s="187">
        <v>8</v>
      </c>
      <c r="D46" s="7">
        <v>3.02</v>
      </c>
      <c r="E46" s="7">
        <v>282.43</v>
      </c>
      <c r="F46" s="7">
        <v>102.28</v>
      </c>
      <c r="G46" s="8">
        <f t="shared" si="5"/>
        <v>35.297920482706601</v>
      </c>
      <c r="H46" s="186">
        <v>1</v>
      </c>
      <c r="I46" s="7">
        <f t="shared" si="21"/>
        <v>0.20472793879969831</v>
      </c>
      <c r="J46" s="7">
        <f t="shared" si="6"/>
        <v>3.7912581259203389E-2</v>
      </c>
      <c r="K46" s="7">
        <f t="shared" si="7"/>
        <v>3.7912581259203386</v>
      </c>
      <c r="L46" s="187"/>
      <c r="M46" s="7">
        <v>272.81</v>
      </c>
      <c r="N46" s="7">
        <f>M46</f>
        <v>272.81</v>
      </c>
      <c r="O46" s="7">
        <v>79.61</v>
      </c>
      <c r="P46" s="7">
        <f t="shared" si="9"/>
        <v>27.945399619587519</v>
      </c>
      <c r="Q46" s="7">
        <f t="shared" si="10"/>
        <v>7.6237844702196716E-2</v>
      </c>
      <c r="R46" s="14">
        <f t="shared" si="23"/>
        <v>7.6237844702196718</v>
      </c>
      <c r="S46" s="7">
        <v>77.290000000000006</v>
      </c>
      <c r="T46" s="7">
        <f t="shared" si="36"/>
        <v>77.290000000000006</v>
      </c>
      <c r="U46" s="7">
        <v>25.3</v>
      </c>
      <c r="V46" s="7">
        <f t="shared" si="11"/>
        <v>28.39829224624707</v>
      </c>
      <c r="W46" s="7">
        <f t="shared" si="12"/>
        <v>2.1949040077124362E-2</v>
      </c>
      <c r="X46" s="14">
        <f t="shared" si="24"/>
        <v>2.1949040077124362</v>
      </c>
      <c r="Y46" s="31" t="str">
        <f t="shared" si="37"/>
        <v/>
      </c>
      <c r="Z46" s="31"/>
      <c r="AA46" s="31"/>
      <c r="AB46" s="31" t="str">
        <f t="shared" si="13"/>
        <v/>
      </c>
      <c r="AC46" s="31" t="str">
        <f t="shared" si="14"/>
        <v/>
      </c>
      <c r="AD46" s="14">
        <f t="shared" si="25"/>
        <v>0</v>
      </c>
      <c r="AE46" s="7"/>
      <c r="AF46" s="40"/>
      <c r="AG46" s="40"/>
      <c r="AH46" s="40" t="str">
        <f t="shared" si="15"/>
        <v/>
      </c>
      <c r="AI46" s="40" t="str">
        <f t="shared" si="16"/>
        <v/>
      </c>
      <c r="AJ46" s="14">
        <f t="shared" si="3"/>
        <v>0</v>
      </c>
      <c r="AK46" s="14">
        <f t="shared" si="17"/>
        <v>7.6237844702196718</v>
      </c>
      <c r="AL46" s="14">
        <f t="shared" si="18"/>
        <v>2.1949040077124362</v>
      </c>
      <c r="AM46" s="124">
        <f t="shared" si="31"/>
        <v>22.35435020314139</v>
      </c>
      <c r="AN46" s="40">
        <f t="shared" si="19"/>
        <v>77.645649796858621</v>
      </c>
      <c r="AO46" s="40">
        <f t="shared" si="20"/>
        <v>0</v>
      </c>
    </row>
    <row r="47" spans="2:41" x14ac:dyDescent="0.3">
      <c r="B47" s="186" t="s">
        <v>11</v>
      </c>
      <c r="C47" s="187">
        <v>9</v>
      </c>
      <c r="D47" s="7">
        <v>3.18</v>
      </c>
      <c r="E47" s="7">
        <v>243.7</v>
      </c>
      <c r="F47" s="7">
        <v>92.48</v>
      </c>
      <c r="G47" s="8">
        <f t="shared" si="5"/>
        <v>36.912807676261998</v>
      </c>
      <c r="H47" s="186">
        <v>1</v>
      </c>
      <c r="I47" s="7">
        <f t="shared" si="21"/>
        <v>0.27315477680433886</v>
      </c>
      <c r="J47" s="7">
        <f t="shared" si="6"/>
        <v>5.0584217926729416E-2</v>
      </c>
      <c r="K47" s="7">
        <f t="shared" si="7"/>
        <v>5.0584217926729416</v>
      </c>
      <c r="L47" s="187"/>
      <c r="M47" s="7">
        <v>303.51</v>
      </c>
      <c r="N47" s="7">
        <v>165.19</v>
      </c>
      <c r="O47" s="7">
        <v>61.72</v>
      </c>
      <c r="P47" s="7">
        <f t="shared" si="9"/>
        <v>35.536726683695726</v>
      </c>
      <c r="Q47" s="7">
        <f t="shared" si="10"/>
        <v>0.10785751915768489</v>
      </c>
      <c r="R47" s="14">
        <f t="shared" si="23"/>
        <v>10.78575191576849</v>
      </c>
      <c r="S47" s="31"/>
      <c r="T47" s="31"/>
      <c r="U47" s="31"/>
      <c r="V47" s="31" t="str">
        <f t="shared" si="11"/>
        <v/>
      </c>
      <c r="W47" s="31" t="str">
        <f t="shared" si="12"/>
        <v/>
      </c>
      <c r="X47" s="14">
        <f t="shared" si="24"/>
        <v>0</v>
      </c>
      <c r="Y47" s="31" t="str">
        <f t="shared" si="37"/>
        <v/>
      </c>
      <c r="Z47" s="31"/>
      <c r="AA47" s="31"/>
      <c r="AB47" s="31" t="str">
        <f t="shared" si="13"/>
        <v/>
      </c>
      <c r="AC47" s="31" t="str">
        <f t="shared" si="14"/>
        <v/>
      </c>
      <c r="AD47" s="14">
        <f t="shared" si="25"/>
        <v>0</v>
      </c>
      <c r="AE47" s="7"/>
      <c r="AF47" s="40"/>
      <c r="AG47" s="40"/>
      <c r="AH47" s="40" t="str">
        <f t="shared" si="15"/>
        <v/>
      </c>
      <c r="AI47" s="40" t="str">
        <f t="shared" si="16"/>
        <v/>
      </c>
      <c r="AJ47" s="14">
        <f t="shared" si="3"/>
        <v>0</v>
      </c>
      <c r="AK47" s="14">
        <f t="shared" si="17"/>
        <v>10.78575191576849</v>
      </c>
      <c r="AL47" s="14"/>
      <c r="AM47" s="124"/>
      <c r="AN47" s="40">
        <f t="shared" si="19"/>
        <v>100</v>
      </c>
      <c r="AO47" s="40">
        <f t="shared" si="20"/>
        <v>0</v>
      </c>
    </row>
  </sheetData>
  <autoFilter ref="B11:AK11" xr:uid="{00000000-0009-0000-0000-000001000000}"/>
  <conditionalFormatting sqref="G12:G47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2:P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V12:W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B12:AC47">
    <cfRule type="colorScale" priority="8">
      <colorScale>
        <cfvo type="min"/>
        <cfvo type="max"/>
        <color rgb="FFFCFCFF"/>
        <color rgb="FF63BE7B"/>
      </colorScale>
    </cfRule>
  </conditionalFormatting>
  <conditionalFormatting sqref="AH12:AI47">
    <cfRule type="colorScale" priority="7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X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D56A-EB38-404A-8E30-188C5AE48C3C}">
  <sheetPr>
    <tabColor theme="8" tint="0.79998168889431442"/>
  </sheetPr>
  <dimension ref="B2:AZ52"/>
  <sheetViews>
    <sheetView zoomScale="53" zoomScaleNormal="80" workbookViewId="0">
      <pane xSplit="3" topLeftCell="D1" activePane="topRight" state="frozen"/>
      <selection pane="topRight" activeCell="E13" sqref="E13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9.08203125" style="122" customWidth="1"/>
    <col min="5" max="5" width="14.6640625" style="3" customWidth="1"/>
    <col min="6" max="6" width="14.6640625" style="158" customWidth="1"/>
    <col min="7" max="7" width="11" style="3" customWidth="1"/>
    <col min="8" max="8" width="10.08203125" style="3" customWidth="1"/>
    <col min="9" max="9" width="11.6640625" style="3" customWidth="1"/>
    <col min="10" max="10" width="9.9140625" style="3" customWidth="1"/>
    <col min="11" max="11" width="15.4140625" style="3" customWidth="1"/>
    <col min="12" max="12" width="11" style="3" customWidth="1"/>
    <col min="13" max="13" width="10.4140625" style="3" customWidth="1"/>
    <col min="14" max="14" width="9.58203125" style="3" customWidth="1"/>
    <col min="15" max="15" width="10.6640625" style="3"/>
    <col min="16" max="16" width="11" style="158"/>
    <col min="17" max="18" width="8.08203125" style="3" bestFit="1" customWidth="1"/>
    <col min="19" max="19" width="8.08203125" style="3" customWidth="1"/>
    <col min="20" max="20" width="12.4140625" style="3" bestFit="1" customWidth="1"/>
    <col min="21" max="21" width="11.6640625" style="3" bestFit="1" customWidth="1"/>
    <col min="22" max="22" width="9.9140625" style="3" customWidth="1"/>
    <col min="23" max="24" width="9.9140625" style="158" customWidth="1"/>
    <col min="25" max="25" width="8.9140625" style="3" customWidth="1"/>
    <col min="26" max="26" width="8.08203125" style="3" bestFit="1" customWidth="1"/>
    <col min="27" max="27" width="8.08203125" style="3" customWidth="1"/>
    <col min="28" max="28" width="12.4140625" style="3" bestFit="1" customWidth="1"/>
    <col min="29" max="29" width="11.6640625" style="3" bestFit="1" customWidth="1"/>
    <col min="30" max="32" width="9.9140625" customWidth="1"/>
    <col min="33" max="34" width="8.08203125" bestFit="1" customWidth="1"/>
    <col min="35" max="35" width="8.08203125" customWidth="1"/>
    <col min="36" max="36" width="12.4140625" bestFit="1" customWidth="1"/>
    <col min="37" max="37" width="11.6640625" bestFit="1" customWidth="1"/>
    <col min="38" max="38" width="8.08203125" customWidth="1"/>
    <col min="39" max="39" width="8.58203125" bestFit="1" customWidth="1"/>
    <col min="40" max="40" width="8.6640625" bestFit="1" customWidth="1"/>
    <col min="41" max="41" width="10.4140625" customWidth="1"/>
    <col min="42" max="42" width="12.4140625" bestFit="1" customWidth="1"/>
    <col min="43" max="43" width="11.6640625" bestFit="1" customWidth="1"/>
  </cols>
  <sheetData>
    <row r="2" spans="2:52" ht="44.5" thickBot="1" x14ac:dyDescent="0.35">
      <c r="B2" s="4" t="s">
        <v>0</v>
      </c>
      <c r="G2" s="12" t="s">
        <v>19</v>
      </c>
      <c r="AD2" s="11" t="s">
        <v>15</v>
      </c>
      <c r="AE2" s="11" t="s">
        <v>35</v>
      </c>
      <c r="AF2" s="11" t="s">
        <v>14</v>
      </c>
      <c r="AG2" s="11" t="s">
        <v>16</v>
      </c>
      <c r="AH2" s="11" t="s">
        <v>8</v>
      </c>
      <c r="AI2" s="11" t="s">
        <v>27</v>
      </c>
      <c r="AJ2" s="13" t="s">
        <v>28</v>
      </c>
    </row>
    <row r="3" spans="2:52" x14ac:dyDescent="0.3">
      <c r="B3" s="1" t="s">
        <v>4</v>
      </c>
      <c r="Y3" s="40">
        <v>417.17</v>
      </c>
      <c r="AD3" s="153">
        <v>456.39</v>
      </c>
      <c r="AE3" s="153">
        <f>1188.08+538.29</f>
        <v>1726.37</v>
      </c>
      <c r="AF3" s="7">
        <f>SUM(AD3:AE3)</f>
        <v>2182.7599999999998</v>
      </c>
      <c r="AG3" s="40">
        <v>69.930000000000007</v>
      </c>
      <c r="AH3" s="7" t="e">
        <f>IF(AF3&gt;0,((AG3-$O$5)/(AF3-$O$5))*100,"")</f>
        <v>#VALUE!</v>
      </c>
      <c r="AI3" s="7" t="e">
        <f>IF(AG3&gt;0,((AH3/100)*AF3)/$O$7/1000,"")</f>
        <v>#VALUE!</v>
      </c>
      <c r="AJ3" s="14" t="e">
        <f>IF(AF3&gt;0,AI3*10000/100,0)</f>
        <v>#VALUE!</v>
      </c>
    </row>
    <row r="4" spans="2:52" ht="14.5" thickBot="1" x14ac:dyDescent="0.35">
      <c r="G4" s="160">
        <v>2.1629999999999998</v>
      </c>
      <c r="H4" s="160">
        <v>2.4159999999999999</v>
      </c>
    </row>
    <row r="5" spans="2:52" x14ac:dyDescent="0.3">
      <c r="E5" s="25" t="s">
        <v>31</v>
      </c>
      <c r="F5" s="128"/>
      <c r="G5" s="161">
        <f>G4+H4</f>
        <v>4.5789999999999997</v>
      </c>
      <c r="H5" s="27" t="s">
        <v>20</v>
      </c>
      <c r="I5" s="160"/>
      <c r="O5" s="25" t="s">
        <v>21</v>
      </c>
      <c r="P5" s="128"/>
      <c r="Q5" s="26">
        <v>7.18</v>
      </c>
      <c r="R5" s="27" t="s">
        <v>22</v>
      </c>
      <c r="S5" s="35"/>
      <c r="T5" s="34" t="s">
        <v>33</v>
      </c>
      <c r="U5" s="32"/>
      <c r="V5" s="32"/>
      <c r="W5" s="32"/>
      <c r="X5" s="32"/>
      <c r="AB5" s="43"/>
      <c r="AC5" s="43"/>
      <c r="AD5" s="44"/>
      <c r="AE5" s="44"/>
      <c r="AF5" s="44"/>
    </row>
    <row r="6" spans="2:52" x14ac:dyDescent="0.3">
      <c r="E6" s="29" t="s">
        <v>32</v>
      </c>
      <c r="F6" s="129"/>
      <c r="G6" s="21">
        <v>7.18</v>
      </c>
      <c r="H6" s="30" t="s">
        <v>22</v>
      </c>
      <c r="O6" s="29"/>
      <c r="P6" s="129"/>
      <c r="Q6" s="20"/>
      <c r="R6" s="30"/>
      <c r="S6" s="35"/>
      <c r="T6" s="35"/>
      <c r="U6" s="35"/>
    </row>
    <row r="7" spans="2:52" ht="28.5" thickBot="1" x14ac:dyDescent="0.35">
      <c r="E7" s="22" t="s">
        <v>24</v>
      </c>
      <c r="F7" s="130"/>
      <c r="G7" s="23">
        <v>5.4</v>
      </c>
      <c r="H7" s="24" t="s">
        <v>23</v>
      </c>
      <c r="O7" s="22" t="s">
        <v>24</v>
      </c>
      <c r="P7" s="130"/>
      <c r="Q7" s="23">
        <v>1</v>
      </c>
      <c r="R7" s="24" t="s">
        <v>23</v>
      </c>
      <c r="S7" s="35"/>
      <c r="T7" s="35"/>
      <c r="U7" s="35"/>
    </row>
    <row r="9" spans="2:52" x14ac:dyDescent="0.3">
      <c r="C9" s="6"/>
      <c r="D9" s="20"/>
      <c r="E9" s="5" t="s">
        <v>5</v>
      </c>
      <c r="F9" s="5"/>
      <c r="N9" s="6"/>
      <c r="O9" s="5" t="s">
        <v>13</v>
      </c>
      <c r="P9" s="5"/>
      <c r="Q9" s="49"/>
      <c r="R9" s="49"/>
      <c r="S9" s="49"/>
      <c r="T9" s="49"/>
      <c r="U9" s="50"/>
      <c r="V9" s="5" t="s">
        <v>17</v>
      </c>
      <c r="W9" s="5"/>
      <c r="X9" s="5"/>
      <c r="Y9" s="49"/>
      <c r="Z9" s="49"/>
      <c r="AA9" s="49"/>
      <c r="AB9" s="49"/>
      <c r="AC9" s="50"/>
      <c r="AD9" s="5" t="s">
        <v>18</v>
      </c>
      <c r="AE9" s="5"/>
      <c r="AF9" s="5"/>
      <c r="AG9" s="51"/>
      <c r="AH9" s="51"/>
      <c r="AI9" s="51"/>
      <c r="AJ9" s="51"/>
      <c r="AK9" s="52"/>
      <c r="AL9" s="53" t="s">
        <v>34</v>
      </c>
    </row>
    <row r="10" spans="2:52" ht="13.15" customHeight="1" x14ac:dyDescent="0.3">
      <c r="C10" s="6"/>
      <c r="D10" s="20"/>
      <c r="E10" s="28" t="s">
        <v>30</v>
      </c>
      <c r="F10" s="28"/>
      <c r="I10" s="28" t="s">
        <v>29</v>
      </c>
      <c r="N10" s="6"/>
      <c r="O10" s="28" t="s">
        <v>30</v>
      </c>
      <c r="P10" s="28"/>
      <c r="Q10" s="28"/>
      <c r="R10" s="45"/>
      <c r="S10" s="45" t="s">
        <v>29</v>
      </c>
      <c r="T10" s="45"/>
      <c r="U10" s="46"/>
      <c r="V10" s="28" t="s">
        <v>30</v>
      </c>
      <c r="W10" s="28"/>
      <c r="X10" s="28"/>
      <c r="Y10" s="28"/>
      <c r="Z10" s="45"/>
      <c r="AA10" s="45" t="s">
        <v>29</v>
      </c>
      <c r="AB10" s="45"/>
      <c r="AC10" s="46"/>
      <c r="AD10" s="47" t="s">
        <v>30</v>
      </c>
      <c r="AE10" s="47"/>
      <c r="AF10" s="47"/>
      <c r="AG10" s="28"/>
      <c r="AH10" s="28"/>
      <c r="AI10" s="28" t="s">
        <v>29</v>
      </c>
      <c r="AJ10" s="28"/>
      <c r="AK10" s="46"/>
      <c r="AL10" s="28" t="s">
        <v>30</v>
      </c>
      <c r="AM10" s="48"/>
      <c r="AN10" s="48"/>
      <c r="AO10" s="48" t="s">
        <v>29</v>
      </c>
      <c r="AP10" s="48"/>
      <c r="AQ10" s="39"/>
    </row>
    <row r="11" spans="2:52" s="2" customFormat="1" ht="93" customHeight="1" thickBot="1" x14ac:dyDescent="0.35">
      <c r="B11" s="9" t="s">
        <v>1</v>
      </c>
      <c r="C11" s="10" t="s">
        <v>3</v>
      </c>
      <c r="D11" s="2" t="s">
        <v>93</v>
      </c>
      <c r="E11" s="11" t="s">
        <v>25</v>
      </c>
      <c r="F11" s="11"/>
      <c r="G11" s="11" t="s">
        <v>7</v>
      </c>
      <c r="H11" s="11" t="s">
        <v>6</v>
      </c>
      <c r="I11" s="11" t="s">
        <v>8</v>
      </c>
      <c r="J11" s="11" t="s">
        <v>12</v>
      </c>
      <c r="K11" s="11" t="s">
        <v>26</v>
      </c>
      <c r="L11" s="11" t="s">
        <v>27</v>
      </c>
      <c r="M11" s="11" t="s">
        <v>28</v>
      </c>
      <c r="N11" s="10"/>
      <c r="O11" s="11" t="s">
        <v>103</v>
      </c>
      <c r="P11" s="11" t="s">
        <v>35</v>
      </c>
      <c r="Q11" s="11" t="s">
        <v>14</v>
      </c>
      <c r="R11" s="11" t="s">
        <v>16</v>
      </c>
      <c r="S11" s="11" t="s">
        <v>8</v>
      </c>
      <c r="T11" s="11" t="s">
        <v>27</v>
      </c>
      <c r="U11" s="13" t="s">
        <v>28</v>
      </c>
      <c r="V11" s="11" t="s">
        <v>103</v>
      </c>
      <c r="W11" s="11" t="s">
        <v>35</v>
      </c>
      <c r="X11" s="11"/>
      <c r="Y11" s="11" t="s">
        <v>14</v>
      </c>
      <c r="Z11" s="11" t="s">
        <v>16</v>
      </c>
      <c r="AA11" s="11" t="s">
        <v>8</v>
      </c>
      <c r="AB11" s="11" t="s">
        <v>27</v>
      </c>
      <c r="AC11" s="13" t="s">
        <v>28</v>
      </c>
      <c r="AD11" s="11" t="s">
        <v>103</v>
      </c>
      <c r="AE11" s="11" t="s">
        <v>35</v>
      </c>
      <c r="AF11" s="11"/>
      <c r="AG11" s="11" t="s">
        <v>14</v>
      </c>
      <c r="AH11" s="11" t="s">
        <v>16</v>
      </c>
      <c r="AI11" s="11" t="s">
        <v>8</v>
      </c>
      <c r="AJ11" s="11" t="s">
        <v>27</v>
      </c>
      <c r="AK11" s="13" t="s">
        <v>28</v>
      </c>
      <c r="AL11" s="11" t="s">
        <v>14</v>
      </c>
      <c r="AM11" s="11" t="s">
        <v>35</v>
      </c>
      <c r="AN11" s="11" t="s">
        <v>36</v>
      </c>
      <c r="AO11" s="11" t="s">
        <v>8</v>
      </c>
      <c r="AP11" s="11" t="s">
        <v>27</v>
      </c>
      <c r="AQ11" s="11" t="s">
        <v>28</v>
      </c>
      <c r="AR11" s="11" t="s">
        <v>91</v>
      </c>
      <c r="AS11" s="11" t="s">
        <v>92</v>
      </c>
      <c r="AT11" s="219"/>
      <c r="AU11" s="123" t="s">
        <v>94</v>
      </c>
      <c r="AV11" s="123" t="s">
        <v>95</v>
      </c>
      <c r="AW11" s="123" t="s">
        <v>96</v>
      </c>
    </row>
    <row r="12" spans="2:52" x14ac:dyDescent="0.3">
      <c r="B12" s="3" t="s">
        <v>2</v>
      </c>
      <c r="C12" s="6">
        <v>1</v>
      </c>
      <c r="D12">
        <v>100</v>
      </c>
      <c r="E12" s="59">
        <f>11.94+12.64-G5</f>
        <v>20.000999999999998</v>
      </c>
      <c r="F12" s="57"/>
      <c r="G12" s="40">
        <v>799.74</v>
      </c>
      <c r="H12" s="67">
        <v>112.93</v>
      </c>
      <c r="I12" s="8">
        <f>((H12-$G$6)/(G12-$G$6))*100</f>
        <v>13.342838397092963</v>
      </c>
      <c r="J12" s="3">
        <v>1</v>
      </c>
      <c r="K12" s="7">
        <f>(E12)*(I12/100)</f>
        <v>2.6687011078025633</v>
      </c>
      <c r="L12" s="7">
        <f>K12/($G$7*J12)</f>
        <v>0.49420390885232651</v>
      </c>
      <c r="M12" s="7">
        <f>L12*10000/100</f>
        <v>49.420390885232656</v>
      </c>
      <c r="N12" s="6"/>
      <c r="O12" s="58"/>
      <c r="P12" s="107"/>
      <c r="Q12" s="61"/>
      <c r="R12" s="61"/>
      <c r="S12" s="37" t="str">
        <f>IF(O12&gt;0,((R12-$Q$5)/(Q12-$Q$5))*100,"")</f>
        <v/>
      </c>
      <c r="T12" s="37" t="str">
        <f>IF(O12&gt;0,((S12/100)*O12)/$Q$7/1000,"")</f>
        <v/>
      </c>
      <c r="U12" s="14">
        <f t="shared" ref="U12:U16" si="0">IF(Q12&gt;0,T12*10000/100,0)</f>
        <v>0</v>
      </c>
      <c r="V12" s="131">
        <v>591.35</v>
      </c>
      <c r="W12" s="131">
        <f>1395.74</f>
        <v>1395.74</v>
      </c>
      <c r="X12" s="131">
        <v>1720.41</v>
      </c>
      <c r="Y12" s="40">
        <f>SUM(V12:X12)</f>
        <v>3707.5</v>
      </c>
      <c r="Z12" s="40">
        <v>67.599999999999994</v>
      </c>
      <c r="AA12" s="36">
        <f t="shared" ref="AA12:AA15" si="1">IF(V12&gt;0,((Z12-$Q$5)/(V12-$Q$5))*100,"")</f>
        <v>10.342879641200334</v>
      </c>
      <c r="AB12" s="36">
        <f>IF(Y12&gt;0,((AA12/100)*Y12)/$Q$7/1000,"")</f>
        <v>0.38346226269750233</v>
      </c>
      <c r="AC12" s="14">
        <f t="shared" ref="AC12:AC46" si="2">IF(Y12&gt;0,AB12*10000/100,0)</f>
        <v>38.346226269750233</v>
      </c>
      <c r="AD12" s="31"/>
      <c r="AE12" s="31"/>
      <c r="AF12" s="31"/>
      <c r="AG12" s="31"/>
      <c r="AH12" s="31"/>
      <c r="AI12" s="31" t="str">
        <f t="shared" ref="AI12:AI47" si="3">IF(AD12&gt;0,((AH12-$Q$5)/(AG12-$Q$5))*100,"")</f>
        <v/>
      </c>
      <c r="AJ12" s="31" t="str">
        <f t="shared" ref="AJ12:AJ47" si="4">IF(AD12&gt;0,((AI12/100)*AD12)/$Q$7/1000,"")</f>
        <v/>
      </c>
      <c r="AK12" s="14">
        <f t="shared" ref="AK12:AK46" si="5">IF(AG12&gt;0,AJ12*10000/100,0)</f>
        <v>0</v>
      </c>
      <c r="AL12" s="38">
        <v>20.78</v>
      </c>
      <c r="AM12" s="38">
        <v>20.78</v>
      </c>
      <c r="AN12" s="15">
        <v>9.26</v>
      </c>
      <c r="AO12" s="15">
        <f t="shared" ref="AO12:AO47" si="6">IF(AL12&gt;0,((AN12-$Q$5)/(AM12-$Q$5))*100,"")</f>
        <v>15.294117647058822</v>
      </c>
      <c r="AP12" s="15">
        <f t="shared" ref="AP12:AP47" si="7">IF(AL12&gt;0,((AO12/100)*AL12)/$Q$7/1000,"")</f>
        <v>3.1781176470588235E-3</v>
      </c>
      <c r="AQ12" s="14">
        <f t="shared" ref="AQ12:AQ47" si="8">IF(AM12&gt;0,AP12*10000/100,0)</f>
        <v>0.31781176470588235</v>
      </c>
      <c r="AR12" s="14"/>
      <c r="AS12" s="14">
        <f>AC12</f>
        <v>38.346226269750233</v>
      </c>
      <c r="AT12" s="14"/>
      <c r="AU12" s="124">
        <f>IF((100/SUM(AQ12:AS12)*AS12),(100/SUM(AQ12:AS12)*AS12),"")</f>
        <v>99.178017142382657</v>
      </c>
      <c r="AV12" s="57" t="str">
        <f>IF((100/SUM(AQ12:AS12)*AR12),(100/SUM(AQ12:AS12)*AR12),"")</f>
        <v/>
      </c>
      <c r="AW12" s="57">
        <f>(100/SUM(AQ12:AS12)*AQ12)</f>
        <v>0.82198285761735235</v>
      </c>
    </row>
    <row r="13" spans="2:52" x14ac:dyDescent="0.3">
      <c r="B13" s="3" t="s">
        <v>2</v>
      </c>
      <c r="C13" s="6">
        <v>2</v>
      </c>
      <c r="D13">
        <v>75</v>
      </c>
      <c r="E13" s="59">
        <f>11.36+11-G5</f>
        <v>17.780999999999999</v>
      </c>
      <c r="F13" s="57"/>
      <c r="G13" s="40">
        <v>502.83</v>
      </c>
      <c r="H13" s="67">
        <v>139.24</v>
      </c>
      <c r="I13" s="8">
        <f t="shared" ref="I13:I47" si="9">((H13-$G$6)/(G13-$G$6))*100</f>
        <v>26.643801069302935</v>
      </c>
      <c r="J13" s="3">
        <v>1</v>
      </c>
      <c r="K13" s="7">
        <f t="shared" ref="K13:K47" si="10">(E13)*(I13/100)</f>
        <v>4.7375342681327544</v>
      </c>
      <c r="L13" s="7">
        <f t="shared" ref="L13:L47" si="11">K13/($G$7*J13)</f>
        <v>0.87732116076532485</v>
      </c>
      <c r="M13" s="7">
        <f t="shared" ref="M13:M47" si="12">L13*10000/100</f>
        <v>87.732116076532492</v>
      </c>
      <c r="N13" s="6"/>
      <c r="O13" s="58"/>
      <c r="P13" s="107"/>
      <c r="Q13" s="61"/>
      <c r="R13" s="61"/>
      <c r="S13" s="37" t="str">
        <f>IF(O13&gt;0,((R13-$Q$5)/(Q13-$Q$5))*100,"")</f>
        <v/>
      </c>
      <c r="T13" s="37" t="str">
        <f>IF(O13&gt;0,((S13/100)*O13)/$Q$7/1000,"")</f>
        <v/>
      </c>
      <c r="U13" s="14">
        <f t="shared" si="0"/>
        <v>0</v>
      </c>
      <c r="V13" s="131">
        <v>459.59</v>
      </c>
      <c r="W13" s="131">
        <v>1280.76</v>
      </c>
      <c r="X13" s="131"/>
      <c r="Y13" s="40">
        <f t="shared" ref="Y13:Y19" si="13">SUM(V13:X13)</f>
        <v>1740.35</v>
      </c>
      <c r="Z13" s="40">
        <v>60.16</v>
      </c>
      <c r="AA13" s="36">
        <f t="shared" si="1"/>
        <v>11.710616476205212</v>
      </c>
      <c r="AB13" s="36">
        <f>IF(Y13&gt;0,((AA13/100)*Y13)/$Q$7/1000,"")</f>
        <v>0.20380571384363738</v>
      </c>
      <c r="AC13" s="14">
        <f t="shared" si="2"/>
        <v>20.380571384363737</v>
      </c>
      <c r="AD13" s="38">
        <v>379.69</v>
      </c>
      <c r="AE13" s="38">
        <v>1323.44</v>
      </c>
      <c r="AF13" s="38"/>
      <c r="AG13" s="40">
        <f>SUM(AD13:AF13)</f>
        <v>1703.13</v>
      </c>
      <c r="AH13" s="15">
        <v>121.98</v>
      </c>
      <c r="AI13" s="36">
        <f t="shared" ref="AI13:AI16" si="14">IF(AD13&gt;0,((AH13-$Q$5)/(AD13-$Q$5))*100,"")</f>
        <v>30.817964618399511</v>
      </c>
      <c r="AJ13" s="7">
        <f>IF(AG13&gt;0,((AI13/100)*AG13)/$Q$7/1000,"")</f>
        <v>0.52487000080534763</v>
      </c>
      <c r="AK13" s="14">
        <f t="shared" si="5"/>
        <v>52.487000080534763</v>
      </c>
      <c r="AL13" s="15"/>
      <c r="AM13" s="15"/>
      <c r="AN13" s="15">
        <v>9.68</v>
      </c>
      <c r="AO13" s="15" t="str">
        <f t="shared" si="6"/>
        <v/>
      </c>
      <c r="AP13" s="15" t="str">
        <f t="shared" si="7"/>
        <v/>
      </c>
      <c r="AQ13" s="14">
        <f t="shared" si="8"/>
        <v>0</v>
      </c>
      <c r="AR13" s="14">
        <f t="shared" ref="AR13:AR47" si="15">U13+AK13</f>
        <v>52.487000080534763</v>
      </c>
      <c r="AS13" s="14">
        <f t="shared" ref="AS13:AS46" si="16">AC13</f>
        <v>20.380571384363737</v>
      </c>
      <c r="AT13" s="36"/>
      <c r="AU13" s="124">
        <f t="shared" ref="AU13:AU47" si="17">IF((100/SUM(AQ13:AS13)*AS13),(100/SUM(AQ13:AS13)*AS13),"")</f>
        <v>27.969329805620585</v>
      </c>
      <c r="AV13" s="57">
        <f t="shared" ref="AV13:AV47" si="18">IF((100/SUM(AQ13:AS13)*AR13),(100/SUM(AQ13:AS13)*AR13),"")</f>
        <v>72.030670194379411</v>
      </c>
      <c r="AW13" s="57">
        <f t="shared" ref="AW13:AW47" si="19">(100/SUM(AQ13:AS13)*AQ13)</f>
        <v>0</v>
      </c>
    </row>
    <row r="14" spans="2:52" x14ac:dyDescent="0.3">
      <c r="B14" s="20" t="s">
        <v>2</v>
      </c>
      <c r="C14" s="6">
        <v>3</v>
      </c>
      <c r="D14">
        <v>50</v>
      </c>
      <c r="E14" s="59">
        <f>10.6+7.34-G5</f>
        <v>13.360999999999997</v>
      </c>
      <c r="F14" s="57"/>
      <c r="G14" s="57">
        <v>640.1</v>
      </c>
      <c r="H14" s="67">
        <v>156.93</v>
      </c>
      <c r="I14" s="56">
        <f t="shared" si="9"/>
        <v>23.660178221576185</v>
      </c>
      <c r="J14" s="20">
        <v>1</v>
      </c>
      <c r="K14" s="7">
        <f t="shared" si="10"/>
        <v>3.1612364121847936</v>
      </c>
      <c r="L14" s="36">
        <f t="shared" si="11"/>
        <v>0.58541415040459133</v>
      </c>
      <c r="M14" s="36">
        <f t="shared" si="12"/>
        <v>58.541415040459135</v>
      </c>
      <c r="N14" s="6"/>
      <c r="O14" s="58"/>
      <c r="P14" s="107"/>
      <c r="Q14" s="107"/>
      <c r="R14" s="107"/>
      <c r="S14" s="37" t="str">
        <f>IF(O14&gt;0,((R14-$Q$5)/(Q14-$Q$5))*100,"")</f>
        <v/>
      </c>
      <c r="T14" s="37" t="str">
        <f>IF(O14&gt;0,((S14/100)*O14)/$Q$7/1000,"")</f>
        <v/>
      </c>
      <c r="U14" s="14">
        <f t="shared" si="0"/>
        <v>0</v>
      </c>
      <c r="V14" s="81">
        <v>288.37</v>
      </c>
      <c r="W14" s="81">
        <v>0</v>
      </c>
      <c r="X14" s="81"/>
      <c r="Y14" s="40">
        <f t="shared" si="13"/>
        <v>288.37</v>
      </c>
      <c r="Z14" s="57">
        <v>44.05</v>
      </c>
      <c r="AA14" s="36">
        <f t="shared" si="1"/>
        <v>13.112130587858742</v>
      </c>
      <c r="AB14" s="7">
        <f>IF(Y14&gt;0,((AA14/100)*Y14)/$Q$7/1000,"")</f>
        <v>3.7811450976208257E-2</v>
      </c>
      <c r="AC14" s="14">
        <f t="shared" si="2"/>
        <v>3.7811450976208256</v>
      </c>
      <c r="AD14" s="15">
        <v>426.26</v>
      </c>
      <c r="AE14" s="15">
        <v>835.24</v>
      </c>
      <c r="AF14" s="170">
        <v>1198.97</v>
      </c>
      <c r="AG14" s="40">
        <f>SUM(AD14:AF14)</f>
        <v>2460.4700000000003</v>
      </c>
      <c r="AH14" s="36">
        <v>122.23</v>
      </c>
      <c r="AI14" s="36">
        <f t="shared" si="14"/>
        <v>27.452992268779237</v>
      </c>
      <c r="AJ14" s="36">
        <f>IF(AG14&gt;0,((AI14/100)*AG14)/$Q$7/1000,"")</f>
        <v>0.67547263887563258</v>
      </c>
      <c r="AK14" s="14">
        <f t="shared" si="5"/>
        <v>67.547263887563261</v>
      </c>
      <c r="AL14" s="15">
        <v>16.91</v>
      </c>
      <c r="AM14" s="15">
        <v>16.91</v>
      </c>
      <c r="AN14" s="15">
        <v>8.76</v>
      </c>
      <c r="AO14" s="15">
        <f t="shared" si="6"/>
        <v>16.238437821171633</v>
      </c>
      <c r="AP14" s="15">
        <f t="shared" si="7"/>
        <v>2.7459198355601231E-3</v>
      </c>
      <c r="AQ14" s="14">
        <f t="shared" si="8"/>
        <v>0.27459198355601233</v>
      </c>
      <c r="AR14" s="14">
        <f t="shared" si="15"/>
        <v>67.547263887563261</v>
      </c>
      <c r="AS14" s="14">
        <f t="shared" si="16"/>
        <v>3.7811450976208256</v>
      </c>
      <c r="AT14" s="36"/>
      <c r="AU14" s="124">
        <f t="shared" si="17"/>
        <v>5.2807075771468988</v>
      </c>
      <c r="AV14" s="57">
        <f t="shared" si="18"/>
        <v>94.335800139232362</v>
      </c>
      <c r="AW14" s="57">
        <f t="shared" si="19"/>
        <v>0.38349228362075449</v>
      </c>
    </row>
    <row r="15" spans="2:52" x14ac:dyDescent="0.3">
      <c r="B15" s="3" t="s">
        <v>2</v>
      </c>
      <c r="C15" s="6">
        <v>4</v>
      </c>
      <c r="D15">
        <v>25</v>
      </c>
      <c r="E15" s="59">
        <f>9.08+11.48-G5</f>
        <v>15.981000000000002</v>
      </c>
      <c r="F15" s="57"/>
      <c r="G15" s="40">
        <v>472.04</v>
      </c>
      <c r="H15" s="67">
        <v>150.97999999999999</v>
      </c>
      <c r="I15" s="8">
        <f t="shared" si="9"/>
        <v>30.934044658606886</v>
      </c>
      <c r="J15" s="3">
        <v>1</v>
      </c>
      <c r="K15" s="7">
        <f t="shared" si="10"/>
        <v>4.9435696768919666</v>
      </c>
      <c r="L15" s="7">
        <f t="shared" si="11"/>
        <v>0.91547586609110487</v>
      </c>
      <c r="M15" s="7">
        <f t="shared" si="12"/>
        <v>91.547586609110496</v>
      </c>
      <c r="N15" s="6"/>
      <c r="O15" s="58"/>
      <c r="P15" s="107"/>
      <c r="Q15" s="61"/>
      <c r="R15" s="61"/>
      <c r="S15" s="37" t="str">
        <f>IF(O15&gt;0,((R15-$Q$5)/(Q15-$Q$5))*100,"")</f>
        <v/>
      </c>
      <c r="T15" s="37" t="str">
        <f>IF(O15&gt;0,((S15/100)*O15)/$Q$7/1000,"")</f>
        <v/>
      </c>
      <c r="U15" s="14">
        <f t="shared" si="0"/>
        <v>0</v>
      </c>
      <c r="V15" s="131">
        <v>36.58</v>
      </c>
      <c r="W15" s="131"/>
      <c r="X15" s="131"/>
      <c r="Y15" s="40">
        <f t="shared" si="13"/>
        <v>36.58</v>
      </c>
      <c r="Z15" s="15">
        <v>11.26</v>
      </c>
      <c r="AA15" s="36">
        <f t="shared" si="1"/>
        <v>13.877551020408163</v>
      </c>
      <c r="AB15" s="36">
        <f>IF(Y15&gt;0,((AA15/100)*Y15)/$Q$7/1000,"")</f>
        <v>5.0764081632653059E-3</v>
      </c>
      <c r="AC15" s="14">
        <f t="shared" si="2"/>
        <v>0.50764081632653058</v>
      </c>
      <c r="AD15" s="38">
        <v>384.77</v>
      </c>
      <c r="AE15" s="38">
        <f>2774.52-1014.94+Q5</f>
        <v>1766.76</v>
      </c>
      <c r="AF15" s="38"/>
      <c r="AG15" s="40">
        <f t="shared" ref="AG15:AG16" si="20">SUM(AD15:AF15)</f>
        <v>2151.5299999999997</v>
      </c>
      <c r="AH15" s="7">
        <v>116.77</v>
      </c>
      <c r="AI15" s="36">
        <f t="shared" si="14"/>
        <v>29.023544055721818</v>
      </c>
      <c r="AJ15" s="7">
        <f>IF(AG15&gt;0,((AI15/100)*AG15)/$Q$7/1000,"")</f>
        <v>0.62445025742207161</v>
      </c>
      <c r="AK15" s="14">
        <f t="shared" si="5"/>
        <v>62.445025742207164</v>
      </c>
      <c r="AL15" s="38">
        <v>73.349999999999994</v>
      </c>
      <c r="AM15" s="38">
        <v>73.349999999999994</v>
      </c>
      <c r="AN15" s="15">
        <v>14.98</v>
      </c>
      <c r="AO15" s="15">
        <f t="shared" si="6"/>
        <v>11.787819253438117</v>
      </c>
      <c r="AP15" s="15">
        <f t="shared" si="7"/>
        <v>8.6463654223968584E-3</v>
      </c>
      <c r="AQ15" s="14">
        <f t="shared" si="8"/>
        <v>0.86463654223968589</v>
      </c>
      <c r="AR15" s="14">
        <f t="shared" si="15"/>
        <v>62.445025742207164</v>
      </c>
      <c r="AS15" s="14">
        <f t="shared" si="16"/>
        <v>0.50764081632653058</v>
      </c>
      <c r="AT15" s="36"/>
      <c r="AU15" s="124">
        <f t="shared" si="17"/>
        <v>0.79545952533424846</v>
      </c>
      <c r="AV15" s="57">
        <f t="shared" si="18"/>
        <v>97.849678234758258</v>
      </c>
      <c r="AW15" s="57">
        <f t="shared" si="19"/>
        <v>1.354862239907483</v>
      </c>
    </row>
    <row r="16" spans="2:52" ht="14.5" x14ac:dyDescent="0.35">
      <c r="B16" s="3" t="s">
        <v>2</v>
      </c>
      <c r="C16" s="6">
        <v>5</v>
      </c>
      <c r="D16">
        <v>0</v>
      </c>
      <c r="E16" s="59">
        <f>11.36+7.62-G5</f>
        <v>14.401</v>
      </c>
      <c r="F16" s="57"/>
      <c r="G16" s="40">
        <v>519.05999999999995</v>
      </c>
      <c r="H16" s="67">
        <v>199.73</v>
      </c>
      <c r="I16" s="8">
        <f t="shared" si="9"/>
        <v>37.616238180823629</v>
      </c>
      <c r="J16" s="3">
        <v>1</v>
      </c>
      <c r="K16" s="7">
        <f t="shared" si="10"/>
        <v>5.4171144604204109</v>
      </c>
      <c r="L16" s="7">
        <f t="shared" si="11"/>
        <v>1.0031693445222982</v>
      </c>
      <c r="M16" s="7">
        <f t="shared" si="12"/>
        <v>100.31693445222982</v>
      </c>
      <c r="N16" s="6"/>
      <c r="O16" s="80"/>
      <c r="P16" s="81"/>
      <c r="Q16" s="61"/>
      <c r="R16" s="61"/>
      <c r="S16" s="37" t="str">
        <f>IF(O16&gt;0,((R16-$Q$5)/(Q16-$Q$5))*100,"")</f>
        <v/>
      </c>
      <c r="T16" s="37" t="str">
        <f>IF(O16&gt;0,((S16/100)*O16)/$Q$7/1000,"")</f>
        <v/>
      </c>
      <c r="U16" s="14">
        <f t="shared" si="0"/>
        <v>0</v>
      </c>
      <c r="V16" s="171"/>
      <c r="W16" s="171"/>
      <c r="X16" s="171"/>
      <c r="Y16" s="69"/>
      <c r="Z16" s="61"/>
      <c r="AA16" s="37" t="str">
        <f t="shared" ref="AA16:AA43" si="21">IF(V16&gt;0,((Z16-$Q$5)/(Y16-$Q$5))*100,"")</f>
        <v/>
      </c>
      <c r="AB16" s="37" t="str">
        <f t="shared" ref="AB16:AB43" si="22">IF(V16&gt;0,((AA16/100)*V16)/$Q$7/1000,"")</f>
        <v/>
      </c>
      <c r="AC16" s="14">
        <f t="shared" si="2"/>
        <v>0</v>
      </c>
      <c r="AD16" s="38">
        <v>302.23</v>
      </c>
      <c r="AE16" s="38">
        <f>645.05</f>
        <v>645.04999999999995</v>
      </c>
      <c r="AF16" s="38">
        <v>618.05999999999995</v>
      </c>
      <c r="AG16" s="40">
        <f t="shared" si="20"/>
        <v>1565.34</v>
      </c>
      <c r="AH16" s="7">
        <v>96.54</v>
      </c>
      <c r="AI16" s="36">
        <f t="shared" si="14"/>
        <v>30.286392136925951</v>
      </c>
      <c r="AJ16" s="7">
        <f>IF(AG16&gt;0,((AI16/100)*AG16)/$Q$7/1000,"")</f>
        <v>0.4740850106761566</v>
      </c>
      <c r="AK16" s="14">
        <f t="shared" si="5"/>
        <v>47.40850106761566</v>
      </c>
      <c r="AL16" s="38"/>
      <c r="AM16" s="38"/>
      <c r="AN16" s="15"/>
      <c r="AO16" s="15" t="str">
        <f t="shared" si="6"/>
        <v/>
      </c>
      <c r="AP16" s="15" t="str">
        <f t="shared" si="7"/>
        <v/>
      </c>
      <c r="AQ16" s="14">
        <f t="shared" si="8"/>
        <v>0</v>
      </c>
      <c r="AR16" s="14">
        <f t="shared" si="15"/>
        <v>47.40850106761566</v>
      </c>
      <c r="AS16" s="14"/>
      <c r="AT16" s="36"/>
      <c r="AU16" s="124" t="str">
        <f t="shared" si="17"/>
        <v/>
      </c>
      <c r="AV16" s="57">
        <f t="shared" si="18"/>
        <v>100</v>
      </c>
      <c r="AW16" s="57">
        <f t="shared" si="19"/>
        <v>0</v>
      </c>
      <c r="AZ16" s="15"/>
    </row>
    <row r="17" spans="2:52" x14ac:dyDescent="0.3">
      <c r="B17" s="3" t="s">
        <v>2</v>
      </c>
      <c r="C17" s="6">
        <v>6</v>
      </c>
      <c r="D17">
        <v>25</v>
      </c>
      <c r="E17" s="59">
        <f>15.82+6.12-G5</f>
        <v>17.361000000000001</v>
      </c>
      <c r="F17" s="57"/>
      <c r="G17" s="40">
        <v>772.17</v>
      </c>
      <c r="H17" s="67">
        <v>92.67</v>
      </c>
      <c r="I17" s="8">
        <f t="shared" si="9"/>
        <v>11.175309481169689</v>
      </c>
      <c r="J17" s="3">
        <v>1</v>
      </c>
      <c r="K17" s="7">
        <f t="shared" si="10"/>
        <v>1.9401454790258696</v>
      </c>
      <c r="L17" s="7">
        <f t="shared" si="11"/>
        <v>0.35928619981960547</v>
      </c>
      <c r="M17" s="7">
        <f t="shared" si="12"/>
        <v>35.928619981960544</v>
      </c>
      <c r="N17" s="6"/>
      <c r="O17" s="80">
        <v>583.41999999999996</v>
      </c>
      <c r="P17" s="81">
        <v>0</v>
      </c>
      <c r="Q17" s="40">
        <f>SUM(O17:P17)</f>
        <v>583.41999999999996</v>
      </c>
      <c r="R17" s="40">
        <v>65.52</v>
      </c>
      <c r="S17" s="36">
        <f>IF(O17&gt;0,((R17-$Q$5)/(O17-$Q$5))*100,"")</f>
        <v>10.12425378314591</v>
      </c>
      <c r="T17" s="36">
        <f>IF(Q17&gt;0,((S17/100)*Q17)/$Q$7/1000,"")</f>
        <v>5.9066921421629864E-2</v>
      </c>
      <c r="U17" s="14">
        <f>IF(Q17&gt;0,T17*10000/100,0)</f>
        <v>5.9066921421629868</v>
      </c>
      <c r="V17" s="131">
        <v>1188.23</v>
      </c>
      <c r="W17" s="131">
        <v>2101.7199999999998</v>
      </c>
      <c r="X17" s="131"/>
      <c r="Y17" s="40">
        <f t="shared" si="13"/>
        <v>3289.95</v>
      </c>
      <c r="Z17" s="40">
        <v>130.71</v>
      </c>
      <c r="AA17" s="36">
        <f t="shared" ref="AA17:AA19" si="23">IF(V17&gt;0,((Z17-$Q$5)/(V17-$Q$5))*100,"")</f>
        <v>10.459337030608358</v>
      </c>
      <c r="AB17" s="36">
        <f>IF(Y17&gt;0,((AA17/100)*Y17)/$Q$7/1000,"")</f>
        <v>0.34410695863849966</v>
      </c>
      <c r="AC17" s="14">
        <f t="shared" si="2"/>
        <v>34.410695863849966</v>
      </c>
      <c r="AD17" s="38"/>
      <c r="AE17" s="38"/>
      <c r="AF17" s="38"/>
      <c r="AG17" s="31"/>
      <c r="AH17" s="31"/>
      <c r="AI17" s="31" t="str">
        <f t="shared" si="3"/>
        <v/>
      </c>
      <c r="AJ17" s="31" t="str">
        <f t="shared" si="4"/>
        <v/>
      </c>
      <c r="AK17" s="14">
        <f t="shared" si="5"/>
        <v>0</v>
      </c>
      <c r="AL17" s="38">
        <v>28.6</v>
      </c>
      <c r="AM17" s="38">
        <v>28.6</v>
      </c>
      <c r="AN17" s="15">
        <v>11.95</v>
      </c>
      <c r="AO17" s="15">
        <f t="shared" si="6"/>
        <v>22.268907563025206</v>
      </c>
      <c r="AP17" s="15">
        <f t="shared" si="7"/>
        <v>6.368907563025209E-3</v>
      </c>
      <c r="AQ17" s="14">
        <f t="shared" si="8"/>
        <v>0.6368907563025209</v>
      </c>
      <c r="AR17" s="14">
        <f t="shared" si="15"/>
        <v>5.9066921421629868</v>
      </c>
      <c r="AS17" s="14">
        <f t="shared" si="16"/>
        <v>34.410695863849966</v>
      </c>
      <c r="AT17" s="36"/>
      <c r="AU17" s="124">
        <f t="shared" si="17"/>
        <v>84.022224060049467</v>
      </c>
      <c r="AV17" s="57">
        <f t="shared" si="18"/>
        <v>14.422649648998565</v>
      </c>
      <c r="AW17" s="57">
        <f t="shared" si="19"/>
        <v>1.555126290951955</v>
      </c>
    </row>
    <row r="18" spans="2:52" x14ac:dyDescent="0.3">
      <c r="B18" s="3" t="s">
        <v>2</v>
      </c>
      <c r="C18" s="6">
        <v>7</v>
      </c>
      <c r="D18">
        <v>50</v>
      </c>
      <c r="E18" s="59">
        <f>17.38+5.22-G5</f>
        <v>18.020999999999997</v>
      </c>
      <c r="F18" s="57"/>
      <c r="G18" s="40">
        <v>727.38</v>
      </c>
      <c r="H18" s="67">
        <v>107.46</v>
      </c>
      <c r="I18" s="8">
        <f t="shared" si="9"/>
        <v>13.923910024993058</v>
      </c>
      <c r="J18" s="3">
        <v>1</v>
      </c>
      <c r="K18" s="7">
        <f t="shared" si="10"/>
        <v>2.5092278256039986</v>
      </c>
      <c r="L18" s="7">
        <f t="shared" si="11"/>
        <v>0.464671819556296</v>
      </c>
      <c r="M18" s="7">
        <f t="shared" si="12"/>
        <v>46.467181955629606</v>
      </c>
      <c r="N18" s="6"/>
      <c r="O18" s="80">
        <v>396.39</v>
      </c>
      <c r="P18" s="81">
        <v>1511.74</v>
      </c>
      <c r="Q18" s="40">
        <f>SUM(O18:P18)</f>
        <v>1908.13</v>
      </c>
      <c r="R18" s="40">
        <v>52.13</v>
      </c>
      <c r="S18" s="36">
        <f>IF(O18&gt;0,((R18-$Q$5)/(O18-$Q$5))*100,"")</f>
        <v>11.549035225199765</v>
      </c>
      <c r="T18" s="36">
        <f>IF(Q18&gt;0,((S18/100)*Q18)/$Q$7/1000,"")</f>
        <v>0.22037060584260429</v>
      </c>
      <c r="U18" s="14">
        <f t="shared" ref="U18:U47" si="24">IF(Q18&gt;0,T18*10000/100,0)</f>
        <v>22.037060584260431</v>
      </c>
      <c r="V18" s="131">
        <v>667.55</v>
      </c>
      <c r="W18" s="131">
        <v>1733.88</v>
      </c>
      <c r="X18" s="131"/>
      <c r="Y18" s="40">
        <f t="shared" si="13"/>
        <v>2401.4300000000003</v>
      </c>
      <c r="Z18" s="40">
        <v>83.95</v>
      </c>
      <c r="AA18" s="36">
        <f t="shared" si="23"/>
        <v>11.625300967639356</v>
      </c>
      <c r="AB18" s="36">
        <f>IF(Y18&gt;0,((AA18/100)*Y18)/$Q$7/1000,"")</f>
        <v>0.27917346502718188</v>
      </c>
      <c r="AC18" s="14">
        <f t="shared" si="2"/>
        <v>27.917346502718189</v>
      </c>
      <c r="AD18" s="38"/>
      <c r="AE18" s="38"/>
      <c r="AF18" s="38"/>
      <c r="AG18" s="31"/>
      <c r="AH18" s="31"/>
      <c r="AI18" s="31" t="str">
        <f t="shared" si="3"/>
        <v/>
      </c>
      <c r="AJ18" s="31" t="str">
        <f t="shared" si="4"/>
        <v/>
      </c>
      <c r="AK18" s="14">
        <f t="shared" si="5"/>
        <v>0</v>
      </c>
      <c r="AL18" s="38">
        <v>17.36</v>
      </c>
      <c r="AM18" s="38">
        <v>17.36</v>
      </c>
      <c r="AN18" s="15">
        <v>8.98</v>
      </c>
      <c r="AO18" s="15">
        <f t="shared" si="6"/>
        <v>17.681728880157177</v>
      </c>
      <c r="AP18" s="15">
        <f t="shared" si="7"/>
        <v>3.0695481335952855E-3</v>
      </c>
      <c r="AQ18" s="14">
        <f t="shared" si="8"/>
        <v>0.30695481335952857</v>
      </c>
      <c r="AR18" s="14">
        <f t="shared" si="15"/>
        <v>22.037060584260431</v>
      </c>
      <c r="AS18" s="14">
        <f t="shared" si="16"/>
        <v>27.917346502718189</v>
      </c>
      <c r="AT18" s="36"/>
      <c r="AU18" s="124">
        <f t="shared" si="17"/>
        <v>55.544349470821579</v>
      </c>
      <c r="AV18" s="57">
        <f t="shared" si="18"/>
        <v>43.844933266943912</v>
      </c>
      <c r="AW18" s="57">
        <f t="shared" si="19"/>
        <v>0.61071726223451872</v>
      </c>
    </row>
    <row r="19" spans="2:52" x14ac:dyDescent="0.3">
      <c r="B19" s="3" t="s">
        <v>2</v>
      </c>
      <c r="C19" s="6">
        <v>8</v>
      </c>
      <c r="D19">
        <v>75</v>
      </c>
      <c r="E19" s="59">
        <f>9.66+6.02-G5</f>
        <v>11.100999999999999</v>
      </c>
      <c r="F19" s="57"/>
      <c r="G19" s="40">
        <v>599.08000000000004</v>
      </c>
      <c r="H19" s="67">
        <v>97.67</v>
      </c>
      <c r="I19" s="8">
        <f t="shared" si="9"/>
        <v>15.288055414766008</v>
      </c>
      <c r="J19" s="3">
        <v>1</v>
      </c>
      <c r="K19" s="7">
        <f t="shared" si="10"/>
        <v>1.6971270315931744</v>
      </c>
      <c r="L19" s="7">
        <f t="shared" si="11"/>
        <v>0.31428278362836559</v>
      </c>
      <c r="M19" s="7">
        <f t="shared" si="12"/>
        <v>31.428278362836558</v>
      </c>
      <c r="N19" s="6"/>
      <c r="O19" s="131">
        <v>535.88</v>
      </c>
      <c r="P19" s="81">
        <v>1498.3</v>
      </c>
      <c r="Q19" s="40">
        <f>SUM(O19:P19)</f>
        <v>2034.1799999999998</v>
      </c>
      <c r="R19" s="40">
        <v>81.33</v>
      </c>
      <c r="S19" s="36">
        <f>IF(O19&gt;0,((R19-$Q$5)/(O19-$Q$5))*100,"")</f>
        <v>14.024966899943255</v>
      </c>
      <c r="T19" s="36">
        <f>IF(Q19&gt;0,((S19/100)*Q19)/$Q$7/1000,"")</f>
        <v>0.28529307168526574</v>
      </c>
      <c r="U19" s="14">
        <f t="shared" si="24"/>
        <v>28.529307168526575</v>
      </c>
      <c r="V19" s="131">
        <v>567.41999999999996</v>
      </c>
      <c r="W19" s="131">
        <v>624.29999999999995</v>
      </c>
      <c r="X19" s="131"/>
      <c r="Y19" s="40">
        <f t="shared" si="13"/>
        <v>1191.7199999999998</v>
      </c>
      <c r="Z19" s="40">
        <v>78.83</v>
      </c>
      <c r="AA19" s="36">
        <f t="shared" si="23"/>
        <v>12.789161787805229</v>
      </c>
      <c r="AB19" s="36">
        <f>IF(Y19&gt;0,((AA19/100)*Y19)/$Q$7/1000,"")</f>
        <v>0.15241099885763246</v>
      </c>
      <c r="AC19" s="14">
        <f t="shared" si="2"/>
        <v>15.241099885763246</v>
      </c>
      <c r="AD19" s="38"/>
      <c r="AE19" s="38"/>
      <c r="AF19" s="38"/>
      <c r="AG19" s="31"/>
      <c r="AH19" s="31"/>
      <c r="AI19" s="31" t="str">
        <f t="shared" si="3"/>
        <v/>
      </c>
      <c r="AJ19" s="31" t="str">
        <f t="shared" si="4"/>
        <v/>
      </c>
      <c r="AK19" s="14">
        <f t="shared" si="5"/>
        <v>0</v>
      </c>
      <c r="AL19" s="38">
        <v>22.47</v>
      </c>
      <c r="AM19" s="38">
        <v>22.47</v>
      </c>
      <c r="AN19" s="15">
        <v>11.6</v>
      </c>
      <c r="AO19" s="15">
        <f t="shared" si="6"/>
        <v>28.907782864617399</v>
      </c>
      <c r="AP19" s="15">
        <f t="shared" si="7"/>
        <v>6.4955788096795284E-3</v>
      </c>
      <c r="AQ19" s="14">
        <f t="shared" si="8"/>
        <v>0.64955788096795286</v>
      </c>
      <c r="AR19" s="14">
        <f t="shared" si="15"/>
        <v>28.529307168526575</v>
      </c>
      <c r="AS19" s="14">
        <f t="shared" si="16"/>
        <v>15.241099885763246</v>
      </c>
      <c r="AT19" s="36"/>
      <c r="AU19" s="124">
        <f t="shared" si="17"/>
        <v>34.311373068342562</v>
      </c>
      <c r="AV19" s="57">
        <f t="shared" si="18"/>
        <v>64.226316274918545</v>
      </c>
      <c r="AW19" s="57">
        <f t="shared" si="19"/>
        <v>1.4623106567388906</v>
      </c>
    </row>
    <row r="20" spans="2:52" x14ac:dyDescent="0.3">
      <c r="B20" s="16" t="s">
        <v>2</v>
      </c>
      <c r="C20" s="17">
        <v>9</v>
      </c>
      <c r="D20">
        <v>100</v>
      </c>
      <c r="E20" s="59">
        <f>8.64+4.62-G5</f>
        <v>8.6810000000000009</v>
      </c>
      <c r="F20" s="57"/>
      <c r="G20" s="42">
        <v>607.88</v>
      </c>
      <c r="H20" s="68">
        <v>115.61</v>
      </c>
      <c r="I20" s="19">
        <f t="shared" si="9"/>
        <v>18.050607624438157</v>
      </c>
      <c r="J20" s="16">
        <v>1</v>
      </c>
      <c r="K20" s="7">
        <f t="shared" si="10"/>
        <v>1.5669732478774767</v>
      </c>
      <c r="L20" s="18">
        <f t="shared" si="11"/>
        <v>0.29018023108842161</v>
      </c>
      <c r="M20" s="18">
        <f t="shared" si="12"/>
        <v>29.018023108842161</v>
      </c>
      <c r="N20" s="17"/>
      <c r="O20" s="167">
        <v>488.24</v>
      </c>
      <c r="P20" s="166">
        <f>2410.3-1017.71+Q5</f>
        <v>1399.7700000000002</v>
      </c>
      <c r="Q20" s="40">
        <f>SUM(O20:P20)</f>
        <v>1888.0100000000002</v>
      </c>
      <c r="R20" s="42">
        <v>81.41</v>
      </c>
      <c r="S20" s="36">
        <f>IF(O20&gt;0,((R20-$Q$5)/(O20-$Q$5))*100,"")</f>
        <v>15.430507628985987</v>
      </c>
      <c r="T20" s="7">
        <f>IF(Q20&gt;0,((S20/100)*Q20)/$Q$7/1000,"")</f>
        <v>0.29132952708601834</v>
      </c>
      <c r="U20" s="14">
        <f t="shared" si="24"/>
        <v>29.132952708601835</v>
      </c>
      <c r="V20" s="62"/>
      <c r="W20" s="62"/>
      <c r="X20" s="62"/>
      <c r="Y20" s="62"/>
      <c r="Z20" s="62"/>
      <c r="AA20" s="33" t="str">
        <f t="shared" si="21"/>
        <v/>
      </c>
      <c r="AB20" s="33" t="str">
        <f t="shared" si="22"/>
        <v/>
      </c>
      <c r="AC20" s="14">
        <f t="shared" si="2"/>
        <v>0</v>
      </c>
      <c r="AD20" s="41"/>
      <c r="AE20" s="41"/>
      <c r="AF20" s="41"/>
      <c r="AG20" s="62"/>
      <c r="AH20" s="33"/>
      <c r="AI20" s="33" t="str">
        <f t="shared" si="3"/>
        <v/>
      </c>
      <c r="AJ20" s="33" t="str">
        <f t="shared" si="4"/>
        <v/>
      </c>
      <c r="AK20" s="14">
        <f t="shared" si="5"/>
        <v>0</v>
      </c>
      <c r="AL20" s="41">
        <v>36.9</v>
      </c>
      <c r="AM20" s="41">
        <v>36.9</v>
      </c>
      <c r="AN20" s="41">
        <v>13.68</v>
      </c>
      <c r="AO20" s="41">
        <f t="shared" si="6"/>
        <v>21.870794078061913</v>
      </c>
      <c r="AP20" s="41">
        <f t="shared" si="7"/>
        <v>8.0703230148048456E-3</v>
      </c>
      <c r="AQ20" s="14">
        <f t="shared" si="8"/>
        <v>0.80703230148048466</v>
      </c>
      <c r="AR20" s="14">
        <f t="shared" si="15"/>
        <v>29.132952708601835</v>
      </c>
      <c r="AS20" s="14"/>
      <c r="AT20" s="36"/>
      <c r="AU20" s="124" t="str">
        <f t="shared" si="17"/>
        <v/>
      </c>
      <c r="AV20" s="57">
        <f t="shared" si="18"/>
        <v>97.30449998151731</v>
      </c>
      <c r="AW20" s="57">
        <f t="shared" si="19"/>
        <v>2.6955000184826936</v>
      </c>
    </row>
    <row r="21" spans="2:52" x14ac:dyDescent="0.3">
      <c r="B21" s="3" t="s">
        <v>9</v>
      </c>
      <c r="C21" s="6">
        <v>1</v>
      </c>
      <c r="D21">
        <v>100</v>
      </c>
      <c r="E21" s="59">
        <f>16.86+18.66-G5</f>
        <v>30.940999999999995</v>
      </c>
      <c r="F21" s="57"/>
      <c r="G21" s="40">
        <v>867.04</v>
      </c>
      <c r="H21" s="67">
        <v>101.88</v>
      </c>
      <c r="I21" s="8">
        <f t="shared" si="9"/>
        <v>11.013420789430835</v>
      </c>
      <c r="J21" s="3">
        <v>1</v>
      </c>
      <c r="K21" s="7">
        <f t="shared" si="10"/>
        <v>3.407662526457794</v>
      </c>
      <c r="L21" s="7">
        <f t="shared" si="11"/>
        <v>0.6310486160107025</v>
      </c>
      <c r="M21" s="7">
        <f t="shared" si="12"/>
        <v>63.104861601070255</v>
      </c>
      <c r="N21" s="6"/>
      <c r="O21" s="80"/>
      <c r="P21" s="81"/>
      <c r="Q21" s="61"/>
      <c r="R21" s="61"/>
      <c r="S21" s="37" t="str">
        <f>IF(O21&gt;0,((R21-$Q$5)/(Q21-$Q$5))*100,"")</f>
        <v/>
      </c>
      <c r="T21" s="37" t="str">
        <f>IF(O21&gt;0,((S21/100)*O21)/$Q$7/1000,"")</f>
        <v/>
      </c>
      <c r="U21" s="14">
        <f t="shared" si="24"/>
        <v>0</v>
      </c>
      <c r="V21" s="131">
        <v>544.84</v>
      </c>
      <c r="W21" s="131">
        <f>1846.29+1095.2-Q5</f>
        <v>2934.31</v>
      </c>
      <c r="X21" s="131">
        <f>2055.23</f>
        <v>2055.23</v>
      </c>
      <c r="Y21" s="40">
        <f>SUM(V21:X21)</f>
        <v>5534.38</v>
      </c>
      <c r="Z21" s="40">
        <v>67.58</v>
      </c>
      <c r="AA21" s="36">
        <f t="shared" ref="AA21:AA24" si="25">IF(V21&gt;0,((Z21-$Q$5)/(V21-$Q$5))*100,"")</f>
        <v>11.23386526801324</v>
      </c>
      <c r="AB21" s="36">
        <f>IF(Y21&gt;0,((AA21/100)*Y21)/$Q$7/1000,"")</f>
        <v>0.62172479261987112</v>
      </c>
      <c r="AC21" s="14">
        <f t="shared" si="2"/>
        <v>62.172479261987107</v>
      </c>
      <c r="AD21" s="38"/>
      <c r="AE21" s="38"/>
      <c r="AF21" s="38"/>
      <c r="AG21" s="31"/>
      <c r="AH21" s="31"/>
      <c r="AI21" s="31" t="str">
        <f t="shared" si="3"/>
        <v/>
      </c>
      <c r="AJ21" s="31" t="str">
        <f t="shared" si="4"/>
        <v/>
      </c>
      <c r="AK21" s="14">
        <f t="shared" si="5"/>
        <v>0</v>
      </c>
      <c r="AL21" s="38">
        <v>8.93</v>
      </c>
      <c r="AM21" s="38">
        <v>8.93</v>
      </c>
      <c r="AN21" s="15">
        <v>7.75</v>
      </c>
      <c r="AO21" s="15">
        <f t="shared" si="6"/>
        <v>32.571428571428591</v>
      </c>
      <c r="AP21" s="15">
        <f t="shared" si="7"/>
        <v>2.9086285714285732E-3</v>
      </c>
      <c r="AQ21" s="14">
        <f t="shared" si="8"/>
        <v>0.29086285714285731</v>
      </c>
      <c r="AR21" s="14"/>
      <c r="AS21" s="14">
        <f t="shared" si="16"/>
        <v>62.172479261987107</v>
      </c>
      <c r="AT21" s="36"/>
      <c r="AU21" s="124">
        <f t="shared" si="17"/>
        <v>99.534346310531831</v>
      </c>
      <c r="AV21" s="57" t="str">
        <f t="shared" si="18"/>
        <v/>
      </c>
      <c r="AW21" s="57">
        <f t="shared" si="19"/>
        <v>0.4656536894681752</v>
      </c>
    </row>
    <row r="22" spans="2:52" x14ac:dyDescent="0.3">
      <c r="B22" s="3" t="s">
        <v>9</v>
      </c>
      <c r="C22" s="6">
        <v>2</v>
      </c>
      <c r="D22">
        <v>75</v>
      </c>
      <c r="E22" s="60">
        <f>13.8+12.38-G5</f>
        <v>21.600999999999999</v>
      </c>
      <c r="F22" s="78"/>
      <c r="G22" s="173">
        <v>695.11</v>
      </c>
      <c r="H22" s="174">
        <v>84.34</v>
      </c>
      <c r="I22" s="8">
        <f t="shared" si="9"/>
        <v>11.216257468056341</v>
      </c>
      <c r="J22" s="3">
        <v>1</v>
      </c>
      <c r="K22" s="7">
        <f t="shared" si="10"/>
        <v>2.4228237756748503</v>
      </c>
      <c r="L22" s="7">
        <f t="shared" si="11"/>
        <v>0.44867106956941671</v>
      </c>
      <c r="M22" s="7">
        <f t="shared" si="12"/>
        <v>44.867106956941669</v>
      </c>
      <c r="N22" s="6"/>
      <c r="O22" s="80"/>
      <c r="P22" s="81"/>
      <c r="Q22" s="61"/>
      <c r="R22" s="61"/>
      <c r="S22" s="37" t="str">
        <f>IF(O22&gt;0,((R22-$Q$5)/(Q22-$Q$5))*100,"")</f>
        <v/>
      </c>
      <c r="T22" s="37" t="str">
        <f>IF(O22&gt;0,((S22/100)*O22)/$Q$7/1000,"")</f>
        <v/>
      </c>
      <c r="U22" s="14">
        <f t="shared" si="24"/>
        <v>0</v>
      </c>
      <c r="V22" s="173">
        <v>517.89</v>
      </c>
      <c r="W22" s="173">
        <v>1505.79</v>
      </c>
      <c r="X22" s="173"/>
      <c r="Y22" s="173">
        <f>SUM(V22:X22)</f>
        <v>2023.6799999999998</v>
      </c>
      <c r="Z22" s="173">
        <v>72.91</v>
      </c>
      <c r="AA22" s="7">
        <f>IF(V22&gt;0,((Z22-$Q$5)/(V22-$Q$5))*100,"")</f>
        <v>12.870317792876582</v>
      </c>
      <c r="AB22" s="7">
        <f>IF(Y22&gt;0,((AA22/100)*Y22)/$Q$7/1000,"")</f>
        <v>0.26045404711088482</v>
      </c>
      <c r="AC22" s="159">
        <f>IF(Y22&gt;0,AB22*10000/100,0)</f>
        <v>26.04540471108848</v>
      </c>
      <c r="AD22" s="172">
        <v>385.07</v>
      </c>
      <c r="AE22" s="172">
        <v>1376.13</v>
      </c>
      <c r="AF22" s="172"/>
      <c r="AG22" s="173">
        <f>SUM(AD22:AF22)</f>
        <v>1761.2</v>
      </c>
      <c r="AH22" s="172">
        <v>116.64</v>
      </c>
      <c r="AI22" s="36">
        <f t="shared" ref="AI22:AI25" si="26">IF(AD22&gt;0,((AH22-$Q$5)/(AD22-$Q$5))*100,"")</f>
        <v>28.966101246394455</v>
      </c>
      <c r="AJ22" s="7">
        <f>IF(AG22&gt;0,((AI22/100)*AG22)/$Q$7/1000,"")</f>
        <v>0.51015097515149921</v>
      </c>
      <c r="AK22" s="14">
        <f t="shared" si="5"/>
        <v>51.015097515149918</v>
      </c>
      <c r="AL22" s="38">
        <v>121.8</v>
      </c>
      <c r="AM22" s="38">
        <v>121.8</v>
      </c>
      <c r="AN22" s="15">
        <v>23.51</v>
      </c>
      <c r="AO22" s="15">
        <f t="shared" si="6"/>
        <v>14.247077298900718</v>
      </c>
      <c r="AP22" s="15">
        <f t="shared" si="7"/>
        <v>1.7352940150061072E-2</v>
      </c>
      <c r="AQ22" s="14">
        <f t="shared" si="8"/>
        <v>1.7352940150061074</v>
      </c>
      <c r="AR22" s="14">
        <f t="shared" si="15"/>
        <v>51.015097515149918</v>
      </c>
      <c r="AS22" s="14">
        <f t="shared" si="16"/>
        <v>26.04540471108848</v>
      </c>
      <c r="AT22" s="36"/>
      <c r="AU22" s="124">
        <f t="shared" si="17"/>
        <v>33.054307404099049</v>
      </c>
      <c r="AV22" s="57">
        <f t="shared" si="18"/>
        <v>64.74342534589023</v>
      </c>
      <c r="AW22" s="57">
        <f t="shared" si="19"/>
        <v>2.2022672500107223</v>
      </c>
    </row>
    <row r="23" spans="2:52" x14ac:dyDescent="0.3">
      <c r="B23" s="3" t="s">
        <v>9</v>
      </c>
      <c r="C23" s="6">
        <v>3</v>
      </c>
      <c r="D23">
        <v>50</v>
      </c>
      <c r="E23" s="59">
        <f>11.68+10.34-G5</f>
        <v>17.440999999999999</v>
      </c>
      <c r="F23" s="57"/>
      <c r="G23" s="40">
        <v>599.39</v>
      </c>
      <c r="H23" s="67">
        <v>156.97</v>
      </c>
      <c r="I23" s="8">
        <f t="shared" si="9"/>
        <v>25.29339254656287</v>
      </c>
      <c r="J23" s="3">
        <v>1</v>
      </c>
      <c r="K23" s="7">
        <f t="shared" si="10"/>
        <v>4.4114205940460298</v>
      </c>
      <c r="L23" s="7">
        <f t="shared" si="11"/>
        <v>0.81692973963815363</v>
      </c>
      <c r="M23" s="7">
        <f t="shared" si="12"/>
        <v>81.692973963815362</v>
      </c>
      <c r="N23" s="6"/>
      <c r="O23" s="80"/>
      <c r="P23" s="81"/>
      <c r="Q23" s="61"/>
      <c r="R23" s="61"/>
      <c r="S23" s="37" t="str">
        <f>IF(O23&gt;0,((R23-$Q$5)/(Q23-$Q$5))*100,"")</f>
        <v/>
      </c>
      <c r="T23" s="37" t="str">
        <f>IF(O23&gt;0,((S23/100)*O23)/$Q$7/1000,"")</f>
        <v/>
      </c>
      <c r="U23" s="14">
        <f t="shared" si="24"/>
        <v>0</v>
      </c>
      <c r="V23" s="131">
        <v>372.07</v>
      </c>
      <c r="W23" s="131">
        <v>432.09</v>
      </c>
      <c r="X23" s="131"/>
      <c r="Y23" s="40">
        <f t="shared" ref="Y23:Y28" si="27">SUM(V23:X23)</f>
        <v>804.16</v>
      </c>
      <c r="Z23" s="40">
        <v>56.16</v>
      </c>
      <c r="AA23" s="36">
        <f t="shared" si="25"/>
        <v>13.423223437200251</v>
      </c>
      <c r="AB23" s="36">
        <f>IF(Y23&gt;0,((AA23/100)*Y23)/$Q$7/1000,"")</f>
        <v>0.10794419359258954</v>
      </c>
      <c r="AC23" s="14">
        <f t="shared" si="2"/>
        <v>10.794419359258955</v>
      </c>
      <c r="AD23" s="38">
        <v>387.81</v>
      </c>
      <c r="AE23" s="38">
        <f>777.12</f>
        <v>777.12</v>
      </c>
      <c r="AF23" s="38">
        <v>967.69</v>
      </c>
      <c r="AG23" s="40">
        <f>SUM(AD23:AF23)</f>
        <v>2132.62</v>
      </c>
      <c r="AH23" s="7">
        <v>105.59</v>
      </c>
      <c r="AI23" s="36">
        <f t="shared" si="26"/>
        <v>25.854504374326776</v>
      </c>
      <c r="AJ23" s="7">
        <f>IF(AG23&gt;0,((AI23/100)*AG23)/$Q$7/1000,"")</f>
        <v>0.55137833118776769</v>
      </c>
      <c r="AK23" s="14">
        <f t="shared" si="5"/>
        <v>55.137833118776769</v>
      </c>
      <c r="AL23" s="38">
        <v>12.48</v>
      </c>
      <c r="AM23" s="38">
        <v>12.48</v>
      </c>
      <c r="AN23" s="15">
        <v>7.91</v>
      </c>
      <c r="AO23" s="15">
        <f t="shared" si="6"/>
        <v>13.773584905660382</v>
      </c>
      <c r="AP23" s="15">
        <f t="shared" si="7"/>
        <v>1.7189433962264157E-3</v>
      </c>
      <c r="AQ23" s="14">
        <f t="shared" si="8"/>
        <v>0.17189433962264158</v>
      </c>
      <c r="AR23" s="14">
        <f t="shared" si="15"/>
        <v>55.137833118776769</v>
      </c>
      <c r="AS23" s="14">
        <f t="shared" si="16"/>
        <v>10.794419359258955</v>
      </c>
      <c r="AT23" s="36"/>
      <c r="AU23" s="124">
        <f t="shared" si="17"/>
        <v>16.32941332566363</v>
      </c>
      <c r="AV23" s="57">
        <f t="shared" si="18"/>
        <v>83.41055103678886</v>
      </c>
      <c r="AW23" s="57">
        <f t="shared" si="19"/>
        <v>0.26003563754751247</v>
      </c>
      <c r="AY23" t="s">
        <v>104</v>
      </c>
      <c r="AZ23" s="40">
        <v>77.28</v>
      </c>
    </row>
    <row r="24" spans="2:52" x14ac:dyDescent="0.3">
      <c r="B24" s="3" t="s">
        <v>9</v>
      </c>
      <c r="C24" s="6">
        <v>4</v>
      </c>
      <c r="D24">
        <v>25</v>
      </c>
      <c r="E24" s="59">
        <f>12.24+6.12-G5</f>
        <v>13.780999999999999</v>
      </c>
      <c r="F24" s="57"/>
      <c r="G24" s="40">
        <v>597.27</v>
      </c>
      <c r="H24" s="67">
        <v>197.14</v>
      </c>
      <c r="I24" s="8">
        <f t="shared" si="9"/>
        <v>32.191699571251839</v>
      </c>
      <c r="J24" s="3">
        <v>1</v>
      </c>
      <c r="K24" s="7">
        <f t="shared" si="10"/>
        <v>4.4363381179142154</v>
      </c>
      <c r="L24" s="7">
        <f t="shared" si="11"/>
        <v>0.82154409591003985</v>
      </c>
      <c r="M24" s="7">
        <f t="shared" si="12"/>
        <v>82.154409591003983</v>
      </c>
      <c r="N24" s="6"/>
      <c r="O24" s="80"/>
      <c r="P24" s="81"/>
      <c r="Q24" s="61"/>
      <c r="R24" s="61"/>
      <c r="S24" s="37" t="str">
        <f>IF(O24&gt;0,((R24-$Q$5)/(Q24-$Q$5))*100,"")</f>
        <v/>
      </c>
      <c r="T24" s="37" t="str">
        <f>IF(O24&gt;0,((S24/100)*O24)/$Q$7/1000,"")</f>
        <v/>
      </c>
      <c r="U24" s="14">
        <f t="shared" si="24"/>
        <v>0</v>
      </c>
      <c r="V24" s="131">
        <v>57.45</v>
      </c>
      <c r="W24" s="131">
        <v>0</v>
      </c>
      <c r="X24" s="131"/>
      <c r="Y24" s="40">
        <f t="shared" si="27"/>
        <v>57.45</v>
      </c>
      <c r="Z24" s="40">
        <v>14.73</v>
      </c>
      <c r="AA24" s="36">
        <f t="shared" si="25"/>
        <v>15.018897951064252</v>
      </c>
      <c r="AB24" s="36">
        <f>IF(Y24&gt;0,((AA24/100)*Y24)/$Q$7/1000,"")</f>
        <v>8.6283568728864144E-3</v>
      </c>
      <c r="AC24" s="14">
        <f>IF(Y24&gt;0,AB24*10000/100,0)</f>
        <v>0.86283568728864135</v>
      </c>
      <c r="AD24" s="38">
        <v>327.10000000000002</v>
      </c>
      <c r="AE24" s="38">
        <f>1221.79</f>
        <v>1221.79</v>
      </c>
      <c r="AF24" s="38">
        <v>978.74</v>
      </c>
      <c r="AG24" s="40">
        <f t="shared" ref="AG24:AG25" si="28">SUM(AD24:AF24)</f>
        <v>2527.63</v>
      </c>
      <c r="AH24" s="40">
        <v>102.17</v>
      </c>
      <c r="AI24" s="36">
        <f>IF(AD24&gt;0,((AH24-$Q$5)/(AD24-$Q$5))*100,"")</f>
        <v>29.691797949487373</v>
      </c>
      <c r="AJ24" s="7">
        <f>IF(AG24&gt;0,((AI24/100)*AG24)/$Q$7/1000,"")</f>
        <v>0.75049879251062779</v>
      </c>
      <c r="AK24" s="14">
        <f t="shared" si="5"/>
        <v>75.049879251062777</v>
      </c>
      <c r="AL24" s="38"/>
      <c r="AM24" s="38"/>
      <c r="AN24" s="15"/>
      <c r="AO24" s="15" t="str">
        <f t="shared" si="6"/>
        <v/>
      </c>
      <c r="AP24" s="15" t="str">
        <f t="shared" si="7"/>
        <v/>
      </c>
      <c r="AQ24" s="14">
        <f t="shared" si="8"/>
        <v>0</v>
      </c>
      <c r="AR24" s="14">
        <f t="shared" si="15"/>
        <v>75.049879251062777</v>
      </c>
      <c r="AS24" s="14">
        <f t="shared" si="16"/>
        <v>0.86283568728864135</v>
      </c>
      <c r="AT24" s="36"/>
      <c r="AU24" s="124">
        <f t="shared" si="17"/>
        <v>1.136615503726021</v>
      </c>
      <c r="AV24" s="57">
        <f t="shared" si="18"/>
        <v>98.863384496273994</v>
      </c>
      <c r="AW24" s="57">
        <f t="shared" si="19"/>
        <v>0</v>
      </c>
    </row>
    <row r="25" spans="2:52" ht="14.5" x14ac:dyDescent="0.35">
      <c r="B25" s="20" t="s">
        <v>9</v>
      </c>
      <c r="C25" s="6">
        <v>5</v>
      </c>
      <c r="D25">
        <v>0</v>
      </c>
      <c r="E25" s="59">
        <f>10.82+6.94-G5</f>
        <v>13.181000000000001</v>
      </c>
      <c r="F25" s="57"/>
      <c r="G25" s="57">
        <v>517.88</v>
      </c>
      <c r="H25" s="67">
        <v>176.73</v>
      </c>
      <c r="I25" s="56">
        <f t="shared" si="9"/>
        <v>33.199530056784802</v>
      </c>
      <c r="J25" s="20">
        <v>1</v>
      </c>
      <c r="K25" s="7">
        <f t="shared" si="10"/>
        <v>4.3760300567848054</v>
      </c>
      <c r="L25" s="36">
        <f t="shared" si="11"/>
        <v>0.81037593644163053</v>
      </c>
      <c r="M25" s="36">
        <f t="shared" si="12"/>
        <v>81.037593644163053</v>
      </c>
      <c r="N25" s="6"/>
      <c r="O25" s="80"/>
      <c r="P25" s="81"/>
      <c r="Q25" s="107"/>
      <c r="R25" s="107"/>
      <c r="S25" s="37" t="str">
        <f>IF(O25&gt;0,((R25-$Q$5)/(Q25-$Q$5))*100,"")</f>
        <v/>
      </c>
      <c r="T25" s="37" t="str">
        <f>IF(O25&gt;0,((S25/100)*O25)/$Q$7/1000,"")</f>
        <v/>
      </c>
      <c r="U25" s="14">
        <f t="shared" si="24"/>
        <v>0</v>
      </c>
      <c r="V25" s="171"/>
      <c r="W25" s="171"/>
      <c r="X25" s="171"/>
      <c r="Y25" s="69"/>
      <c r="Z25" s="107"/>
      <c r="AA25" s="37" t="str">
        <f t="shared" si="21"/>
        <v/>
      </c>
      <c r="AB25" s="37" t="str">
        <f t="shared" si="22"/>
        <v/>
      </c>
      <c r="AC25" s="14">
        <f t="shared" si="2"/>
        <v>0</v>
      </c>
      <c r="AD25" s="15">
        <v>337.63</v>
      </c>
      <c r="AE25" s="15">
        <v>1026.2</v>
      </c>
      <c r="AF25" s="15">
        <v>925</v>
      </c>
      <c r="AG25" s="40">
        <f t="shared" si="28"/>
        <v>2288.83</v>
      </c>
      <c r="AH25" s="36">
        <v>101.2</v>
      </c>
      <c r="AI25" s="36">
        <f t="shared" si="26"/>
        <v>28.452110758057199</v>
      </c>
      <c r="AJ25" s="36">
        <f>IF(AG25&gt;0,((AI25/100)*AG25)/$Q$7/1000,"")</f>
        <v>0.65122044666364054</v>
      </c>
      <c r="AK25" s="14">
        <f t="shared" si="5"/>
        <v>65.122044666364047</v>
      </c>
      <c r="AL25" s="15">
        <v>38.200000000000003</v>
      </c>
      <c r="AM25" s="15">
        <v>38.200000000000003</v>
      </c>
      <c r="AN25" s="15">
        <v>11.45</v>
      </c>
      <c r="AO25" s="15">
        <f t="shared" si="6"/>
        <v>13.765312701482912</v>
      </c>
      <c r="AP25" s="15">
        <f t="shared" si="7"/>
        <v>5.2583494519664728E-3</v>
      </c>
      <c r="AQ25" s="14">
        <f t="shared" si="8"/>
        <v>0.52583494519664731</v>
      </c>
      <c r="AR25" s="14">
        <f t="shared" si="15"/>
        <v>65.122044666364047</v>
      </c>
      <c r="AS25" s="14"/>
      <c r="AT25" s="36"/>
      <c r="AU25" s="124" t="str">
        <f t="shared" si="17"/>
        <v/>
      </c>
      <c r="AV25" s="57">
        <f t="shared" si="18"/>
        <v>99.199006962131875</v>
      </c>
      <c r="AW25" s="57">
        <f t="shared" si="19"/>
        <v>0.8009930378681217</v>
      </c>
    </row>
    <row r="26" spans="2:52" x14ac:dyDescent="0.3">
      <c r="B26" s="3" t="s">
        <v>9</v>
      </c>
      <c r="C26" s="6">
        <v>6</v>
      </c>
      <c r="D26">
        <v>25</v>
      </c>
      <c r="E26" s="59">
        <f>12.24+16.8-G5</f>
        <v>24.460999999999999</v>
      </c>
      <c r="F26" s="57"/>
      <c r="G26" s="40">
        <v>664</v>
      </c>
      <c r="H26" s="67">
        <v>91.65</v>
      </c>
      <c r="I26" s="8">
        <f t="shared" si="9"/>
        <v>12.860448829207391</v>
      </c>
      <c r="J26" s="3">
        <v>1</v>
      </c>
      <c r="K26" s="7">
        <f t="shared" si="10"/>
        <v>3.1457943881124195</v>
      </c>
      <c r="L26" s="7">
        <f t="shared" si="11"/>
        <v>0.58255451631711463</v>
      </c>
      <c r="M26" s="7">
        <f t="shared" si="12"/>
        <v>58.255451631711466</v>
      </c>
      <c r="N26" s="6"/>
      <c r="O26" s="80">
        <v>761.67</v>
      </c>
      <c r="P26" s="81"/>
      <c r="Q26" s="40">
        <f>SUM(O26:P26)</f>
        <v>761.67</v>
      </c>
      <c r="R26" s="40">
        <v>67.67</v>
      </c>
      <c r="S26" s="36">
        <f>IF(O26&gt;0,((R26-$Q$5)/(O26-$Q$5))*100,"")</f>
        <v>8.0173362138663204</v>
      </c>
      <c r="T26" s="36">
        <f>IF(Q26&gt;0,((S26/100)*Q26)/$Q$7/1000,"")</f>
        <v>6.1065644740155599E-2</v>
      </c>
      <c r="U26" s="14">
        <f t="shared" si="24"/>
        <v>6.1065644740155598</v>
      </c>
      <c r="V26" s="131">
        <v>732.07</v>
      </c>
      <c r="W26" s="131">
        <f>2201.18</f>
        <v>2201.1799999999998</v>
      </c>
      <c r="X26" s="131">
        <v>1376.24</v>
      </c>
      <c r="Y26" s="40">
        <f t="shared" si="27"/>
        <v>4309.49</v>
      </c>
      <c r="Z26" s="40">
        <v>91.53</v>
      </c>
      <c r="AA26" s="36">
        <f t="shared" ref="AA26:AA28" si="29">IF(V26&gt;0,((Z26-$Q$5)/(V26-$Q$5))*100,"")</f>
        <v>11.636248258356439</v>
      </c>
      <c r="AB26" s="36">
        <f>IF(Y26&gt;0,((AA26/100)*Y26)/$Q$7/1000,"")</f>
        <v>0.50146295506904481</v>
      </c>
      <c r="AC26" s="14">
        <f>IF(Y26&gt;0,AB26*10000/100,0)</f>
        <v>50.14629550690448</v>
      </c>
      <c r="AD26" s="38"/>
      <c r="AE26" s="38"/>
      <c r="AF26" s="38"/>
      <c r="AG26" s="31"/>
      <c r="AH26" s="31"/>
      <c r="AI26" s="31" t="str">
        <f t="shared" si="3"/>
        <v/>
      </c>
      <c r="AJ26" s="31" t="str">
        <f t="shared" si="4"/>
        <v/>
      </c>
      <c r="AK26" s="14">
        <f t="shared" si="5"/>
        <v>0</v>
      </c>
      <c r="AL26" s="38">
        <v>19</v>
      </c>
      <c r="AM26" s="38">
        <v>19</v>
      </c>
      <c r="AN26" s="15">
        <v>9.61</v>
      </c>
      <c r="AO26" s="15">
        <f>IF(AL26&gt;0,((AN26-$Q$5)/(AM26-$Q$5))*100,"")</f>
        <v>20.558375634517763</v>
      </c>
      <c r="AP26" s="15">
        <f t="shared" si="7"/>
        <v>3.9060913705583748E-3</v>
      </c>
      <c r="AQ26" s="14">
        <f t="shared" si="8"/>
        <v>0.3906091370558375</v>
      </c>
      <c r="AR26" s="14">
        <f t="shared" si="15"/>
        <v>6.1065644740155598</v>
      </c>
      <c r="AS26" s="14">
        <f t="shared" si="16"/>
        <v>50.14629550690448</v>
      </c>
      <c r="AT26" s="36"/>
      <c r="AU26" s="124">
        <f t="shared" si="17"/>
        <v>88.529703931905701</v>
      </c>
      <c r="AV26" s="57">
        <f t="shared" si="18"/>
        <v>10.780703528763272</v>
      </c>
      <c r="AW26" s="57">
        <f t="shared" si="19"/>
        <v>0.68959253933102982</v>
      </c>
    </row>
    <row r="27" spans="2:52" x14ac:dyDescent="0.3">
      <c r="B27" s="3" t="s">
        <v>9</v>
      </c>
      <c r="C27" s="6">
        <v>7</v>
      </c>
      <c r="D27">
        <v>50</v>
      </c>
      <c r="E27" s="59">
        <f>12.34+10.18-G5</f>
        <v>17.940999999999999</v>
      </c>
      <c r="F27" s="57"/>
      <c r="G27" s="40">
        <v>715.4</v>
      </c>
      <c r="H27" s="67">
        <v>111.5</v>
      </c>
      <c r="I27" s="8">
        <f t="shared" si="9"/>
        <v>14.729886193555675</v>
      </c>
      <c r="J27" s="3">
        <v>1</v>
      </c>
      <c r="K27" s="7">
        <f t="shared" si="10"/>
        <v>2.6426888819858236</v>
      </c>
      <c r="L27" s="7">
        <f t="shared" si="11"/>
        <v>0.48938682999737471</v>
      </c>
      <c r="M27" s="7">
        <f t="shared" si="12"/>
        <v>48.938682999737466</v>
      </c>
      <c r="N27" s="6"/>
      <c r="O27" s="80">
        <v>515.4</v>
      </c>
      <c r="P27" s="81">
        <f>1198.36-415.17+Q5</f>
        <v>790.36999999999978</v>
      </c>
      <c r="Q27" s="40">
        <f>SUM(O27:P27)</f>
        <v>1305.7699999999998</v>
      </c>
      <c r="R27" s="40">
        <v>69.87</v>
      </c>
      <c r="S27" s="36">
        <f>IF(O27&gt;0,((R27-$Q$5)/(O27-$Q$5))*100,"")</f>
        <v>12.335209161386802</v>
      </c>
      <c r="T27" s="36">
        <f>IF(Q27&gt;0,((S27/100)*Q27)/$Q$7/1000,"")</f>
        <v>0.16106946066664041</v>
      </c>
      <c r="U27" s="14">
        <f t="shared" si="24"/>
        <v>16.10694606666404</v>
      </c>
      <c r="V27" s="131">
        <v>491.88</v>
      </c>
      <c r="W27" s="131">
        <f>1457.59+Q5</f>
        <v>1464.77</v>
      </c>
      <c r="X27" s="131"/>
      <c r="Y27" s="40">
        <f t="shared" si="27"/>
        <v>1956.65</v>
      </c>
      <c r="Z27" s="40">
        <v>61.55</v>
      </c>
      <c r="AA27" s="36">
        <f t="shared" si="29"/>
        <v>11.217247782133279</v>
      </c>
      <c r="AB27" s="36">
        <f>IF(Y27&gt;0,((AA27/100)*Y27)/$Q$7/1000,"")</f>
        <v>0.21948227872911086</v>
      </c>
      <c r="AC27" s="14">
        <f t="shared" si="2"/>
        <v>21.948227872911083</v>
      </c>
      <c r="AD27" s="38"/>
      <c r="AE27" s="38"/>
      <c r="AF27" s="38"/>
      <c r="AG27" s="31"/>
      <c r="AH27" s="31"/>
      <c r="AI27" s="31" t="str">
        <f t="shared" si="3"/>
        <v/>
      </c>
      <c r="AJ27" s="31" t="str">
        <f t="shared" si="4"/>
        <v/>
      </c>
      <c r="AK27" s="14">
        <f t="shared" si="5"/>
        <v>0</v>
      </c>
      <c r="AL27" s="38">
        <v>32.4</v>
      </c>
      <c r="AM27" s="38">
        <v>32.4</v>
      </c>
      <c r="AN27" s="15">
        <v>11</v>
      </c>
      <c r="AO27" s="15"/>
      <c r="AP27" s="15">
        <f t="shared" si="7"/>
        <v>0</v>
      </c>
      <c r="AQ27" s="14">
        <f t="shared" si="8"/>
        <v>0</v>
      </c>
      <c r="AR27" s="14">
        <f t="shared" si="15"/>
        <v>16.10694606666404</v>
      </c>
      <c r="AS27" s="14">
        <f t="shared" si="16"/>
        <v>21.948227872911083</v>
      </c>
      <c r="AT27" s="36"/>
      <c r="AU27" s="124">
        <f t="shared" si="17"/>
        <v>57.674753787122299</v>
      </c>
      <c r="AV27" s="57">
        <f t="shared" si="18"/>
        <v>42.325246212877694</v>
      </c>
      <c r="AW27" s="57">
        <f t="shared" si="19"/>
        <v>0</v>
      </c>
    </row>
    <row r="28" spans="2:52" x14ac:dyDescent="0.3">
      <c r="B28" s="3" t="s">
        <v>9</v>
      </c>
      <c r="C28" s="6">
        <v>8</v>
      </c>
      <c r="D28">
        <v>75</v>
      </c>
      <c r="E28" s="59">
        <f>9.02+11.64-G5</f>
        <v>16.081</v>
      </c>
      <c r="F28" s="57"/>
      <c r="G28" s="40">
        <v>739.43</v>
      </c>
      <c r="H28" s="67">
        <v>112.98</v>
      </c>
      <c r="I28" s="8">
        <f t="shared" si="9"/>
        <v>14.448617275520656</v>
      </c>
      <c r="J28" s="3">
        <v>1</v>
      </c>
      <c r="K28" s="7">
        <f t="shared" si="10"/>
        <v>2.3234821440764768</v>
      </c>
      <c r="L28" s="7">
        <f t="shared" si="11"/>
        <v>0.43027447112527345</v>
      </c>
      <c r="M28" s="7">
        <f t="shared" si="12"/>
        <v>43.027447112527341</v>
      </c>
      <c r="N28" s="6"/>
      <c r="O28" s="80">
        <v>499.53</v>
      </c>
      <c r="P28" s="81">
        <v>1389.69</v>
      </c>
      <c r="Q28" s="40">
        <f>SUM(O28:P28)</f>
        <v>1889.22</v>
      </c>
      <c r="R28" s="40">
        <v>77.23</v>
      </c>
      <c r="S28" s="36">
        <f>IF(O28&gt;0,((R28-$Q$5)/(O28-$Q$5))*100,"")</f>
        <v>14.227683558444198</v>
      </c>
      <c r="T28" s="36">
        <f>IF(Q28&gt;0,((S28/100)*Q28)/$Q$7/1000,"")</f>
        <v>0.26879224332283952</v>
      </c>
      <c r="U28" s="14">
        <f t="shared" si="24"/>
        <v>26.879224332283954</v>
      </c>
      <c r="V28" s="131">
        <v>394.39</v>
      </c>
      <c r="W28" s="131">
        <v>663.64</v>
      </c>
      <c r="X28" s="131"/>
      <c r="Y28" s="40">
        <f t="shared" si="27"/>
        <v>1058.03</v>
      </c>
      <c r="Z28" s="40">
        <v>64.34</v>
      </c>
      <c r="AA28" s="36">
        <f t="shared" si="29"/>
        <v>14.762015443816018</v>
      </c>
      <c r="AB28" s="36">
        <f>IF(Y28&gt;0,((AA28/100)*Y28)/$Q$7/1000,"")</f>
        <v>0.15618655200020659</v>
      </c>
      <c r="AC28" s="14">
        <f t="shared" si="2"/>
        <v>15.61865520002066</v>
      </c>
      <c r="AD28" s="38"/>
      <c r="AE28" s="38"/>
      <c r="AF28" s="38"/>
      <c r="AG28" s="31"/>
      <c r="AH28" s="31"/>
      <c r="AI28" s="31" t="str">
        <f t="shared" si="3"/>
        <v/>
      </c>
      <c r="AJ28" s="31" t="str">
        <f t="shared" si="4"/>
        <v/>
      </c>
      <c r="AK28" s="14">
        <f t="shared" si="5"/>
        <v>0</v>
      </c>
      <c r="AL28" s="38">
        <v>24.89</v>
      </c>
      <c r="AM28" s="38">
        <v>24.89</v>
      </c>
      <c r="AN28" s="15">
        <v>11.42</v>
      </c>
      <c r="AO28" s="15">
        <f t="shared" si="6"/>
        <v>23.941276115189158</v>
      </c>
      <c r="AP28" s="15">
        <f t="shared" si="7"/>
        <v>5.9589836250705823E-3</v>
      </c>
      <c r="AQ28" s="14">
        <f t="shared" si="8"/>
        <v>0.59589836250705819</v>
      </c>
      <c r="AR28" s="14">
        <f t="shared" si="15"/>
        <v>26.879224332283954</v>
      </c>
      <c r="AS28" s="14">
        <f t="shared" si="16"/>
        <v>15.61865520002066</v>
      </c>
      <c r="AT28" s="36"/>
      <c r="AU28" s="124">
        <f t="shared" si="17"/>
        <v>36.243411376334876</v>
      </c>
      <c r="AV28" s="57">
        <f t="shared" si="18"/>
        <v>62.373794188789624</v>
      </c>
      <c r="AW28" s="57">
        <f t="shared" si="19"/>
        <v>1.3827944348754859</v>
      </c>
    </row>
    <row r="29" spans="2:52" x14ac:dyDescent="0.3">
      <c r="B29" s="16" t="s">
        <v>9</v>
      </c>
      <c r="C29" s="17">
        <v>9</v>
      </c>
      <c r="D29">
        <v>100</v>
      </c>
      <c r="E29" s="59">
        <f>8.7+5.8-G5</f>
        <v>9.9209999999999994</v>
      </c>
      <c r="F29" s="57"/>
      <c r="G29" s="42">
        <v>603.25</v>
      </c>
      <c r="H29" s="68">
        <v>112.2</v>
      </c>
      <c r="I29" s="19">
        <f t="shared" si="9"/>
        <v>17.618736054490245</v>
      </c>
      <c r="J29" s="16">
        <v>1</v>
      </c>
      <c r="K29" s="7">
        <f t="shared" si="10"/>
        <v>1.7479548039659771</v>
      </c>
      <c r="L29" s="18">
        <f t="shared" si="11"/>
        <v>0.32369533406777351</v>
      </c>
      <c r="M29" s="18">
        <f t="shared" si="12"/>
        <v>32.36953340677735</v>
      </c>
      <c r="N29" s="17"/>
      <c r="O29" s="167">
        <v>424.7</v>
      </c>
      <c r="P29" s="166">
        <f>1168.45+Q5</f>
        <v>1175.6300000000001</v>
      </c>
      <c r="Q29" s="40">
        <f>SUM(O29:P29)</f>
        <v>1600.3300000000002</v>
      </c>
      <c r="R29" s="40">
        <v>74.61</v>
      </c>
      <c r="S29" s="36">
        <f>IF(O29&gt;0,((R29-$Q$5)/(O29-$Q$5))*100,"")</f>
        <v>16.15012454493198</v>
      </c>
      <c r="T29" s="7">
        <f>IF(Q29&gt;0,((S29/100)*Q29)/$Q$7/1000,"")</f>
        <v>0.25845528812990992</v>
      </c>
      <c r="U29" s="14">
        <f t="shared" si="24"/>
        <v>25.845528812990992</v>
      </c>
      <c r="V29" s="62"/>
      <c r="W29" s="62"/>
      <c r="X29" s="62"/>
      <c r="Y29" s="62"/>
      <c r="Z29" s="62"/>
      <c r="AA29" s="33" t="str">
        <f t="shared" si="21"/>
        <v/>
      </c>
      <c r="AB29" s="33" t="str">
        <f t="shared" si="22"/>
        <v/>
      </c>
      <c r="AC29" s="14">
        <f t="shared" si="2"/>
        <v>0</v>
      </c>
      <c r="AD29" s="41"/>
      <c r="AE29" s="41"/>
      <c r="AF29" s="41"/>
      <c r="AG29" s="33"/>
      <c r="AH29" s="33"/>
      <c r="AI29" s="33" t="str">
        <f t="shared" si="3"/>
        <v/>
      </c>
      <c r="AJ29" s="33" t="str">
        <f t="shared" si="4"/>
        <v/>
      </c>
      <c r="AK29" s="14">
        <f t="shared" si="5"/>
        <v>0</v>
      </c>
      <c r="AL29" s="41"/>
      <c r="AM29" s="41"/>
      <c r="AN29" s="41"/>
      <c r="AO29" s="41" t="str">
        <f t="shared" si="6"/>
        <v/>
      </c>
      <c r="AP29" s="41" t="str">
        <f t="shared" si="7"/>
        <v/>
      </c>
      <c r="AQ29" s="14">
        <f t="shared" ref="AQ29:AQ30" si="30">IF(AM29&gt;0,AP29*10000/100,0)</f>
        <v>0</v>
      </c>
      <c r="AR29" s="14">
        <f t="shared" ref="AR29" si="31">U29+AK29</f>
        <v>25.845528812990992</v>
      </c>
      <c r="AS29" s="14">
        <f t="shared" ref="AS29:AS30" si="32">AC29</f>
        <v>0</v>
      </c>
      <c r="AT29" s="36"/>
      <c r="AU29" s="124"/>
      <c r="AV29" s="57"/>
      <c r="AW29" s="57"/>
    </row>
    <row r="30" spans="2:52" ht="14.5" x14ac:dyDescent="0.35">
      <c r="B30" s="3" t="s">
        <v>10</v>
      </c>
      <c r="C30" s="6">
        <v>1</v>
      </c>
      <c r="D30">
        <v>100</v>
      </c>
      <c r="E30" s="60">
        <f>14.14+13.68-$G$5</f>
        <v>23.241</v>
      </c>
      <c r="F30" s="78"/>
      <c r="G30" s="173">
        <v>872.12</v>
      </c>
      <c r="H30" s="174">
        <v>107.78</v>
      </c>
      <c r="I30" s="8">
        <f t="shared" si="9"/>
        <v>11.630864568640597</v>
      </c>
      <c r="J30" s="3">
        <v>1</v>
      </c>
      <c r="K30" s="7">
        <f t="shared" si="10"/>
        <v>2.7031292343977609</v>
      </c>
      <c r="L30" s="7">
        <f t="shared" si="11"/>
        <v>0.50057948785143713</v>
      </c>
      <c r="M30" s="7">
        <f t="shared" si="12"/>
        <v>50.057948785143715</v>
      </c>
      <c r="N30" s="6"/>
      <c r="O30" s="168"/>
      <c r="P30" s="169"/>
      <c r="Q30" s="69"/>
      <c r="R30" s="69"/>
      <c r="S30" s="37" t="str">
        <f>IF(O30&gt;0,((R30-$Q$5)/(Q30-$Q$5))*100,"")</f>
        <v/>
      </c>
      <c r="T30" s="37" t="str">
        <f>IF(O30&gt;0,((S30/100)*O30)/$Q$7/1000,"")</f>
        <v/>
      </c>
      <c r="U30" s="14">
        <f t="shared" si="24"/>
        <v>0</v>
      </c>
      <c r="V30" s="173">
        <v>847.32</v>
      </c>
      <c r="W30" s="173">
        <f>5510.3-1014.6</f>
        <v>4495.7</v>
      </c>
      <c r="X30" s="173"/>
      <c r="Y30" s="173">
        <f>SUM(V30:X30)</f>
        <v>5343.0199999999995</v>
      </c>
      <c r="Z30" s="173">
        <v>89</v>
      </c>
      <c r="AA30" s="36">
        <f t="shared" ref="AA30:AA33" si="33">IF(V30&gt;0,((Z30-$Q$5)/(V30-$Q$5))*100,"")</f>
        <v>9.7388530483014719</v>
      </c>
      <c r="AB30" s="7">
        <f>IF(Y30&gt;0,((AA30/100)*Y30)/$Q$7/1000,"")</f>
        <v>0.52034886614135722</v>
      </c>
      <c r="AC30" s="159">
        <f t="shared" si="2"/>
        <v>52.034886614135722</v>
      </c>
      <c r="AD30" s="172"/>
      <c r="AE30" s="172"/>
      <c r="AF30" s="172"/>
      <c r="AG30" s="173"/>
      <c r="AH30" s="172"/>
      <c r="AI30" s="36" t="str">
        <f t="shared" ref="AI30:AI34" si="34">IF(AD30&gt;0,((AH30-$Q$5)/(AD30-$Q$5))*100,"")</f>
        <v/>
      </c>
      <c r="AJ30" s="7" t="str">
        <f>IF(AG30&gt;0,((AI30/100)*AG30)/$Q$7/1000,"")</f>
        <v/>
      </c>
      <c r="AK30" s="14">
        <f t="shared" si="5"/>
        <v>0</v>
      </c>
      <c r="AL30" s="38">
        <v>25.92</v>
      </c>
      <c r="AM30" s="38">
        <v>25.92</v>
      </c>
      <c r="AN30" s="40">
        <v>10.02</v>
      </c>
      <c r="AO30" s="40">
        <f t="shared" si="6"/>
        <v>15.154749199573104</v>
      </c>
      <c r="AP30" s="40">
        <f t="shared" si="7"/>
        <v>3.9281109925293489E-3</v>
      </c>
      <c r="AQ30" s="14">
        <f t="shared" si="30"/>
        <v>0.39281109925293495</v>
      </c>
      <c r="AR30" s="14"/>
      <c r="AS30" s="14">
        <f t="shared" si="32"/>
        <v>52.034886614135722</v>
      </c>
      <c r="AT30" s="36"/>
      <c r="AU30" s="124"/>
      <c r="AV30" s="57"/>
      <c r="AW30" s="57"/>
    </row>
    <row r="31" spans="2:52" x14ac:dyDescent="0.3">
      <c r="B31" s="3" t="s">
        <v>10</v>
      </c>
      <c r="C31" s="6">
        <v>2</v>
      </c>
      <c r="D31">
        <v>75</v>
      </c>
      <c r="E31" s="59">
        <f>12.16+9.96-G5</f>
        <v>17.541</v>
      </c>
      <c r="F31" s="57"/>
      <c r="G31" s="40">
        <v>680.4</v>
      </c>
      <c r="H31" s="67">
        <v>146.75</v>
      </c>
      <c r="I31" s="8">
        <f t="shared" si="9"/>
        <v>20.73170731707317</v>
      </c>
      <c r="J31" s="3">
        <v>1</v>
      </c>
      <c r="K31" s="7">
        <f t="shared" si="10"/>
        <v>3.6365487804878049</v>
      </c>
      <c r="L31" s="7">
        <f t="shared" si="11"/>
        <v>0.67343495934959341</v>
      </c>
      <c r="M31" s="7">
        <f t="shared" si="12"/>
        <v>67.343495934959336</v>
      </c>
      <c r="N31" s="6"/>
      <c r="O31" s="80"/>
      <c r="P31" s="81"/>
      <c r="Q31" s="37"/>
      <c r="R31" s="37" t="str">
        <f>IF(N31&gt;0,((Q31-$Q$5)/(#REF!-$Q$5))*100,"")</f>
        <v/>
      </c>
      <c r="S31" s="37" t="str">
        <f>IF(O31&gt;0,((R31-$Q$5)/(Q31-$Q$5))*100,"")</f>
        <v/>
      </c>
      <c r="T31" s="37" t="str">
        <f>IF(O31&gt;0,((S31/100)*O31)/$Q$7/1000,"")</f>
        <v/>
      </c>
      <c r="U31" s="14">
        <f t="shared" si="24"/>
        <v>0</v>
      </c>
      <c r="V31" s="131">
        <v>510.37</v>
      </c>
      <c r="W31" s="131">
        <v>1251.49</v>
      </c>
      <c r="X31" s="131"/>
      <c r="Y31" s="40">
        <f t="shared" ref="Y31:Y37" si="35">SUM(V31:X31)</f>
        <v>1761.8600000000001</v>
      </c>
      <c r="Z31" s="40">
        <v>71.8</v>
      </c>
      <c r="AA31" s="36">
        <f t="shared" si="33"/>
        <v>12.842067608656771</v>
      </c>
      <c r="AB31" s="36">
        <f>IF(Y31&gt;0,((AA31/100)*Y31)/$Q$7/1000,"")</f>
        <v>0.22625925236988018</v>
      </c>
      <c r="AC31" s="14">
        <f t="shared" si="2"/>
        <v>22.625925236988017</v>
      </c>
      <c r="AD31" s="38">
        <v>649.55999999999995</v>
      </c>
      <c r="AE31" s="38">
        <v>1157.05</v>
      </c>
      <c r="AF31" s="38"/>
      <c r="AG31" s="40">
        <f>SUM(AD31:AF31)</f>
        <v>1806.61</v>
      </c>
      <c r="AH31" s="7">
        <v>193.86</v>
      </c>
      <c r="AI31" s="36">
        <f t="shared" si="34"/>
        <v>29.06068059404091</v>
      </c>
      <c r="AJ31" s="7">
        <f>IF(AG31&gt;0,((AI31/100)*AG31)/$Q$7/1000,"")</f>
        <v>0.52501316168000245</v>
      </c>
      <c r="AK31" s="14">
        <f t="shared" si="5"/>
        <v>52.501316168000251</v>
      </c>
      <c r="AL31" s="38">
        <v>13.7</v>
      </c>
      <c r="AM31" s="38">
        <v>13.7</v>
      </c>
      <c r="AN31" s="40">
        <v>8.2200000000000006</v>
      </c>
      <c r="AO31" s="40">
        <f t="shared" si="6"/>
        <v>15.950920245398789</v>
      </c>
      <c r="AP31" s="40">
        <f t="shared" si="7"/>
        <v>2.1852760736196341E-3</v>
      </c>
      <c r="AQ31" s="14">
        <f t="shared" si="8"/>
        <v>0.21852760736196342</v>
      </c>
      <c r="AR31" s="14">
        <f t="shared" si="15"/>
        <v>52.501316168000251</v>
      </c>
      <c r="AS31" s="14">
        <f t="shared" si="16"/>
        <v>22.625925236988017</v>
      </c>
      <c r="AT31" s="36"/>
      <c r="AU31" s="124">
        <f t="shared" si="17"/>
        <v>30.029456907234316</v>
      </c>
      <c r="AV31" s="57">
        <f t="shared" si="18"/>
        <v>69.680510075349488</v>
      </c>
      <c r="AW31" s="57">
        <f t="shared" si="19"/>
        <v>0.29003301741620513</v>
      </c>
    </row>
    <row r="32" spans="2:52" x14ac:dyDescent="0.3">
      <c r="B32" s="3" t="s">
        <v>10</v>
      </c>
      <c r="C32" s="6">
        <v>3</v>
      </c>
      <c r="D32">
        <v>50</v>
      </c>
      <c r="E32" s="59">
        <f>12.54+9.74-G5</f>
        <v>17.701000000000001</v>
      </c>
      <c r="F32" s="57"/>
      <c r="G32" s="40">
        <v>676.87</v>
      </c>
      <c r="H32" s="67">
        <v>169.56</v>
      </c>
      <c r="I32" s="8">
        <f t="shared" si="9"/>
        <v>24.247039675073541</v>
      </c>
      <c r="J32" s="3">
        <v>1</v>
      </c>
      <c r="K32" s="7">
        <f t="shared" si="10"/>
        <v>4.2919684928847674</v>
      </c>
      <c r="L32" s="7">
        <f t="shared" si="11"/>
        <v>0.79480898016384582</v>
      </c>
      <c r="M32" s="7">
        <f t="shared" si="12"/>
        <v>79.480898016384586</v>
      </c>
      <c r="N32" s="6"/>
      <c r="O32" s="80"/>
      <c r="P32" s="81"/>
      <c r="Q32" s="61"/>
      <c r="R32" s="61"/>
      <c r="S32" s="37" t="str">
        <f>IF(O32&gt;0,((R32-$Q$5)/(Q32-$Q$5))*100,"")</f>
        <v/>
      </c>
      <c r="T32" s="37" t="str">
        <f>IF(O32&gt;0,((S32/100)*O32)/$Q$7/1000,"")</f>
        <v/>
      </c>
      <c r="U32" s="14">
        <f t="shared" si="24"/>
        <v>0</v>
      </c>
      <c r="V32" s="131">
        <v>406.06</v>
      </c>
      <c r="W32" s="131">
        <v>578.58000000000004</v>
      </c>
      <c r="X32" s="131"/>
      <c r="Y32" s="40">
        <f t="shared" si="35"/>
        <v>984.6400000000001</v>
      </c>
      <c r="Z32" s="40">
        <v>64.819999999999993</v>
      </c>
      <c r="AA32" s="36">
        <f t="shared" si="33"/>
        <v>14.450461291616525</v>
      </c>
      <c r="AB32" s="36">
        <f>IF(Y32&gt;0,((AA32/100)*Y32)/$Q$7/1000,"")</f>
        <v>0.14228502206177296</v>
      </c>
      <c r="AC32" s="14">
        <f t="shared" si="2"/>
        <v>14.228502206177295</v>
      </c>
      <c r="AD32" s="38">
        <v>370.17</v>
      </c>
      <c r="AE32" s="38">
        <f>745.42</f>
        <v>745.42</v>
      </c>
      <c r="AF32" s="38">
        <v>797.03</v>
      </c>
      <c r="AG32" s="40">
        <f>SUM(AD32:AF32)</f>
        <v>1912.62</v>
      </c>
      <c r="AH32" s="7">
        <v>112.22</v>
      </c>
      <c r="AI32" s="36">
        <f t="shared" si="34"/>
        <v>28.937436293010826</v>
      </c>
      <c r="AJ32" s="7">
        <f>IF(AG32&gt;0,((AI32/100)*AG32)/$Q$7/1000,"")</f>
        <v>0.55346319402738364</v>
      </c>
      <c r="AK32" s="14">
        <f t="shared" si="5"/>
        <v>55.346319402738366</v>
      </c>
      <c r="AL32" s="38">
        <v>10.76</v>
      </c>
      <c r="AM32" s="38">
        <v>10.76</v>
      </c>
      <c r="AN32" s="40">
        <v>7.88</v>
      </c>
      <c r="AO32" s="40">
        <f t="shared" si="6"/>
        <v>19.553072625698327</v>
      </c>
      <c r="AP32" s="40">
        <f t="shared" si="7"/>
        <v>2.10391061452514E-3</v>
      </c>
      <c r="AQ32" s="14">
        <f t="shared" si="8"/>
        <v>0.21039106145251399</v>
      </c>
      <c r="AR32" s="14">
        <f t="shared" si="15"/>
        <v>55.346319402738366</v>
      </c>
      <c r="AS32" s="14">
        <f t="shared" si="16"/>
        <v>14.228502206177295</v>
      </c>
      <c r="AT32" s="36"/>
      <c r="AU32" s="124">
        <f t="shared" si="17"/>
        <v>20.388993114323384</v>
      </c>
      <c r="AV32" s="57">
        <f t="shared" si="18"/>
        <v>79.309523156671887</v>
      </c>
      <c r="AW32" s="57">
        <f t="shared" si="19"/>
        <v>0.30148372900473963</v>
      </c>
    </row>
    <row r="33" spans="2:52" x14ac:dyDescent="0.3">
      <c r="B33" s="3" t="s">
        <v>10</v>
      </c>
      <c r="C33" s="6">
        <v>4</v>
      </c>
      <c r="D33">
        <v>25</v>
      </c>
      <c r="E33" s="59">
        <f>12.46+7.36-G5</f>
        <v>15.241</v>
      </c>
      <c r="F33" s="57"/>
      <c r="G33" s="40">
        <v>479.87</v>
      </c>
      <c r="H33" s="67">
        <v>77.11</v>
      </c>
      <c r="I33" s="8">
        <f t="shared" si="9"/>
        <v>14.794051069411243</v>
      </c>
      <c r="J33" s="3">
        <v>1</v>
      </c>
      <c r="K33" s="7">
        <f t="shared" si="10"/>
        <v>2.2547613234889674</v>
      </c>
      <c r="L33" s="7">
        <f t="shared" si="11"/>
        <v>0.41754839323869763</v>
      </c>
      <c r="M33" s="7">
        <f t="shared" si="12"/>
        <v>41.754839323869767</v>
      </c>
      <c r="N33" s="6"/>
      <c r="O33" s="80"/>
      <c r="P33" s="81"/>
      <c r="Q33" s="61"/>
      <c r="R33" s="61"/>
      <c r="S33" s="37" t="str">
        <f>IF(O33&gt;0,((R33-$Q$5)/(Q33-$Q$5))*100,"")</f>
        <v/>
      </c>
      <c r="T33" s="37" t="str">
        <f>IF(O33&gt;0,((S33/100)*O33)/$Q$7/1000,"")</f>
        <v/>
      </c>
      <c r="U33" s="14">
        <f t="shared" si="24"/>
        <v>0</v>
      </c>
      <c r="V33" s="131"/>
      <c r="W33" s="131"/>
      <c r="X33" s="131"/>
      <c r="Y33" s="40">
        <f t="shared" si="35"/>
        <v>0</v>
      </c>
      <c r="Z33" s="40"/>
      <c r="AA33" s="36" t="str">
        <f t="shared" si="33"/>
        <v/>
      </c>
      <c r="AB33" s="36" t="str">
        <f>IF(Y33&gt;0,((AA33/100)*Y33)/$Q$7/1000,"")</f>
        <v/>
      </c>
      <c r="AC33" s="14">
        <f t="shared" si="2"/>
        <v>0</v>
      </c>
      <c r="AD33" s="38">
        <v>383.91</v>
      </c>
      <c r="AE33" s="38">
        <f>1089.52</f>
        <v>1089.52</v>
      </c>
      <c r="AF33" s="38">
        <v>1242</v>
      </c>
      <c r="AG33" s="40">
        <f t="shared" ref="AG33:AG34" si="36">SUM(AD33:AF33)</f>
        <v>2715.4300000000003</v>
      </c>
      <c r="AH33" s="7">
        <v>106.1</v>
      </c>
      <c r="AI33" s="36">
        <f t="shared" si="34"/>
        <v>26.257531919411775</v>
      </c>
      <c r="AJ33" s="7">
        <f>IF(AG33&gt;0,((AI33/100)*AG33)/$Q$7/1000,"")</f>
        <v>0.71300489899928321</v>
      </c>
      <c r="AK33" s="14">
        <f t="shared" si="5"/>
        <v>71.300489899928323</v>
      </c>
      <c r="AL33" s="38">
        <v>18.95</v>
      </c>
      <c r="AM33" s="38">
        <v>18.95</v>
      </c>
      <c r="AN33" s="40">
        <v>8.77</v>
      </c>
      <c r="AO33" s="40">
        <f t="shared" si="6"/>
        <v>13.5089209855565</v>
      </c>
      <c r="AP33" s="40">
        <f t="shared" si="7"/>
        <v>2.5599405267629563E-3</v>
      </c>
      <c r="AQ33" s="14">
        <f t="shared" si="8"/>
        <v>0.25599405267629566</v>
      </c>
      <c r="AR33" s="14">
        <f t="shared" si="15"/>
        <v>71.300489899928323</v>
      </c>
      <c r="AS33" s="14">
        <f t="shared" si="16"/>
        <v>0</v>
      </c>
      <c r="AT33" s="36"/>
      <c r="AU33" s="124" t="str">
        <f t="shared" si="17"/>
        <v/>
      </c>
      <c r="AV33" s="57">
        <f t="shared" si="18"/>
        <v>99.642248977960051</v>
      </c>
      <c r="AW33" s="57">
        <f t="shared" si="19"/>
        <v>0.35775102203994974</v>
      </c>
    </row>
    <row r="34" spans="2:52" ht="14.5" x14ac:dyDescent="0.35">
      <c r="B34" s="3" t="s">
        <v>10</v>
      </c>
      <c r="C34" s="6">
        <v>5</v>
      </c>
      <c r="D34">
        <v>0</v>
      </c>
      <c r="E34" s="59">
        <f>9.98+7.6-G5</f>
        <v>13.000999999999998</v>
      </c>
      <c r="F34" s="57"/>
      <c r="G34" s="40">
        <v>458.86</v>
      </c>
      <c r="H34" s="67">
        <v>154.84</v>
      </c>
      <c r="I34" s="8">
        <f t="shared" si="9"/>
        <v>32.691285866099896</v>
      </c>
      <c r="J34" s="3">
        <v>1</v>
      </c>
      <c r="K34" s="7">
        <f t="shared" si="10"/>
        <v>4.2501940754516463</v>
      </c>
      <c r="L34" s="7">
        <f t="shared" si="11"/>
        <v>0.78707297693549005</v>
      </c>
      <c r="M34" s="7">
        <f t="shared" si="12"/>
        <v>78.707297693549009</v>
      </c>
      <c r="N34" s="6"/>
      <c r="O34" s="80"/>
      <c r="P34" s="81"/>
      <c r="Q34" s="61"/>
      <c r="R34" s="61"/>
      <c r="S34" s="37" t="str">
        <f>IF(O34&gt;0,((R34-$Q$5)/(Q34-$Q$5))*100,"")</f>
        <v/>
      </c>
      <c r="T34" s="37" t="str">
        <f>IF(O34&gt;0,((S34/100)*O34)/$Q$7/1000,"")</f>
        <v/>
      </c>
      <c r="U34" s="14">
        <f t="shared" si="24"/>
        <v>0</v>
      </c>
      <c r="V34" s="171"/>
      <c r="W34" s="171"/>
      <c r="X34" s="171"/>
      <c r="Y34" s="69"/>
      <c r="Z34" s="61"/>
      <c r="AA34" s="37" t="str">
        <f t="shared" si="21"/>
        <v/>
      </c>
      <c r="AB34" s="37" t="str">
        <f t="shared" si="22"/>
        <v/>
      </c>
      <c r="AC34" s="14">
        <f t="shared" si="2"/>
        <v>0</v>
      </c>
      <c r="AD34" s="38">
        <v>420.38</v>
      </c>
      <c r="AE34" s="38">
        <v>1759.31</v>
      </c>
      <c r="AF34" s="38"/>
      <c r="AG34" s="40">
        <f t="shared" si="36"/>
        <v>2179.69</v>
      </c>
      <c r="AH34" s="7">
        <v>126.85</v>
      </c>
      <c r="AI34" s="36">
        <f t="shared" si="34"/>
        <v>28.961761858664083</v>
      </c>
      <c r="AJ34" s="7">
        <f>IF(AG34&gt;0,((AI34/100)*AG34)/$Q$7/1000,"")</f>
        <v>0.63127662705711507</v>
      </c>
      <c r="AK34" s="14">
        <f t="shared" si="5"/>
        <v>63.127662705711508</v>
      </c>
      <c r="AL34" s="38"/>
      <c r="AM34" s="38"/>
      <c r="AN34" s="40"/>
      <c r="AO34" s="40" t="str">
        <f t="shared" si="6"/>
        <v/>
      </c>
      <c r="AP34" s="40" t="str">
        <f t="shared" si="7"/>
        <v/>
      </c>
      <c r="AQ34" s="14">
        <f t="shared" si="8"/>
        <v>0</v>
      </c>
      <c r="AR34" s="14">
        <f t="shared" si="15"/>
        <v>63.127662705711508</v>
      </c>
      <c r="AS34" s="14"/>
      <c r="AT34" s="36"/>
      <c r="AU34" s="124" t="str">
        <f t="shared" si="17"/>
        <v/>
      </c>
      <c r="AV34" s="57">
        <f t="shared" si="18"/>
        <v>100</v>
      </c>
      <c r="AW34" s="57">
        <f t="shared" si="19"/>
        <v>0</v>
      </c>
    </row>
    <row r="35" spans="2:52" x14ac:dyDescent="0.3">
      <c r="B35" s="3" t="s">
        <v>10</v>
      </c>
      <c r="C35" s="6">
        <v>6</v>
      </c>
      <c r="D35">
        <v>25</v>
      </c>
      <c r="E35" s="59">
        <f>17.08+18.74-G5</f>
        <v>31.240999999999993</v>
      </c>
      <c r="F35" s="57"/>
      <c r="G35" s="40">
        <v>433.41</v>
      </c>
      <c r="H35" s="67">
        <v>138.81</v>
      </c>
      <c r="I35" s="8">
        <f t="shared" si="9"/>
        <v>30.8823874433991</v>
      </c>
      <c r="J35" s="3">
        <v>1</v>
      </c>
      <c r="K35" s="7">
        <f t="shared" si="10"/>
        <v>9.6479666611923101</v>
      </c>
      <c r="L35" s="7">
        <f t="shared" si="11"/>
        <v>1.7866604928133907</v>
      </c>
      <c r="M35" s="7">
        <f>L35*10000/100</f>
        <v>178.66604928133907</v>
      </c>
      <c r="N35" s="6"/>
      <c r="O35" s="80">
        <v>500.86</v>
      </c>
      <c r="P35" s="81">
        <v>748.31</v>
      </c>
      <c r="Q35" s="40">
        <f>SUM(O35:P35)</f>
        <v>1249.17</v>
      </c>
      <c r="R35" s="40">
        <v>59.42</v>
      </c>
      <c r="S35" s="36">
        <f>IF(O35&gt;0,((R35-$Q$5)/(O35-$Q$5))*100,"")</f>
        <v>10.581753362502026</v>
      </c>
      <c r="T35" s="36">
        <f>IF(Q35&gt;0,((S35/100)*Q35)/$Q$7/1000,"")</f>
        <v>0.13218408847836657</v>
      </c>
      <c r="U35" s="14">
        <f t="shared" si="24"/>
        <v>13.218408847836658</v>
      </c>
      <c r="V35" s="131">
        <v>510.23</v>
      </c>
      <c r="W35" s="131">
        <v>2223.34</v>
      </c>
      <c r="X35" s="131"/>
      <c r="Y35" s="40">
        <f t="shared" si="35"/>
        <v>2733.57</v>
      </c>
      <c r="Z35" s="40">
        <v>71.03</v>
      </c>
      <c r="AA35" s="36">
        <f t="shared" ref="AA35" si="37">IF(V35&gt;0,((Z35-$Q$5)/(V35-$Q$5))*100,"")</f>
        <v>12.692575290726568</v>
      </c>
      <c r="AB35" s="36">
        <f>IF(Y35&gt;0,((AA35/100)*Y35)/$Q$7/1000,"")</f>
        <v>0.3469604303747143</v>
      </c>
      <c r="AC35" s="14">
        <f t="shared" si="2"/>
        <v>34.696043037471433</v>
      </c>
      <c r="AD35" s="38"/>
      <c r="AE35" s="38"/>
      <c r="AF35" s="38"/>
      <c r="AG35" s="31"/>
      <c r="AH35" s="31"/>
      <c r="AI35" s="31" t="str">
        <f t="shared" si="3"/>
        <v/>
      </c>
      <c r="AJ35" s="31" t="str">
        <f t="shared" si="4"/>
        <v/>
      </c>
      <c r="AK35" s="14">
        <f t="shared" si="5"/>
        <v>0</v>
      </c>
      <c r="AL35" s="38">
        <v>115</v>
      </c>
      <c r="AM35" s="38">
        <v>115</v>
      </c>
      <c r="AN35" s="40">
        <v>19.09</v>
      </c>
      <c r="AO35" s="40">
        <f t="shared" si="6"/>
        <v>11.046188091263218</v>
      </c>
      <c r="AP35" s="40">
        <f t="shared" si="7"/>
        <v>1.2703116304952701E-2</v>
      </c>
      <c r="AQ35" s="14">
        <f t="shared" si="8"/>
        <v>1.2703116304952702</v>
      </c>
      <c r="AR35" s="14">
        <f t="shared" si="15"/>
        <v>13.218408847836658</v>
      </c>
      <c r="AS35" s="14">
        <f t="shared" si="16"/>
        <v>34.696043037471433</v>
      </c>
      <c r="AT35" s="36"/>
      <c r="AU35" s="124">
        <f t="shared" si="17"/>
        <v>70.542258531594612</v>
      </c>
      <c r="AV35" s="57">
        <f t="shared" si="18"/>
        <v>26.875007427024638</v>
      </c>
      <c r="AW35" s="57">
        <f t="shared" si="19"/>
        <v>2.5827340413807445</v>
      </c>
    </row>
    <row r="36" spans="2:52" x14ac:dyDescent="0.3">
      <c r="B36" s="20" t="s">
        <v>10</v>
      </c>
      <c r="C36" s="6">
        <v>7</v>
      </c>
      <c r="D36">
        <v>50</v>
      </c>
      <c r="E36" s="59">
        <f>14.96+16.78-G5</f>
        <v>27.161000000000001</v>
      </c>
      <c r="F36" s="57"/>
      <c r="G36" s="57">
        <v>645.33000000000004</v>
      </c>
      <c r="H36" s="67">
        <v>95.42</v>
      </c>
      <c r="I36" s="56">
        <f t="shared" si="9"/>
        <v>13.827470030557079</v>
      </c>
      <c r="J36" s="20">
        <v>1</v>
      </c>
      <c r="K36" s="7">
        <f t="shared" si="10"/>
        <v>3.7556791349996086</v>
      </c>
      <c r="L36" s="36">
        <f t="shared" si="11"/>
        <v>0.69549613611103855</v>
      </c>
      <c r="M36" s="36">
        <f t="shared" si="12"/>
        <v>69.549613611103865</v>
      </c>
      <c r="N36" s="6"/>
      <c r="O36" s="80">
        <v>407.16</v>
      </c>
      <c r="P36" s="81">
        <v>987.01</v>
      </c>
      <c r="Q36" s="40">
        <f>SUM(O36:P36)</f>
        <v>1394.17</v>
      </c>
      <c r="R36" s="57">
        <v>55.88</v>
      </c>
      <c r="S36" s="36">
        <f>IF(O36&gt;0,((R36-$Q$5)/(O36-$Q$5))*100,"")</f>
        <v>12.175608780439022</v>
      </c>
      <c r="T36" s="36">
        <f>IF(Q36&gt;0,((S36/100)*Q36)/$Q$7/1000,"")</f>
        <v>0.16974868493424672</v>
      </c>
      <c r="U36" s="14">
        <f t="shared" si="24"/>
        <v>16.974868493424673</v>
      </c>
      <c r="V36" s="81">
        <v>385.88</v>
      </c>
      <c r="W36" s="81">
        <f>739.32</f>
        <v>739.32</v>
      </c>
      <c r="X36" s="81">
        <v>1679.3</v>
      </c>
      <c r="Y36" s="40">
        <f t="shared" si="35"/>
        <v>2804.5</v>
      </c>
      <c r="Z36" s="3">
        <v>52.87</v>
      </c>
      <c r="AA36" s="36">
        <f>IF(V36&gt;0,((AZ37-$Q$5)/(V36-$Q$5))*100,"")</f>
        <v>12.859783469764988</v>
      </c>
      <c r="AB36" s="36">
        <f>IF(Y36&gt;0,((AA36/100)*Y36)/$Q$7/1000,"")</f>
        <v>0.36065262740955911</v>
      </c>
      <c r="AC36" s="14">
        <f t="shared" si="2"/>
        <v>36.065262740955909</v>
      </c>
      <c r="AD36" s="15"/>
      <c r="AE36" s="15"/>
      <c r="AF36" s="15"/>
      <c r="AG36" s="37"/>
      <c r="AH36" s="37"/>
      <c r="AI36" s="37" t="str">
        <f t="shared" si="3"/>
        <v/>
      </c>
      <c r="AJ36" s="37" t="str">
        <f t="shared" si="4"/>
        <v/>
      </c>
      <c r="AK36" s="14">
        <f t="shared" si="5"/>
        <v>0</v>
      </c>
      <c r="AL36" s="15">
        <v>65</v>
      </c>
      <c r="AM36" s="15">
        <v>65</v>
      </c>
      <c r="AN36" s="57">
        <v>14.88</v>
      </c>
      <c r="AO36" s="57">
        <f t="shared" si="6"/>
        <v>13.317191283292981</v>
      </c>
      <c r="AP36" s="57">
        <f t="shared" si="7"/>
        <v>8.6561743341404384E-3</v>
      </c>
      <c r="AQ36" s="14">
        <f t="shared" si="8"/>
        <v>0.86561743341404385</v>
      </c>
      <c r="AR36" s="14">
        <f t="shared" si="15"/>
        <v>16.974868493424673</v>
      </c>
      <c r="AS36" s="14">
        <f t="shared" si="16"/>
        <v>36.065262740955909</v>
      </c>
      <c r="AT36" s="36"/>
      <c r="AU36" s="124">
        <f t="shared" si="17"/>
        <v>66.90429802434538</v>
      </c>
      <c r="AV36" s="57">
        <f t="shared" si="18"/>
        <v>31.48990397672765</v>
      </c>
      <c r="AW36" s="57">
        <f t="shared" si="19"/>
        <v>1.6057979989269624</v>
      </c>
    </row>
    <row r="37" spans="2:52" x14ac:dyDescent="0.3">
      <c r="B37" s="3" t="s">
        <v>10</v>
      </c>
      <c r="C37" s="6">
        <v>8</v>
      </c>
      <c r="D37">
        <v>75</v>
      </c>
      <c r="E37" s="59">
        <f>13.64+8.48-G5</f>
        <v>17.541</v>
      </c>
      <c r="F37" s="57"/>
      <c r="G37" s="40">
        <v>576.83000000000004</v>
      </c>
      <c r="H37" s="67">
        <v>154.33000000000001</v>
      </c>
      <c r="I37" s="8">
        <f t="shared" si="9"/>
        <v>25.831651013780387</v>
      </c>
      <c r="J37" s="3">
        <v>1</v>
      </c>
      <c r="K37" s="7">
        <f t="shared" si="10"/>
        <v>4.5311299043272175</v>
      </c>
      <c r="L37" s="7">
        <f t="shared" si="11"/>
        <v>0.83909813043096615</v>
      </c>
      <c r="M37" s="7">
        <f t="shared" si="12"/>
        <v>83.909813043096619</v>
      </c>
      <c r="N37" s="6"/>
      <c r="O37" s="80">
        <v>556.66</v>
      </c>
      <c r="P37" s="81">
        <v>1306.51</v>
      </c>
      <c r="Q37" s="40">
        <f>SUM(O37:P37)</f>
        <v>1863.17</v>
      </c>
      <c r="R37" s="40">
        <v>76.03</v>
      </c>
      <c r="S37" s="36">
        <f>IF(O37&gt;0,((R37-$Q$5)/(O37-$Q$5))*100,"")</f>
        <v>12.530028390478268</v>
      </c>
      <c r="T37" s="36">
        <f>IF(Q37&gt;0,((S37/100)*Q37)/$Q$7/1000,"")</f>
        <v>0.23345572996287395</v>
      </c>
      <c r="U37" s="14">
        <f t="shared" si="24"/>
        <v>23.345572996287398</v>
      </c>
      <c r="V37" s="131">
        <v>548.72</v>
      </c>
      <c r="W37" s="131">
        <v>0</v>
      </c>
      <c r="X37" s="131"/>
      <c r="Y37" s="40">
        <f t="shared" si="35"/>
        <v>548.72</v>
      </c>
      <c r="Z37" s="40">
        <v>83.65</v>
      </c>
      <c r="AA37" s="36">
        <f>IF(V37&gt;0,((Z37-$Q$5)/(V37-$Q$5))*100,"")</f>
        <v>14.120840565793847</v>
      </c>
      <c r="AB37" s="36">
        <f>IF(Y37&gt;0,((AA37/100)*Y37)/$Q$7/1000,"")</f>
        <v>7.7483876352623993E-2</v>
      </c>
      <c r="AC37" s="14">
        <f t="shared" si="2"/>
        <v>7.7483876352624002</v>
      </c>
      <c r="AD37" s="38"/>
      <c r="AE37" s="38"/>
      <c r="AF37" s="38"/>
      <c r="AG37" s="31"/>
      <c r="AH37" s="31"/>
      <c r="AI37" s="31" t="str">
        <f t="shared" si="3"/>
        <v/>
      </c>
      <c r="AJ37" s="31" t="str">
        <f t="shared" si="4"/>
        <v/>
      </c>
      <c r="AK37" s="14">
        <f t="shared" si="5"/>
        <v>0</v>
      </c>
      <c r="AL37" s="38"/>
      <c r="AM37" s="38"/>
      <c r="AN37" s="40">
        <v>12.43</v>
      </c>
      <c r="AO37" s="40" t="str">
        <f t="shared" si="6"/>
        <v/>
      </c>
      <c r="AP37" s="40" t="str">
        <f t="shared" si="7"/>
        <v/>
      </c>
      <c r="AQ37" s="14">
        <f t="shared" si="8"/>
        <v>0</v>
      </c>
      <c r="AR37" s="14">
        <f t="shared" si="15"/>
        <v>23.345572996287398</v>
      </c>
      <c r="AS37" s="14">
        <f t="shared" si="16"/>
        <v>7.7483876352624002</v>
      </c>
      <c r="AT37" s="36"/>
      <c r="AU37" s="124">
        <f t="shared" si="17"/>
        <v>24.919268815824065</v>
      </c>
      <c r="AV37" s="57">
        <f t="shared" si="18"/>
        <v>75.080731184175946</v>
      </c>
      <c r="AW37" s="57">
        <f t="shared" si="19"/>
        <v>0</v>
      </c>
      <c r="AY37" t="s">
        <v>105</v>
      </c>
      <c r="AZ37" s="57">
        <v>55.88</v>
      </c>
    </row>
    <row r="38" spans="2:52" x14ac:dyDescent="0.3">
      <c r="B38" s="16" t="s">
        <v>10</v>
      </c>
      <c r="C38" s="17">
        <v>9</v>
      </c>
      <c r="D38">
        <v>100</v>
      </c>
      <c r="E38" s="59">
        <f>9.7+H4-G5</f>
        <v>7.5369999999999999</v>
      </c>
      <c r="F38" s="57"/>
      <c r="G38" s="42">
        <v>645.44000000000005</v>
      </c>
      <c r="H38" s="68">
        <v>193.74</v>
      </c>
      <c r="I38" s="19">
        <f t="shared" si="9"/>
        <v>29.229467615078491</v>
      </c>
      <c r="J38" s="16">
        <v>1</v>
      </c>
      <c r="K38" s="7">
        <f t="shared" si="10"/>
        <v>2.203024974148466</v>
      </c>
      <c r="L38" s="18">
        <f t="shared" si="11"/>
        <v>0.40796758780527143</v>
      </c>
      <c r="M38" s="18">
        <f t="shared" si="12"/>
        <v>40.796758780527142</v>
      </c>
      <c r="N38" s="17"/>
      <c r="O38" s="167">
        <v>408.83</v>
      </c>
      <c r="P38" s="166">
        <v>1175.83</v>
      </c>
      <c r="Q38" s="40">
        <f>SUM(O38:P38)</f>
        <v>1584.6599999999999</v>
      </c>
      <c r="R38" s="42">
        <v>72.3</v>
      </c>
      <c r="S38" s="36">
        <f>IF(O38&gt;0,((R38-$Q$5)/(O38-$Q$5))*100,"")</f>
        <v>16.213120876384917</v>
      </c>
      <c r="T38" s="7">
        <f>IF(Q38&gt;0,((S38/100)*Q38)/$Q$7/1000,"")</f>
        <v>0.25692284127972126</v>
      </c>
      <c r="U38" s="14">
        <f t="shared" si="24"/>
        <v>25.692284127972126</v>
      </c>
      <c r="V38" s="62"/>
      <c r="W38" s="62"/>
      <c r="X38" s="62"/>
      <c r="Y38" s="62"/>
      <c r="Z38" s="62"/>
      <c r="AA38" s="33" t="str">
        <f t="shared" si="21"/>
        <v/>
      </c>
      <c r="AB38" s="33" t="str">
        <f t="shared" si="22"/>
        <v/>
      </c>
      <c r="AC38" s="14">
        <f t="shared" si="2"/>
        <v>0</v>
      </c>
      <c r="AD38" s="41"/>
      <c r="AE38" s="41"/>
      <c r="AF38" s="41"/>
      <c r="AG38" s="33"/>
      <c r="AH38" s="33"/>
      <c r="AI38" s="33" t="str">
        <f t="shared" si="3"/>
        <v/>
      </c>
      <c r="AJ38" s="33" t="str">
        <f t="shared" si="4"/>
        <v/>
      </c>
      <c r="AK38" s="14">
        <f t="shared" si="5"/>
        <v>0</v>
      </c>
      <c r="AL38" s="41">
        <v>8.36</v>
      </c>
      <c r="AM38" s="41">
        <v>8.36</v>
      </c>
      <c r="AN38" s="42">
        <v>8.0399999999999991</v>
      </c>
      <c r="AO38" s="42">
        <f t="shared" si="6"/>
        <v>72.881355932203363</v>
      </c>
      <c r="AP38" s="42">
        <f t="shared" si="7"/>
        <v>6.0928813559322E-3</v>
      </c>
      <c r="AQ38" s="14">
        <f t="shared" si="8"/>
        <v>0.60928813559322004</v>
      </c>
      <c r="AR38" s="14">
        <f t="shared" si="15"/>
        <v>25.692284127972126</v>
      </c>
      <c r="AS38" s="14"/>
      <c r="AT38" s="36"/>
      <c r="AU38" s="124" t="str">
        <f t="shared" si="17"/>
        <v/>
      </c>
      <c r="AV38" s="57">
        <f t="shared" si="18"/>
        <v>97.683453561301945</v>
      </c>
      <c r="AW38" s="57">
        <f t="shared" si="19"/>
        <v>2.3165464386980612</v>
      </c>
    </row>
    <row r="39" spans="2:52" x14ac:dyDescent="0.3">
      <c r="B39" s="3" t="s">
        <v>11</v>
      </c>
      <c r="C39" s="6">
        <v>1</v>
      </c>
      <c r="D39">
        <v>100</v>
      </c>
      <c r="E39" s="59">
        <f>22.71+16.68-G5</f>
        <v>34.811</v>
      </c>
      <c r="F39" s="57"/>
      <c r="G39" s="40">
        <v>874.45</v>
      </c>
      <c r="H39" s="67">
        <v>98.75</v>
      </c>
      <c r="I39" s="8">
        <f t="shared" si="9"/>
        <v>10.558418946810104</v>
      </c>
      <c r="J39" s="3">
        <v>1</v>
      </c>
      <c r="K39" s="7">
        <f t="shared" si="10"/>
        <v>3.6754912195740652</v>
      </c>
      <c r="L39" s="7">
        <f t="shared" si="11"/>
        <v>0.68064652214334531</v>
      </c>
      <c r="M39" s="7">
        <f t="shared" si="12"/>
        <v>68.064652214334529</v>
      </c>
      <c r="N39" s="6"/>
      <c r="O39" s="80"/>
      <c r="P39" s="81"/>
      <c r="Q39" s="61"/>
      <c r="R39" s="61"/>
      <c r="S39" s="37" t="str">
        <f>IF(O39&gt;0,((R39-$Q$5)/(Q39-$Q$5))*100,"")</f>
        <v/>
      </c>
      <c r="T39" s="37" t="str">
        <f>IF(O39&gt;0,((S39/100)*O39)/$Q$7/1000,"")</f>
        <v/>
      </c>
      <c r="U39" s="14">
        <f t="shared" si="24"/>
        <v>0</v>
      </c>
      <c r="V39" s="131">
        <v>689.43</v>
      </c>
      <c r="W39" s="131">
        <f>1616.36</f>
        <v>1616.36</v>
      </c>
      <c r="X39" s="131">
        <v>2353.9899999999998</v>
      </c>
      <c r="Y39" s="40">
        <f>SUM(V39:X39)</f>
        <v>4659.78</v>
      </c>
      <c r="Z39" s="40">
        <v>82.52</v>
      </c>
      <c r="AA39" s="36">
        <f t="shared" ref="AA39:AA42" si="38">IF(V39&gt;0,((Z39-$Q$5)/(V39-$Q$5))*100,"")</f>
        <v>11.042872847196776</v>
      </c>
      <c r="AB39" s="36">
        <f>IF(Y39&gt;0,((AA39/100)*Y39)/$Q$7/1000,"")</f>
        <v>0.51457358035910594</v>
      </c>
      <c r="AC39" s="14">
        <f t="shared" si="2"/>
        <v>51.457358035910595</v>
      </c>
      <c r="AD39" s="38"/>
      <c r="AE39" s="38"/>
      <c r="AF39" s="38"/>
      <c r="AG39" s="31"/>
      <c r="AH39" s="31"/>
      <c r="AI39" s="31" t="str">
        <f t="shared" si="3"/>
        <v/>
      </c>
      <c r="AJ39" s="31" t="str">
        <f t="shared" si="4"/>
        <v/>
      </c>
      <c r="AK39" s="14">
        <f t="shared" si="5"/>
        <v>0</v>
      </c>
      <c r="AL39" s="38">
        <v>114.88</v>
      </c>
      <c r="AM39" s="38">
        <v>114.88</v>
      </c>
      <c r="AN39" s="40">
        <v>21.8</v>
      </c>
      <c r="AO39" s="40">
        <f t="shared" si="6"/>
        <v>13.574744661095639</v>
      </c>
      <c r="AP39" s="40">
        <f t="shared" si="7"/>
        <v>1.5594666666666668E-2</v>
      </c>
      <c r="AQ39" s="14">
        <f t="shared" si="8"/>
        <v>1.5594666666666668</v>
      </c>
      <c r="AR39" s="14"/>
      <c r="AS39" s="14">
        <f t="shared" si="16"/>
        <v>51.457358035910595</v>
      </c>
      <c r="AT39" s="36"/>
      <c r="AU39" s="124">
        <f t="shared" si="17"/>
        <v>97.058543819975597</v>
      </c>
      <c r="AV39" s="57" t="str">
        <f t="shared" si="18"/>
        <v/>
      </c>
      <c r="AW39" s="57">
        <f t="shared" si="19"/>
        <v>2.9414561800244101</v>
      </c>
    </row>
    <row r="40" spans="2:52" x14ac:dyDescent="0.3">
      <c r="B40" s="3" t="s">
        <v>11</v>
      </c>
      <c r="C40" s="6">
        <v>2</v>
      </c>
      <c r="D40">
        <v>75</v>
      </c>
      <c r="E40" s="59">
        <f>11.66+16.16-G5</f>
        <v>23.241</v>
      </c>
      <c r="F40" s="57"/>
      <c r="G40" s="40">
        <v>702.91</v>
      </c>
      <c r="H40" s="67">
        <v>188.18</v>
      </c>
      <c r="I40" s="8">
        <f t="shared" si="9"/>
        <v>26.015839477958401</v>
      </c>
      <c r="J40" s="3">
        <v>1</v>
      </c>
      <c r="K40" s="7">
        <f t="shared" si="10"/>
        <v>6.0463412530723124</v>
      </c>
      <c r="L40" s="7">
        <f t="shared" si="11"/>
        <v>1.1196928246430207</v>
      </c>
      <c r="M40" s="7">
        <f t="shared" si="12"/>
        <v>111.96928246430207</v>
      </c>
      <c r="N40" s="6"/>
      <c r="O40" s="80"/>
      <c r="P40" s="81"/>
      <c r="Q40" s="61"/>
      <c r="R40" s="61"/>
      <c r="S40" s="37" t="str">
        <f>IF(O40&gt;0,((R40-$Q$5)/(Q40-$Q$5))*100,"")</f>
        <v/>
      </c>
      <c r="T40" s="37" t="str">
        <f>IF(O40&gt;0,((S40/100)*O40)/$Q$7/1000,"")</f>
        <v/>
      </c>
      <c r="U40" s="14">
        <f t="shared" si="24"/>
        <v>0</v>
      </c>
      <c r="V40" s="131">
        <v>654.46</v>
      </c>
      <c r="W40" s="131">
        <v>1284.3499999999999</v>
      </c>
      <c r="X40" s="131"/>
      <c r="Y40" s="40">
        <f t="shared" ref="Y40:Y46" si="39">SUM(V40:X40)</f>
        <v>1938.81</v>
      </c>
      <c r="Z40" s="40">
        <v>90.42</v>
      </c>
      <c r="AA40" s="36">
        <f t="shared" si="38"/>
        <v>12.859967865529601</v>
      </c>
      <c r="AB40" s="36">
        <f>IF(Y40&gt;0,((AA40/100)*Y40)/$Q$7/1000,"")</f>
        <v>0.24933034297367446</v>
      </c>
      <c r="AC40" s="14">
        <f t="shared" si="2"/>
        <v>24.933034297367445</v>
      </c>
      <c r="AD40" s="38">
        <v>393.74</v>
      </c>
      <c r="AE40" s="38">
        <v>1474.86</v>
      </c>
      <c r="AF40" s="38"/>
      <c r="AG40" s="40">
        <f>SUM(AD40:AF40)</f>
        <v>1868.6</v>
      </c>
      <c r="AH40" s="7">
        <v>111.74</v>
      </c>
      <c r="AI40" s="36">
        <f t="shared" ref="AI40:AI43" si="40">IF(AD40&gt;0,((AH40-$Q$5)/(AD40-$Q$5))*100,"")</f>
        <v>27.048841059602651</v>
      </c>
      <c r="AJ40" s="7">
        <f>IF(AG40&gt;0,((AI40/100)*AG40)/$Q$7/1000,"")</f>
        <v>0.50543464403973515</v>
      </c>
      <c r="AK40" s="14">
        <f t="shared" si="5"/>
        <v>50.543464403973509</v>
      </c>
      <c r="AL40" s="38"/>
      <c r="AM40" s="38"/>
      <c r="AN40" s="40"/>
      <c r="AO40" s="40" t="str">
        <f t="shared" si="6"/>
        <v/>
      </c>
      <c r="AP40" s="40" t="str">
        <f t="shared" si="7"/>
        <v/>
      </c>
      <c r="AQ40" s="14">
        <f t="shared" si="8"/>
        <v>0</v>
      </c>
      <c r="AR40" s="14">
        <f t="shared" si="15"/>
        <v>50.543464403973509</v>
      </c>
      <c r="AS40" s="14">
        <f t="shared" si="16"/>
        <v>24.933034297367445</v>
      </c>
      <c r="AT40" s="36"/>
      <c r="AU40" s="124">
        <f t="shared" si="17"/>
        <v>33.034169213422288</v>
      </c>
      <c r="AV40" s="57">
        <f t="shared" si="18"/>
        <v>66.965830786577712</v>
      </c>
      <c r="AW40" s="57">
        <f t="shared" si="19"/>
        <v>0</v>
      </c>
    </row>
    <row r="41" spans="2:52" x14ac:dyDescent="0.3">
      <c r="B41" s="3" t="s">
        <v>11</v>
      </c>
      <c r="C41" s="6">
        <v>3</v>
      </c>
      <c r="D41">
        <v>50</v>
      </c>
      <c r="E41" s="59">
        <f>11.8+8.94-G5</f>
        <v>16.161000000000001</v>
      </c>
      <c r="F41" s="57"/>
      <c r="G41" s="40">
        <v>695.07</v>
      </c>
      <c r="H41" s="67">
        <v>206.12</v>
      </c>
      <c r="I41" s="8">
        <f t="shared" si="9"/>
        <v>28.920321563040595</v>
      </c>
      <c r="J41" s="3">
        <v>1</v>
      </c>
      <c r="K41" s="7">
        <f t="shared" si="10"/>
        <v>4.6738131678029911</v>
      </c>
      <c r="L41" s="7">
        <f t="shared" si="11"/>
        <v>0.86552095700055387</v>
      </c>
      <c r="M41" s="7">
        <f t="shared" si="12"/>
        <v>86.552095700055375</v>
      </c>
      <c r="N41" s="6"/>
      <c r="O41" s="80"/>
      <c r="P41" s="81"/>
      <c r="Q41" s="61"/>
      <c r="R41" s="61"/>
      <c r="S41" s="37" t="str">
        <f>IF(O41&gt;0,((R41-$Q$5)/(Q41-$Q$5))*100,"")</f>
        <v/>
      </c>
      <c r="T41" s="37" t="str">
        <f>IF(O41&gt;0,((S41/100)*O41)/$Q$7/1000,"")</f>
        <v/>
      </c>
      <c r="U41" s="14">
        <f t="shared" si="24"/>
        <v>0</v>
      </c>
      <c r="V41" s="131">
        <v>151.91</v>
      </c>
      <c r="W41" s="131">
        <v>0</v>
      </c>
      <c r="X41" s="131"/>
      <c r="Y41" s="40">
        <f t="shared" si="39"/>
        <v>151.91</v>
      </c>
      <c r="Z41" s="40">
        <v>27.04</v>
      </c>
      <c r="AA41" s="36">
        <f>IF(V41&gt;0,((Z41-$Q$5)/(V41-$Q$5))*100,"")</f>
        <v>13.722103226697991</v>
      </c>
      <c r="AB41" s="36">
        <f>IF(Y41&gt;0,((AA41/100)*Y41)/$Q$7/1000,"")</f>
        <v>2.0845247011676917E-2</v>
      </c>
      <c r="AC41" s="14">
        <f t="shared" si="2"/>
        <v>2.084524701167692</v>
      </c>
      <c r="AD41" s="38">
        <v>371.9</v>
      </c>
      <c r="AE41" s="38"/>
      <c r="AF41" s="38">
        <v>1105.45</v>
      </c>
      <c r="AG41" s="40">
        <f>SUM(AD41:AF41)</f>
        <v>1477.35</v>
      </c>
      <c r="AH41" s="7">
        <v>122.49</v>
      </c>
      <c r="AI41" s="36">
        <f t="shared" si="40"/>
        <v>31.616034218030276</v>
      </c>
      <c r="AJ41" s="7">
        <f>IF(AG41&gt;0,((AI41/100)*AG41)/$Q$7/1000,"")</f>
        <v>0.46707948152007028</v>
      </c>
      <c r="AK41" s="14">
        <f t="shared" si="5"/>
        <v>46.707948152007027</v>
      </c>
      <c r="AL41" s="38"/>
      <c r="AM41" s="38"/>
      <c r="AN41" s="40"/>
      <c r="AO41" s="40" t="str">
        <f t="shared" si="6"/>
        <v/>
      </c>
      <c r="AP41" s="40" t="str">
        <f t="shared" si="7"/>
        <v/>
      </c>
      <c r="AQ41" s="14">
        <f t="shared" si="8"/>
        <v>0</v>
      </c>
      <c r="AR41" s="14">
        <f t="shared" si="15"/>
        <v>46.707948152007027</v>
      </c>
      <c r="AS41" s="14">
        <f t="shared" si="16"/>
        <v>2.084524701167692</v>
      </c>
      <c r="AT41" s="36"/>
      <c r="AU41" s="124">
        <f t="shared" si="17"/>
        <v>4.272225979282501</v>
      </c>
      <c r="AV41" s="57">
        <f t="shared" si="18"/>
        <v>95.727774020717504</v>
      </c>
      <c r="AW41" s="57">
        <f t="shared" si="19"/>
        <v>0</v>
      </c>
    </row>
    <row r="42" spans="2:52" x14ac:dyDescent="0.3">
      <c r="B42" s="3" t="s">
        <v>11</v>
      </c>
      <c r="C42" s="6">
        <v>4</v>
      </c>
      <c r="D42">
        <v>25</v>
      </c>
      <c r="E42" s="59">
        <f>10.86+9.3-G5</f>
        <v>15.581</v>
      </c>
      <c r="F42" s="57"/>
      <c r="G42" s="40">
        <v>398.06</v>
      </c>
      <c r="H42" s="67">
        <v>136.97</v>
      </c>
      <c r="I42" s="8">
        <f t="shared" si="9"/>
        <v>33.204564060581248</v>
      </c>
      <c r="J42" s="3">
        <v>1</v>
      </c>
      <c r="K42" s="7">
        <f t="shared" si="10"/>
        <v>5.173603126279164</v>
      </c>
      <c r="L42" s="7">
        <f t="shared" si="11"/>
        <v>0.95807465301465988</v>
      </c>
      <c r="M42" s="7">
        <f t="shared" si="12"/>
        <v>95.807465301465982</v>
      </c>
      <c r="N42" s="6"/>
      <c r="O42" s="80"/>
      <c r="P42" s="81"/>
      <c r="Q42" s="61"/>
      <c r="R42" s="61"/>
      <c r="S42" s="37" t="str">
        <f>IF(O42&gt;0,((R42-$Q$5)/(Q42-$Q$5))*100,"")</f>
        <v/>
      </c>
      <c r="T42" s="37" t="str">
        <f>IF(O42&gt;0,((S42/100)*O42)/$Q$7/1000,"")</f>
        <v/>
      </c>
      <c r="U42" s="14">
        <f t="shared" si="24"/>
        <v>0</v>
      </c>
      <c r="V42" s="131">
        <v>78.28</v>
      </c>
      <c r="W42" s="131">
        <v>0</v>
      </c>
      <c r="X42" s="131"/>
      <c r="Y42" s="40">
        <f t="shared" si="39"/>
        <v>78.28</v>
      </c>
      <c r="Z42" s="40">
        <v>18.09</v>
      </c>
      <c r="AA42" s="36">
        <f t="shared" si="38"/>
        <v>15.344585091420534</v>
      </c>
      <c r="AB42" s="36">
        <f>IF(Y42&gt;0,((AA42/100)*Y42)/$Q$7/1000,"")</f>
        <v>1.2011741209563996E-2</v>
      </c>
      <c r="AC42" s="14">
        <f t="shared" si="2"/>
        <v>1.2011741209563995</v>
      </c>
      <c r="AD42" s="38">
        <v>416.49</v>
      </c>
      <c r="AE42" s="38">
        <f>1051.44</f>
        <v>1051.44</v>
      </c>
      <c r="AF42" s="38">
        <f>882.19+964.56</f>
        <v>1846.75</v>
      </c>
      <c r="AG42" s="40">
        <f t="shared" ref="AG42:AG43" si="41">SUM(AD42:AF42)</f>
        <v>3314.6800000000003</v>
      </c>
      <c r="AH42" s="7">
        <v>133.25</v>
      </c>
      <c r="AI42" s="36">
        <f t="shared" si="40"/>
        <v>30.800615670274361</v>
      </c>
      <c r="AJ42" s="7">
        <f>IF(AG42&gt;0,((AI42/100)*AG42)/$Q$7/1000,"")</f>
        <v>1.0209418474994503</v>
      </c>
      <c r="AK42" s="14">
        <f t="shared" si="5"/>
        <v>102.09418474994503</v>
      </c>
      <c r="AL42" s="38"/>
      <c r="AM42" s="38"/>
      <c r="AN42" s="40"/>
      <c r="AO42" s="40" t="str">
        <f t="shared" si="6"/>
        <v/>
      </c>
      <c r="AP42" s="40" t="str">
        <f t="shared" si="7"/>
        <v/>
      </c>
      <c r="AQ42" s="14">
        <f t="shared" si="8"/>
        <v>0</v>
      </c>
      <c r="AR42" s="14">
        <f t="shared" si="15"/>
        <v>102.09418474994503</v>
      </c>
      <c r="AS42" s="14">
        <f t="shared" si="16"/>
        <v>1.2011741209563995</v>
      </c>
      <c r="AT42" s="36"/>
      <c r="AU42" s="124">
        <f t="shared" si="17"/>
        <v>1.1628539114304519</v>
      </c>
      <c r="AV42" s="57">
        <f t="shared" si="18"/>
        <v>98.837146088569554</v>
      </c>
      <c r="AW42" s="57">
        <f t="shared" si="19"/>
        <v>0</v>
      </c>
    </row>
    <row r="43" spans="2:52" ht="14.5" x14ac:dyDescent="0.35">
      <c r="B43" s="3" t="s">
        <v>11</v>
      </c>
      <c r="C43" s="6">
        <v>5</v>
      </c>
      <c r="D43">
        <v>0</v>
      </c>
      <c r="E43" s="59">
        <f>8.3+6.98-G5</f>
        <v>10.701000000000001</v>
      </c>
      <c r="F43" s="57"/>
      <c r="G43" s="40">
        <v>582.34</v>
      </c>
      <c r="H43" s="67">
        <v>173.26</v>
      </c>
      <c r="I43" s="8">
        <f t="shared" si="9"/>
        <v>28.875443354892543</v>
      </c>
      <c r="J43" s="3">
        <v>1</v>
      </c>
      <c r="K43" s="7">
        <f t="shared" si="10"/>
        <v>3.0899611934070514</v>
      </c>
      <c r="L43" s="7">
        <f t="shared" si="11"/>
        <v>0.57221503581612065</v>
      </c>
      <c r="M43" s="7">
        <f t="shared" si="12"/>
        <v>57.221503581612069</v>
      </c>
      <c r="N43" s="6"/>
      <c r="O43" s="80"/>
      <c r="P43" s="81"/>
      <c r="Q43" s="61"/>
      <c r="R43" s="61"/>
      <c r="S43" s="37" t="str">
        <f>IF(O43&gt;0,((R43-$Q$5)/(Q43-$Q$5))*100,"")</f>
        <v/>
      </c>
      <c r="T43" s="37" t="str">
        <f>IF(O43&gt;0,((S43/100)*O43)/$Q$7/1000,"")</f>
        <v/>
      </c>
      <c r="U43" s="14">
        <f t="shared" si="24"/>
        <v>0</v>
      </c>
      <c r="V43" s="171"/>
      <c r="W43" s="171"/>
      <c r="X43" s="171"/>
      <c r="Y43" s="69"/>
      <c r="Z43" s="69"/>
      <c r="AA43" s="37" t="str">
        <f t="shared" si="21"/>
        <v/>
      </c>
      <c r="AB43" s="37" t="str">
        <f t="shared" si="22"/>
        <v/>
      </c>
      <c r="AC43" s="14">
        <f t="shared" si="2"/>
        <v>0</v>
      </c>
      <c r="AD43" s="38">
        <v>377.03</v>
      </c>
      <c r="AE43" s="38">
        <f>1050.45</f>
        <v>1050.45</v>
      </c>
      <c r="AF43" s="38"/>
      <c r="AG43" s="40">
        <f t="shared" si="41"/>
        <v>1427.48</v>
      </c>
      <c r="AH43" s="7">
        <v>130.35</v>
      </c>
      <c r="AI43" s="36">
        <f t="shared" si="40"/>
        <v>33.302690279843176</v>
      </c>
      <c r="AJ43" s="7">
        <f>IF(AG43&gt;0,((AI43/100)*AG43)/$Q$7/1000,"")</f>
        <v>0.47538924320670539</v>
      </c>
      <c r="AK43" s="14">
        <f t="shared" si="5"/>
        <v>47.538924320670539</v>
      </c>
      <c r="AL43" s="38">
        <v>23.88</v>
      </c>
      <c r="AM43" s="38">
        <v>23.88</v>
      </c>
      <c r="AN43" s="40">
        <v>10.24</v>
      </c>
      <c r="AO43" s="40">
        <f t="shared" si="6"/>
        <v>18.323353293413177</v>
      </c>
      <c r="AP43" s="40">
        <f t="shared" si="7"/>
        <v>4.3756167664670666E-3</v>
      </c>
      <c r="AQ43" s="14">
        <f t="shared" ref="AQ43" si="42">IF(AM43&gt;0,AP43*10000/100,0)</f>
        <v>0.43756167664670664</v>
      </c>
      <c r="AR43" s="14">
        <f t="shared" ref="AR43" si="43">U43+AK43</f>
        <v>47.538924320670539</v>
      </c>
      <c r="AS43" s="14"/>
      <c r="AT43" s="36"/>
      <c r="AU43" s="124"/>
      <c r="AV43" s="57"/>
      <c r="AW43" s="57"/>
    </row>
    <row r="44" spans="2:52" x14ac:dyDescent="0.3">
      <c r="B44" s="3" t="s">
        <v>11</v>
      </c>
      <c r="C44" s="6">
        <v>6</v>
      </c>
      <c r="D44">
        <v>25</v>
      </c>
      <c r="E44" s="59">
        <f>15.02+16.1-G5</f>
        <v>26.541</v>
      </c>
      <c r="F44" s="57"/>
      <c r="G44" s="40">
        <v>906.94</v>
      </c>
      <c r="H44" s="67">
        <v>118.58</v>
      </c>
      <c r="I44" s="8">
        <f t="shared" si="9"/>
        <v>12.381079398950831</v>
      </c>
      <c r="J44" s="3">
        <v>1</v>
      </c>
      <c r="K44" s="7">
        <f t="shared" si="10"/>
        <v>3.2860622832755402</v>
      </c>
      <c r="L44" s="7">
        <f t="shared" si="11"/>
        <v>0.60853005245843328</v>
      </c>
      <c r="M44" s="7">
        <f t="shared" si="12"/>
        <v>60.85300524584332</v>
      </c>
      <c r="N44" s="6"/>
      <c r="O44" s="80">
        <v>442.84</v>
      </c>
      <c r="P44" s="81">
        <v>725.57</v>
      </c>
      <c r="Q44" s="40">
        <f>SUM(O44:P44)</f>
        <v>1168.4100000000001</v>
      </c>
      <c r="R44" s="40">
        <v>55.52</v>
      </c>
      <c r="S44" s="36">
        <f>IF(O44&gt;0,((R44-$Q$5)/(O44-$Q$5))*100,"")</f>
        <v>11.095808658127899</v>
      </c>
      <c r="T44" s="36">
        <f>IF(Q44&gt;0,((S44/100)*Q44)/$Q$7/1000,"")</f>
        <v>0.12964453794243219</v>
      </c>
      <c r="U44" s="14">
        <f t="shared" si="24"/>
        <v>12.964453794243219</v>
      </c>
      <c r="V44" s="131">
        <v>633.52</v>
      </c>
      <c r="W44" s="131">
        <v>2367.77</v>
      </c>
      <c r="X44" s="131"/>
      <c r="Y44" s="40">
        <f t="shared" si="39"/>
        <v>3001.29</v>
      </c>
      <c r="Z44" s="40">
        <v>82.58</v>
      </c>
      <c r="AA44" s="36">
        <f t="shared" ref="AA44:AA46" si="44">IF(V44&gt;0,((Z44-$Q$5)/(V44-$Q$5))*100,"")</f>
        <v>12.038190120381902</v>
      </c>
      <c r="AB44" s="36">
        <f>IF(Y44&gt;0,((AA44/100)*Y44)/$Q$7/1000,"")</f>
        <v>0.36130099626401002</v>
      </c>
      <c r="AC44" s="14">
        <f t="shared" si="2"/>
        <v>36.130099626401005</v>
      </c>
      <c r="AD44" s="38"/>
      <c r="AE44" s="38"/>
      <c r="AF44" s="38"/>
      <c r="AG44" s="31"/>
      <c r="AH44" s="31"/>
      <c r="AI44" s="31" t="str">
        <f t="shared" si="3"/>
        <v/>
      </c>
      <c r="AJ44" s="31" t="str">
        <f t="shared" si="4"/>
        <v/>
      </c>
      <c r="AK44" s="14">
        <f t="shared" si="5"/>
        <v>0</v>
      </c>
      <c r="AL44" s="38"/>
      <c r="AM44" s="38"/>
      <c r="AN44" s="40">
        <v>9.27</v>
      </c>
      <c r="AO44" s="40" t="str">
        <f t="shared" si="6"/>
        <v/>
      </c>
      <c r="AP44" s="40" t="str">
        <f t="shared" si="7"/>
        <v/>
      </c>
      <c r="AQ44" s="14">
        <f t="shared" si="8"/>
        <v>0</v>
      </c>
      <c r="AR44" s="14">
        <f t="shared" si="15"/>
        <v>12.964453794243219</v>
      </c>
      <c r="AS44" s="14">
        <f t="shared" si="16"/>
        <v>36.130099626401005</v>
      </c>
      <c r="AT44" s="36"/>
      <c r="AU44" s="124">
        <f t="shared" si="17"/>
        <v>73.592887823699641</v>
      </c>
      <c r="AV44" s="57">
        <f t="shared" si="18"/>
        <v>26.407112176300345</v>
      </c>
      <c r="AW44" s="57">
        <f t="shared" si="19"/>
        <v>0</v>
      </c>
    </row>
    <row r="45" spans="2:52" x14ac:dyDescent="0.3">
      <c r="B45" s="3" t="s">
        <v>11</v>
      </c>
      <c r="C45" s="6">
        <v>7</v>
      </c>
      <c r="D45">
        <v>50</v>
      </c>
      <c r="E45" s="59">
        <f>12.18+16.12-G6</f>
        <v>21.12</v>
      </c>
      <c r="F45" s="57"/>
      <c r="G45" s="40">
        <v>761.05</v>
      </c>
      <c r="H45" s="67">
        <v>99.61</v>
      </c>
      <c r="I45" s="8">
        <f t="shared" si="9"/>
        <v>12.260734609415417</v>
      </c>
      <c r="J45" s="3">
        <v>1</v>
      </c>
      <c r="K45" s="7">
        <f t="shared" si="10"/>
        <v>2.5894671495085362</v>
      </c>
      <c r="L45" s="7">
        <f t="shared" si="11"/>
        <v>0.47953095361269188</v>
      </c>
      <c r="M45" s="7">
        <f t="shared" si="12"/>
        <v>47.953095361269192</v>
      </c>
      <c r="N45" s="6"/>
      <c r="O45" s="80">
        <v>600.36</v>
      </c>
      <c r="P45" s="81">
        <v>1439.8</v>
      </c>
      <c r="Q45" s="40">
        <f>SUM(O45:P45)</f>
        <v>2040.1599999999999</v>
      </c>
      <c r="R45" s="40">
        <v>84.38</v>
      </c>
      <c r="S45" s="36">
        <f>IF(O45&gt;0,((R45-$Q$5)/(O45-$Q$5))*100,"")</f>
        <v>13.014599278465219</v>
      </c>
      <c r="T45" s="36">
        <f>IF(Q45&gt;0,((S45/100)*Q45)/$Q$7/1000,"")</f>
        <v>0.265518648639536</v>
      </c>
      <c r="U45" s="14">
        <f t="shared" si="24"/>
        <v>26.5518648639536</v>
      </c>
      <c r="V45" s="131">
        <v>385.66</v>
      </c>
      <c r="W45" s="131">
        <v>757.31</v>
      </c>
      <c r="X45" s="131"/>
      <c r="Y45" s="40">
        <f t="shared" si="39"/>
        <v>1142.97</v>
      </c>
      <c r="Z45" s="40">
        <v>72.569999999999993</v>
      </c>
      <c r="AA45" s="36">
        <f t="shared" si="44"/>
        <v>17.277002747833432</v>
      </c>
      <c r="AB45" s="36">
        <f>IF(Y45&gt;0,((AA45/100)*Y45)/$Q$7/1000,"")</f>
        <v>0.19747095830691178</v>
      </c>
      <c r="AC45" s="14">
        <f t="shared" si="2"/>
        <v>19.74709583069118</v>
      </c>
      <c r="AD45" s="38"/>
      <c r="AE45" s="38"/>
      <c r="AF45" s="38"/>
      <c r="AG45" s="31"/>
      <c r="AH45" s="31"/>
      <c r="AI45" s="31" t="str">
        <f t="shared" si="3"/>
        <v/>
      </c>
      <c r="AJ45" s="31" t="str">
        <f t="shared" si="4"/>
        <v/>
      </c>
      <c r="AK45" s="14">
        <f t="shared" si="5"/>
        <v>0</v>
      </c>
      <c r="AL45" s="38">
        <v>8.36</v>
      </c>
      <c r="AM45" s="38">
        <v>8.36</v>
      </c>
      <c r="AN45" s="40">
        <v>7.66</v>
      </c>
      <c r="AO45" s="40">
        <f t="shared" si="6"/>
        <v>40.677966101694963</v>
      </c>
      <c r="AP45" s="40">
        <f t="shared" si="7"/>
        <v>3.4006779661016986E-3</v>
      </c>
      <c r="AQ45" s="14">
        <f t="shared" si="8"/>
        <v>0.34006779661016984</v>
      </c>
      <c r="AR45" s="14">
        <f t="shared" si="15"/>
        <v>26.5518648639536</v>
      </c>
      <c r="AS45" s="14">
        <f t="shared" si="16"/>
        <v>19.74709583069118</v>
      </c>
      <c r="AT45" s="36"/>
      <c r="AU45" s="124">
        <f t="shared" si="17"/>
        <v>42.340281239764373</v>
      </c>
      <c r="AV45" s="57">
        <f t="shared" si="18"/>
        <v>56.93057021745684</v>
      </c>
      <c r="AW45" s="57">
        <f t="shared" si="19"/>
        <v>0.72914854277878927</v>
      </c>
    </row>
    <row r="46" spans="2:52" x14ac:dyDescent="0.3">
      <c r="B46" s="3" t="s">
        <v>11</v>
      </c>
      <c r="C46" s="6">
        <v>8</v>
      </c>
      <c r="D46">
        <v>75</v>
      </c>
      <c r="E46" s="59">
        <f>10.24+10.96-G5</f>
        <v>16.621000000000002</v>
      </c>
      <c r="F46" s="57"/>
      <c r="G46" s="40">
        <v>589.5</v>
      </c>
      <c r="H46" s="67">
        <v>93.17</v>
      </c>
      <c r="I46" s="8">
        <f t="shared" si="9"/>
        <v>14.766794889407887</v>
      </c>
      <c r="J46" s="3">
        <v>1</v>
      </c>
      <c r="K46" s="7">
        <f t="shared" si="10"/>
        <v>2.4543889785684851</v>
      </c>
      <c r="L46" s="7">
        <f t="shared" si="11"/>
        <v>0.45451647751268243</v>
      </c>
      <c r="M46" s="7">
        <f t="shared" si="12"/>
        <v>45.451647751268247</v>
      </c>
      <c r="N46" s="6"/>
      <c r="O46" s="80">
        <v>503.48</v>
      </c>
      <c r="P46" s="81">
        <v>1121.8599999999999</v>
      </c>
      <c r="Q46" s="40">
        <f>SUM(O46:P46)</f>
        <v>1625.34</v>
      </c>
      <c r="R46" s="40">
        <v>80.150000000000006</v>
      </c>
      <c r="S46" s="36">
        <f>IF(O46&gt;0,((R46-$Q$5)/(O46-$Q$5))*100,"")</f>
        <v>14.702800725367721</v>
      </c>
      <c r="T46" s="36">
        <f>IF(Q46&gt;0,((S46/100)*Q46)/$Q$7/1000,"")</f>
        <v>0.23897050130969172</v>
      </c>
      <c r="U46" s="14">
        <f t="shared" si="24"/>
        <v>23.897050130969173</v>
      </c>
      <c r="V46" s="131">
        <v>686.8</v>
      </c>
      <c r="W46" s="131">
        <v>0</v>
      </c>
      <c r="X46" s="131"/>
      <c r="Y46" s="40">
        <f t="shared" si="39"/>
        <v>686.8</v>
      </c>
      <c r="Z46" s="40">
        <v>98.47</v>
      </c>
      <c r="AA46" s="36">
        <f t="shared" si="44"/>
        <v>13.432506400635649</v>
      </c>
      <c r="AB46" s="36">
        <f>IF(Y46&gt;0,((AA46/100)*Y46)/$Q$7/1000,"")</f>
        <v>9.2254453959565635E-2</v>
      </c>
      <c r="AC46" s="14">
        <f t="shared" si="2"/>
        <v>9.2254453959565641</v>
      </c>
      <c r="AD46" s="38"/>
      <c r="AE46" s="38"/>
      <c r="AF46" s="38"/>
      <c r="AG46" s="31"/>
      <c r="AH46" s="31"/>
      <c r="AI46" s="31" t="str">
        <f t="shared" si="3"/>
        <v/>
      </c>
      <c r="AJ46" s="31" t="str">
        <f t="shared" si="4"/>
        <v/>
      </c>
      <c r="AK46" s="14">
        <f t="shared" si="5"/>
        <v>0</v>
      </c>
      <c r="AL46" s="38">
        <v>24.94</v>
      </c>
      <c r="AM46" s="38">
        <v>24.94</v>
      </c>
      <c r="AN46" s="40">
        <v>12.36</v>
      </c>
      <c r="AO46" s="40">
        <f t="shared" si="6"/>
        <v>29.166666666666664</v>
      </c>
      <c r="AP46" s="40">
        <f t="shared" si="7"/>
        <v>7.2741666666666658E-3</v>
      </c>
      <c r="AQ46" s="14">
        <f t="shared" si="8"/>
        <v>0.7274166666666666</v>
      </c>
      <c r="AR46" s="14">
        <f t="shared" si="15"/>
        <v>23.897050130969173</v>
      </c>
      <c r="AS46" s="14">
        <f t="shared" si="16"/>
        <v>9.2254453959565641</v>
      </c>
      <c r="AT46" s="36"/>
      <c r="AU46" s="124">
        <f t="shared" si="17"/>
        <v>27.253971423012697</v>
      </c>
      <c r="AV46" s="57">
        <f t="shared" si="18"/>
        <v>70.597081594476776</v>
      </c>
      <c r="AW46" s="57">
        <f t="shared" si="19"/>
        <v>2.1489469825105263</v>
      </c>
    </row>
    <row r="47" spans="2:52" x14ac:dyDescent="0.3">
      <c r="B47" s="3" t="s">
        <v>11</v>
      </c>
      <c r="C47" s="6">
        <v>9</v>
      </c>
      <c r="D47">
        <v>100</v>
      </c>
      <c r="E47" s="59">
        <f>10.02+5.78-G5</f>
        <v>11.221</v>
      </c>
      <c r="F47" s="57"/>
      <c r="G47" s="42">
        <v>484.91</v>
      </c>
      <c r="H47" s="68">
        <v>80.78</v>
      </c>
      <c r="I47" s="8">
        <f t="shared" si="9"/>
        <v>15.406191781968893</v>
      </c>
      <c r="J47" s="3">
        <v>1</v>
      </c>
      <c r="K47" s="7">
        <f t="shared" si="10"/>
        <v>1.7287287798547293</v>
      </c>
      <c r="L47" s="7">
        <f t="shared" si="11"/>
        <v>0.32013495923235724</v>
      </c>
      <c r="M47" s="7">
        <f t="shared" si="12"/>
        <v>32.013495923235723</v>
      </c>
      <c r="N47" s="6"/>
      <c r="O47" s="167">
        <v>401.8</v>
      </c>
      <c r="P47" s="166">
        <v>1255.4000000000001</v>
      </c>
      <c r="Q47" s="40">
        <f>SUM(O47:P47)</f>
        <v>1657.2</v>
      </c>
      <c r="R47" s="42">
        <v>73.14</v>
      </c>
      <c r="S47" s="36">
        <f>IF(O47&gt;0,((R47-$Q$5)/(O47-$Q$5))*100,"")</f>
        <v>16.714814251685166</v>
      </c>
      <c r="T47" s="36">
        <f>IF(Q47&gt;0,((S47/100)*Q47)/$Q$7/1000,"")</f>
        <v>0.27699790177892658</v>
      </c>
      <c r="U47" s="14">
        <f t="shared" si="24"/>
        <v>27.699790177892659</v>
      </c>
      <c r="V47" s="62"/>
      <c r="W47" s="62"/>
      <c r="X47" s="62"/>
      <c r="Y47" s="62"/>
      <c r="Z47" s="62"/>
      <c r="AA47" s="62"/>
      <c r="AB47" s="62"/>
      <c r="AC47" s="14">
        <f t="shared" ref="AC47" si="45">IF(Y47&gt;0,AB47*10000/100,0)</f>
        <v>0</v>
      </c>
      <c r="AD47" s="38"/>
      <c r="AE47" s="38"/>
      <c r="AF47" s="38"/>
      <c r="AG47" s="31"/>
      <c r="AH47" s="31"/>
      <c r="AI47" s="31" t="str">
        <f t="shared" si="3"/>
        <v/>
      </c>
      <c r="AJ47" s="31" t="str">
        <f t="shared" si="4"/>
        <v/>
      </c>
      <c r="AK47" s="14">
        <f t="shared" ref="AK47" si="46">IF(AG47&gt;0,AJ47*10000/100,0)</f>
        <v>0</v>
      </c>
      <c r="AL47" s="38">
        <v>10.36</v>
      </c>
      <c r="AM47" s="38">
        <v>10.36</v>
      </c>
      <c r="AN47" s="40">
        <v>8.35</v>
      </c>
      <c r="AO47" s="40">
        <f t="shared" si="6"/>
        <v>36.79245283018868</v>
      </c>
      <c r="AP47" s="40">
        <f t="shared" si="7"/>
        <v>3.8116981132075472E-3</v>
      </c>
      <c r="AQ47" s="14">
        <f t="shared" si="8"/>
        <v>0.38116981132075473</v>
      </c>
      <c r="AR47" s="14">
        <f t="shared" si="15"/>
        <v>27.699790177892659</v>
      </c>
      <c r="AS47" s="14"/>
      <c r="AT47" s="36"/>
      <c r="AU47" s="124" t="str">
        <f t="shared" si="17"/>
        <v/>
      </c>
      <c r="AV47" s="57">
        <f t="shared" si="18"/>
        <v>98.642604058169042</v>
      </c>
      <c r="AW47" s="57">
        <f t="shared" si="19"/>
        <v>1.3573959418309465</v>
      </c>
    </row>
    <row r="48" spans="2:52" x14ac:dyDescent="0.3">
      <c r="O48" s="43"/>
      <c r="P48" s="43"/>
      <c r="AD48" s="44"/>
      <c r="AE48" s="44"/>
      <c r="AF48" s="44"/>
    </row>
    <row r="49" spans="4:36" x14ac:dyDescent="0.3">
      <c r="O49" s="43"/>
      <c r="P49" s="43"/>
      <c r="AD49" s="44"/>
      <c r="AE49" s="44"/>
      <c r="AF49" s="44"/>
    </row>
    <row r="50" spans="4:36" x14ac:dyDescent="0.3">
      <c r="D50" s="163"/>
      <c r="E50" s="163"/>
      <c r="F50" s="163"/>
      <c r="G50" s="163"/>
      <c r="AD50" s="44"/>
      <c r="AE50" s="44"/>
      <c r="AF50" s="44"/>
    </row>
    <row r="51" spans="4:36" x14ac:dyDescent="0.3">
      <c r="V51" s="40"/>
      <c r="W51" s="40"/>
      <c r="X51" s="40"/>
      <c r="Y51" s="40"/>
      <c r="Z51" s="40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4:36" x14ac:dyDescent="0.3">
      <c r="AD52" s="44"/>
      <c r="AE52" s="44"/>
      <c r="AF52" s="44"/>
    </row>
  </sheetData>
  <autoFilter ref="B11:AR11" xr:uid="{00000000-0009-0000-0000-000000000000}">
    <sortState xmlns:xlrd2="http://schemas.microsoft.com/office/spreadsheetml/2017/richdata2" ref="B12:AQ47">
      <sortCondition ref="B11"/>
    </sortState>
  </autoFilter>
  <conditionalFormatting sqref="I12:I47">
    <cfRule type="colorScale" priority="35">
      <colorScale>
        <cfvo type="min"/>
        <cfvo type="max"/>
        <color rgb="FFFCFCFF"/>
        <color rgb="FF63BE7B"/>
      </colorScale>
    </cfRule>
  </conditionalFormatting>
  <conditionalFormatting sqref="S12:S47 Q31:R31">
    <cfRule type="colorScale" priority="34">
      <colorScale>
        <cfvo type="min"/>
        <cfvo type="max"/>
        <color rgb="FFFCFCFF"/>
        <color rgb="FF63BE7B"/>
      </colorScale>
    </cfRule>
  </conditionalFormatting>
  <conditionalFormatting sqref="AA16:AB16 AA20:AB20 AA25:AB25 AA29:AB29 AA34:AB34 AA38:AB38 AA43:AB4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I12:AJ12 AI17:AJ21 AI26:AJ29 AI35:AJ39 AI44:AJ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AO12:AP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12:M4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:AC21 AC23:AC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K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:AQ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:AR4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2:AT4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17:AA19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23:AA24 AA2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6:AA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AA30:AA3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35:AA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A39:AA4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44:AA46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13:AI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I22:AI25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0:AI34">
    <cfRule type="colorScale" priority="8">
      <colorScale>
        <cfvo type="min"/>
        <cfvo type="max"/>
        <color rgb="FFFCFCFF"/>
        <color rgb="FF63BE7B"/>
      </colorScale>
    </cfRule>
  </conditionalFormatting>
  <conditionalFormatting sqref="AI40:A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AJ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5">
      <colorScale>
        <cfvo type="min"/>
        <cfvo type="max"/>
        <color rgb="FFFCFCFF"/>
        <color rgb="FF63BE7B"/>
      </colorScale>
    </cfRule>
  </conditionalFormatting>
  <conditionalFormatting sqref="AA51">
    <cfRule type="colorScale" priority="3">
      <colorScale>
        <cfvo type="min"/>
        <cfvo type="max"/>
        <color rgb="FFFCFCFF"/>
        <color rgb="FF63BE7B"/>
      </colorScale>
    </cfRule>
  </conditionalFormatting>
  <conditionalFormatting sqref="AC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C010-89EB-45D2-86A5-D89603D5619C}">
  <sheetPr>
    <tabColor theme="8" tint="0.79998168889431442"/>
  </sheetPr>
  <dimension ref="B2:AQ51"/>
  <sheetViews>
    <sheetView zoomScale="62" zoomScaleNormal="70" workbookViewId="0">
      <pane xSplit="3" topLeftCell="D1" activePane="topRight" state="frozen"/>
      <selection activeCell="A5" sqref="A5"/>
      <selection pane="topRight" activeCell="S12" sqref="S12"/>
    </sheetView>
  </sheetViews>
  <sheetFormatPr baseColWidth="10" defaultRowHeight="14" x14ac:dyDescent="0.3"/>
  <cols>
    <col min="1" max="1" width="2.9140625" customWidth="1"/>
    <col min="2" max="2" width="7.4140625" style="3" customWidth="1"/>
    <col min="3" max="3" width="9.08203125" style="3" customWidth="1"/>
    <col min="4" max="4" width="14.6640625" style="3" customWidth="1"/>
    <col min="5" max="5" width="10.6640625" style="3" customWidth="1"/>
    <col min="6" max="6" width="10.08203125" style="3" customWidth="1"/>
    <col min="7" max="7" width="11.6640625" style="3" customWidth="1"/>
    <col min="8" max="8" width="9.9140625" style="3" customWidth="1"/>
    <col min="9" max="9" width="15.4140625" style="3" customWidth="1"/>
    <col min="10" max="10" width="11" style="3" customWidth="1"/>
    <col min="11" max="11" width="10.4140625" style="3" customWidth="1"/>
    <col min="12" max="12" width="9.58203125" style="3" customWidth="1"/>
    <col min="13" max="13" width="11.6640625" style="3" customWidth="1"/>
    <col min="14" max="14" width="11.6640625" style="126" customWidth="1"/>
    <col min="15" max="16" width="8.08203125" style="3" bestFit="1" customWidth="1"/>
    <col min="17" max="17" width="8.08203125" style="3" customWidth="1"/>
    <col min="18" max="18" width="12.4140625" style="3" customWidth="1"/>
    <col min="19" max="19" width="11.6640625" style="3" bestFit="1" customWidth="1"/>
    <col min="20" max="20" width="9.9140625" style="3" customWidth="1"/>
    <col min="21" max="21" width="9.9140625" style="126" customWidth="1"/>
    <col min="22" max="22" width="8.9140625" style="3" customWidth="1"/>
    <col min="23" max="23" width="8.08203125" style="3" bestFit="1" customWidth="1"/>
    <col min="24" max="24" width="8.08203125" style="3" customWidth="1"/>
    <col min="25" max="25" width="12.4140625" style="3" customWidth="1"/>
    <col min="26" max="26" width="11.6640625" style="3" bestFit="1" customWidth="1"/>
    <col min="27" max="28" width="9.9140625" customWidth="1"/>
    <col min="29" max="30" width="8.08203125" bestFit="1" customWidth="1"/>
    <col min="31" max="31" width="8.08203125" customWidth="1"/>
    <col min="32" max="32" width="12.4140625" customWidth="1"/>
    <col min="33" max="33" width="11.6640625" bestFit="1" customWidth="1"/>
    <col min="34" max="34" width="9.58203125" customWidth="1"/>
    <col min="35" max="35" width="8.6640625" bestFit="1" customWidth="1"/>
    <col min="36" max="36" width="10.4140625" customWidth="1"/>
    <col min="37" max="37" width="12.4140625" bestFit="1" customWidth="1"/>
    <col min="38" max="38" width="11.6640625" bestFit="1" customWidth="1"/>
  </cols>
  <sheetData>
    <row r="2" spans="2:43" ht="44.5" thickBot="1" x14ac:dyDescent="0.35">
      <c r="B2" s="4" t="s">
        <v>0</v>
      </c>
      <c r="E2" s="12" t="s">
        <v>19</v>
      </c>
      <c r="Y2" s="11" t="s">
        <v>14</v>
      </c>
      <c r="Z2" s="11" t="s">
        <v>15</v>
      </c>
      <c r="AA2" s="11" t="s">
        <v>16</v>
      </c>
      <c r="AB2" s="11" t="s">
        <v>8</v>
      </c>
      <c r="AC2" s="11" t="s">
        <v>27</v>
      </c>
    </row>
    <row r="3" spans="2:43" x14ac:dyDescent="0.3">
      <c r="B3" s="1" t="s">
        <v>37</v>
      </c>
      <c r="Y3" s="31" t="str">
        <f>IF(Z3&gt;0,Z3-$N$5,"")</f>
        <v/>
      </c>
      <c r="Z3" s="31"/>
      <c r="AA3" s="31"/>
      <c r="AB3" s="31" t="str">
        <f>IF(Z3&gt;0,((AA3-$N$5)/(Z3-$N$5))*100,"")</f>
        <v/>
      </c>
      <c r="AC3" s="31" t="str">
        <f>IF(Z3&gt;0,((AB3/100)*Y3)/$N$7/1000,"")</f>
        <v/>
      </c>
    </row>
    <row r="4" spans="2:43" ht="14.5" thickBot="1" x14ac:dyDescent="0.35">
      <c r="E4" s="3">
        <v>2.2000000000000002</v>
      </c>
      <c r="F4" s="3">
        <v>2.4</v>
      </c>
      <c r="Y4" s="31" t="str">
        <f>IF(Z4&gt;0,Z4-$N$5,"")</f>
        <v/>
      </c>
      <c r="Z4" s="31"/>
      <c r="AA4" s="31"/>
      <c r="AB4" s="31" t="str">
        <f>IF(Z4&gt;0,((AA4-$N$5)/(Z4-$N$5))*100,"")</f>
        <v/>
      </c>
      <c r="AC4" s="31" t="str">
        <f>IF(Z4&gt;0,((AB4/100)*Y4)/$N$7/1000,"")</f>
        <v/>
      </c>
    </row>
    <row r="5" spans="2:43" x14ac:dyDescent="0.3">
      <c r="D5" s="25" t="s">
        <v>31</v>
      </c>
      <c r="E5" s="26">
        <f>E4+F4</f>
        <v>4.5999999999999996</v>
      </c>
      <c r="F5" s="27" t="s">
        <v>20</v>
      </c>
      <c r="M5" s="25" t="s">
        <v>21</v>
      </c>
      <c r="N5" s="128"/>
      <c r="O5" s="26">
        <v>7.18</v>
      </c>
      <c r="P5" s="27" t="s">
        <v>22</v>
      </c>
      <c r="Q5" s="35"/>
      <c r="R5" s="34" t="s">
        <v>33</v>
      </c>
      <c r="S5" s="32"/>
      <c r="T5" s="32"/>
      <c r="U5" s="32"/>
      <c r="Y5" s="43"/>
      <c r="Z5" s="43"/>
      <c r="AA5" s="44"/>
      <c r="AB5" s="44"/>
    </row>
    <row r="6" spans="2:43" x14ac:dyDescent="0.3">
      <c r="D6" s="29" t="s">
        <v>32</v>
      </c>
      <c r="E6" s="21">
        <v>7.18</v>
      </c>
      <c r="F6" s="30" t="s">
        <v>22</v>
      </c>
      <c r="M6" s="29"/>
      <c r="N6" s="129"/>
      <c r="O6" s="20"/>
      <c r="P6" s="30"/>
      <c r="Q6" s="35"/>
      <c r="R6" s="35"/>
      <c r="S6" s="35"/>
    </row>
    <row r="7" spans="2:43" ht="28.5" thickBot="1" x14ac:dyDescent="0.35">
      <c r="D7" s="22" t="s">
        <v>24</v>
      </c>
      <c r="E7" s="23">
        <v>5.4</v>
      </c>
      <c r="F7" s="24" t="s">
        <v>23</v>
      </c>
      <c r="M7" s="22" t="s">
        <v>24</v>
      </c>
      <c r="N7" s="130"/>
      <c r="O7" s="23">
        <v>1</v>
      </c>
      <c r="P7" s="24" t="s">
        <v>23</v>
      </c>
      <c r="Q7" s="35"/>
      <c r="R7" s="35"/>
      <c r="S7" s="35"/>
    </row>
    <row r="9" spans="2:43" x14ac:dyDescent="0.3">
      <c r="C9" s="6"/>
      <c r="D9" s="5" t="s">
        <v>5</v>
      </c>
      <c r="L9" s="6"/>
      <c r="M9" s="5" t="s">
        <v>13</v>
      </c>
      <c r="N9" s="5"/>
      <c r="O9" s="49"/>
      <c r="P9" s="49"/>
      <c r="Q9" s="49"/>
      <c r="R9" s="49"/>
      <c r="S9" s="50"/>
      <c r="T9" s="5" t="s">
        <v>17</v>
      </c>
      <c r="U9" s="5"/>
      <c r="V9" s="49"/>
      <c r="W9" s="49"/>
      <c r="X9" s="49"/>
      <c r="Y9" s="49"/>
      <c r="Z9" s="50"/>
      <c r="AA9" s="5" t="s">
        <v>18</v>
      </c>
      <c r="AB9" s="5"/>
      <c r="AC9" s="51"/>
      <c r="AD9" s="51"/>
      <c r="AE9" s="51"/>
      <c r="AF9" s="51"/>
      <c r="AG9" s="52"/>
      <c r="AH9" s="53" t="s">
        <v>34</v>
      </c>
    </row>
    <row r="10" spans="2:43" x14ac:dyDescent="0.3">
      <c r="C10" s="6"/>
      <c r="D10" s="28" t="s">
        <v>30</v>
      </c>
      <c r="G10" s="28" t="s">
        <v>29</v>
      </c>
      <c r="L10" s="6"/>
      <c r="M10" s="28" t="s">
        <v>30</v>
      </c>
      <c r="N10" s="28"/>
      <c r="O10" s="28"/>
      <c r="P10" s="45"/>
      <c r="Q10" s="45" t="s">
        <v>29</v>
      </c>
      <c r="R10" s="45"/>
      <c r="S10" s="46"/>
      <c r="T10" s="28" t="s">
        <v>30</v>
      </c>
      <c r="U10" s="28"/>
      <c r="V10" s="28"/>
      <c r="W10" s="45"/>
      <c r="X10" s="45" t="s">
        <v>29</v>
      </c>
      <c r="Y10" s="45"/>
      <c r="Z10" s="46"/>
      <c r="AA10" s="47" t="s">
        <v>30</v>
      </c>
      <c r="AB10" s="47"/>
      <c r="AC10" s="28"/>
      <c r="AD10" s="28"/>
      <c r="AE10" s="28" t="s">
        <v>29</v>
      </c>
      <c r="AF10" s="28"/>
      <c r="AG10" s="46"/>
      <c r="AH10" s="28" t="s">
        <v>30</v>
      </c>
      <c r="AI10" s="48"/>
      <c r="AJ10" s="48" t="s">
        <v>29</v>
      </c>
      <c r="AK10" s="48"/>
      <c r="AL10" s="39"/>
    </row>
    <row r="11" spans="2:43" s="2" customFormat="1" ht="70.5" thickBot="1" x14ac:dyDescent="0.35">
      <c r="B11" s="9" t="s">
        <v>1</v>
      </c>
      <c r="C11" s="10" t="s">
        <v>3</v>
      </c>
      <c r="D11" s="11" t="s">
        <v>25</v>
      </c>
      <c r="E11" s="11" t="s">
        <v>7</v>
      </c>
      <c r="F11" s="11" t="s">
        <v>6</v>
      </c>
      <c r="G11" s="11" t="s">
        <v>8</v>
      </c>
      <c r="H11" s="11" t="s">
        <v>12</v>
      </c>
      <c r="I11" s="11" t="s">
        <v>26</v>
      </c>
      <c r="J11" s="11" t="s">
        <v>27</v>
      </c>
      <c r="K11" s="11" t="s">
        <v>28</v>
      </c>
      <c r="L11" s="10"/>
      <c r="M11" s="11" t="s">
        <v>15</v>
      </c>
      <c r="N11" s="11" t="s">
        <v>35</v>
      </c>
      <c r="O11" s="11" t="s">
        <v>14</v>
      </c>
      <c r="P11" s="11" t="s">
        <v>16</v>
      </c>
      <c r="Q11" s="11" t="s">
        <v>8</v>
      </c>
      <c r="R11" s="11" t="s">
        <v>27</v>
      </c>
      <c r="S11" s="13" t="s">
        <v>28</v>
      </c>
      <c r="T11" s="11" t="s">
        <v>15</v>
      </c>
      <c r="U11" s="11" t="s">
        <v>35</v>
      </c>
      <c r="V11" s="11" t="s">
        <v>14</v>
      </c>
      <c r="W11" s="11" t="s">
        <v>16</v>
      </c>
      <c r="X11" s="11" t="s">
        <v>8</v>
      </c>
      <c r="Y11" s="11" t="s">
        <v>27</v>
      </c>
      <c r="Z11" s="13" t="s">
        <v>28</v>
      </c>
      <c r="AA11" s="11" t="s">
        <v>15</v>
      </c>
      <c r="AB11" s="11" t="s">
        <v>35</v>
      </c>
      <c r="AC11" s="11" t="s">
        <v>14</v>
      </c>
      <c r="AD11" s="11" t="s">
        <v>16</v>
      </c>
      <c r="AE11" s="11" t="s">
        <v>8</v>
      </c>
      <c r="AF11" s="11" t="s">
        <v>27</v>
      </c>
      <c r="AG11" s="13" t="s">
        <v>28</v>
      </c>
      <c r="AH11" s="11" t="s">
        <v>14</v>
      </c>
      <c r="AI11" s="11" t="s">
        <v>36</v>
      </c>
      <c r="AJ11" s="11" t="s">
        <v>8</v>
      </c>
      <c r="AK11" s="11" t="s">
        <v>27</v>
      </c>
      <c r="AL11" s="11" t="s">
        <v>28</v>
      </c>
      <c r="AM11" s="11" t="s">
        <v>91</v>
      </c>
      <c r="AN11" s="11" t="s">
        <v>92</v>
      </c>
      <c r="AO11" s="123" t="s">
        <v>94</v>
      </c>
      <c r="AP11" s="123" t="s">
        <v>95</v>
      </c>
      <c r="AQ11" s="123" t="s">
        <v>96</v>
      </c>
    </row>
    <row r="12" spans="2:43" x14ac:dyDescent="0.3">
      <c r="B12" s="3" t="s">
        <v>2</v>
      </c>
      <c r="C12" s="6">
        <v>1</v>
      </c>
      <c r="D12" s="38">
        <f>15.68+9.78-$E$5</f>
        <v>20.86</v>
      </c>
      <c r="E12" s="38">
        <v>636.85</v>
      </c>
      <c r="F12" s="7">
        <v>91.31</v>
      </c>
      <c r="G12" s="8">
        <f>((F12-$E$6)/(E12-$E$6))*100</f>
        <v>13.360966855654546</v>
      </c>
      <c r="H12" s="3">
        <v>1</v>
      </c>
      <c r="I12" s="7">
        <f>(D12)*(G12/100)</f>
        <v>2.7870976860895382</v>
      </c>
      <c r="J12" s="7">
        <f>I12/($E$7*H12)</f>
        <v>0.51612920112769223</v>
      </c>
      <c r="K12" s="7">
        <f>J12*10000/100</f>
        <v>51.612920112769224</v>
      </c>
      <c r="L12" s="6"/>
      <c r="M12" s="58"/>
      <c r="N12" s="107"/>
      <c r="O12" s="107"/>
      <c r="P12" s="37"/>
      <c r="Q12" s="37" t="str">
        <f>IF(O12&gt;0,((P12-$O$5)/(O12-$O$5))*100,"")</f>
        <v/>
      </c>
      <c r="R12" s="37" t="str">
        <f>IF(O12&gt;0,((Q12/100)*M12)/$O$7/1000,"")</f>
        <v/>
      </c>
      <c r="S12" s="14">
        <f t="shared" ref="S12:S16" si="0">IF(O12&gt;0,R12*10000/100,0)</f>
        <v>0</v>
      </c>
      <c r="T12" s="153">
        <v>456.39</v>
      </c>
      <c r="U12" s="153">
        <f>1188.08+538.29</f>
        <v>1726.37</v>
      </c>
      <c r="V12" s="38">
        <f>SUM(T12:U12)</f>
        <v>2182.7599999999998</v>
      </c>
      <c r="W12" s="40">
        <v>69.930000000000007</v>
      </c>
      <c r="X12" s="36">
        <f>IF(T12&gt;0,((W12-$O$5)/(T12-$O$5))*100,"")</f>
        <v>13.968967743371699</v>
      </c>
      <c r="Y12" s="36">
        <f>IF(W12&gt;0,((X12/100)*V12-$O$5)/$O$7/1000,"")</f>
        <v>0.29772904031522007</v>
      </c>
      <c r="Z12" s="14">
        <f t="shared" ref="Z12:Z47" si="1">IF(V12&gt;0,Y12*10000/100,0)</f>
        <v>29.772904031522007</v>
      </c>
      <c r="AA12" s="63"/>
      <c r="AB12" s="63"/>
      <c r="AC12" s="63"/>
      <c r="AD12" s="63"/>
      <c r="AE12" s="31" t="str">
        <f t="shared" ref="AE12:AE21" si="2">IF(AC12&gt;0,((AD12-$O$5)/(AC12-$O$5))*100,"")</f>
        <v/>
      </c>
      <c r="AF12" s="31" t="str">
        <f t="shared" ref="AF12:AF47" si="3">IF(AC12&gt;0,((AE12/100)*AA12)/$O$7/1000,"")</f>
        <v/>
      </c>
      <c r="AG12" s="14">
        <f t="shared" ref="AG12:AG47" si="4">IF(AC12&gt;0,AF12*10000/100,0)</f>
        <v>0</v>
      </c>
      <c r="AH12" s="150">
        <v>247.59</v>
      </c>
      <c r="AI12" s="64">
        <v>50.69</v>
      </c>
      <c r="AJ12" s="15">
        <f t="shared" ref="AJ12:AJ47" si="5">IF(AH12&gt;0,((AI12-$O$5)/(AH12-$O$5))*100,"")</f>
        <v>18.098248824924088</v>
      </c>
      <c r="AK12" s="15">
        <f t="shared" ref="AK12:AK47" si="6">IF(AH12&gt;0,((AJ12/100)*AH12)/$O$7/1000,"")</f>
        <v>4.4809454265629545E-2</v>
      </c>
      <c r="AL12" s="14">
        <f t="shared" ref="AL12:AL47" si="7">IF(AI12&gt;0,AK12*10000/100,0)</f>
        <v>4.4809454265629549</v>
      </c>
      <c r="AM12" s="14"/>
      <c r="AN12" s="14">
        <f>Z12</f>
        <v>29.772904031522007</v>
      </c>
      <c r="AO12" s="124">
        <f>IF((100/SUM(AL12:AN12)*AN12),(100/SUM(AL12:AN12)*AN12),"")</f>
        <v>86.918417937096081</v>
      </c>
      <c r="AP12" s="57" t="str">
        <f>IF((100/SUM(AL12:AN12)*AM12),(100/SUM(AL12:AN12)*AM12),"")</f>
        <v/>
      </c>
      <c r="AQ12" s="57">
        <f>(100/SUM(AL12:AN12)*AL12)</f>
        <v>13.081582062903923</v>
      </c>
    </row>
    <row r="13" spans="2:43" x14ac:dyDescent="0.3">
      <c r="B13" s="3" t="s">
        <v>2</v>
      </c>
      <c r="C13" s="6">
        <v>2</v>
      </c>
      <c r="D13" s="38">
        <f>11.82+9.12-$E$5</f>
        <v>16.339999999999996</v>
      </c>
      <c r="E13" s="38">
        <v>737.31</v>
      </c>
      <c r="F13" s="7">
        <v>139.88</v>
      </c>
      <c r="G13" s="8">
        <f t="shared" ref="G13:G47" si="8">((F13-$E$6)/(E13-$E$6))*100</f>
        <v>18.174845575445467</v>
      </c>
      <c r="H13" s="3">
        <v>1</v>
      </c>
      <c r="I13" s="7">
        <f>(D13)*(G13/100)</f>
        <v>2.9697697670277887</v>
      </c>
      <c r="J13" s="7">
        <f t="shared" ref="J13:J47" si="9">I13/($E$7*H13)</f>
        <v>0.54995736426440534</v>
      </c>
      <c r="K13" s="7">
        <f t="shared" ref="K13:K47" si="10">J13*10000/100</f>
        <v>54.995736426440537</v>
      </c>
      <c r="L13" s="6"/>
      <c r="M13" s="58"/>
      <c r="N13" s="107"/>
      <c r="O13" s="107"/>
      <c r="P13" s="37"/>
      <c r="Q13" s="37" t="str">
        <f t="shared" ref="Q13:Q43" si="11">IF(O13&gt;0,((P13-$O$5)/(O13-$O$5))*100,"")</f>
        <v/>
      </c>
      <c r="R13" s="37" t="str">
        <f>IF(O13&gt;0,((Q13/100)*M13)/$O$7/1000,"")</f>
        <v/>
      </c>
      <c r="S13" s="14">
        <f t="shared" si="0"/>
        <v>0</v>
      </c>
      <c r="T13" s="144">
        <v>426.29</v>
      </c>
      <c r="U13" s="144">
        <v>1336.56</v>
      </c>
      <c r="V13" s="38">
        <f t="shared" ref="V13:V46" si="12">SUM(T13:U13)</f>
        <v>1762.85</v>
      </c>
      <c r="W13" s="40">
        <v>70.87</v>
      </c>
      <c r="X13" s="36">
        <f>IF(T13&gt;0,((W13-$O$5)/(T13-$O$5))*100,"")</f>
        <v>15.196487795566796</v>
      </c>
      <c r="Y13" s="36">
        <f>IF(W13&gt;0,((X13/100)*V13-$O$5)/$O$7/1000,"")</f>
        <v>0.2607112851041492</v>
      </c>
      <c r="Z13" s="14">
        <f t="shared" si="1"/>
        <v>26.071128510414919</v>
      </c>
      <c r="AA13" s="144">
        <v>333.03</v>
      </c>
      <c r="AB13" s="144">
        <v>498.09</v>
      </c>
      <c r="AC13" s="38">
        <f>SUM(AA13:AB13)</f>
        <v>831.11999999999989</v>
      </c>
      <c r="AD13" s="40">
        <v>97.33</v>
      </c>
      <c r="AE13" s="7">
        <f>IF(AA13&gt;0,((AD13-$O$5)/(AA13-$O$5))*100,"")</f>
        <v>27.666104035599208</v>
      </c>
      <c r="AF13" s="7">
        <f>IF(AD13&gt;0,((AE13/100)*AC13-$O$5)/$O$7/1000,"")</f>
        <v>0.2227585238606721</v>
      </c>
      <c r="AG13" s="14">
        <f t="shared" si="4"/>
        <v>22.275852386067207</v>
      </c>
      <c r="AH13" s="150">
        <v>54.76</v>
      </c>
      <c r="AI13" s="64">
        <v>17.28</v>
      </c>
      <c r="AJ13" s="15">
        <f t="shared" si="5"/>
        <v>21.227406473308115</v>
      </c>
      <c r="AK13" s="15">
        <f t="shared" si="6"/>
        <v>1.1624127784783523E-2</v>
      </c>
      <c r="AL13" s="14">
        <f t="shared" si="7"/>
        <v>1.1624127784783522</v>
      </c>
      <c r="AM13" s="14">
        <f t="shared" ref="AM13:AM20" si="13">S13+AG13</f>
        <v>22.275852386067207</v>
      </c>
      <c r="AN13" s="14">
        <f>Z13</f>
        <v>26.071128510414919</v>
      </c>
      <c r="AO13" s="124">
        <f t="shared" ref="AO13:AO47" si="14">IF((100/SUM(AL13:AN13)*AN13),(100/SUM(AL13:AN13)*AN13),"")</f>
        <v>52.658953332325844</v>
      </c>
      <c r="AP13" s="57">
        <f t="shared" ref="AP13:AP47" si="15">IF((100/SUM(AL13:AN13)*AM13),(100/SUM(AL13:AN13)*AM13),"")</f>
        <v>44.993183581105512</v>
      </c>
      <c r="AQ13" s="57">
        <f t="shared" ref="AQ13:AQ47" si="16">(100/SUM(AL13:AN13)*AL13)</f>
        <v>2.3478630865686525</v>
      </c>
    </row>
    <row r="14" spans="2:43" x14ac:dyDescent="0.3">
      <c r="B14" s="3" t="s">
        <v>2</v>
      </c>
      <c r="C14" s="6">
        <v>3</v>
      </c>
      <c r="D14" s="38">
        <f>12.82+6.28-$E$5</f>
        <v>14.500000000000002</v>
      </c>
      <c r="E14" s="38">
        <v>590.30999999999995</v>
      </c>
      <c r="F14" s="7">
        <v>150.83000000000001</v>
      </c>
      <c r="G14" s="8">
        <f>((F14-$E$6)/(E14-$E$6))*100</f>
        <v>24.634301099240307</v>
      </c>
      <c r="H14" s="3">
        <v>1</v>
      </c>
      <c r="I14" s="7">
        <f t="shared" ref="I14:I47" si="17">(D14)*(G14/100)</f>
        <v>3.5719736593898452</v>
      </c>
      <c r="J14" s="7">
        <f t="shared" si="9"/>
        <v>0.66147660359071203</v>
      </c>
      <c r="K14" s="7">
        <f t="shared" si="10"/>
        <v>66.14766035907121</v>
      </c>
      <c r="L14" s="6"/>
      <c r="M14" s="58"/>
      <c r="N14" s="107"/>
      <c r="O14" s="107"/>
      <c r="P14" s="37"/>
      <c r="Q14" s="37" t="str">
        <f t="shared" si="11"/>
        <v/>
      </c>
      <c r="R14" s="37" t="str">
        <f>IF(O14&gt;0,((Q14/100)*M14)/$O$7/1000,"")</f>
        <v/>
      </c>
      <c r="S14" s="14">
        <f t="shared" si="0"/>
        <v>0</v>
      </c>
      <c r="T14" s="144">
        <v>265.70999999999998</v>
      </c>
      <c r="U14" s="144">
        <v>463.06</v>
      </c>
      <c r="V14" s="38">
        <f t="shared" si="12"/>
        <v>728.77</v>
      </c>
      <c r="W14" s="40">
        <v>48.74</v>
      </c>
      <c r="X14" s="7">
        <f>IF(T14&gt;0,((W14-$O$5)/(T14-$O$5))*100,"")</f>
        <v>16.075503810002711</v>
      </c>
      <c r="Y14" s="7">
        <f>IF(W14&gt;0,((X14/100)*V14-$O$5)/$O$7/1000,"")</f>
        <v>0.10997344911615675</v>
      </c>
      <c r="Z14" s="14">
        <f t="shared" si="1"/>
        <v>10.997344911615675</v>
      </c>
      <c r="AA14" s="144">
        <v>280.49</v>
      </c>
      <c r="AB14" s="144">
        <v>665.41</v>
      </c>
      <c r="AC14" s="38">
        <f t="shared" ref="AC14:AC43" si="18">SUM(AA14:AB14)</f>
        <v>945.9</v>
      </c>
      <c r="AD14" s="40">
        <v>84.05</v>
      </c>
      <c r="AE14" s="7">
        <f>IF(AA14&gt;0,((AD14-$O$5)/(AA14-$O$5))*100,"")</f>
        <v>28.125571695144707</v>
      </c>
      <c r="AF14" s="7">
        <f>IF(AD14&gt;0,((AE14/100)*AC14-$O$5)/$O$7/1000,"")</f>
        <v>0.25885978266437376</v>
      </c>
      <c r="AG14" s="14">
        <f t="shared" si="4"/>
        <v>25.885978266437377</v>
      </c>
      <c r="AH14" s="150">
        <v>45.94</v>
      </c>
      <c r="AI14" s="64">
        <v>17.940000000000001</v>
      </c>
      <c r="AJ14" s="15">
        <f t="shared" si="5"/>
        <v>27.760577915376683</v>
      </c>
      <c r="AK14" s="15">
        <f t="shared" si="6"/>
        <v>1.2753209494324048E-2</v>
      </c>
      <c r="AL14" s="14">
        <f t="shared" si="7"/>
        <v>1.2753209494324047</v>
      </c>
      <c r="AM14" s="14">
        <f t="shared" si="13"/>
        <v>25.885978266437377</v>
      </c>
      <c r="AN14" s="14">
        <f>Z14</f>
        <v>10.997344911615675</v>
      </c>
      <c r="AO14" s="124">
        <f t="shared" si="14"/>
        <v>28.820062041183348</v>
      </c>
      <c r="AP14" s="57">
        <f t="shared" si="15"/>
        <v>67.837783176870929</v>
      </c>
      <c r="AQ14" s="57">
        <f t="shared" si="16"/>
        <v>3.3421547819457196</v>
      </c>
    </row>
    <row r="15" spans="2:43" x14ac:dyDescent="0.3">
      <c r="B15" s="3" t="s">
        <v>2</v>
      </c>
      <c r="C15" s="6">
        <v>4</v>
      </c>
      <c r="D15" s="38">
        <f>11.84-E4</f>
        <v>9.64</v>
      </c>
      <c r="E15" s="38">
        <v>533.63</v>
      </c>
      <c r="F15" s="7">
        <v>138.22</v>
      </c>
      <c r="G15" s="8">
        <f t="shared" si="8"/>
        <v>24.891252730553706</v>
      </c>
      <c r="H15" s="3">
        <v>1</v>
      </c>
      <c r="I15" s="7">
        <f t="shared" si="17"/>
        <v>2.3995167632253773</v>
      </c>
      <c r="J15" s="7">
        <f t="shared" si="9"/>
        <v>0.44435495615284765</v>
      </c>
      <c r="K15" s="7">
        <f t="shared" si="10"/>
        <v>44.435495615284765</v>
      </c>
      <c r="L15" s="6"/>
      <c r="M15" s="58"/>
      <c r="N15" s="107"/>
      <c r="O15" s="107"/>
      <c r="P15" s="37"/>
      <c r="Q15" s="37" t="str">
        <f t="shared" si="11"/>
        <v/>
      </c>
      <c r="R15" s="37" t="str">
        <f>IF(O15&gt;0,((Q15/100)*M15)/$O$7/1000,"")</f>
        <v/>
      </c>
      <c r="S15" s="14">
        <f t="shared" si="0"/>
        <v>0</v>
      </c>
      <c r="T15" s="155">
        <v>337.89</v>
      </c>
      <c r="U15" s="144"/>
      <c r="V15" s="38">
        <f t="shared" si="12"/>
        <v>337.89</v>
      </c>
      <c r="W15" s="40">
        <v>68.73</v>
      </c>
      <c r="X15" s="36">
        <f>IF(T15&gt;0,((W15-$O$5)/(T15-$O$5))*100,"")</f>
        <v>18.611472286897889</v>
      </c>
      <c r="Y15" s="36">
        <f>IF(W15&gt;0,((X15/100)*V15-$O$5)/$O$7/1000,"")</f>
        <v>5.570630371019928E-2</v>
      </c>
      <c r="Z15" s="14">
        <f t="shared" si="1"/>
        <v>5.5706303710199281</v>
      </c>
      <c r="AA15" s="155">
        <v>332.1</v>
      </c>
      <c r="AB15" s="155">
        <v>297.45999999999998</v>
      </c>
      <c r="AC15" s="38">
        <f t="shared" si="18"/>
        <v>629.55999999999995</v>
      </c>
      <c r="AD15" s="40">
        <v>111.66</v>
      </c>
      <c r="AE15" s="7">
        <f>IF(AA15&gt;0,((AD15-$O$5)/(AA15-$O$5))*100,"")</f>
        <v>32.15560753416225</v>
      </c>
      <c r="AF15" s="7">
        <f>IF(AD15&gt;0,((AE15/100)*AC15-$O$5)/$O$7/1000,"")</f>
        <v>0.19525884279207184</v>
      </c>
      <c r="AG15" s="14">
        <f t="shared" si="4"/>
        <v>19.525884279207183</v>
      </c>
      <c r="AH15" s="150">
        <v>31.22</v>
      </c>
      <c r="AI15" s="64">
        <v>14</v>
      </c>
      <c r="AJ15" s="15">
        <f t="shared" si="5"/>
        <v>28.369384359401</v>
      </c>
      <c r="AK15" s="15">
        <f t="shared" si="6"/>
        <v>8.8569217970049918E-3</v>
      </c>
      <c r="AL15" s="14">
        <f t="shared" si="7"/>
        <v>0.88569217970049918</v>
      </c>
      <c r="AM15" s="14">
        <f t="shared" si="13"/>
        <v>19.525884279207183</v>
      </c>
      <c r="AN15" s="14">
        <f>Z15</f>
        <v>5.5706303710199281</v>
      </c>
      <c r="AO15" s="124">
        <f t="shared" si="14"/>
        <v>21.440174067906334</v>
      </c>
      <c r="AP15" s="57">
        <f t="shared" si="15"/>
        <v>75.150984698945166</v>
      </c>
      <c r="AQ15" s="57">
        <f t="shared" si="16"/>
        <v>3.4088412331485038</v>
      </c>
    </row>
    <row r="16" spans="2:43" x14ac:dyDescent="0.3">
      <c r="B16" s="3" t="s">
        <v>2</v>
      </c>
      <c r="C16" s="6">
        <v>5</v>
      </c>
      <c r="D16" s="38">
        <f>10.04-F4</f>
        <v>7.6399999999999988</v>
      </c>
      <c r="E16" s="38">
        <v>527.49</v>
      </c>
      <c r="F16" s="7">
        <v>166.75</v>
      </c>
      <c r="G16" s="8">
        <f t="shared" si="8"/>
        <v>30.668255463089306</v>
      </c>
      <c r="H16" s="3">
        <v>1</v>
      </c>
      <c r="I16" s="7">
        <f t="shared" si="17"/>
        <v>2.3430547173800225</v>
      </c>
      <c r="J16" s="7">
        <f t="shared" si="9"/>
        <v>0.43389902173704115</v>
      </c>
      <c r="K16" s="7">
        <f t="shared" si="10"/>
        <v>43.389902173704115</v>
      </c>
      <c r="L16" s="6"/>
      <c r="M16" s="58"/>
      <c r="N16" s="107"/>
      <c r="O16" s="107"/>
      <c r="P16" s="37"/>
      <c r="Q16" s="37" t="str">
        <f t="shared" si="11"/>
        <v/>
      </c>
      <c r="R16" s="37" t="str">
        <f>IF(O16&gt;0,((Q16/100)*M16)/$O$7/1000,"")</f>
        <v/>
      </c>
      <c r="S16" s="14">
        <f t="shared" si="0"/>
        <v>0</v>
      </c>
      <c r="T16" s="145"/>
      <c r="U16" s="145"/>
      <c r="V16" s="145"/>
      <c r="W16" s="61"/>
      <c r="X16" s="37" t="str">
        <f t="shared" ref="X16:X47" si="19">IF(V16&gt;0,((W16-$O$5)/(V16-$O$5))*100,"")</f>
        <v/>
      </c>
      <c r="Y16" s="37" t="str">
        <f t="shared" ref="Y16:Y47" si="20">IF(V16&gt;0,((X16/100)*T16)/$O$7/1000,"")</f>
        <v/>
      </c>
      <c r="Z16" s="14">
        <f t="shared" si="1"/>
        <v>0</v>
      </c>
      <c r="AA16" s="155">
        <v>318.47000000000003</v>
      </c>
      <c r="AB16" s="155">
        <v>704.92</v>
      </c>
      <c r="AC16" s="38">
        <f t="shared" si="18"/>
        <v>1023.39</v>
      </c>
      <c r="AD16" s="40">
        <v>104.29</v>
      </c>
      <c r="AE16" s="7">
        <f>IF(AA16&gt;0,((AD16-$O$5)/(AA16-$O$5))*100,"")</f>
        <v>31.195990876674486</v>
      </c>
      <c r="AF16" s="7">
        <f>IF(AD16&gt;0,((AE16/100)*AC16-$O$5)/$O$7/1000,"")</f>
        <v>0.31207665103279902</v>
      </c>
      <c r="AG16" s="14">
        <f t="shared" si="4"/>
        <v>31.207665103279901</v>
      </c>
      <c r="AH16" s="150">
        <v>36.97</v>
      </c>
      <c r="AI16" s="64">
        <v>15.49</v>
      </c>
      <c r="AJ16" s="15">
        <f t="shared" si="5"/>
        <v>27.89526686807654</v>
      </c>
      <c r="AK16" s="15">
        <f t="shared" si="6"/>
        <v>1.0312880161127897E-2</v>
      </c>
      <c r="AL16" s="14">
        <f t="shared" si="7"/>
        <v>1.0312880161127898</v>
      </c>
      <c r="AM16" s="14">
        <f t="shared" si="13"/>
        <v>31.207665103279901</v>
      </c>
      <c r="AN16" s="14"/>
      <c r="AO16" s="124" t="str">
        <f t="shared" si="14"/>
        <v/>
      </c>
      <c r="AP16" s="57">
        <f t="shared" si="15"/>
        <v>96.80111195827746</v>
      </c>
      <c r="AQ16" s="57">
        <f t="shared" si="16"/>
        <v>3.1988880417225434</v>
      </c>
    </row>
    <row r="17" spans="2:43" x14ac:dyDescent="0.3">
      <c r="B17" s="3" t="s">
        <v>2</v>
      </c>
      <c r="C17" s="6">
        <v>6</v>
      </c>
      <c r="D17" s="38">
        <f>14.78+3.66-$E$5</f>
        <v>13.839999999999998</v>
      </c>
      <c r="E17" s="38">
        <v>828.46</v>
      </c>
      <c r="F17" s="7">
        <v>137.41</v>
      </c>
      <c r="G17" s="8">
        <f t="shared" si="8"/>
        <v>15.856954997077729</v>
      </c>
      <c r="H17" s="3">
        <v>1</v>
      </c>
      <c r="I17" s="7">
        <f t="shared" si="17"/>
        <v>2.1946025715955573</v>
      </c>
      <c r="J17" s="7">
        <f t="shared" si="9"/>
        <v>0.40640788362880687</v>
      </c>
      <c r="K17" s="7">
        <f t="shared" si="10"/>
        <v>40.640788362880684</v>
      </c>
      <c r="L17" s="6"/>
      <c r="M17" s="137">
        <v>315</v>
      </c>
      <c r="N17" s="138"/>
      <c r="O17" s="38">
        <f>SUM(M17:N17)</f>
        <v>315</v>
      </c>
      <c r="P17" s="15">
        <v>55.27</v>
      </c>
      <c r="Q17" s="36">
        <f>IF(M17&gt;0,((P17-$O$5)/(M17-$O$5))*100,"")</f>
        <v>15.62276655188097</v>
      </c>
      <c r="R17" s="36">
        <f>IF(P17&gt;0,((Q17/100)*O17-$O$5)/$O$7/1000,"")</f>
        <v>4.2031714638425061E-2</v>
      </c>
      <c r="S17" s="14">
        <f t="shared" ref="S17:S47" si="21">IF(O17&gt;0,R17*10000/100,0)</f>
        <v>4.203171463842506</v>
      </c>
      <c r="T17" s="144">
        <v>326.08999999999997</v>
      </c>
      <c r="U17" s="144">
        <v>882.74</v>
      </c>
      <c r="V17" s="38">
        <f t="shared" si="12"/>
        <v>1208.83</v>
      </c>
      <c r="W17" s="40">
        <v>62.1</v>
      </c>
      <c r="X17" s="36">
        <f>IF(T17&gt;0,((W17-$O$5)/(T17-$O$5))*100,"")</f>
        <v>17.221159574801671</v>
      </c>
      <c r="Y17" s="36">
        <f>IF(W17&gt;0,((X17/100)*V17-$O$5)/$O$7/1000,"")</f>
        <v>0.20099454328807501</v>
      </c>
      <c r="Z17" s="14">
        <f t="shared" si="1"/>
        <v>20.0994543288075</v>
      </c>
      <c r="AA17" s="145"/>
      <c r="AB17" s="145"/>
      <c r="AC17" s="145"/>
      <c r="AD17" s="61"/>
      <c r="AE17" s="31" t="str">
        <f t="shared" si="2"/>
        <v/>
      </c>
      <c r="AF17" s="31" t="str">
        <f t="shared" si="3"/>
        <v/>
      </c>
      <c r="AG17" s="14">
        <f t="shared" si="4"/>
        <v>0</v>
      </c>
      <c r="AH17" s="150">
        <v>152.66</v>
      </c>
      <c r="AI17" s="64">
        <v>45.13</v>
      </c>
      <c r="AJ17" s="15">
        <f t="shared" si="5"/>
        <v>26.086059939510591</v>
      </c>
      <c r="AK17" s="15">
        <f t="shared" si="6"/>
        <v>3.9822979103656869E-2</v>
      </c>
      <c r="AL17" s="14">
        <f t="shared" si="7"/>
        <v>3.9822979103656873</v>
      </c>
      <c r="AM17" s="14">
        <f t="shared" si="13"/>
        <v>4.203171463842506</v>
      </c>
      <c r="AN17" s="14">
        <f>Z17</f>
        <v>20.0994543288075</v>
      </c>
      <c r="AO17" s="124">
        <f t="shared" si="14"/>
        <v>71.060663057982822</v>
      </c>
      <c r="AP17" s="57">
        <f t="shared" si="15"/>
        <v>14.860112432950883</v>
      </c>
      <c r="AQ17" s="57">
        <f t="shared" si="16"/>
        <v>14.079224509066295</v>
      </c>
    </row>
    <row r="18" spans="2:43" x14ac:dyDescent="0.3">
      <c r="B18" s="3" t="s">
        <v>2</v>
      </c>
      <c r="C18" s="6">
        <v>7</v>
      </c>
      <c r="D18" s="38">
        <f>14.74+5.7-$E$5</f>
        <v>15.840000000000002</v>
      </c>
      <c r="E18" s="38">
        <v>721.69</v>
      </c>
      <c r="F18" s="7">
        <v>115.88</v>
      </c>
      <c r="G18" s="8">
        <f t="shared" si="8"/>
        <v>15.213223047962938</v>
      </c>
      <c r="H18" s="3">
        <v>1</v>
      </c>
      <c r="I18" s="7">
        <f t="shared" si="17"/>
        <v>2.4097745307973293</v>
      </c>
      <c r="J18" s="7">
        <f t="shared" si="9"/>
        <v>0.44625454274024612</v>
      </c>
      <c r="K18" s="7">
        <f t="shared" si="10"/>
        <v>44.625454274024612</v>
      </c>
      <c r="L18" s="6"/>
      <c r="M18" s="137">
        <v>412.33</v>
      </c>
      <c r="N18" s="138"/>
      <c r="O18" s="38">
        <f t="shared" ref="O18:O47" si="22">SUM(M18:N18)</f>
        <v>412.33</v>
      </c>
      <c r="P18" s="15">
        <v>64.569999999999993</v>
      </c>
      <c r="Q18" s="36">
        <f>IF(M18&gt;0,((P18-$O$5)/(M18-$O$5))*100,"")</f>
        <v>14.165124028137727</v>
      </c>
      <c r="R18" s="36">
        <f>IF(P18&gt;0,((Q18/100)*O18-$O$5)/$O$7/1000,"")</f>
        <v>5.1227055905220288E-2</v>
      </c>
      <c r="S18" s="14">
        <f t="shared" si="21"/>
        <v>5.1227055905220285</v>
      </c>
      <c r="T18" s="144">
        <v>393.23</v>
      </c>
      <c r="U18" s="144">
        <v>1515.71</v>
      </c>
      <c r="V18" s="38">
        <f t="shared" si="12"/>
        <v>1908.94</v>
      </c>
      <c r="W18" s="40">
        <v>64.47</v>
      </c>
      <c r="X18" s="36">
        <f>IF(T18&gt;0,((W18-$O$5)/(T18-$O$5))*100,"")</f>
        <v>14.840046626084705</v>
      </c>
      <c r="Y18" s="36">
        <f>IF(W18&gt;0,((X18/100)*V18-$O$5)/$O$7/1000,"")</f>
        <v>0.27610758606398139</v>
      </c>
      <c r="Z18" s="14">
        <f t="shared" si="1"/>
        <v>27.610758606398139</v>
      </c>
      <c r="AA18" s="145"/>
      <c r="AB18" s="145"/>
      <c r="AC18" s="145"/>
      <c r="AD18" s="61"/>
      <c r="AE18" s="31" t="str">
        <f t="shared" si="2"/>
        <v/>
      </c>
      <c r="AF18" s="31" t="str">
        <f t="shared" si="3"/>
        <v/>
      </c>
      <c r="AG18" s="14">
        <f t="shared" si="4"/>
        <v>0</v>
      </c>
      <c r="AH18" s="150">
        <v>128.51</v>
      </c>
      <c r="AI18" s="64">
        <v>40.14</v>
      </c>
      <c r="AJ18" s="15">
        <f t="shared" si="5"/>
        <v>27.16558147201847</v>
      </c>
      <c r="AK18" s="15">
        <f t="shared" si="6"/>
        <v>3.4910488749690931E-2</v>
      </c>
      <c r="AL18" s="14">
        <f t="shared" si="7"/>
        <v>3.4910488749690933</v>
      </c>
      <c r="AM18" s="14">
        <f t="shared" si="13"/>
        <v>5.1227055905220285</v>
      </c>
      <c r="AN18" s="14">
        <f>Z18</f>
        <v>27.610758606398139</v>
      </c>
      <c r="AO18" s="124">
        <f t="shared" si="14"/>
        <v>76.221200134845915</v>
      </c>
      <c r="AP18" s="57">
        <f t="shared" si="15"/>
        <v>14.141544374539352</v>
      </c>
      <c r="AQ18" s="57">
        <f t="shared" si="16"/>
        <v>9.6372554906147148</v>
      </c>
    </row>
    <row r="19" spans="2:43" x14ac:dyDescent="0.3">
      <c r="B19" s="3" t="s">
        <v>2</v>
      </c>
      <c r="C19" s="6">
        <v>8</v>
      </c>
      <c r="D19" s="38">
        <f>12.68+3.62-$E$5</f>
        <v>11.700000000000001</v>
      </c>
      <c r="E19" s="38">
        <v>574.35</v>
      </c>
      <c r="F19" s="7">
        <v>100.95</v>
      </c>
      <c r="G19" s="8">
        <f t="shared" si="8"/>
        <v>16.532961898548937</v>
      </c>
      <c r="H19" s="3">
        <v>1</v>
      </c>
      <c r="I19" s="7">
        <f t="shared" si="17"/>
        <v>1.9343565421302258</v>
      </c>
      <c r="J19" s="7">
        <f t="shared" si="9"/>
        <v>0.3582141744685603</v>
      </c>
      <c r="K19" s="7">
        <f t="shared" si="10"/>
        <v>35.821417446856032</v>
      </c>
      <c r="L19" s="6"/>
      <c r="M19" s="137">
        <v>531.41</v>
      </c>
      <c r="N19" s="138"/>
      <c r="O19" s="38">
        <f t="shared" si="22"/>
        <v>531.41</v>
      </c>
      <c r="P19" s="15">
        <v>91.07</v>
      </c>
      <c r="Q19" s="36">
        <f>IF(M19&gt;0,((P19-$O$5)/(M19-$O$5))*100,"")</f>
        <v>16.002517978749783</v>
      </c>
      <c r="R19" s="36">
        <f>IF(P19&gt;0,((Q19/100)*O19-$O$5)/$O$7/1000,"")</f>
        <v>7.7858980790874222E-2</v>
      </c>
      <c r="S19" s="14">
        <f t="shared" si="21"/>
        <v>7.7858980790874215</v>
      </c>
      <c r="T19" s="144">
        <v>383.79</v>
      </c>
      <c r="U19" s="144">
        <v>780.91</v>
      </c>
      <c r="V19" s="38">
        <f t="shared" si="12"/>
        <v>1164.7</v>
      </c>
      <c r="W19" s="40">
        <v>72.650000000000006</v>
      </c>
      <c r="X19" s="36">
        <f>IF(T19&gt;0,((W19-$O$5)/(T19-$O$5))*100,"")</f>
        <v>17.384031225936646</v>
      </c>
      <c r="Y19" s="36">
        <f>IF(W19&gt;0,((X19/100)*V19-$O$5)/$O$7/1000,"")</f>
        <v>0.19529181168848414</v>
      </c>
      <c r="Z19" s="14">
        <f t="shared" si="1"/>
        <v>19.529181168848414</v>
      </c>
      <c r="AA19" s="145"/>
      <c r="AB19" s="145"/>
      <c r="AC19" s="145"/>
      <c r="AD19" s="61"/>
      <c r="AE19" s="31" t="str">
        <f t="shared" si="2"/>
        <v/>
      </c>
      <c r="AF19" s="31" t="str">
        <f t="shared" si="3"/>
        <v/>
      </c>
      <c r="AG19" s="14">
        <f t="shared" si="4"/>
        <v>0</v>
      </c>
      <c r="AH19" s="150">
        <v>63.56</v>
      </c>
      <c r="AI19" s="64">
        <v>23.15</v>
      </c>
      <c r="AJ19" s="15">
        <f t="shared" si="5"/>
        <v>28.325647392692442</v>
      </c>
      <c r="AK19" s="15">
        <f t="shared" si="6"/>
        <v>1.8003781482795318E-2</v>
      </c>
      <c r="AL19" s="14">
        <f t="shared" si="7"/>
        <v>1.8003781482795318</v>
      </c>
      <c r="AM19" s="14">
        <f t="shared" si="13"/>
        <v>7.7858980790874215</v>
      </c>
      <c r="AN19" s="14">
        <f>Z19</f>
        <v>19.529181168848414</v>
      </c>
      <c r="AO19" s="124">
        <f t="shared" si="14"/>
        <v>67.074959198088891</v>
      </c>
      <c r="AP19" s="57">
        <f t="shared" si="15"/>
        <v>26.741458920372263</v>
      </c>
      <c r="AQ19" s="57">
        <f t="shared" si="16"/>
        <v>6.1835818815388333</v>
      </c>
    </row>
    <row r="20" spans="2:43" x14ac:dyDescent="0.3">
      <c r="B20" s="16" t="s">
        <v>2</v>
      </c>
      <c r="C20" s="17">
        <v>9</v>
      </c>
      <c r="D20" s="38">
        <f>7.16+3.28-$E$5</f>
        <v>5.84</v>
      </c>
      <c r="E20" s="41">
        <v>600.11</v>
      </c>
      <c r="F20" s="18">
        <v>138.06</v>
      </c>
      <c r="G20" s="19">
        <f t="shared" si="8"/>
        <v>22.073431939689335</v>
      </c>
      <c r="H20" s="16">
        <v>1</v>
      </c>
      <c r="I20" s="7">
        <f t="shared" si="17"/>
        <v>1.2890884252778572</v>
      </c>
      <c r="J20" s="18">
        <f t="shared" si="9"/>
        <v>0.23872007875515872</v>
      </c>
      <c r="K20" s="18">
        <f t="shared" si="10"/>
        <v>23.872007875515873</v>
      </c>
      <c r="L20" s="17"/>
      <c r="M20" s="139">
        <v>288.54000000000002</v>
      </c>
      <c r="N20" s="140">
        <v>390.46</v>
      </c>
      <c r="O20" s="38">
        <f t="shared" si="22"/>
        <v>679</v>
      </c>
      <c r="P20" s="41">
        <v>67.22</v>
      </c>
      <c r="Q20" s="7">
        <f>IF(M20&gt;0,((P20-$O$5)/(M20-$O$5))*100,"")</f>
        <v>21.339209553596813</v>
      </c>
      <c r="R20" s="7">
        <f>IF(P20&gt;0,((Q20/100)*O20-$O$5)/$O$7/1000,"")</f>
        <v>0.13771323286892234</v>
      </c>
      <c r="S20" s="14">
        <f t="shared" si="21"/>
        <v>13.771323286892233</v>
      </c>
      <c r="T20" s="146"/>
      <c r="U20" s="146"/>
      <c r="V20" s="146"/>
      <c r="W20" s="146"/>
      <c r="X20" s="33" t="str">
        <f t="shared" si="19"/>
        <v/>
      </c>
      <c r="Y20" s="33" t="str">
        <f t="shared" si="20"/>
        <v/>
      </c>
      <c r="Z20" s="14">
        <f t="shared" si="1"/>
        <v>0</v>
      </c>
      <c r="AA20" s="146"/>
      <c r="AB20" s="146"/>
      <c r="AC20" s="146"/>
      <c r="AD20" s="62"/>
      <c r="AE20" s="33" t="str">
        <f t="shared" si="2"/>
        <v/>
      </c>
      <c r="AF20" s="33" t="str">
        <f t="shared" si="3"/>
        <v/>
      </c>
      <c r="AG20" s="14">
        <f t="shared" si="4"/>
        <v>0</v>
      </c>
      <c r="AH20" s="151">
        <v>27.32</v>
      </c>
      <c r="AI20" s="65">
        <v>13.27</v>
      </c>
      <c r="AJ20" s="15">
        <f t="shared" si="5"/>
        <v>30.238331678252234</v>
      </c>
      <c r="AK20" s="15">
        <f t="shared" si="6"/>
        <v>8.2611122144985102E-3</v>
      </c>
      <c r="AL20" s="14">
        <f t="shared" si="7"/>
        <v>0.82611122144985105</v>
      </c>
      <c r="AM20" s="14">
        <f t="shared" si="13"/>
        <v>13.771323286892233</v>
      </c>
      <c r="AN20" s="14"/>
      <c r="AO20" s="124" t="str">
        <f t="shared" si="14"/>
        <v/>
      </c>
      <c r="AP20" s="57">
        <f t="shared" si="15"/>
        <v>94.340709520034167</v>
      </c>
      <c r="AQ20" s="57">
        <f t="shared" si="16"/>
        <v>5.6592904799658346</v>
      </c>
    </row>
    <row r="21" spans="2:43" x14ac:dyDescent="0.3">
      <c r="B21" s="3" t="s">
        <v>9</v>
      </c>
      <c r="C21" s="6">
        <v>1</v>
      </c>
      <c r="D21" s="38">
        <f>17.22+9.46-$E$5</f>
        <v>22.08</v>
      </c>
      <c r="E21" s="38">
        <v>550.35</v>
      </c>
      <c r="F21" s="7">
        <v>81.260000000000005</v>
      </c>
      <c r="G21" s="8">
        <f t="shared" si="8"/>
        <v>13.638455732091243</v>
      </c>
      <c r="H21" s="3">
        <v>1</v>
      </c>
      <c r="I21" s="7">
        <f t="shared" si="17"/>
        <v>3.011371025645746</v>
      </c>
      <c r="J21" s="7">
        <f t="shared" si="9"/>
        <v>0.55766130104550848</v>
      </c>
      <c r="K21" s="7">
        <f t="shared" si="10"/>
        <v>55.766130104550847</v>
      </c>
      <c r="L21" s="6"/>
      <c r="M21" s="141"/>
      <c r="N21" s="142"/>
      <c r="O21" s="145"/>
      <c r="P21" s="145"/>
      <c r="Q21" s="145"/>
      <c r="R21" s="145"/>
      <c r="S21" s="14">
        <f t="shared" si="21"/>
        <v>0</v>
      </c>
      <c r="T21" s="15">
        <v>393.6</v>
      </c>
      <c r="U21" s="153">
        <f>1044.79+511.89</f>
        <v>1556.6799999999998</v>
      </c>
      <c r="V21" s="38">
        <f t="shared" si="12"/>
        <v>1950.2799999999997</v>
      </c>
      <c r="W21" s="40">
        <v>53.78</v>
      </c>
      <c r="X21" s="36">
        <f>IF(T21&gt;0,((W21-$O$5)/(T21-$O$5))*100,"")</f>
        <v>12.059417214429894</v>
      </c>
      <c r="Y21" s="36">
        <f>IF(W21&gt;0,((X21/100)*V21-$O$5)/$O$7/1000,"")</f>
        <v>0.22801240204958331</v>
      </c>
      <c r="Z21" s="14">
        <f t="shared" si="1"/>
        <v>22.801240204958329</v>
      </c>
      <c r="AA21" s="149"/>
      <c r="AB21" s="149"/>
      <c r="AC21" s="149"/>
      <c r="AD21" s="63"/>
      <c r="AE21" s="31" t="str">
        <f t="shared" si="2"/>
        <v/>
      </c>
      <c r="AF21" s="31" t="str">
        <f t="shared" si="3"/>
        <v/>
      </c>
      <c r="AG21" s="14">
        <f t="shared" si="4"/>
        <v>0</v>
      </c>
      <c r="AH21" s="154">
        <v>54.77</v>
      </c>
      <c r="AI21" s="64">
        <v>19.48</v>
      </c>
      <c r="AJ21" s="15">
        <f t="shared" si="5"/>
        <v>25.845765917209494</v>
      </c>
      <c r="AK21" s="15">
        <f t="shared" si="6"/>
        <v>1.4155725992855642E-2</v>
      </c>
      <c r="AL21" s="14">
        <f t="shared" si="7"/>
        <v>1.4155725992855641</v>
      </c>
      <c r="AM21" s="14"/>
      <c r="AN21" s="14">
        <f>Z21</f>
        <v>22.801240204958329</v>
      </c>
      <c r="AO21" s="124">
        <f t="shared" si="14"/>
        <v>94.154587514350808</v>
      </c>
      <c r="AP21" s="57" t="str">
        <f t="shared" si="15"/>
        <v/>
      </c>
      <c r="AQ21" s="57">
        <f t="shared" si="16"/>
        <v>5.8454124856491889</v>
      </c>
    </row>
    <row r="22" spans="2:43" x14ac:dyDescent="0.3">
      <c r="B22" s="3" t="s">
        <v>9</v>
      </c>
      <c r="C22" s="6">
        <v>2</v>
      </c>
      <c r="D22" s="38">
        <f>12.46+8.84-$E$5</f>
        <v>16.700000000000003</v>
      </c>
      <c r="E22" s="38">
        <v>470.2</v>
      </c>
      <c r="F22" s="7">
        <v>94.73</v>
      </c>
      <c r="G22" s="8">
        <f t="shared" si="8"/>
        <v>18.908470476437305</v>
      </c>
      <c r="H22" s="3">
        <v>1</v>
      </c>
      <c r="I22" s="7">
        <f t="shared" si="17"/>
        <v>3.1577145695650306</v>
      </c>
      <c r="J22" s="7">
        <f t="shared" si="9"/>
        <v>0.58476195732685743</v>
      </c>
      <c r="K22" s="7">
        <f t="shared" si="10"/>
        <v>58.476195732685746</v>
      </c>
      <c r="L22" s="6"/>
      <c r="M22" s="141"/>
      <c r="N22" s="142"/>
      <c r="O22" s="145"/>
      <c r="P22" s="145"/>
      <c r="Q22" s="145"/>
      <c r="R22" s="37" t="str">
        <f t="shared" ref="R22:R43" si="23">IF(O22&gt;0,((Q22/100)*M22)/$O$7/1000,"")</f>
        <v/>
      </c>
      <c r="S22" s="14">
        <f t="shared" si="21"/>
        <v>0</v>
      </c>
      <c r="T22" s="155">
        <v>404.07</v>
      </c>
      <c r="U22" s="155">
        <v>620.88</v>
      </c>
      <c r="V22" s="38">
        <f t="shared" si="12"/>
        <v>1024.95</v>
      </c>
      <c r="W22" s="40">
        <v>71.599999999999994</v>
      </c>
      <c r="X22" s="36">
        <f>IF(T22&gt;0,((W22-$O$5)/(T22-$O$5))*100,"")</f>
        <v>16.23119756103706</v>
      </c>
      <c r="Y22" s="36">
        <f>IF(W22&gt;0,((X22/100)*V22-$O$5)/$O$7/1000,"")</f>
        <v>0.15918165940184936</v>
      </c>
      <c r="Z22" s="14">
        <f t="shared" si="1"/>
        <v>15.918165940184936</v>
      </c>
      <c r="AA22" s="155">
        <v>403.02</v>
      </c>
      <c r="AB22" s="144"/>
      <c r="AC22" s="38">
        <f t="shared" si="18"/>
        <v>403.02</v>
      </c>
      <c r="AD22" s="40">
        <v>124.43</v>
      </c>
      <c r="AE22" s="7">
        <f>IF(AA22&gt;0,((AD22-$O$5)/(AA22-$O$5))*100,"")</f>
        <v>29.620553759094587</v>
      </c>
      <c r="AF22" s="7">
        <f>IF(AD22&gt;0,((AE22/100)*AC22-$O$5)/$O$7/1000,"")</f>
        <v>0.112196755759903</v>
      </c>
      <c r="AG22" s="14">
        <f t="shared" si="4"/>
        <v>11.2196755759903</v>
      </c>
      <c r="AH22" s="150">
        <v>40.340000000000003</v>
      </c>
      <c r="AI22" s="64">
        <v>13.31</v>
      </c>
      <c r="AJ22" s="15">
        <f t="shared" si="5"/>
        <v>18.486127864897465</v>
      </c>
      <c r="AK22" s="15">
        <f t="shared" si="6"/>
        <v>7.4573039806996371E-3</v>
      </c>
      <c r="AL22" s="14">
        <f t="shared" si="7"/>
        <v>0.74573039806996377</v>
      </c>
      <c r="AM22" s="14">
        <f t="shared" ref="AM22:AM29" si="24">S22+AG22</f>
        <v>11.2196755759903</v>
      </c>
      <c r="AN22" s="14">
        <f>Z22</f>
        <v>15.918165940184936</v>
      </c>
      <c r="AO22" s="124">
        <f t="shared" si="14"/>
        <v>57.087972764538961</v>
      </c>
      <c r="AP22" s="57">
        <f t="shared" si="15"/>
        <v>40.237583658564112</v>
      </c>
      <c r="AQ22" s="57">
        <f t="shared" si="16"/>
        <v>2.6744435768969179</v>
      </c>
    </row>
    <row r="23" spans="2:43" x14ac:dyDescent="0.3">
      <c r="B23" s="3" t="s">
        <v>9</v>
      </c>
      <c r="C23" s="6">
        <v>3</v>
      </c>
      <c r="D23" s="38">
        <f>15.84+6.06-$E$5</f>
        <v>17.299999999999997</v>
      </c>
      <c r="E23" s="38">
        <v>451.15</v>
      </c>
      <c r="F23" s="7">
        <v>96.05</v>
      </c>
      <c r="G23" s="8">
        <f t="shared" si="8"/>
        <v>20.017118273757241</v>
      </c>
      <c r="H23" s="3">
        <v>1</v>
      </c>
      <c r="I23" s="7">
        <f t="shared" si="17"/>
        <v>3.4629614613600017</v>
      </c>
      <c r="J23" s="7">
        <f t="shared" si="9"/>
        <v>0.64128915951111143</v>
      </c>
      <c r="K23" s="7">
        <f t="shared" si="10"/>
        <v>64.128915951111139</v>
      </c>
      <c r="L23" s="6"/>
      <c r="M23" s="141"/>
      <c r="N23" s="142"/>
      <c r="O23" s="145"/>
      <c r="P23" s="145"/>
      <c r="Q23" s="145"/>
      <c r="R23" s="37" t="str">
        <f t="shared" si="23"/>
        <v/>
      </c>
      <c r="S23" s="14">
        <f t="shared" si="21"/>
        <v>0</v>
      </c>
      <c r="T23" s="155">
        <v>424.83</v>
      </c>
      <c r="U23" s="155">
        <v>1036.48</v>
      </c>
      <c r="V23" s="38">
        <f t="shared" si="12"/>
        <v>1461.31</v>
      </c>
      <c r="W23" s="40">
        <v>73.12</v>
      </c>
      <c r="X23" s="36">
        <f>IF(T23&gt;0,((W23-$O$5)/(T23-$O$5))*100,"")</f>
        <v>15.788339518735784</v>
      </c>
      <c r="Y23" s="36">
        <f>IF(W23&gt;0,((X23/100)*V23-$O$5)/$O$7/1000,"")</f>
        <v>0.22353658422123787</v>
      </c>
      <c r="Z23" s="14">
        <f t="shared" si="1"/>
        <v>22.353658422123786</v>
      </c>
      <c r="AA23" s="144">
        <v>254.74</v>
      </c>
      <c r="AB23" s="144">
        <f>779.83+366.71-4.68</f>
        <v>1141.8599999999999</v>
      </c>
      <c r="AC23" s="38">
        <f t="shared" si="18"/>
        <v>1396.6</v>
      </c>
      <c r="AD23" s="40">
        <v>75.55</v>
      </c>
      <c r="AE23" s="7">
        <f>IF(AA23&gt;0,((AD23-$O$5)/(AA23-$O$5))*100,"")</f>
        <v>27.617547261269998</v>
      </c>
      <c r="AF23" s="7">
        <f>IF(AD23&gt;0,((AE23/100)*AC23-$O$5)/$O$7/1000,"")</f>
        <v>0.37852666505089677</v>
      </c>
      <c r="AG23" s="14">
        <f t="shared" si="4"/>
        <v>37.85266650508968</v>
      </c>
      <c r="AH23" s="150">
        <v>0</v>
      </c>
      <c r="AI23" s="64">
        <v>0</v>
      </c>
      <c r="AJ23" s="15" t="str">
        <f t="shared" si="5"/>
        <v/>
      </c>
      <c r="AK23" s="15" t="str">
        <f t="shared" si="6"/>
        <v/>
      </c>
      <c r="AL23" s="14">
        <f t="shared" si="7"/>
        <v>0</v>
      </c>
      <c r="AM23" s="14">
        <f t="shared" si="24"/>
        <v>37.85266650508968</v>
      </c>
      <c r="AN23" s="14">
        <f>Z23</f>
        <v>22.353658422123786</v>
      </c>
      <c r="AO23" s="124">
        <f t="shared" si="14"/>
        <v>37.128422053909247</v>
      </c>
      <c r="AP23" s="57">
        <f t="shared" si="15"/>
        <v>62.871577946090746</v>
      </c>
      <c r="AQ23" s="57">
        <f t="shared" si="16"/>
        <v>0</v>
      </c>
    </row>
    <row r="24" spans="2:43" x14ac:dyDescent="0.3">
      <c r="B24" s="3" t="s">
        <v>9</v>
      </c>
      <c r="C24" s="6">
        <v>4</v>
      </c>
      <c r="D24" s="38">
        <f>10.46+2.74-$E$5</f>
        <v>8.6000000000000014</v>
      </c>
      <c r="E24" s="38">
        <v>392.17</v>
      </c>
      <c r="F24" s="7">
        <v>113.6</v>
      </c>
      <c r="G24" s="8">
        <f t="shared" si="8"/>
        <v>27.642276422764223</v>
      </c>
      <c r="H24" s="3">
        <v>1</v>
      </c>
      <c r="I24" s="7">
        <f t="shared" si="17"/>
        <v>2.3772357723577233</v>
      </c>
      <c r="J24" s="7">
        <f t="shared" si="9"/>
        <v>0.44022884673291168</v>
      </c>
      <c r="K24" s="7">
        <f t="shared" si="10"/>
        <v>44.022884673291166</v>
      </c>
      <c r="L24" s="6"/>
      <c r="M24" s="141"/>
      <c r="N24" s="142"/>
      <c r="O24" s="145"/>
      <c r="P24" s="145"/>
      <c r="Q24" s="145"/>
      <c r="R24" s="37" t="str">
        <f t="shared" si="23"/>
        <v/>
      </c>
      <c r="S24" s="14">
        <f t="shared" si="21"/>
        <v>0</v>
      </c>
      <c r="T24" s="144">
        <v>244.23</v>
      </c>
      <c r="U24" s="144"/>
      <c r="V24" s="38">
        <f t="shared" si="12"/>
        <v>244.23</v>
      </c>
      <c r="W24" s="40">
        <v>47.03</v>
      </c>
      <c r="X24" s="36">
        <f>IF(T24&gt;0,((W24-$O$5)/(T24-$O$5))*100,"")</f>
        <v>16.810799409407302</v>
      </c>
      <c r="Y24" s="36">
        <f>IF(W24&gt;0,((X24/100)*V24-$O$5)/$O$7/1000,"")</f>
        <v>3.3877015397595453E-2</v>
      </c>
      <c r="Z24" s="14">
        <f t="shared" si="1"/>
        <v>3.3877015397595454</v>
      </c>
      <c r="AA24" s="155">
        <v>436.82</v>
      </c>
      <c r="AB24" s="155">
        <v>467.32</v>
      </c>
      <c r="AC24" s="38">
        <f t="shared" si="18"/>
        <v>904.14</v>
      </c>
      <c r="AD24">
        <v>136.13</v>
      </c>
      <c r="AE24" s="7">
        <f>IF(AA24&gt;0,((AD24-$O$5)/(AA24-$O$5))*100,"")</f>
        <v>30.013499674145795</v>
      </c>
      <c r="AF24" s="7">
        <f>IF(AD24&gt;0,((AE24/100)*AC24-$O$5)/$O$7/1000,"")</f>
        <v>0.26418405595382177</v>
      </c>
      <c r="AG24" s="14">
        <f t="shared" si="4"/>
        <v>26.418405595382179</v>
      </c>
      <c r="AH24" s="150">
        <v>9.1300000000000008</v>
      </c>
      <c r="AI24" s="64">
        <v>8.0299999999999994</v>
      </c>
      <c r="AJ24" s="15">
        <f t="shared" si="5"/>
        <v>43.589743589743549</v>
      </c>
      <c r="AK24" s="15">
        <f t="shared" si="6"/>
        <v>3.9797435897435864E-3</v>
      </c>
      <c r="AL24" s="14">
        <f t="shared" si="7"/>
        <v>0.39797435897435862</v>
      </c>
      <c r="AM24" s="14">
        <f t="shared" si="24"/>
        <v>26.418405595382179</v>
      </c>
      <c r="AN24" s="14">
        <f>Z24</f>
        <v>3.3877015397595454</v>
      </c>
      <c r="AO24" s="124">
        <f t="shared" si="14"/>
        <v>11.216038933080908</v>
      </c>
      <c r="AP24" s="57">
        <f t="shared" si="15"/>
        <v>87.466343250757774</v>
      </c>
      <c r="AQ24" s="57">
        <f t="shared" si="16"/>
        <v>1.317617816161323</v>
      </c>
    </row>
    <row r="25" spans="2:43" x14ac:dyDescent="0.3">
      <c r="B25" s="3" t="s">
        <v>9</v>
      </c>
      <c r="C25" s="6">
        <v>5</v>
      </c>
      <c r="D25" s="38">
        <f>9.5+2.84-$E$5</f>
        <v>7.74</v>
      </c>
      <c r="E25" s="38">
        <v>615.41</v>
      </c>
      <c r="F25" s="7">
        <v>196.37</v>
      </c>
      <c r="G25" s="8">
        <f t="shared" si="8"/>
        <v>31.10500961807211</v>
      </c>
      <c r="H25" s="3">
        <v>1</v>
      </c>
      <c r="I25" s="7">
        <f t="shared" si="17"/>
        <v>2.4075277444387813</v>
      </c>
      <c r="J25" s="7">
        <f t="shared" si="9"/>
        <v>0.44583847119236686</v>
      </c>
      <c r="K25" s="7">
        <f t="shared" si="10"/>
        <v>44.583847119236687</v>
      </c>
      <c r="L25" s="6"/>
      <c r="M25" s="141"/>
      <c r="N25" s="142"/>
      <c r="O25" s="145"/>
      <c r="P25" s="145"/>
      <c r="Q25" s="145"/>
      <c r="R25" s="37" t="str">
        <f t="shared" si="23"/>
        <v/>
      </c>
      <c r="S25" s="14">
        <f t="shared" si="21"/>
        <v>0</v>
      </c>
      <c r="T25" s="145"/>
      <c r="U25" s="145"/>
      <c r="V25" s="145"/>
      <c r="W25" s="61"/>
      <c r="X25" s="37" t="str">
        <f t="shared" si="19"/>
        <v/>
      </c>
      <c r="Y25" s="37" t="str">
        <f t="shared" si="20"/>
        <v/>
      </c>
      <c r="Z25" s="14">
        <f t="shared" si="1"/>
        <v>0</v>
      </c>
      <c r="AA25" s="155">
        <v>368</v>
      </c>
      <c r="AB25" s="155">
        <v>599.12</v>
      </c>
      <c r="AC25" s="38">
        <f t="shared" si="18"/>
        <v>967.12</v>
      </c>
      <c r="AD25" s="40">
        <v>128.13999999999999</v>
      </c>
      <c r="AE25" s="7">
        <f>IF(AA25&gt;0,((AD25-$O$5)/(AA25-$O$5))*100,"")</f>
        <v>33.523640596419263</v>
      </c>
      <c r="AF25" s="7">
        <f>IF(AD25&gt;0,((AE25/100)*AC25-$O$5)/$O$7/1000,"")</f>
        <v>0.31703383293609</v>
      </c>
      <c r="AG25" s="14">
        <f t="shared" si="4"/>
        <v>31.703383293609001</v>
      </c>
      <c r="AH25" s="150">
        <v>0</v>
      </c>
      <c r="AI25" s="64">
        <v>0</v>
      </c>
      <c r="AJ25" s="15" t="str">
        <f t="shared" si="5"/>
        <v/>
      </c>
      <c r="AK25" s="15" t="str">
        <f t="shared" si="6"/>
        <v/>
      </c>
      <c r="AL25" s="14">
        <f t="shared" si="7"/>
        <v>0</v>
      </c>
      <c r="AM25" s="14">
        <f t="shared" si="24"/>
        <v>31.703383293609001</v>
      </c>
      <c r="AN25" s="14"/>
      <c r="AO25" s="124" t="str">
        <f t="shared" si="14"/>
        <v/>
      </c>
      <c r="AP25" s="57">
        <f t="shared" si="15"/>
        <v>100</v>
      </c>
      <c r="AQ25" s="57">
        <f t="shared" si="16"/>
        <v>0</v>
      </c>
    </row>
    <row r="26" spans="2:43" x14ac:dyDescent="0.3">
      <c r="B26" s="3" t="s">
        <v>9</v>
      </c>
      <c r="C26" s="6">
        <v>6</v>
      </c>
      <c r="D26" s="38">
        <f>13.56+11.74-$E$5</f>
        <v>20.700000000000003</v>
      </c>
      <c r="E26" s="38">
        <v>602.02</v>
      </c>
      <c r="F26" s="7">
        <v>95.92</v>
      </c>
      <c r="G26" s="8">
        <f t="shared" si="8"/>
        <v>14.918297357272545</v>
      </c>
      <c r="H26" s="3">
        <v>1</v>
      </c>
      <c r="I26" s="7">
        <f t="shared" si="17"/>
        <v>3.0880875529554173</v>
      </c>
      <c r="J26" s="7">
        <f t="shared" si="9"/>
        <v>0.57186806536211432</v>
      </c>
      <c r="K26" s="7">
        <f t="shared" si="10"/>
        <v>57.186806536211435</v>
      </c>
      <c r="L26" s="6"/>
      <c r="M26" s="132">
        <v>412.18</v>
      </c>
      <c r="N26" s="157">
        <v>337.87</v>
      </c>
      <c r="O26" s="38">
        <f t="shared" si="22"/>
        <v>750.05</v>
      </c>
      <c r="P26" s="15">
        <v>59.74</v>
      </c>
      <c r="Q26" s="36">
        <f>IF(M26&gt;0,((P26-$O$5)/(M26-$O$5))*100,"")</f>
        <v>12.977777777777778</v>
      </c>
      <c r="R26" s="36">
        <f>IF(P26&gt;0,((Q26/100)*O26-$O$5)/$O$7/1000,"")</f>
        <v>9.01598222222222E-2</v>
      </c>
      <c r="S26" s="14">
        <f t="shared" si="21"/>
        <v>9.0159822222222203</v>
      </c>
      <c r="T26" s="155">
        <v>463.48</v>
      </c>
      <c r="U26" s="155">
        <v>979.18</v>
      </c>
      <c r="V26" s="38">
        <f t="shared" si="12"/>
        <v>1442.6599999999999</v>
      </c>
      <c r="W26" s="40">
        <v>65.77</v>
      </c>
      <c r="X26" s="36">
        <f>IF(T26&gt;0,((W26-$O$5)/(T26-$O$5))*100,"")</f>
        <v>12.840236686390533</v>
      </c>
      <c r="Y26" s="36">
        <f>IF(W26&gt;0,((X26/100)*V26-$O$5)/$O$7/1000,"")</f>
        <v>0.17806095857988163</v>
      </c>
      <c r="Z26" s="14">
        <f t="shared" si="1"/>
        <v>17.806095857988165</v>
      </c>
      <c r="AA26" s="145"/>
      <c r="AB26" s="145"/>
      <c r="AC26" s="145"/>
      <c r="AD26" s="145"/>
      <c r="AE26" s="31" t="str">
        <f t="shared" ref="AE26:AE47" si="25">IF(AC26&gt;0,((AD26-$O$5)/(AC26-$O$5))*100,"")</f>
        <v/>
      </c>
      <c r="AF26" s="31" t="str">
        <f t="shared" si="3"/>
        <v/>
      </c>
      <c r="AG26" s="14">
        <f t="shared" si="4"/>
        <v>0</v>
      </c>
      <c r="AH26" s="150">
        <v>181.02</v>
      </c>
      <c r="AI26">
        <v>32.130000000000003</v>
      </c>
      <c r="AJ26" s="15">
        <f t="shared" si="5"/>
        <v>14.352277956741833</v>
      </c>
      <c r="AK26" s="15">
        <f t="shared" si="6"/>
        <v>2.5980493557294069E-2</v>
      </c>
      <c r="AL26" s="14">
        <f t="shared" si="7"/>
        <v>2.5980493557294069</v>
      </c>
      <c r="AM26" s="14">
        <f t="shared" si="24"/>
        <v>9.0159822222222203</v>
      </c>
      <c r="AN26" s="14">
        <f>Z26</f>
        <v>17.806095857988165</v>
      </c>
      <c r="AO26" s="124">
        <f t="shared" si="14"/>
        <v>60.5235170947497</v>
      </c>
      <c r="AP26" s="57">
        <f t="shared" si="15"/>
        <v>30.645625998234962</v>
      </c>
      <c r="AQ26" s="57">
        <f t="shared" si="16"/>
        <v>8.8308569070153506</v>
      </c>
    </row>
    <row r="27" spans="2:43" x14ac:dyDescent="0.3">
      <c r="B27" s="3" t="s">
        <v>9</v>
      </c>
      <c r="C27" s="6">
        <v>7</v>
      </c>
      <c r="D27" s="38">
        <f>11.06+8.5-$E$5</f>
        <v>14.960000000000003</v>
      </c>
      <c r="E27" s="38">
        <v>506.39</v>
      </c>
      <c r="F27" s="7">
        <v>87.26</v>
      </c>
      <c r="G27" s="8">
        <f t="shared" si="8"/>
        <v>16.041345325614472</v>
      </c>
      <c r="H27" s="3">
        <v>1</v>
      </c>
      <c r="I27" s="7">
        <f t="shared" si="17"/>
        <v>2.3997852607119254</v>
      </c>
      <c r="J27" s="7">
        <f t="shared" si="9"/>
        <v>0.4444046779096158</v>
      </c>
      <c r="K27" s="7">
        <f t="shared" si="10"/>
        <v>44.440467790961584</v>
      </c>
      <c r="L27" s="6"/>
      <c r="M27" s="157">
        <v>406.56</v>
      </c>
      <c r="N27" s="162">
        <v>487.44</v>
      </c>
      <c r="O27" s="38">
        <f t="shared" si="22"/>
        <v>894</v>
      </c>
      <c r="P27" s="15">
        <v>67.75</v>
      </c>
      <c r="Q27" s="36">
        <f>IF(M27&gt;0,((P27-$O$5)/(M27-$O$5))*100,"")</f>
        <v>15.166007311332566</v>
      </c>
      <c r="R27" s="36">
        <f>IF(P27&gt;0,((Q27/100)*O27-$O$5)/$O$7/1000,"")</f>
        <v>0.12840410536331315</v>
      </c>
      <c r="S27" s="14">
        <f t="shared" si="21"/>
        <v>12.840410536331314</v>
      </c>
      <c r="T27" s="155">
        <v>394.68</v>
      </c>
      <c r="U27" s="157">
        <v>1000.99</v>
      </c>
      <c r="V27" s="38">
        <f t="shared" si="12"/>
        <v>1395.67</v>
      </c>
      <c r="W27" s="40">
        <v>65.3</v>
      </c>
      <c r="X27" s="36">
        <f>IF(T27&gt;0,((W27-$O$5)/(T27-$O$5))*100,"")</f>
        <v>14.998709677419352</v>
      </c>
      <c r="Y27" s="36">
        <f>IF(W27&gt;0,((X27/100)*V27-$O$5)/$O$7/1000,"")</f>
        <v>0.20215249135483868</v>
      </c>
      <c r="Z27" s="14">
        <f t="shared" si="1"/>
        <v>20.215249135483869</v>
      </c>
      <c r="AA27" s="145"/>
      <c r="AB27" s="145"/>
      <c r="AC27" s="145"/>
      <c r="AD27" s="145"/>
      <c r="AE27" s="31" t="str">
        <f t="shared" si="25"/>
        <v/>
      </c>
      <c r="AF27" s="31" t="str">
        <f t="shared" si="3"/>
        <v/>
      </c>
      <c r="AG27" s="14">
        <f t="shared" si="4"/>
        <v>0</v>
      </c>
      <c r="AH27" s="150">
        <v>33.04</v>
      </c>
      <c r="AI27" s="64">
        <v>11.56</v>
      </c>
      <c r="AJ27" s="15">
        <f t="shared" si="5"/>
        <v>16.937354988399075</v>
      </c>
      <c r="AK27" s="15">
        <f t="shared" si="6"/>
        <v>5.5961020881670539E-3</v>
      </c>
      <c r="AL27" s="14">
        <f t="shared" si="7"/>
        <v>0.55961020881670542</v>
      </c>
      <c r="AM27" s="14">
        <f t="shared" si="24"/>
        <v>12.840410536331314</v>
      </c>
      <c r="AN27" s="14">
        <f>Z27</f>
        <v>20.215249135483869</v>
      </c>
      <c r="AO27" s="124">
        <f t="shared" si="14"/>
        <v>60.137101999384186</v>
      </c>
      <c r="AP27" s="57">
        <f t="shared" si="15"/>
        <v>38.19814799026669</v>
      </c>
      <c r="AQ27" s="57">
        <f t="shared" si="16"/>
        <v>1.6647500103491244</v>
      </c>
    </row>
    <row r="28" spans="2:43" x14ac:dyDescent="0.3">
      <c r="B28" s="3" t="s">
        <v>9</v>
      </c>
      <c r="C28" s="6">
        <v>8</v>
      </c>
      <c r="D28" s="38">
        <f>8.32+3.64-$E$5</f>
        <v>7.3600000000000012</v>
      </c>
      <c r="E28" s="38">
        <v>450.55</v>
      </c>
      <c r="F28" s="7">
        <v>85.67</v>
      </c>
      <c r="G28" s="8">
        <f t="shared" si="8"/>
        <v>17.703047116403908</v>
      </c>
      <c r="H28" s="3">
        <v>1</v>
      </c>
      <c r="I28" s="7">
        <f t="shared" si="17"/>
        <v>1.302944267767328</v>
      </c>
      <c r="J28" s="7">
        <f t="shared" si="9"/>
        <v>0.24128597551246814</v>
      </c>
      <c r="K28" s="7">
        <f t="shared" si="10"/>
        <v>24.128597551246813</v>
      </c>
      <c r="L28" s="6"/>
      <c r="M28" s="132">
        <v>358.71</v>
      </c>
      <c r="N28" s="157">
        <v>449.04</v>
      </c>
      <c r="O28" s="38">
        <f t="shared" si="22"/>
        <v>807.75</v>
      </c>
      <c r="P28" s="15">
        <v>69.28</v>
      </c>
      <c r="Q28" s="36">
        <f>IF(M28&gt;0,((P28-$O$5)/(M28-$O$5))*100,"")</f>
        <v>17.665633089636732</v>
      </c>
      <c r="R28" s="36">
        <f>IF(P28&gt;0,((Q28/100)*O28-$O$5)/$O$7/1000,"")</f>
        <v>0.13551415128154068</v>
      </c>
      <c r="S28" s="14">
        <f t="shared" si="21"/>
        <v>13.551415128154067</v>
      </c>
      <c r="T28" s="144">
        <v>298.52999999999997</v>
      </c>
      <c r="U28" s="144"/>
      <c r="V28" s="38">
        <f t="shared" si="12"/>
        <v>298.52999999999997</v>
      </c>
      <c r="W28" s="40">
        <v>55.05</v>
      </c>
      <c r="X28" s="36">
        <f>IF(T28&gt;0,((W28-$O$5)/(T28-$O$5))*100,"")</f>
        <v>16.430410159601855</v>
      </c>
      <c r="Y28" s="36">
        <f>IF(W28&gt;0,((X28/100)*V28-$O$5)/$O$7/1000,"")</f>
        <v>4.1869703449459415E-2</v>
      </c>
      <c r="Z28" s="14">
        <f t="shared" si="1"/>
        <v>4.1869703449459417</v>
      </c>
      <c r="AA28" s="145"/>
      <c r="AB28" s="145"/>
      <c r="AC28" s="145"/>
      <c r="AD28" s="145"/>
      <c r="AE28" s="31" t="str">
        <f t="shared" si="25"/>
        <v/>
      </c>
      <c r="AF28" s="31" t="str">
        <f t="shared" si="3"/>
        <v/>
      </c>
      <c r="AG28" s="14">
        <f t="shared" si="4"/>
        <v>0</v>
      </c>
      <c r="AH28" s="150">
        <v>10.26</v>
      </c>
      <c r="AI28" s="64">
        <v>8.17</v>
      </c>
      <c r="AJ28" s="15">
        <f t="shared" si="5"/>
        <v>32.142857142857153</v>
      </c>
      <c r="AK28" s="15">
        <f t="shared" si="6"/>
        <v>3.2978571428571436E-3</v>
      </c>
      <c r="AL28" s="14">
        <f t="shared" si="7"/>
        <v>0.32978571428571435</v>
      </c>
      <c r="AM28" s="14">
        <f t="shared" si="24"/>
        <v>13.551415128154067</v>
      </c>
      <c r="AN28" s="14">
        <f>Z28</f>
        <v>4.1869703449459417</v>
      </c>
      <c r="AO28" s="124">
        <f t="shared" si="14"/>
        <v>23.173182839163442</v>
      </c>
      <c r="AP28" s="57">
        <f t="shared" si="15"/>
        <v>75.001586976411744</v>
      </c>
      <c r="AQ28" s="57">
        <f t="shared" si="16"/>
        <v>1.8252301844248298</v>
      </c>
    </row>
    <row r="29" spans="2:43" x14ac:dyDescent="0.3">
      <c r="B29" s="16" t="s">
        <v>9</v>
      </c>
      <c r="C29" s="17">
        <v>9</v>
      </c>
      <c r="D29" s="38">
        <f>6.1+3.08-$E$5</f>
        <v>4.58</v>
      </c>
      <c r="E29" s="41">
        <v>405.33</v>
      </c>
      <c r="F29" s="18">
        <v>92.32</v>
      </c>
      <c r="G29" s="19">
        <f t="shared" si="8"/>
        <v>21.383900539997487</v>
      </c>
      <c r="H29" s="3">
        <v>1</v>
      </c>
      <c r="I29" s="7">
        <f t="shared" si="17"/>
        <v>0.97938264473188497</v>
      </c>
      <c r="J29" s="18">
        <f t="shared" si="9"/>
        <v>0.18136715643183055</v>
      </c>
      <c r="K29" s="18">
        <f t="shared" si="10"/>
        <v>18.136715643183052</v>
      </c>
      <c r="L29" s="17"/>
      <c r="M29" s="139">
        <v>280.93</v>
      </c>
      <c r="N29" s="140">
        <v>440.31</v>
      </c>
      <c r="O29" s="38">
        <f t="shared" si="22"/>
        <v>721.24</v>
      </c>
      <c r="P29" s="41">
        <v>67.84</v>
      </c>
      <c r="Q29" s="7">
        <f>IF(M29&gt;0,((P29-$O$5)/(M29-$O$5))*100,"")</f>
        <v>22.158904109589042</v>
      </c>
      <c r="R29" s="7">
        <f>IF(P29&gt;0,((Q29/100)*O29-$O$5)/$O$7/1000,"")</f>
        <v>0.15263888</v>
      </c>
      <c r="S29" s="14">
        <f t="shared" si="21"/>
        <v>15.263888</v>
      </c>
      <c r="T29" s="146"/>
      <c r="U29" s="146"/>
      <c r="V29" s="146"/>
      <c r="W29" s="62"/>
      <c r="X29" s="33" t="str">
        <f t="shared" si="19"/>
        <v/>
      </c>
      <c r="Y29" s="33" t="str">
        <f t="shared" si="20"/>
        <v/>
      </c>
      <c r="Z29" s="14">
        <f t="shared" si="1"/>
        <v>0</v>
      </c>
      <c r="AA29" s="146"/>
      <c r="AB29" s="146"/>
      <c r="AC29" s="146"/>
      <c r="AD29" s="146"/>
      <c r="AE29" s="33" t="str">
        <f t="shared" si="25"/>
        <v/>
      </c>
      <c r="AF29" s="33" t="str">
        <f t="shared" si="3"/>
        <v/>
      </c>
      <c r="AG29" s="14">
        <f t="shared" si="4"/>
        <v>0</v>
      </c>
      <c r="AH29" s="151">
        <v>65.430000000000007</v>
      </c>
      <c r="AI29" s="65">
        <v>31.77</v>
      </c>
      <c r="AJ29" s="15">
        <f t="shared" si="5"/>
        <v>42.214592274678111</v>
      </c>
      <c r="AK29" s="15">
        <f t="shared" si="6"/>
        <v>2.7621007725321889E-2</v>
      </c>
      <c r="AL29" s="14">
        <f t="shared" si="7"/>
        <v>2.7621007725321891</v>
      </c>
      <c r="AM29" s="14">
        <f t="shared" si="24"/>
        <v>15.263888</v>
      </c>
      <c r="AN29" s="14"/>
      <c r="AO29" s="124" t="str">
        <f t="shared" ref="AO29:AO30" si="26">IF((100/SUM(AL29:AN29)*AN29),(100/SUM(AL29:AN29)*AN29),"")</f>
        <v/>
      </c>
      <c r="AP29" s="57">
        <f t="shared" ref="AP29:AP30" si="27">IF((100/SUM(AL29:AN29)*AM29),(100/SUM(AL29:AN29)*AM29),"")</f>
        <v>84.67711920057863</v>
      </c>
      <c r="AQ29" s="57">
        <f t="shared" ref="AQ29:AQ30" si="28">(100/SUM(AL29:AN29)*AL29)</f>
        <v>15.322880799421386</v>
      </c>
    </row>
    <row r="30" spans="2:43" x14ac:dyDescent="0.3">
      <c r="B30" s="3" t="s">
        <v>10</v>
      </c>
      <c r="C30" s="6">
        <v>1</v>
      </c>
      <c r="D30" s="38">
        <f>10.1+7.92-$E$5</f>
        <v>13.42</v>
      </c>
      <c r="E30" s="38">
        <v>518.94000000000005</v>
      </c>
      <c r="F30" s="7">
        <v>98.58</v>
      </c>
      <c r="G30" s="8">
        <f t="shared" si="8"/>
        <v>17.859934344223856</v>
      </c>
      <c r="H30" s="3">
        <v>1</v>
      </c>
      <c r="I30" s="7">
        <f t="shared" si="17"/>
        <v>2.3968031889948413</v>
      </c>
      <c r="J30" s="7">
        <f t="shared" si="9"/>
        <v>0.44385244240645205</v>
      </c>
      <c r="K30" s="7">
        <f t="shared" si="10"/>
        <v>44.385244240645207</v>
      </c>
      <c r="L30" s="6"/>
      <c r="M30" s="141"/>
      <c r="N30" s="142"/>
      <c r="O30" s="145"/>
      <c r="P30" s="145"/>
      <c r="Q30" s="145"/>
      <c r="R30" s="145"/>
      <c r="S30" s="14">
        <f t="shared" si="21"/>
        <v>0</v>
      </c>
      <c r="T30" s="144">
        <v>354.72</v>
      </c>
      <c r="U30" s="144">
        <v>999.86</v>
      </c>
      <c r="V30" s="38">
        <f t="shared" si="12"/>
        <v>1354.58</v>
      </c>
      <c r="W30" s="40">
        <v>69.33</v>
      </c>
      <c r="X30" s="36">
        <f>IF(T30&gt;0,((W30-$O$5)/(T30-$O$5))*100,"")</f>
        <v>17.882833630661217</v>
      </c>
      <c r="Y30" s="36">
        <f>IF(W30&gt;0,((X30/100)*V30-$O$5)/$O$7/1000,"")</f>
        <v>0.2350572877942107</v>
      </c>
      <c r="Z30" s="14">
        <f t="shared" si="1"/>
        <v>23.505728779421069</v>
      </c>
      <c r="AA30" s="149"/>
      <c r="AB30" s="149"/>
      <c r="AC30" s="149"/>
      <c r="AD30" s="149"/>
      <c r="AE30" s="149"/>
      <c r="AF30" s="149"/>
      <c r="AG30" s="14">
        <f t="shared" si="4"/>
        <v>0</v>
      </c>
      <c r="AH30" s="150">
        <f>146.37+134.26</f>
        <v>280.63</v>
      </c>
      <c r="AI30" s="64">
        <f>41.51+39.45</f>
        <v>80.960000000000008</v>
      </c>
      <c r="AJ30" s="15">
        <f t="shared" si="5"/>
        <v>26.981166575242277</v>
      </c>
      <c r="AK30" s="15">
        <f t="shared" si="6"/>
        <v>7.5717247760102399E-2</v>
      </c>
      <c r="AL30" s="14">
        <f t="shared" si="7"/>
        <v>7.5717247760102397</v>
      </c>
      <c r="AM30" s="14"/>
      <c r="AN30" s="14">
        <f>Z30</f>
        <v>23.505728779421069</v>
      </c>
      <c r="AO30" s="124">
        <f t="shared" si="26"/>
        <v>75.635954977762481</v>
      </c>
      <c r="AP30" s="57" t="str">
        <f t="shared" si="27"/>
        <v/>
      </c>
      <c r="AQ30" s="57">
        <f t="shared" si="28"/>
        <v>24.364045022237523</v>
      </c>
    </row>
    <row r="31" spans="2:43" x14ac:dyDescent="0.3">
      <c r="B31" s="3" t="s">
        <v>10</v>
      </c>
      <c r="C31" s="6">
        <v>2</v>
      </c>
      <c r="D31" s="38">
        <f>12.5+6.82-$E$5</f>
        <v>14.72</v>
      </c>
      <c r="E31" s="38">
        <v>618.36</v>
      </c>
      <c r="F31" s="7">
        <v>140.51</v>
      </c>
      <c r="G31" s="8">
        <f t="shared" si="8"/>
        <v>21.815177198206744</v>
      </c>
      <c r="H31" s="3">
        <v>1</v>
      </c>
      <c r="I31" s="7">
        <f t="shared" si="17"/>
        <v>3.2111940835760331</v>
      </c>
      <c r="J31" s="7">
        <f t="shared" si="9"/>
        <v>0.59466557103259865</v>
      </c>
      <c r="K31" s="7">
        <f t="shared" si="10"/>
        <v>59.466557103259866</v>
      </c>
      <c r="L31" s="6"/>
      <c r="M31" s="141"/>
      <c r="N31" s="142"/>
      <c r="O31" s="145"/>
      <c r="P31" s="145"/>
      <c r="Q31" s="145"/>
      <c r="R31" s="37" t="str">
        <f t="shared" si="23"/>
        <v/>
      </c>
      <c r="S31" s="14">
        <f t="shared" si="21"/>
        <v>0</v>
      </c>
      <c r="T31" s="155">
        <v>438.71</v>
      </c>
      <c r="U31" s="155">
        <v>628.92999999999995</v>
      </c>
      <c r="V31" s="38">
        <f t="shared" si="12"/>
        <v>1067.6399999999999</v>
      </c>
      <c r="W31" s="40">
        <v>80.64</v>
      </c>
      <c r="X31" s="36">
        <f>IF(T31&gt;0,((W31-$O$5)/(T31-$O$5))*100,"")</f>
        <v>17.02315018654555</v>
      </c>
      <c r="Y31" s="36">
        <f>IF(W31&gt;0,((X31/100)*V31-$O$5)/$O$7/1000,"")</f>
        <v>0.17456596065163488</v>
      </c>
      <c r="Z31" s="14">
        <f t="shared" si="1"/>
        <v>17.456596065163488</v>
      </c>
      <c r="AA31" s="155">
        <v>411.66</v>
      </c>
      <c r="AB31" s="155">
        <v>398.81</v>
      </c>
      <c r="AC31" s="38">
        <f t="shared" si="18"/>
        <v>810.47</v>
      </c>
      <c r="AD31" s="40">
        <v>121</v>
      </c>
      <c r="AE31" s="7">
        <f>IF(AA31&gt;0,((AD31-$O$5)/(AA31-$O$5))*100,"")</f>
        <v>28.139833860759488</v>
      </c>
      <c r="AF31" s="7">
        <f>IF(AD31&gt;0,((AE31/100)*AC31-$O$5)/$O$7/1000,"")</f>
        <v>0.22088491149129744</v>
      </c>
      <c r="AG31" s="14">
        <f t="shared" si="4"/>
        <v>22.088491149129744</v>
      </c>
      <c r="AH31" s="150">
        <v>94.19</v>
      </c>
      <c r="AI31" s="64">
        <v>20.85</v>
      </c>
      <c r="AJ31" s="15">
        <f t="shared" si="5"/>
        <v>15.710837834731645</v>
      </c>
      <c r="AK31" s="15">
        <f t="shared" si="6"/>
        <v>1.4798038156533735E-2</v>
      </c>
      <c r="AL31" s="14">
        <f t="shared" si="7"/>
        <v>1.4798038156533735</v>
      </c>
      <c r="AM31" s="14">
        <f t="shared" ref="AM31:AM38" si="29">S31+AG31</f>
        <v>22.088491149129744</v>
      </c>
      <c r="AN31" s="14">
        <f>Z31</f>
        <v>17.456596065163488</v>
      </c>
      <c r="AO31" s="124">
        <f t="shared" si="14"/>
        <v>42.55123079405827</v>
      </c>
      <c r="AP31" s="57">
        <f t="shared" si="15"/>
        <v>53.841681463592408</v>
      </c>
      <c r="AQ31" s="57">
        <f t="shared" si="16"/>
        <v>3.6070877423493295</v>
      </c>
    </row>
    <row r="32" spans="2:43" x14ac:dyDescent="0.3">
      <c r="B32" s="3" t="s">
        <v>10</v>
      </c>
      <c r="C32" s="6">
        <v>3</v>
      </c>
      <c r="D32" s="38">
        <f>13.7+3.62-$E$5</f>
        <v>12.72</v>
      </c>
      <c r="E32" s="38">
        <v>659.55</v>
      </c>
      <c r="F32" s="7">
        <v>145.85</v>
      </c>
      <c r="G32" s="8">
        <f t="shared" si="8"/>
        <v>21.256342259760565</v>
      </c>
      <c r="H32" s="3">
        <v>1</v>
      </c>
      <c r="I32" s="7">
        <f t="shared" si="17"/>
        <v>2.7038067354415443</v>
      </c>
      <c r="J32" s="7">
        <f t="shared" si="9"/>
        <v>0.5007049510076933</v>
      </c>
      <c r="K32" s="7">
        <f t="shared" si="10"/>
        <v>50.070495100769328</v>
      </c>
      <c r="L32" s="6"/>
      <c r="M32" s="141"/>
      <c r="N32" s="142"/>
      <c r="O32" s="145"/>
      <c r="P32" s="145"/>
      <c r="Q32" s="145"/>
      <c r="R32" s="37" t="str">
        <f t="shared" si="23"/>
        <v/>
      </c>
      <c r="S32" s="14">
        <f t="shared" si="21"/>
        <v>0</v>
      </c>
      <c r="T32" s="144">
        <v>355.94</v>
      </c>
      <c r="U32" s="144">
        <v>737.46</v>
      </c>
      <c r="V32" s="38">
        <f t="shared" si="12"/>
        <v>1093.4000000000001</v>
      </c>
      <c r="W32" s="40">
        <v>67.686999999999998</v>
      </c>
      <c r="X32" s="36">
        <f>IF(T32&gt;0,((W32-$O$5)/(T32-$O$5))*100,"")</f>
        <v>17.349179951829338</v>
      </c>
      <c r="Y32" s="36">
        <f>IF(W32&gt;0,((X32/100)*V32-$O$5)/$O$7/1000,"")</f>
        <v>0.18251593359330198</v>
      </c>
      <c r="Z32" s="14">
        <f t="shared" si="1"/>
        <v>18.251593359330197</v>
      </c>
      <c r="AA32" s="144">
        <v>271.76</v>
      </c>
      <c r="AB32" s="144">
        <v>491.56</v>
      </c>
      <c r="AC32" s="38">
        <f t="shared" si="18"/>
        <v>763.31999999999994</v>
      </c>
      <c r="AD32" s="40">
        <v>87.13</v>
      </c>
      <c r="AE32" s="7">
        <f>IF(AA32&gt;0,((AD32-$O$5)/(AA32-$O$5))*100,"")</f>
        <v>30.217703530123213</v>
      </c>
      <c r="AF32" s="7">
        <f>IF(AD32&gt;0,((AE32/100)*AC32-$O$5)/$O$7/1000,"")</f>
        <v>0.22347777458613649</v>
      </c>
      <c r="AG32" s="14">
        <f t="shared" si="4"/>
        <v>22.347777458613649</v>
      </c>
      <c r="AH32" s="150">
        <v>24.36</v>
      </c>
      <c r="AI32" s="64">
        <v>13.39</v>
      </c>
      <c r="AJ32" s="15">
        <f t="shared" si="5"/>
        <v>36.146682188591392</v>
      </c>
      <c r="AK32" s="15">
        <f t="shared" si="6"/>
        <v>8.8053317811408634E-3</v>
      </c>
      <c r="AL32" s="14">
        <f t="shared" si="7"/>
        <v>0.88053317811408638</v>
      </c>
      <c r="AM32" s="14">
        <f t="shared" si="29"/>
        <v>22.347777458613649</v>
      </c>
      <c r="AN32" s="14">
        <f>Z32</f>
        <v>18.251593359330197</v>
      </c>
      <c r="AO32" s="124">
        <f t="shared" si="14"/>
        <v>44.001050149645359</v>
      </c>
      <c r="AP32" s="57">
        <f t="shared" si="15"/>
        <v>53.87615521178035</v>
      </c>
      <c r="AQ32" s="57">
        <f t="shared" si="16"/>
        <v>2.1227946385743044</v>
      </c>
    </row>
    <row r="33" spans="2:43" x14ac:dyDescent="0.3">
      <c r="B33" s="3" t="s">
        <v>10</v>
      </c>
      <c r="C33" s="6">
        <v>4</v>
      </c>
      <c r="D33" s="38">
        <f>9.8+7.8-$E$5</f>
        <v>13.000000000000002</v>
      </c>
      <c r="E33" s="38">
        <v>415.04</v>
      </c>
      <c r="F33" s="7">
        <v>112.52</v>
      </c>
      <c r="G33" s="8">
        <f t="shared" si="8"/>
        <v>25.827489824939931</v>
      </c>
      <c r="H33" s="3">
        <v>1</v>
      </c>
      <c r="I33" s="7">
        <f t="shared" si="17"/>
        <v>3.3575736772421916</v>
      </c>
      <c r="J33" s="7">
        <f t="shared" si="9"/>
        <v>0.62177290319299838</v>
      </c>
      <c r="K33" s="7">
        <f t="shared" si="10"/>
        <v>62.177290319299836</v>
      </c>
      <c r="L33" s="6"/>
      <c r="M33" s="141"/>
      <c r="N33" s="142"/>
      <c r="O33" s="145"/>
      <c r="P33" s="145"/>
      <c r="Q33" s="145"/>
      <c r="R33" s="37" t="str">
        <f t="shared" si="23"/>
        <v/>
      </c>
      <c r="S33" s="14">
        <f t="shared" si="21"/>
        <v>0</v>
      </c>
      <c r="T33" s="144">
        <v>145.63</v>
      </c>
      <c r="U33" s="64"/>
      <c r="V33" s="38">
        <f t="shared" si="12"/>
        <v>145.63</v>
      </c>
      <c r="W33" s="40">
        <v>30.61</v>
      </c>
      <c r="X33" s="36">
        <f>IF(T33&gt;0,((W33-$O$5)/(T33-$O$5))*100,"")</f>
        <v>16.923076923076923</v>
      </c>
      <c r="Y33" s="36">
        <f>IF(W33&gt;0,((X33/100)*V33-$O$5)/$O$7/1000,"")</f>
        <v>1.7465076923076923E-2</v>
      </c>
      <c r="Z33" s="14">
        <f t="shared" si="1"/>
        <v>1.7465076923076923</v>
      </c>
      <c r="AA33" s="155">
        <v>379.97</v>
      </c>
      <c r="AB33" s="155">
        <v>775.31</v>
      </c>
      <c r="AC33" s="38">
        <f t="shared" si="18"/>
        <v>1155.28</v>
      </c>
      <c r="AD33" s="40">
        <v>121.1</v>
      </c>
      <c r="AE33" s="7">
        <f>IF(AA33&gt;0,((AD33-$O$5)/(AA33-$O$5))*100,"")</f>
        <v>30.55875962338045</v>
      </c>
      <c r="AF33" s="7">
        <f>IF(AD33&gt;0,((AE33/100)*AC33-$O$5)/$O$7/1000,"")</f>
        <v>0.34585923817698966</v>
      </c>
      <c r="AG33" s="14">
        <f t="shared" si="4"/>
        <v>34.585923817698969</v>
      </c>
      <c r="AH33" s="150">
        <v>13.19</v>
      </c>
      <c r="AI33" s="64">
        <v>8.67</v>
      </c>
      <c r="AJ33" s="15">
        <f t="shared" si="5"/>
        <v>24.792013311148093</v>
      </c>
      <c r="AK33" s="15">
        <f t="shared" si="6"/>
        <v>3.2700665557404331E-3</v>
      </c>
      <c r="AL33" s="14">
        <f t="shared" si="7"/>
        <v>0.32700665557404329</v>
      </c>
      <c r="AM33" s="14">
        <f t="shared" si="29"/>
        <v>34.585923817698969</v>
      </c>
      <c r="AN33" s="14">
        <f>Z33</f>
        <v>1.7465076923076923</v>
      </c>
      <c r="AO33" s="124">
        <f>IF((100/SUM(AL33:AN33)*AN33),(100/SUM(AL33:AN33)*AN33),(100/SUM(AL33:AN33)*AN33))</f>
        <v>4.7641420046297283</v>
      </c>
      <c r="AP33" s="57">
        <f t="shared" si="15"/>
        <v>94.34384580986692</v>
      </c>
      <c r="AQ33" s="57">
        <f t="shared" si="16"/>
        <v>0.89201218550334349</v>
      </c>
    </row>
    <row r="34" spans="2:43" x14ac:dyDescent="0.3">
      <c r="B34" s="3" t="s">
        <v>10</v>
      </c>
      <c r="C34" s="6">
        <v>5</v>
      </c>
      <c r="D34" s="38">
        <f>9.14+4.7-$E$5</f>
        <v>9.24</v>
      </c>
      <c r="E34" s="38">
        <v>566.70000000000005</v>
      </c>
      <c r="F34" s="7">
        <v>175.49</v>
      </c>
      <c r="G34" s="8">
        <f t="shared" si="8"/>
        <v>30.081140977981125</v>
      </c>
      <c r="H34" s="3">
        <v>1</v>
      </c>
      <c r="I34" s="7">
        <f t="shared" si="17"/>
        <v>2.7794974263654559</v>
      </c>
      <c r="J34" s="7">
        <f t="shared" si="9"/>
        <v>0.51472174562323258</v>
      </c>
      <c r="K34" s="7">
        <f t="shared" si="10"/>
        <v>51.472174562323261</v>
      </c>
      <c r="L34" s="6"/>
      <c r="M34" s="141"/>
      <c r="N34" s="142"/>
      <c r="O34" s="145"/>
      <c r="P34" s="145"/>
      <c r="Q34" s="145"/>
      <c r="R34" s="37" t="str">
        <f t="shared" si="23"/>
        <v/>
      </c>
      <c r="S34" s="14">
        <f t="shared" si="21"/>
        <v>0</v>
      </c>
      <c r="T34" s="145"/>
      <c r="U34" s="145"/>
      <c r="V34" s="145"/>
      <c r="W34" s="145"/>
      <c r="X34" s="37" t="str">
        <f t="shared" si="19"/>
        <v/>
      </c>
      <c r="Y34" s="37" t="str">
        <f t="shared" si="20"/>
        <v/>
      </c>
      <c r="Z34" s="14">
        <f t="shared" si="1"/>
        <v>0</v>
      </c>
      <c r="AA34" s="155">
        <v>395.44</v>
      </c>
      <c r="AB34" s="155">
        <f>523.57</f>
        <v>523.57000000000005</v>
      </c>
      <c r="AC34" s="38">
        <f t="shared" si="18"/>
        <v>919.01</v>
      </c>
      <c r="AD34" s="40">
        <v>133.41</v>
      </c>
      <c r="AE34" s="7">
        <f>IF(AA34&gt;0,((AD34-$O$5)/(AA34-$O$5))*100,"")</f>
        <v>32.511718951218256</v>
      </c>
      <c r="AF34" s="7">
        <f>IF(AD34&gt;0,((AE34/100)*AC34-$O$5)/$O$7/1000,"")</f>
        <v>0.29160594833359083</v>
      </c>
      <c r="AG34" s="14">
        <f t="shared" si="4"/>
        <v>29.160594833359081</v>
      </c>
      <c r="AH34" s="150"/>
      <c r="AI34" s="64"/>
      <c r="AJ34" s="15" t="str">
        <f t="shared" si="5"/>
        <v/>
      </c>
      <c r="AK34" s="15" t="str">
        <f t="shared" si="6"/>
        <v/>
      </c>
      <c r="AL34" s="14">
        <f t="shared" si="7"/>
        <v>0</v>
      </c>
      <c r="AM34" s="14">
        <f t="shared" si="29"/>
        <v>29.160594833359081</v>
      </c>
      <c r="AN34" s="14"/>
      <c r="AO34" s="124" t="str">
        <f t="shared" si="14"/>
        <v/>
      </c>
      <c r="AP34" s="57">
        <f t="shared" si="15"/>
        <v>100</v>
      </c>
      <c r="AQ34" s="57">
        <f t="shared" si="16"/>
        <v>0</v>
      </c>
    </row>
    <row r="35" spans="2:43" x14ac:dyDescent="0.3">
      <c r="B35" s="3" t="s">
        <v>10</v>
      </c>
      <c r="C35" s="6">
        <v>6</v>
      </c>
      <c r="D35" s="38">
        <f>15+8.98-$E$5</f>
        <v>19.380000000000003</v>
      </c>
      <c r="E35" s="38">
        <v>587.47</v>
      </c>
      <c r="F35" s="7">
        <v>91.89</v>
      </c>
      <c r="G35" s="8">
        <f t="shared" si="8"/>
        <v>14.597873477054577</v>
      </c>
      <c r="H35" s="3">
        <v>1</v>
      </c>
      <c r="I35" s="7">
        <f t="shared" si="17"/>
        <v>2.8290678798531772</v>
      </c>
      <c r="J35" s="7">
        <f t="shared" si="9"/>
        <v>0.52390145923206977</v>
      </c>
      <c r="K35" s="7">
        <f t="shared" si="10"/>
        <v>52.390145923206973</v>
      </c>
      <c r="L35" s="6"/>
      <c r="M35" s="137">
        <v>350.71</v>
      </c>
      <c r="N35" s="138">
        <v>431.29</v>
      </c>
      <c r="O35" s="38">
        <f t="shared" si="22"/>
        <v>782</v>
      </c>
      <c r="P35" s="15">
        <v>57.22</v>
      </c>
      <c r="Q35" s="36">
        <f>IF(M35&gt;0,((P35-$O$5)/(M35-$O$5))*100,"")</f>
        <v>14.566413413675663</v>
      </c>
      <c r="R35" s="36">
        <f>IF(P35&gt;0,((Q35/100)*O35-$O$5)/$O$7/1000,"")</f>
        <v>0.1067293528949437</v>
      </c>
      <c r="S35" s="14">
        <f t="shared" si="21"/>
        <v>10.672935289494371</v>
      </c>
      <c r="T35" s="144">
        <v>388.04</v>
      </c>
      <c r="U35" s="144">
        <v>1504.24</v>
      </c>
      <c r="V35" s="38">
        <f t="shared" si="12"/>
        <v>1892.28</v>
      </c>
      <c r="W35" s="40">
        <v>67.19</v>
      </c>
      <c r="X35" s="36">
        <f>IF(T35&gt;0,((W35-$O$5)/(T35-$O$5))*100,"")</f>
        <v>15.756445938139999</v>
      </c>
      <c r="Y35" s="36">
        <f>IF(W35&gt;0,((X35/100)*V35-$O$5)/$O$7/1000,"")</f>
        <v>0.29097607519823554</v>
      </c>
      <c r="Z35" s="14">
        <f t="shared" si="1"/>
        <v>29.097607519823555</v>
      </c>
      <c r="AA35" s="145"/>
      <c r="AB35" s="145"/>
      <c r="AC35" s="145"/>
      <c r="AD35" s="61"/>
      <c r="AE35" s="31" t="str">
        <f t="shared" si="25"/>
        <v/>
      </c>
      <c r="AF35" s="31" t="str">
        <f t="shared" si="3"/>
        <v/>
      </c>
      <c r="AG35" s="14">
        <f t="shared" si="4"/>
        <v>0</v>
      </c>
      <c r="AH35" s="150">
        <v>13.04</v>
      </c>
      <c r="AI35" s="64">
        <v>8.7200000000000006</v>
      </c>
      <c r="AJ35" s="15">
        <f t="shared" si="5"/>
        <v>26.279863481228688</v>
      </c>
      <c r="AK35" s="15">
        <f t="shared" si="6"/>
        <v>3.4268941979522208E-3</v>
      </c>
      <c r="AL35" s="14">
        <f t="shared" si="7"/>
        <v>0.34268941979522211</v>
      </c>
      <c r="AM35" s="14">
        <f t="shared" si="29"/>
        <v>10.672935289494371</v>
      </c>
      <c r="AN35" s="14">
        <f>Z35</f>
        <v>29.097607519823555</v>
      </c>
      <c r="AO35" s="124">
        <f>IF((100/SUM(AL35:AN35)*AN35),(100/SUM(AL35:AN35)*AN35),(100/SUM(AL35:AN35)*AN35))</f>
        <v>72.538675900331114</v>
      </c>
      <c r="AP35" s="57">
        <f t="shared" si="15"/>
        <v>26.607018922170599</v>
      </c>
      <c r="AQ35" s="57">
        <f t="shared" si="16"/>
        <v>0.85430517749827939</v>
      </c>
    </row>
    <row r="36" spans="2:43" x14ac:dyDescent="0.3">
      <c r="B36" s="3" t="s">
        <v>10</v>
      </c>
      <c r="C36" s="6">
        <v>7</v>
      </c>
      <c r="D36" s="38">
        <f>14.58+12.28-$E$5</f>
        <v>22.259999999999998</v>
      </c>
      <c r="E36" s="38">
        <v>590.75</v>
      </c>
      <c r="F36" s="7">
        <v>87.43</v>
      </c>
      <c r="G36" s="8">
        <f t="shared" si="8"/>
        <v>13.751563651318607</v>
      </c>
      <c r="H36" s="3">
        <v>1</v>
      </c>
      <c r="I36" s="7">
        <f t="shared" si="17"/>
        <v>3.0610980687835219</v>
      </c>
      <c r="J36" s="7">
        <f t="shared" si="9"/>
        <v>0.56687001273768922</v>
      </c>
      <c r="K36" s="7">
        <f t="shared" si="10"/>
        <v>56.687001273768921</v>
      </c>
      <c r="L36" s="6"/>
      <c r="M36" s="137">
        <v>468.93</v>
      </c>
      <c r="N36" s="138">
        <v>666.94</v>
      </c>
      <c r="O36" s="38">
        <f t="shared" si="22"/>
        <v>1135.8700000000001</v>
      </c>
      <c r="P36" s="15">
        <v>75.72</v>
      </c>
      <c r="Q36" s="36">
        <f>IF(M36&gt;0,((P36-$O$5)/(M36-$O$5))*100,"")</f>
        <v>14.843530048727665</v>
      </c>
      <c r="R36" s="36">
        <f>IF(P36&gt;0,((Q36/100)*O36-$O$5)/$O$7/1000,"")</f>
        <v>0.16142320476448294</v>
      </c>
      <c r="S36" s="14">
        <f t="shared" si="21"/>
        <v>16.142320476448294</v>
      </c>
      <c r="T36" s="144">
        <v>534.48</v>
      </c>
      <c r="U36" s="144">
        <v>1137.33</v>
      </c>
      <c r="V36" s="38">
        <f t="shared" si="12"/>
        <v>1671.81</v>
      </c>
      <c r="W36" s="40">
        <v>81.5</v>
      </c>
      <c r="X36" s="36">
        <f>IF(T36&gt;0,((W36-$O$5)/(T36-$O$5))*100,"")</f>
        <v>14.094443390859091</v>
      </c>
      <c r="Y36" s="36">
        <f>IF(W36&gt;0,((X36/100)*V36-$O$5)/$O$7/1000,"")</f>
        <v>0.22845231405272134</v>
      </c>
      <c r="Z36" s="14">
        <f t="shared" si="1"/>
        <v>22.845231405272134</v>
      </c>
      <c r="AA36" s="145"/>
      <c r="AB36" s="145"/>
      <c r="AC36" s="145"/>
      <c r="AD36" s="61"/>
      <c r="AE36" s="31" t="str">
        <f t="shared" si="25"/>
        <v/>
      </c>
      <c r="AF36" s="31" t="str">
        <f t="shared" si="3"/>
        <v/>
      </c>
      <c r="AG36" s="14">
        <f t="shared" si="4"/>
        <v>0</v>
      </c>
      <c r="AH36" s="150">
        <v>40.04</v>
      </c>
      <c r="AI36" s="64">
        <v>16.7</v>
      </c>
      <c r="AJ36" s="15">
        <f t="shared" si="5"/>
        <v>28.971393791844186</v>
      </c>
      <c r="AK36" s="15">
        <f t="shared" si="6"/>
        <v>1.160014607425441E-2</v>
      </c>
      <c r="AL36" s="14">
        <f t="shared" si="7"/>
        <v>1.1600146074254409</v>
      </c>
      <c r="AM36" s="14">
        <f t="shared" si="29"/>
        <v>16.142320476448294</v>
      </c>
      <c r="AN36" s="14">
        <f>Z36</f>
        <v>22.845231405272134</v>
      </c>
      <c r="AO36" s="124">
        <f t="shared" si="14"/>
        <v>56.903153548418622</v>
      </c>
      <c r="AP36" s="57">
        <f t="shared" si="15"/>
        <v>40.207469314017985</v>
      </c>
      <c r="AQ36" s="57">
        <f t="shared" si="16"/>
        <v>2.8893771375633879</v>
      </c>
    </row>
    <row r="37" spans="2:43" x14ac:dyDescent="0.3">
      <c r="B37" s="3" t="s">
        <v>10</v>
      </c>
      <c r="C37" s="6">
        <v>8</v>
      </c>
      <c r="D37" s="38">
        <f>7+7.26-$E$5</f>
        <v>9.66</v>
      </c>
      <c r="E37" s="38">
        <v>582.88</v>
      </c>
      <c r="F37" s="7">
        <v>105.72</v>
      </c>
      <c r="G37" s="8">
        <f t="shared" si="8"/>
        <v>17.116553760639221</v>
      </c>
      <c r="H37" s="3">
        <v>1</v>
      </c>
      <c r="I37" s="7">
        <f t="shared" si="17"/>
        <v>1.6534590932777486</v>
      </c>
      <c r="J37" s="7">
        <f t="shared" si="9"/>
        <v>0.30619612838476823</v>
      </c>
      <c r="K37" s="7">
        <f t="shared" si="10"/>
        <v>30.619612838476822</v>
      </c>
      <c r="L37" s="6"/>
      <c r="M37" s="132">
        <v>447.69</v>
      </c>
      <c r="N37" s="157">
        <v>370.31</v>
      </c>
      <c r="O37" s="38">
        <f t="shared" si="22"/>
        <v>818</v>
      </c>
      <c r="P37" s="15">
        <v>90.31</v>
      </c>
      <c r="Q37" s="36">
        <f>IF(M37&gt;0,((P37-$O$5)/(M37-$O$5))*100,"")</f>
        <v>18.87130825633924</v>
      </c>
      <c r="R37" s="36">
        <f>IF(P37&gt;0,((Q37/100)*O37-$O$5)/$O$7/1000,"")</f>
        <v>0.14718730153685497</v>
      </c>
      <c r="S37" s="14">
        <f t="shared" si="21"/>
        <v>14.718730153685497</v>
      </c>
      <c r="T37" s="155">
        <v>504.59</v>
      </c>
      <c r="U37" s="144"/>
      <c r="V37" s="38">
        <f t="shared" si="12"/>
        <v>504.59</v>
      </c>
      <c r="W37" s="40">
        <v>87.46</v>
      </c>
      <c r="X37" s="36">
        <f>IF(T37&gt;0,((W37-$O$5)/(T37-$O$5))*100,"")</f>
        <v>16.13960314428741</v>
      </c>
      <c r="Y37" s="36">
        <f>IF(W37&gt;0,((X37/100)*V37-$O$5)/$O$7/1000,"")</f>
        <v>7.4258823505759838E-2</v>
      </c>
      <c r="Z37" s="14">
        <f t="shared" si="1"/>
        <v>7.4258823505759839</v>
      </c>
      <c r="AA37" s="145"/>
      <c r="AB37" s="145"/>
      <c r="AC37" s="145"/>
      <c r="AD37" s="61"/>
      <c r="AE37" s="31" t="str">
        <f t="shared" si="25"/>
        <v/>
      </c>
      <c r="AF37" s="31" t="str">
        <f t="shared" si="3"/>
        <v/>
      </c>
      <c r="AG37" s="14">
        <f t="shared" si="4"/>
        <v>0</v>
      </c>
      <c r="AH37" s="150">
        <v>21.06</v>
      </c>
      <c r="AI37" s="64">
        <v>10.68</v>
      </c>
      <c r="AJ37" s="15">
        <f t="shared" si="5"/>
        <v>25.216138328530263</v>
      </c>
      <c r="AK37" s="15">
        <f t="shared" si="6"/>
        <v>5.3105187319884735E-3</v>
      </c>
      <c r="AL37" s="14">
        <f t="shared" si="7"/>
        <v>0.53105187319884739</v>
      </c>
      <c r="AM37" s="14">
        <f t="shared" si="29"/>
        <v>14.718730153685497</v>
      </c>
      <c r="AN37" s="14">
        <f>Z37</f>
        <v>7.4258823505759839</v>
      </c>
      <c r="AO37" s="124">
        <f t="shared" si="14"/>
        <v>32.748245991669073</v>
      </c>
      <c r="AP37" s="57">
        <f t="shared" si="15"/>
        <v>64.909807751061777</v>
      </c>
      <c r="AQ37" s="57">
        <f t="shared" si="16"/>
        <v>2.3419462572691558</v>
      </c>
    </row>
    <row r="38" spans="2:43" x14ac:dyDescent="0.3">
      <c r="B38" s="16" t="s">
        <v>10</v>
      </c>
      <c r="C38" s="17">
        <v>9</v>
      </c>
      <c r="D38" s="38">
        <f>6.8+3.08-$E$5</f>
        <v>5.2799999999999994</v>
      </c>
      <c r="E38" s="41">
        <v>533.95000000000005</v>
      </c>
      <c r="F38" s="18">
        <v>122.62</v>
      </c>
      <c r="G38" s="19">
        <f t="shared" si="8"/>
        <v>21.914687624579983</v>
      </c>
      <c r="H38" s="3">
        <v>1</v>
      </c>
      <c r="I38" s="7">
        <f t="shared" si="17"/>
        <v>1.157095506577823</v>
      </c>
      <c r="J38" s="18">
        <f t="shared" si="9"/>
        <v>0.21427694566255981</v>
      </c>
      <c r="K38" s="18">
        <f t="shared" si="10"/>
        <v>21.427694566255983</v>
      </c>
      <c r="L38" s="17"/>
      <c r="M38" s="134">
        <v>441.89</v>
      </c>
      <c r="N38" s="135">
        <v>354.32</v>
      </c>
      <c r="O38" s="38">
        <f t="shared" si="22"/>
        <v>796.21</v>
      </c>
      <c r="P38" s="18">
        <v>96.17</v>
      </c>
      <c r="Q38" s="7">
        <f>IF(M38&gt;0,((P38-$O$5)/(M38-$O$5))*100,"")</f>
        <v>20.471118676819032</v>
      </c>
      <c r="R38" s="7">
        <f>IF(P38&gt;0,((Q38/100)*O38-$O$5)/$O$7/1000,"")</f>
        <v>0.15581309401670079</v>
      </c>
      <c r="S38" s="14">
        <f t="shared" si="21"/>
        <v>15.581309401670079</v>
      </c>
      <c r="T38" s="146"/>
      <c r="U38" s="146"/>
      <c r="V38" s="146"/>
      <c r="W38" s="146"/>
      <c r="X38" s="33" t="str">
        <f t="shared" si="19"/>
        <v/>
      </c>
      <c r="Y38" s="33" t="str">
        <f t="shared" si="20"/>
        <v/>
      </c>
      <c r="Z38" s="14">
        <f t="shared" si="1"/>
        <v>0</v>
      </c>
      <c r="AA38" s="146"/>
      <c r="AB38" s="146"/>
      <c r="AC38" s="146"/>
      <c r="AD38" s="62"/>
      <c r="AE38" s="33" t="str">
        <f t="shared" si="25"/>
        <v/>
      </c>
      <c r="AF38" s="33" t="str">
        <f t="shared" si="3"/>
        <v/>
      </c>
      <c r="AG38" s="14">
        <f t="shared" si="4"/>
        <v>0</v>
      </c>
      <c r="AH38" s="151">
        <v>37.630000000000003</v>
      </c>
      <c r="AI38" s="65">
        <v>16.440000000000001</v>
      </c>
      <c r="AJ38" s="15">
        <f t="shared" si="5"/>
        <v>30.410509031198689</v>
      </c>
      <c r="AK38" s="15">
        <f t="shared" si="6"/>
        <v>1.1443474548440068E-2</v>
      </c>
      <c r="AL38" s="14">
        <f t="shared" si="7"/>
        <v>1.1443474548440067</v>
      </c>
      <c r="AM38" s="14">
        <f t="shared" si="29"/>
        <v>15.581309401670079</v>
      </c>
      <c r="AN38" s="14"/>
      <c r="AO38" s="124" t="str">
        <f t="shared" si="14"/>
        <v/>
      </c>
      <c r="AP38" s="57">
        <f t="shared" si="15"/>
        <v>93.158131458386819</v>
      </c>
      <c r="AQ38" s="57">
        <f t="shared" si="16"/>
        <v>6.8418685416131897</v>
      </c>
    </row>
    <row r="39" spans="2:43" x14ac:dyDescent="0.3">
      <c r="B39" s="3" t="s">
        <v>11</v>
      </c>
      <c r="C39" s="6">
        <v>1</v>
      </c>
      <c r="D39" s="38">
        <f>17.66+5.78-$E$5</f>
        <v>18.840000000000003</v>
      </c>
      <c r="E39" s="38">
        <v>605.16</v>
      </c>
      <c r="F39" s="7">
        <v>95.01</v>
      </c>
      <c r="G39" s="8">
        <f t="shared" si="8"/>
        <v>14.687782200073581</v>
      </c>
      <c r="H39" s="3">
        <v>1</v>
      </c>
      <c r="I39" s="7">
        <f t="shared" si="17"/>
        <v>2.7671781664938635</v>
      </c>
      <c r="J39" s="7">
        <f t="shared" si="9"/>
        <v>0.51244040120256729</v>
      </c>
      <c r="K39" s="7">
        <f t="shared" si="10"/>
        <v>51.244040120256734</v>
      </c>
      <c r="L39" s="6"/>
      <c r="M39" s="141"/>
      <c r="N39" s="142"/>
      <c r="O39" s="145"/>
      <c r="P39" s="145"/>
      <c r="Q39" s="145"/>
      <c r="R39" s="145"/>
      <c r="S39" s="14">
        <f t="shared" si="21"/>
        <v>0</v>
      </c>
      <c r="T39" s="155">
        <v>450.25</v>
      </c>
      <c r="U39" s="155">
        <f>1152.7+1010.01</f>
        <v>2162.71</v>
      </c>
      <c r="V39" s="38">
        <f t="shared" si="12"/>
        <v>2612.96</v>
      </c>
      <c r="W39" s="40">
        <v>60.52</v>
      </c>
      <c r="X39" s="36">
        <f>IF(T39&gt;0,((W39-$O$5)/(T39-$O$5))*100,"")</f>
        <v>12.038729771819352</v>
      </c>
      <c r="Y39" s="36">
        <f>IF(W39&gt;0,((X39/100)*V39-$O$5)/$O$7/1000,"")</f>
        <v>0.30738719344573096</v>
      </c>
      <c r="Z39" s="14">
        <f t="shared" si="1"/>
        <v>30.738719344573095</v>
      </c>
      <c r="AA39" s="149"/>
      <c r="AB39" s="149"/>
      <c r="AC39" s="149"/>
      <c r="AD39" s="63"/>
      <c r="AE39" s="31" t="str">
        <f t="shared" si="25"/>
        <v/>
      </c>
      <c r="AF39" s="31" t="str">
        <f t="shared" si="3"/>
        <v/>
      </c>
      <c r="AG39" s="14">
        <f t="shared" si="4"/>
        <v>0</v>
      </c>
      <c r="AH39" s="154">
        <v>147.52000000000001</v>
      </c>
      <c r="AI39" s="64">
        <v>29.58</v>
      </c>
      <c r="AJ39" s="15">
        <f t="shared" si="5"/>
        <v>15.961236995867178</v>
      </c>
      <c r="AK39" s="15">
        <f t="shared" si="6"/>
        <v>2.3546016816303264E-2</v>
      </c>
      <c r="AL39" s="14">
        <f t="shared" si="7"/>
        <v>2.3546016816303266</v>
      </c>
      <c r="AM39" s="14"/>
      <c r="AN39" s="14">
        <f>Z39</f>
        <v>30.738719344573095</v>
      </c>
      <c r="AO39" s="124">
        <f t="shared" si="14"/>
        <v>92.884964069438851</v>
      </c>
      <c r="AP39" s="57" t="str">
        <f t="shared" si="15"/>
        <v/>
      </c>
      <c r="AQ39" s="57">
        <f t="shared" si="16"/>
        <v>7.1150359305611666</v>
      </c>
    </row>
    <row r="40" spans="2:43" x14ac:dyDescent="0.3">
      <c r="B40" s="3" t="s">
        <v>11</v>
      </c>
      <c r="C40" s="6">
        <v>2</v>
      </c>
      <c r="D40" s="38">
        <f>10.88+5.08-$E$5</f>
        <v>11.360000000000001</v>
      </c>
      <c r="E40" s="38">
        <v>533.29999999999995</v>
      </c>
      <c r="F40" s="7">
        <v>122.49</v>
      </c>
      <c r="G40" s="8">
        <f t="shared" si="8"/>
        <v>21.917053143769483</v>
      </c>
      <c r="H40" s="3">
        <v>1</v>
      </c>
      <c r="I40" s="7">
        <f t="shared" si="17"/>
        <v>2.4897772371322135</v>
      </c>
      <c r="J40" s="7">
        <f t="shared" si="9"/>
        <v>0.46106985872818768</v>
      </c>
      <c r="K40" s="7">
        <f t="shared" si="10"/>
        <v>46.106985872818768</v>
      </c>
      <c r="L40" s="6"/>
      <c r="M40" s="141"/>
      <c r="N40" s="142"/>
      <c r="O40" s="145"/>
      <c r="P40" s="145"/>
      <c r="Q40" s="37" t="str">
        <f t="shared" si="11"/>
        <v/>
      </c>
      <c r="R40" s="37" t="str">
        <f t="shared" si="23"/>
        <v/>
      </c>
      <c r="S40" s="14">
        <f t="shared" si="21"/>
        <v>0</v>
      </c>
      <c r="T40" s="155">
        <v>445.64</v>
      </c>
      <c r="U40" s="155">
        <v>756.74</v>
      </c>
      <c r="V40" s="38">
        <f t="shared" si="12"/>
        <v>1202.3800000000001</v>
      </c>
      <c r="W40" s="40">
        <v>82.73</v>
      </c>
      <c r="X40" s="36">
        <f>IF(T40&gt;0,((W40-$O$5)/(T40-$O$5))*100,"")</f>
        <v>17.230762213200752</v>
      </c>
      <c r="Y40" s="36">
        <f>IF(W40&gt;0,((X40/100)*V40-$O$5)/$O$7/1000,"")</f>
        <v>0.1999992386990832</v>
      </c>
      <c r="Z40" s="14">
        <f t="shared" si="1"/>
        <v>19.999923869908322</v>
      </c>
      <c r="AA40" s="155">
        <v>402.28</v>
      </c>
      <c r="AB40" s="144"/>
      <c r="AC40" s="38">
        <f t="shared" si="18"/>
        <v>402.28</v>
      </c>
      <c r="AD40" s="40">
        <v>123.36</v>
      </c>
      <c r="AE40" s="7">
        <f>IF(AA40&gt;0,((AD40-$O$5)/(AA40-$O$5))*100,"")</f>
        <v>29.405213869906355</v>
      </c>
      <c r="AF40" s="7">
        <f>IF(AD40&gt;0,((AE40/100)*AC40-$O$5)/$O$7/1000,"")</f>
        <v>0.11111129435585929</v>
      </c>
      <c r="AG40" s="14">
        <f t="shared" si="4"/>
        <v>11.111129435585928</v>
      </c>
      <c r="AH40" s="154">
        <v>66.959999999999994</v>
      </c>
      <c r="AI40" s="64">
        <v>22.88</v>
      </c>
      <c r="AJ40" s="15">
        <f t="shared" si="5"/>
        <v>26.262964202074272</v>
      </c>
      <c r="AK40" s="15">
        <f t="shared" si="6"/>
        <v>1.7585680829708929E-2</v>
      </c>
      <c r="AL40" s="14">
        <f t="shared" si="7"/>
        <v>1.758568082970893</v>
      </c>
      <c r="AM40" s="14">
        <f t="shared" ref="AM40:AM47" si="30">S40+AG40</f>
        <v>11.111129435585928</v>
      </c>
      <c r="AN40" s="14">
        <f>Z40</f>
        <v>19.999923869908322</v>
      </c>
      <c r="AO40" s="124">
        <f t="shared" si="14"/>
        <v>60.846225253226827</v>
      </c>
      <c r="AP40" s="57">
        <f t="shared" si="15"/>
        <v>33.803642896492661</v>
      </c>
      <c r="AQ40" s="57">
        <f t="shared" si="16"/>
        <v>5.3501318502805244</v>
      </c>
    </row>
    <row r="41" spans="2:43" x14ac:dyDescent="0.3">
      <c r="B41" s="3" t="s">
        <v>11</v>
      </c>
      <c r="C41" s="6">
        <v>3</v>
      </c>
      <c r="D41" s="38">
        <f>10.98+6.14-$E$5</f>
        <v>12.520000000000001</v>
      </c>
      <c r="E41" s="38">
        <v>601.49</v>
      </c>
      <c r="F41" s="7">
        <v>150.94999999999999</v>
      </c>
      <c r="G41" s="8">
        <f t="shared" si="8"/>
        <v>24.191078729955741</v>
      </c>
      <c r="H41" s="3">
        <v>1</v>
      </c>
      <c r="I41" s="7">
        <f t="shared" si="17"/>
        <v>3.0287230569904593</v>
      </c>
      <c r="J41" s="7">
        <f t="shared" si="9"/>
        <v>0.56087464018341837</v>
      </c>
      <c r="K41" s="7">
        <f t="shared" si="10"/>
        <v>56.087464018341834</v>
      </c>
      <c r="L41" s="6"/>
      <c r="M41" s="141"/>
      <c r="N41" s="142"/>
      <c r="O41" s="145"/>
      <c r="P41" s="145"/>
      <c r="Q41" s="37" t="str">
        <f t="shared" si="11"/>
        <v/>
      </c>
      <c r="R41" s="37" t="str">
        <f t="shared" si="23"/>
        <v/>
      </c>
      <c r="S41" s="14">
        <f t="shared" si="21"/>
        <v>0</v>
      </c>
      <c r="T41" s="147">
        <v>415.19</v>
      </c>
      <c r="U41" s="147"/>
      <c r="V41" s="38">
        <f t="shared" si="12"/>
        <v>415.19</v>
      </c>
      <c r="W41" s="131">
        <v>72.78</v>
      </c>
      <c r="X41" s="36">
        <f>IF(T41&gt;0,((W41-$O$5)/(T41-$O$5))*100,"")</f>
        <v>16.078037303007278</v>
      </c>
      <c r="Y41" s="36">
        <f>IF(W41&gt;0,((X41/100)*V41-$O$5)/$O$7/1000,"")</f>
        <v>5.9574403078355924E-2</v>
      </c>
      <c r="Z41" s="14">
        <f t="shared" si="1"/>
        <v>5.9574403078355918</v>
      </c>
      <c r="AA41" s="144">
        <v>256.32</v>
      </c>
      <c r="AB41" s="144">
        <v>1208.03</v>
      </c>
      <c r="AC41" s="38">
        <f t="shared" si="18"/>
        <v>1464.35</v>
      </c>
      <c r="AD41" s="40">
        <v>84</v>
      </c>
      <c r="AE41" s="7">
        <f>IF(AA41&gt;0,((AD41-$O$5)/(AA41-$O$5))*100,"")</f>
        <v>30.834069198041259</v>
      </c>
      <c r="AF41" s="7">
        <f>IF(AD41&gt;0,((AE41/100)*AC41-$O$5)/$O$7/1000,"")</f>
        <v>0.44433869230151712</v>
      </c>
      <c r="AG41" s="14">
        <f t="shared" si="4"/>
        <v>44.433869230151714</v>
      </c>
      <c r="AH41" s="150">
        <v>75.86</v>
      </c>
      <c r="AI41" s="64">
        <v>21.93</v>
      </c>
      <c r="AJ41" s="15">
        <f t="shared" si="5"/>
        <v>21.476412347117062</v>
      </c>
      <c r="AK41" s="15">
        <f t="shared" si="6"/>
        <v>1.6292006406523004E-2</v>
      </c>
      <c r="AL41" s="14">
        <f t="shared" si="7"/>
        <v>1.6292006406523003</v>
      </c>
      <c r="AM41" s="14">
        <f t="shared" si="30"/>
        <v>44.433869230151714</v>
      </c>
      <c r="AN41" s="14">
        <f>Z41</f>
        <v>5.9574403078355918</v>
      </c>
      <c r="AO41" s="124">
        <f>IF((100/SUM(AL41:AN41)*AN41),(100/SUM(AL41:AN41)*AN41),(100/SUM(AL41:AN41)*AN41))</f>
        <v>11.452098965153567</v>
      </c>
      <c r="AP41" s="57">
        <f t="shared" si="15"/>
        <v>85.416058161607424</v>
      </c>
      <c r="AQ41" s="57">
        <f t="shared" si="16"/>
        <v>3.1318428732390142</v>
      </c>
    </row>
    <row r="42" spans="2:43" x14ac:dyDescent="0.3">
      <c r="B42" s="3" t="s">
        <v>11</v>
      </c>
      <c r="C42" s="6">
        <v>4</v>
      </c>
      <c r="D42" s="38">
        <f>10.58-E4</f>
        <v>8.379999999999999</v>
      </c>
      <c r="E42" s="38">
        <v>582</v>
      </c>
      <c r="F42" s="7">
        <v>155.38999999999999</v>
      </c>
      <c r="G42" s="8">
        <f t="shared" si="8"/>
        <v>25.783723600431436</v>
      </c>
      <c r="H42" s="3">
        <v>1</v>
      </c>
      <c r="I42" s="7">
        <f t="shared" si="17"/>
        <v>2.1606760377161538</v>
      </c>
      <c r="J42" s="7">
        <f t="shared" si="9"/>
        <v>0.40012519216965808</v>
      </c>
      <c r="K42" s="7">
        <f t="shared" si="10"/>
        <v>40.012519216965806</v>
      </c>
      <c r="L42" s="6"/>
      <c r="M42" s="141"/>
      <c r="N42" s="142"/>
      <c r="O42" s="145"/>
      <c r="P42" s="145"/>
      <c r="Q42" s="37" t="str">
        <f t="shared" si="11"/>
        <v/>
      </c>
      <c r="R42" s="37" t="str">
        <f t="shared" si="23"/>
        <v/>
      </c>
      <c r="S42" s="14">
        <f t="shared" si="21"/>
        <v>0</v>
      </c>
      <c r="T42" s="155">
        <v>286.67</v>
      </c>
      <c r="U42" s="144"/>
      <c r="V42" s="38">
        <f t="shared" si="12"/>
        <v>286.67</v>
      </c>
      <c r="W42" s="40">
        <v>116.74</v>
      </c>
      <c r="X42" s="36">
        <f>IF(T42&gt;0,((W42-$O$5)/(T42-$O$5))*100,"")</f>
        <v>39.199971376435649</v>
      </c>
      <c r="Y42" s="36">
        <f>IF(W42&gt;0,((X42/100)*V42-$O$5)/$O$7/1000,"")</f>
        <v>0.10519455794482808</v>
      </c>
      <c r="Z42" s="14">
        <f t="shared" si="1"/>
        <v>10.519455794482807</v>
      </c>
      <c r="AA42" s="175">
        <v>367.87</v>
      </c>
      <c r="AB42" s="175">
        <v>275.95999999999998</v>
      </c>
      <c r="AC42" s="172">
        <f t="shared" si="18"/>
        <v>643.82999999999993</v>
      </c>
      <c r="AD42" s="173">
        <v>119</v>
      </c>
      <c r="AE42" s="172">
        <f>IF(AA42&gt;0,((AD42-$O$5)/(AA42-$O$5))*100,"")</f>
        <v>31.001691202972083</v>
      </c>
      <c r="AF42" s="7">
        <f>IF(AD42&gt;0,((AE42/100)*AC42-$O$5)/$O$7/1000,"")</f>
        <v>0.19241818847209513</v>
      </c>
      <c r="AG42" s="14">
        <f>IF(AC42&gt;0,AF42*10000/100,0)</f>
        <v>19.241818847209512</v>
      </c>
      <c r="AH42" s="150">
        <v>62.02</v>
      </c>
      <c r="AI42" s="64">
        <v>18.940000000000001</v>
      </c>
      <c r="AJ42" s="15">
        <f t="shared" si="5"/>
        <v>21.444201312910284</v>
      </c>
      <c r="AK42" s="15">
        <f t="shared" si="6"/>
        <v>1.3299693654266958E-2</v>
      </c>
      <c r="AL42" s="14">
        <f t="shared" si="7"/>
        <v>1.3299693654266957</v>
      </c>
      <c r="AM42" s="14">
        <f t="shared" si="30"/>
        <v>19.241818847209512</v>
      </c>
      <c r="AN42" s="14">
        <f>Z42</f>
        <v>10.519455794482807</v>
      </c>
      <c r="AO42" s="124">
        <f t="shared" si="14"/>
        <v>33.834142474563414</v>
      </c>
      <c r="AP42" s="57">
        <f t="shared" si="15"/>
        <v>61.888224359255872</v>
      </c>
      <c r="AQ42" s="57">
        <f t="shared" si="16"/>
        <v>4.2776331661807117</v>
      </c>
    </row>
    <row r="43" spans="2:43" x14ac:dyDescent="0.3">
      <c r="B43" s="3" t="s">
        <v>11</v>
      </c>
      <c r="C43" s="6">
        <v>5</v>
      </c>
      <c r="D43" s="38">
        <f>6.38-E4</f>
        <v>4.18</v>
      </c>
      <c r="E43" s="38">
        <v>489.36</v>
      </c>
      <c r="F43" s="7">
        <v>162.19999999999999</v>
      </c>
      <c r="G43" s="8">
        <f t="shared" si="8"/>
        <v>32.149819569455381</v>
      </c>
      <c r="H43" s="3">
        <v>1</v>
      </c>
      <c r="I43" s="7">
        <f t="shared" si="17"/>
        <v>1.3438624580032348</v>
      </c>
      <c r="J43" s="7">
        <f t="shared" si="9"/>
        <v>0.24886341814874716</v>
      </c>
      <c r="K43" s="7">
        <f t="shared" si="10"/>
        <v>24.886341814874719</v>
      </c>
      <c r="L43" s="6"/>
      <c r="M43" s="141"/>
      <c r="N43" s="142"/>
      <c r="O43" s="145"/>
      <c r="P43" s="145"/>
      <c r="Q43" s="37" t="str">
        <f t="shared" si="11"/>
        <v/>
      </c>
      <c r="R43" s="37" t="str">
        <f t="shared" si="23"/>
        <v/>
      </c>
      <c r="S43" s="14">
        <f t="shared" si="21"/>
        <v>0</v>
      </c>
      <c r="T43" s="145"/>
      <c r="U43" s="145"/>
      <c r="V43" s="145"/>
      <c r="W43" s="145"/>
      <c r="X43" s="37" t="str">
        <f t="shared" si="19"/>
        <v/>
      </c>
      <c r="Y43" s="37" t="str">
        <f t="shared" si="20"/>
        <v/>
      </c>
      <c r="Z43" s="14">
        <f t="shared" si="1"/>
        <v>0</v>
      </c>
      <c r="AA43" s="144">
        <v>287.04000000000002</v>
      </c>
      <c r="AB43" s="144">
        <v>452.37</v>
      </c>
      <c r="AC43" s="38">
        <f t="shared" si="18"/>
        <v>739.41000000000008</v>
      </c>
      <c r="AD43" s="40">
        <v>106.64</v>
      </c>
      <c r="AE43" s="7">
        <f>IF(AA43&gt;0,((AD43-$O$5)/(AA43-$O$5))*100,"")</f>
        <v>35.539198170513828</v>
      </c>
      <c r="AF43" s="7">
        <f>IF(AD43&gt;0,((AE43/100)*AC43-$O$5)/$O$7/1000,"")</f>
        <v>0.25560038519259631</v>
      </c>
      <c r="AG43" s="14">
        <f t="shared" si="4"/>
        <v>25.560038519259635</v>
      </c>
      <c r="AH43" s="150">
        <v>14.72</v>
      </c>
      <c r="AI43" s="64">
        <v>10.54</v>
      </c>
      <c r="AJ43" s="15">
        <f t="shared" si="5"/>
        <v>44.562334217506617</v>
      </c>
      <c r="AK43" s="15">
        <f t="shared" si="6"/>
        <v>6.5595755968169741E-3</v>
      </c>
      <c r="AL43" s="14">
        <f t="shared" si="7"/>
        <v>0.65595755968169744</v>
      </c>
      <c r="AM43" s="14">
        <f t="shared" si="30"/>
        <v>25.560038519259635</v>
      </c>
      <c r="AN43" s="14"/>
      <c r="AO43" s="124" t="str">
        <f t="shared" ref="AO43" si="31">IF((100/SUM(AL43:AN43)*AN43),(100/SUM(AL43:AN43)*AN43),"")</f>
        <v/>
      </c>
      <c r="AP43" s="57">
        <f t="shared" ref="AP43" si="32">IF((100/SUM(AL43:AN43)*AM43),(100/SUM(AL43:AN43)*AM43),"")</f>
        <v>97.497872834179233</v>
      </c>
      <c r="AQ43" s="57">
        <f t="shared" ref="AQ43" si="33">(100/SUM(AL43:AN43)*AL43)</f>
        <v>2.502127165820764</v>
      </c>
    </row>
    <row r="44" spans="2:43" x14ac:dyDescent="0.3">
      <c r="B44" s="3" t="s">
        <v>11</v>
      </c>
      <c r="C44" s="6">
        <v>6</v>
      </c>
      <c r="D44" s="38">
        <f>13.44+8.5-$E$5</f>
        <v>17.339999999999996</v>
      </c>
      <c r="E44" s="38">
        <v>634.11</v>
      </c>
      <c r="F44" s="7">
        <v>104.05</v>
      </c>
      <c r="G44" s="8">
        <f t="shared" si="8"/>
        <v>15.45148581181312</v>
      </c>
      <c r="H44" s="3">
        <v>1</v>
      </c>
      <c r="I44" s="7">
        <f t="shared" si="17"/>
        <v>2.6792876397683947</v>
      </c>
      <c r="J44" s="7">
        <f t="shared" si="9"/>
        <v>0.49616437773488786</v>
      </c>
      <c r="K44" s="7">
        <f t="shared" si="10"/>
        <v>49.616437773488791</v>
      </c>
      <c r="L44" s="6"/>
      <c r="M44" s="133">
        <v>307.72000000000003</v>
      </c>
      <c r="N44" s="156">
        <v>907.05</v>
      </c>
      <c r="O44" s="38">
        <f t="shared" si="22"/>
        <v>1214.77</v>
      </c>
      <c r="P44" s="36">
        <v>49.77</v>
      </c>
      <c r="Q44" s="36">
        <f>IF(M44&gt;0,((P44-$O$5)/(M44-$O$5))*100,"")</f>
        <v>14.171158581220469</v>
      </c>
      <c r="R44" s="36">
        <f>IF(P44&gt;0,((Q44/100)*O44-$O$5)/$O$7/1000,"")</f>
        <v>0.16496698309709187</v>
      </c>
      <c r="S44" s="14">
        <f t="shared" si="21"/>
        <v>16.496698309709188</v>
      </c>
      <c r="T44" s="155">
        <v>371.28</v>
      </c>
      <c r="U44" s="155">
        <f>977.11+1086.72+822.4</f>
        <v>2886.23</v>
      </c>
      <c r="V44" s="38">
        <f t="shared" si="12"/>
        <v>3257.51</v>
      </c>
      <c r="W44" s="40">
        <v>60.44</v>
      </c>
      <c r="X44" s="36">
        <f>IF(T44&gt;0,((W44-$O$5)/(T44-$O$5))*100,"")</f>
        <v>14.627849491897832</v>
      </c>
      <c r="Y44" s="36">
        <f>IF(W44&gt;0,((X44/100)*V44-$O$5)/$O$7/1000,"")</f>
        <v>0.4693236599835211</v>
      </c>
      <c r="Z44" s="14">
        <f t="shared" si="1"/>
        <v>46.932365998352104</v>
      </c>
      <c r="AA44" s="145"/>
      <c r="AB44" s="145"/>
      <c r="AC44" s="61"/>
      <c r="AD44" s="61"/>
      <c r="AE44" s="31" t="str">
        <f t="shared" si="25"/>
        <v/>
      </c>
      <c r="AF44" s="31" t="str">
        <f t="shared" si="3"/>
        <v/>
      </c>
      <c r="AG44" s="14">
        <f t="shared" si="4"/>
        <v>0</v>
      </c>
      <c r="AH44" s="150">
        <v>184.84</v>
      </c>
      <c r="AI44" s="64">
        <v>46.81</v>
      </c>
      <c r="AJ44" s="15">
        <f t="shared" si="5"/>
        <v>22.30665315771699</v>
      </c>
      <c r="AK44" s="15">
        <f t="shared" si="6"/>
        <v>4.1231617696724086E-2</v>
      </c>
      <c r="AL44" s="14">
        <f t="shared" si="7"/>
        <v>4.1231617696724081</v>
      </c>
      <c r="AM44" s="14">
        <f t="shared" si="30"/>
        <v>16.496698309709188</v>
      </c>
      <c r="AN44" s="14">
        <f>Z44</f>
        <v>46.932365998352104</v>
      </c>
      <c r="AO44" s="124">
        <f t="shared" si="14"/>
        <v>69.4756764112349</v>
      </c>
      <c r="AP44" s="57">
        <f t="shared" si="15"/>
        <v>24.420658307730832</v>
      </c>
      <c r="AQ44" s="57">
        <f t="shared" si="16"/>
        <v>6.1036652810342673</v>
      </c>
    </row>
    <row r="45" spans="2:43" x14ac:dyDescent="0.3">
      <c r="B45" s="3" t="s">
        <v>11</v>
      </c>
      <c r="C45" s="6">
        <v>7</v>
      </c>
      <c r="D45" s="38">
        <f>16.96+11.04-$E$5</f>
        <v>23.4</v>
      </c>
      <c r="E45" s="38">
        <v>582.46</v>
      </c>
      <c r="F45" s="7">
        <v>90.03</v>
      </c>
      <c r="G45" s="8">
        <f t="shared" si="8"/>
        <v>14.40168265887915</v>
      </c>
      <c r="H45" s="3">
        <v>1</v>
      </c>
      <c r="I45" s="7">
        <f t="shared" si="17"/>
        <v>3.3699937421777211</v>
      </c>
      <c r="J45" s="7">
        <f t="shared" si="9"/>
        <v>0.62407291521809649</v>
      </c>
      <c r="K45" s="7">
        <f t="shared" si="10"/>
        <v>62.407291521809647</v>
      </c>
      <c r="L45" s="6"/>
      <c r="M45" s="143">
        <v>347.04</v>
      </c>
      <c r="N45" s="138">
        <v>399.04</v>
      </c>
      <c r="O45" s="38">
        <f t="shared" si="22"/>
        <v>746.08</v>
      </c>
      <c r="P45" s="36">
        <v>57.9</v>
      </c>
      <c r="Q45" s="36">
        <f>IF(M45&gt;0,((P45-$O$5)/(M45-$O$5))*100,"")</f>
        <v>14.923792149708703</v>
      </c>
      <c r="R45" s="36">
        <f>IF(P45&gt;0,((Q45/100)*O45-$O$5)/$O$7/1000,"")</f>
        <v>0.1041634284705467</v>
      </c>
      <c r="S45" s="14">
        <f t="shared" si="21"/>
        <v>10.41634284705467</v>
      </c>
      <c r="T45" s="144">
        <v>606.41999999999996</v>
      </c>
      <c r="U45" s="144">
        <v>960.92</v>
      </c>
      <c r="V45" s="38">
        <f t="shared" si="12"/>
        <v>1567.34</v>
      </c>
      <c r="W45" s="40">
        <v>94.13</v>
      </c>
      <c r="X45" s="36">
        <f>IF(T45&gt;0,((W45-$O$5)/(T45-$O$5))*100,"")</f>
        <v>14.510046058340562</v>
      </c>
      <c r="Y45" s="36">
        <f>IF(W45&gt;0,((X45/100)*V45-$O$5)/$O$7/1000,"")</f>
        <v>0.22024175589079492</v>
      </c>
      <c r="Z45" s="14">
        <f t="shared" si="1"/>
        <v>22.024175589079491</v>
      </c>
      <c r="AA45" s="61"/>
      <c r="AB45" s="61"/>
      <c r="AC45" s="61"/>
      <c r="AD45" s="61"/>
      <c r="AE45" s="31" t="str">
        <f t="shared" si="25"/>
        <v/>
      </c>
      <c r="AF45" s="31" t="str">
        <f t="shared" si="3"/>
        <v/>
      </c>
      <c r="AG45" s="14">
        <f t="shared" si="4"/>
        <v>0</v>
      </c>
      <c r="AH45" s="150">
        <v>9.43</v>
      </c>
      <c r="AI45" s="64">
        <v>7.95</v>
      </c>
      <c r="AJ45" s="15">
        <f t="shared" si="5"/>
        <v>34.222222222222243</v>
      </c>
      <c r="AK45" s="15">
        <f t="shared" si="6"/>
        <v>3.2271555555555575E-3</v>
      </c>
      <c r="AL45" s="14">
        <f t="shared" si="7"/>
        <v>0.3227155555555557</v>
      </c>
      <c r="AM45" s="14">
        <f t="shared" si="30"/>
        <v>10.41634284705467</v>
      </c>
      <c r="AN45" s="14">
        <f>Z45</f>
        <v>22.024175589079491</v>
      </c>
      <c r="AO45" s="124">
        <f t="shared" si="14"/>
        <v>67.222227191204169</v>
      </c>
      <c r="AP45" s="57">
        <f t="shared" si="15"/>
        <v>31.792779826609124</v>
      </c>
      <c r="AQ45" s="57">
        <f t="shared" si="16"/>
        <v>0.98499298218671405</v>
      </c>
    </row>
    <row r="46" spans="2:43" x14ac:dyDescent="0.3">
      <c r="B46" s="3" t="s">
        <v>11</v>
      </c>
      <c r="C46" s="6">
        <v>8</v>
      </c>
      <c r="D46" s="38">
        <f>7.82+7.66-$E$5</f>
        <v>10.88</v>
      </c>
      <c r="E46" s="38">
        <v>619.82000000000005</v>
      </c>
      <c r="F46" s="7">
        <v>109.96</v>
      </c>
      <c r="G46" s="8">
        <f t="shared" si="8"/>
        <v>16.776573517889787</v>
      </c>
      <c r="H46" s="3">
        <v>1</v>
      </c>
      <c r="I46" s="7">
        <f t="shared" si="17"/>
        <v>1.8252911987464089</v>
      </c>
      <c r="J46" s="7">
        <f t="shared" si="9"/>
        <v>0.33801688865674234</v>
      </c>
      <c r="K46" s="7">
        <f>J46*10000/100</f>
        <v>33.80168886567423</v>
      </c>
      <c r="L46" s="6"/>
      <c r="M46" s="133">
        <v>448.46</v>
      </c>
      <c r="N46" s="156">
        <v>673</v>
      </c>
      <c r="O46" s="38">
        <f t="shared" si="22"/>
        <v>1121.46</v>
      </c>
      <c r="P46" s="36">
        <v>83.3</v>
      </c>
      <c r="Q46" s="36">
        <f>IF(M46&gt;0,((P46-$O$5)/(M46-$O$5))*100,"")</f>
        <v>17.249818709209574</v>
      </c>
      <c r="R46" s="36">
        <f>IF(P46&gt;0,((Q46/100)*O46-$O$5)/$O$7/1000,"")</f>
        <v>0.1862698168963017</v>
      </c>
      <c r="S46" s="14">
        <f t="shared" si="21"/>
        <v>18.626981689630171</v>
      </c>
      <c r="T46" s="155">
        <v>636.54</v>
      </c>
      <c r="U46" s="144"/>
      <c r="V46" s="38">
        <f t="shared" si="12"/>
        <v>636.54</v>
      </c>
      <c r="W46" s="40">
        <v>109.02</v>
      </c>
      <c r="X46" s="36">
        <f>IF(T46&gt;0,((W46-$O$5)/(T46-$O$5))*100,"")</f>
        <v>16.181517732299479</v>
      </c>
      <c r="Y46" s="36">
        <f>IF(W46&gt;0,((X46/100)*V46-$O$5)/$O$7/1000,"")</f>
        <v>9.5821832973179116E-2</v>
      </c>
      <c r="Z46" s="14">
        <f t="shared" si="1"/>
        <v>9.5821832973179113</v>
      </c>
      <c r="AA46" s="61"/>
      <c r="AB46" s="61"/>
      <c r="AC46" s="61"/>
      <c r="AD46" s="61"/>
      <c r="AE46" s="31" t="str">
        <f t="shared" si="25"/>
        <v/>
      </c>
      <c r="AF46" s="31" t="str">
        <f t="shared" si="3"/>
        <v/>
      </c>
      <c r="AG46" s="14">
        <f t="shared" si="4"/>
        <v>0</v>
      </c>
      <c r="AH46" s="154">
        <v>76.73</v>
      </c>
      <c r="AI46" s="64">
        <v>23.5</v>
      </c>
      <c r="AJ46" s="15">
        <f t="shared" si="5"/>
        <v>23.465132997843273</v>
      </c>
      <c r="AK46" s="15">
        <f t="shared" si="6"/>
        <v>1.8004796549245146E-2</v>
      </c>
      <c r="AL46" s="14">
        <f t="shared" si="7"/>
        <v>1.8004796549245146</v>
      </c>
      <c r="AM46" s="14">
        <f t="shared" si="30"/>
        <v>18.626981689630171</v>
      </c>
      <c r="AN46" s="14">
        <f>Z46</f>
        <v>9.5821832973179113</v>
      </c>
      <c r="AO46" s="124">
        <f t="shared" si="14"/>
        <v>31.930345766066971</v>
      </c>
      <c r="AP46" s="57">
        <f t="shared" si="15"/>
        <v>62.069984206476924</v>
      </c>
      <c r="AQ46" s="57">
        <f t="shared" si="16"/>
        <v>5.9996700274560961</v>
      </c>
    </row>
    <row r="47" spans="2:43" ht="14.5" thickBot="1" x14ac:dyDescent="0.35">
      <c r="B47" s="3" t="s">
        <v>11</v>
      </c>
      <c r="C47" s="6">
        <v>9</v>
      </c>
      <c r="D47" s="38">
        <f>6.38+3.42-$E$5</f>
        <v>5.2000000000000011</v>
      </c>
      <c r="E47" s="38">
        <v>481.75</v>
      </c>
      <c r="F47" s="7">
        <v>109.97</v>
      </c>
      <c r="G47" s="8">
        <f t="shared" si="8"/>
        <v>21.659607644815303</v>
      </c>
      <c r="H47" s="3">
        <v>1</v>
      </c>
      <c r="I47" s="7">
        <f t="shared" si="17"/>
        <v>1.126299597530396</v>
      </c>
      <c r="J47" s="7">
        <f t="shared" si="9"/>
        <v>0.20857399954266592</v>
      </c>
      <c r="K47" s="7">
        <f t="shared" si="10"/>
        <v>20.857399954266594</v>
      </c>
      <c r="L47" s="6"/>
      <c r="M47" s="136">
        <v>440.03</v>
      </c>
      <c r="N47" s="81"/>
      <c r="O47" s="38">
        <f t="shared" si="22"/>
        <v>440.03</v>
      </c>
      <c r="P47" s="36">
        <v>89.45</v>
      </c>
      <c r="Q47" s="36">
        <f>IF(M47&gt;0,((P47-$O$5)/(M47-$O$5))*100,"")</f>
        <v>19.006584267067119</v>
      </c>
      <c r="R47" s="36">
        <f>IF(P47&gt;0,((Q47/100)*O47-$O$5)/$O$7/1000,"")</f>
        <v>7.6454672750375444E-2</v>
      </c>
      <c r="S47" s="14">
        <f t="shared" si="21"/>
        <v>7.6454672750375448</v>
      </c>
      <c r="T47" s="152"/>
      <c r="U47" s="146"/>
      <c r="V47" s="146"/>
      <c r="W47" s="146"/>
      <c r="X47" s="37" t="str">
        <f t="shared" si="19"/>
        <v/>
      </c>
      <c r="Y47" s="37" t="str">
        <f t="shared" si="20"/>
        <v/>
      </c>
      <c r="Z47" s="14">
        <f t="shared" si="1"/>
        <v>0</v>
      </c>
      <c r="AA47" s="62"/>
      <c r="AB47" s="62"/>
      <c r="AC47" s="62"/>
      <c r="AD47" s="62"/>
      <c r="AE47" s="31" t="str">
        <f t="shared" si="25"/>
        <v/>
      </c>
      <c r="AF47" s="31" t="str">
        <f t="shared" si="3"/>
        <v/>
      </c>
      <c r="AG47" s="14">
        <f t="shared" si="4"/>
        <v>0</v>
      </c>
      <c r="AH47" s="150">
        <v>11.42</v>
      </c>
      <c r="AI47" s="66">
        <v>8.8000000000000007</v>
      </c>
      <c r="AJ47" s="15">
        <f t="shared" si="5"/>
        <v>38.207547169811342</v>
      </c>
      <c r="AK47" s="15">
        <f t="shared" si="6"/>
        <v>4.3633018867924554E-3</v>
      </c>
      <c r="AL47" s="14">
        <f t="shared" si="7"/>
        <v>0.43633018867924556</v>
      </c>
      <c r="AM47" s="14">
        <f t="shared" si="30"/>
        <v>7.6454672750375448</v>
      </c>
      <c r="AN47" s="14"/>
      <c r="AO47" s="124" t="str">
        <f t="shared" si="14"/>
        <v/>
      </c>
      <c r="AP47" s="57">
        <f t="shared" si="15"/>
        <v>94.601074938611745</v>
      </c>
      <c r="AQ47" s="57">
        <f t="shared" si="16"/>
        <v>5.3989250613882467</v>
      </c>
    </row>
    <row r="48" spans="2:43" x14ac:dyDescent="0.3"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J48" s="15" t="str">
        <f>IF(AH48&gt;0,((AI48-$O$5)/(#REF!-$O$5))*100,"")</f>
        <v/>
      </c>
    </row>
    <row r="49" spans="20:36" x14ac:dyDescent="0.3">
      <c r="T49" s="148"/>
      <c r="U49" s="148"/>
      <c r="AJ49" s="15" t="str">
        <f>IF(AH49&gt;0,((AI49-$O$5)/(#REF!-$O$5))*100,"")</f>
        <v/>
      </c>
    </row>
    <row r="50" spans="20:36" x14ac:dyDescent="0.3">
      <c r="V50" s="3" t="s">
        <v>106</v>
      </c>
      <c r="W50" s="131">
        <v>59.34</v>
      </c>
      <c r="AJ50" s="15" t="str">
        <f>IF(AH50&gt;0,((AI50-$O$5)/(#REF!-$O$5))*100,"")</f>
        <v/>
      </c>
    </row>
    <row r="51" spans="20:36" x14ac:dyDescent="0.3">
      <c r="AJ51" s="15" t="str">
        <f>IF(AH51&gt;0,((AI51-$O$5)/(#REF!-$O$5))*100,"")</f>
        <v/>
      </c>
    </row>
  </sheetData>
  <autoFilter ref="B11:AM11" xr:uid="{00000000-0009-0000-0000-000001000000}"/>
  <conditionalFormatting sqref="G12:G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Q12:Q20 Q35:Q38 Q40:Q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X16:Y16 X20:Y20 X25:Y25 X29:Y29 X34:Y34 X38:Y38 X43:Y43 X47:Y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AE12:AF12 AE17:AF21 AE26:AF29 AE35:AF39 AE44:AF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K12:AK47 AJ12:AJ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K12:K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Z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2:AG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L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:AM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2:AN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14">
      <colorScale>
        <cfvo type="min"/>
        <cfvo type="max"/>
        <color rgb="FFFCFCFF"/>
        <color rgb="FF63BE7B"/>
      </colorScale>
    </cfRule>
  </conditionalFormatting>
  <conditionalFormatting sqref="Q26:Q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X12:X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X17:X19">
    <cfRule type="colorScale" priority="11">
      <colorScale>
        <cfvo type="min"/>
        <cfvo type="max"/>
        <color rgb="FFFCFCFF"/>
        <color rgb="FF63BE7B"/>
      </colorScale>
    </cfRule>
  </conditionalFormatting>
  <conditionalFormatting sqref="X21:X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X26:X28">
    <cfRule type="colorScale" priority="9">
      <colorScale>
        <cfvo type="min"/>
        <cfvo type="max"/>
        <color rgb="FFFCFCFF"/>
        <color rgb="FF63BE7B"/>
      </colorScale>
    </cfRule>
  </conditionalFormatting>
  <conditionalFormatting sqref="X30:X33">
    <cfRule type="colorScale" priority="8">
      <colorScale>
        <cfvo type="min"/>
        <cfvo type="max"/>
        <color rgb="FFFCFCFF"/>
        <color rgb="FF63BE7B"/>
      </colorScale>
    </cfRule>
  </conditionalFormatting>
  <conditionalFormatting sqref="X35:X37">
    <cfRule type="colorScale" priority="7">
      <colorScale>
        <cfvo type="min"/>
        <cfvo type="max"/>
        <color rgb="FFFCFCFF"/>
        <color rgb="FF63BE7B"/>
      </colorScale>
    </cfRule>
  </conditionalFormatting>
  <conditionalFormatting sqref="X39:X42">
    <cfRule type="colorScale" priority="6">
      <colorScale>
        <cfvo type="min"/>
        <cfvo type="max"/>
        <color rgb="FFFCFCFF"/>
        <color rgb="FF63BE7B"/>
      </colorScale>
    </cfRule>
  </conditionalFormatting>
  <conditionalFormatting sqref="X44:X46">
    <cfRule type="colorScale" priority="5">
      <colorScale>
        <cfvo type="min"/>
        <cfvo type="max"/>
        <color rgb="FFFCFCFF"/>
        <color rgb="FF63BE7B"/>
      </colorScale>
    </cfRule>
  </conditionalFormatting>
  <conditionalFormatting sqref="AE13:AE16">
    <cfRule type="colorScale" priority="4">
      <colorScale>
        <cfvo type="min"/>
        <cfvo type="max"/>
        <color rgb="FFFCFCFF"/>
        <color rgb="FF63BE7B"/>
      </colorScale>
    </cfRule>
  </conditionalFormatting>
  <conditionalFormatting sqref="AE22:A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AE31:AE34">
    <cfRule type="colorScale" priority="2">
      <colorScale>
        <cfvo type="min"/>
        <cfvo type="max"/>
        <color rgb="FFFCFCFF"/>
        <color rgb="FF63BE7B"/>
      </colorScale>
    </cfRule>
  </conditionalFormatting>
  <conditionalFormatting sqref="AE40:AE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R-Data-GM</vt:lpstr>
      <vt:lpstr>Bautzen 1. Schnitt 2020</vt:lpstr>
      <vt:lpstr>Struppen 1. Schnitt 2020</vt:lpstr>
      <vt:lpstr>Struppen 2. Schnitt 2020</vt:lpstr>
      <vt:lpstr>Bautzen 2. Schnitt 2020</vt:lpstr>
      <vt:lpstr>Struppen 3. Schnitt 2020</vt:lpstr>
      <vt:lpstr>Bautzen 3. Schnitt 2020</vt:lpstr>
      <vt:lpstr>Struppen 1. Schnitt 2021</vt:lpstr>
      <vt:lpstr>Bautzen 1. Schnitt 2021</vt:lpstr>
      <vt:lpstr>Struppen 2. Schnitt 2021</vt:lpstr>
      <vt:lpstr>Bautzen 2. Schnitt 2021</vt:lpstr>
      <vt:lpstr>Struppen 3. Schnitt 2021</vt:lpstr>
      <vt:lpstr>Bautzen 3. Schnitt 2021</vt:lpstr>
      <vt:lpstr>Umbruch Pflanzenmasse 2020</vt:lpstr>
      <vt:lpstr>Mittelwerte</vt:lpstr>
      <vt:lpstr>FM S 1. Schnitt</vt:lpstr>
      <vt:lpstr>FM B 1. Schnitt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S.</dc:creator>
  <cp:lastModifiedBy>Florian Tröber</cp:lastModifiedBy>
  <dcterms:created xsi:type="dcterms:W3CDTF">2020-08-11T16:41:19Z</dcterms:created>
  <dcterms:modified xsi:type="dcterms:W3CDTF">2021-08-03T16:16:53Z</dcterms:modified>
</cp:coreProperties>
</file>