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1355" windowHeight="5895" tabRatio="818" firstSheet="1" activeTab="5"/>
  </bookViews>
  <sheets>
    <sheet name="Assumption Sheet" sheetId="6" r:id="rId1"/>
    <sheet name="Balance Sheet" sheetId="4" r:id="rId2"/>
    <sheet name="Common Size BS" sheetId="12" r:id="rId3"/>
    <sheet name="IS-Yearly" sheetId="1" r:id="rId4"/>
    <sheet name="Common Size IS " sheetId="10" r:id="rId5"/>
    <sheet name="Valuation" sheetId="13" r:id="rId6"/>
    <sheet name="DDM" sheetId="16" r:id="rId7"/>
    <sheet name="Sheet1" sheetId="14" r:id="rId8"/>
  </sheets>
  <calcPr calcId="125725" iterate="1" iterateCount="1"/>
</workbook>
</file>

<file path=xl/calcChain.xml><?xml version="1.0" encoding="utf-8"?>
<calcChain xmlns="http://schemas.openxmlformats.org/spreadsheetml/2006/main">
  <c r="F7" i="16"/>
  <c r="G7"/>
  <c r="M9" s="1"/>
  <c r="C19" s="1"/>
  <c r="K19"/>
  <c r="H9"/>
  <c r="H15"/>
  <c r="D7"/>
  <c r="E7"/>
  <c r="D9"/>
  <c r="E9"/>
  <c r="E11" s="1"/>
  <c r="E15" s="1"/>
  <c r="F9"/>
  <c r="G9"/>
  <c r="D11"/>
  <c r="F11"/>
  <c r="G11"/>
  <c r="D13"/>
  <c r="E13"/>
  <c r="F13"/>
  <c r="G13"/>
  <c r="D15"/>
  <c r="F15"/>
  <c r="G15"/>
  <c r="C15"/>
  <c r="C13"/>
  <c r="C9"/>
  <c r="C11" s="1"/>
  <c r="C7"/>
  <c r="M4"/>
  <c r="D5"/>
  <c r="E5" s="1"/>
  <c r="F5" s="1"/>
  <c r="G5" s="1"/>
  <c r="H12" i="14" l="1"/>
  <c r="E10"/>
  <c r="D10"/>
  <c r="E9"/>
  <c r="D9"/>
  <c r="E8"/>
  <c r="D8"/>
  <c r="H7"/>
  <c r="G7"/>
  <c r="H6"/>
  <c r="G6"/>
  <c r="H5"/>
  <c r="G5"/>
  <c r="C49" i="13"/>
  <c r="L43"/>
  <c r="K43"/>
  <c r="J43"/>
  <c r="I43"/>
  <c r="H43"/>
  <c r="L42"/>
  <c r="K42"/>
  <c r="J42"/>
  <c r="I42"/>
  <c r="H42"/>
  <c r="G35"/>
  <c r="F35"/>
  <c r="E35"/>
  <c r="D35"/>
  <c r="G20"/>
  <c r="F20"/>
  <c r="E20"/>
  <c r="D20"/>
  <c r="G19"/>
  <c r="F19"/>
  <c r="E19"/>
  <c r="D19"/>
  <c r="L16"/>
  <c r="K16"/>
  <c r="J16"/>
  <c r="I16"/>
  <c r="G16"/>
  <c r="F16"/>
  <c r="E16"/>
  <c r="D16"/>
  <c r="G15"/>
  <c r="F15"/>
  <c r="E15"/>
  <c r="D15"/>
  <c r="C8"/>
  <c r="J7"/>
  <c r="J6" s="1"/>
  <c r="J4" s="1"/>
  <c r="C7"/>
  <c r="G17" s="1"/>
  <c r="G34" s="1"/>
  <c r="C6"/>
  <c r="J2"/>
  <c r="F29" i="10"/>
  <c r="E29"/>
  <c r="D29"/>
  <c r="C29"/>
  <c r="B29" s="1"/>
  <c r="G29" s="1"/>
  <c r="F27"/>
  <c r="E27"/>
  <c r="D27"/>
  <c r="C27"/>
  <c r="G27" s="1"/>
  <c r="B27"/>
  <c r="F25"/>
  <c r="E25"/>
  <c r="D25" s="1"/>
  <c r="C25" s="1"/>
  <c r="G25" s="1"/>
  <c r="B25"/>
  <c r="F24"/>
  <c r="E24"/>
  <c r="D24"/>
  <c r="C24"/>
  <c r="G24" s="1"/>
  <c r="B24"/>
  <c r="F22"/>
  <c r="E22"/>
  <c r="D22" s="1"/>
  <c r="C22" s="1"/>
  <c r="B22" s="1"/>
  <c r="G22" s="1"/>
  <c r="F21"/>
  <c r="E21"/>
  <c r="D21"/>
  <c r="C21"/>
  <c r="B21"/>
  <c r="G21" s="1"/>
  <c r="F19"/>
  <c r="E19"/>
  <c r="D19" s="1"/>
  <c r="C19" s="1"/>
  <c r="B19" s="1"/>
  <c r="G19" s="1"/>
  <c r="F18"/>
  <c r="E18"/>
  <c r="D18"/>
  <c r="C18"/>
  <c r="G18" s="1"/>
  <c r="B18"/>
  <c r="F17"/>
  <c r="E17"/>
  <c r="D17"/>
  <c r="C17"/>
  <c r="G17" s="1"/>
  <c r="B17"/>
  <c r="F15"/>
  <c r="E15"/>
  <c r="D15" s="1"/>
  <c r="C15" s="1"/>
  <c r="B15" s="1"/>
  <c r="G15" s="1"/>
  <c r="F14"/>
  <c r="E14"/>
  <c r="D14"/>
  <c r="C14" s="1"/>
  <c r="B14" s="1"/>
  <c r="G14" s="1"/>
  <c r="F12"/>
  <c r="E12"/>
  <c r="D12"/>
  <c r="C12"/>
  <c r="B12"/>
  <c r="G12" s="1"/>
  <c r="F11"/>
  <c r="E11"/>
  <c r="D11"/>
  <c r="C11"/>
  <c r="B11"/>
  <c r="G11" s="1"/>
  <c r="F10"/>
  <c r="E10"/>
  <c r="D10"/>
  <c r="C10"/>
  <c r="B10"/>
  <c r="G10" s="1"/>
  <c r="F9"/>
  <c r="E9"/>
  <c r="D9"/>
  <c r="C9"/>
  <c r="B9"/>
  <c r="G9" s="1"/>
  <c r="F8"/>
  <c r="E8"/>
  <c r="D8"/>
  <c r="C8"/>
  <c r="B8"/>
  <c r="G8" s="1"/>
  <c r="F7"/>
  <c r="E7"/>
  <c r="D7" s="1"/>
  <c r="C7" s="1"/>
  <c r="B7" s="1"/>
  <c r="G7" s="1"/>
  <c r="F6"/>
  <c r="E6"/>
  <c r="D6"/>
  <c r="C6"/>
  <c r="G6" s="1"/>
  <c r="B6"/>
  <c r="F5"/>
  <c r="E5"/>
  <c r="D5"/>
  <c r="C5"/>
  <c r="G5" s="1"/>
  <c r="B5"/>
  <c r="F4"/>
  <c r="E4"/>
  <c r="D4"/>
  <c r="C4"/>
  <c r="G4" s="1"/>
  <c r="B4"/>
  <c r="G22" i="13" l="1"/>
  <c r="I28"/>
  <c r="J28"/>
  <c r="K28"/>
  <c r="L28"/>
  <c r="H28"/>
  <c r="D22"/>
  <c r="F17"/>
  <c r="F34" s="1"/>
  <c r="E17"/>
  <c r="E34" s="1"/>
  <c r="D17"/>
  <c r="D34" s="1"/>
  <c r="D42" i="1"/>
  <c r="C42"/>
  <c r="B42"/>
  <c r="D37" i="13" l="1"/>
  <c r="D40" s="1"/>
  <c r="D25"/>
  <c r="G37"/>
  <c r="G40" s="1"/>
  <c r="G45" s="1"/>
  <c r="G25"/>
  <c r="G30" s="1"/>
  <c r="F22"/>
  <c r="E22"/>
  <c r="F25" l="1"/>
  <c r="F37"/>
  <c r="F40" s="1"/>
  <c r="E37"/>
  <c r="E40" s="1"/>
  <c r="E25"/>
  <c r="D34" i="1" l="1"/>
  <c r="C34"/>
  <c r="B34"/>
  <c r="G32"/>
  <c r="H32" s="1"/>
  <c r="D30"/>
  <c r="C30"/>
  <c r="B30"/>
  <c r="D26"/>
  <c r="C26"/>
  <c r="B26"/>
  <c r="D23"/>
  <c r="C23"/>
  <c r="B23"/>
  <c r="D20" l="1"/>
  <c r="C20"/>
  <c r="B20"/>
  <c r="D16" l="1"/>
  <c r="C16"/>
  <c r="B16"/>
  <c r="D15"/>
  <c r="C15"/>
  <c r="B15"/>
  <c r="D8" l="1"/>
  <c r="C8"/>
  <c r="B8"/>
  <c r="G6"/>
  <c r="G28" l="1"/>
  <c r="G20"/>
  <c r="G25"/>
  <c r="H17" i="13" s="1"/>
  <c r="H34" s="1"/>
  <c r="G19" i="1"/>
  <c r="G16"/>
  <c r="G15"/>
  <c r="G18"/>
  <c r="G5"/>
  <c r="G7"/>
  <c r="H6"/>
  <c r="H20" l="1"/>
  <c r="H23" s="1"/>
  <c r="H28"/>
  <c r="H25"/>
  <c r="I17" i="13" s="1"/>
  <c r="I34" s="1"/>
  <c r="H18" i="1"/>
  <c r="H19"/>
  <c r="H16"/>
  <c r="H13"/>
  <c r="G13" s="1"/>
  <c r="H15"/>
  <c r="H12"/>
  <c r="G12" s="1"/>
  <c r="H11"/>
  <c r="G11" s="1"/>
  <c r="H10"/>
  <c r="G10" s="1"/>
  <c r="H8"/>
  <c r="G8" s="1"/>
  <c r="H7"/>
  <c r="H5"/>
  <c r="H26" l="1"/>
  <c r="H30" l="1"/>
  <c r="F53" i="4"/>
  <c r="E53"/>
  <c r="D53"/>
  <c r="C53"/>
  <c r="F54" s="1"/>
  <c r="I15" i="13" l="1"/>
  <c r="H42" i="1"/>
  <c r="H36"/>
  <c r="H39" s="1"/>
  <c r="H34"/>
  <c r="F49" i="4"/>
  <c r="E49"/>
  <c r="D49"/>
  <c r="C49"/>
  <c r="F48" l="1"/>
  <c r="E48"/>
  <c r="D48"/>
  <c r="C48"/>
  <c r="B48"/>
  <c r="F46" l="1"/>
  <c r="E46"/>
  <c r="D46"/>
  <c r="C46"/>
  <c r="B46"/>
  <c r="F45"/>
  <c r="E45"/>
  <c r="D45"/>
  <c r="C45" l="1"/>
  <c r="B45"/>
  <c r="F36" l="1"/>
  <c r="E36"/>
  <c r="D36"/>
  <c r="C36"/>
  <c r="B36"/>
  <c r="G35"/>
  <c r="H33" l="1"/>
  <c r="G33"/>
  <c r="H32"/>
  <c r="G32"/>
  <c r="G30"/>
  <c r="G28"/>
  <c r="G36" l="1"/>
  <c r="B27" l="1"/>
  <c r="B39" l="1"/>
  <c r="C26"/>
  <c r="D26" s="1"/>
  <c r="G25"/>
  <c r="B22"/>
  <c r="G18"/>
  <c r="G17"/>
  <c r="F17"/>
  <c r="E17"/>
  <c r="D17"/>
  <c r="C17"/>
  <c r="B17" s="1"/>
  <c r="H16"/>
  <c r="G16"/>
  <c r="H15"/>
  <c r="H17" s="1"/>
  <c r="G15"/>
  <c r="F15"/>
  <c r="E15"/>
  <c r="D15"/>
  <c r="C15"/>
  <c r="B15"/>
  <c r="F13"/>
  <c r="E13"/>
  <c r="D13"/>
  <c r="C13"/>
  <c r="B13"/>
  <c r="G12"/>
  <c r="G11"/>
  <c r="G13" s="1"/>
  <c r="F9"/>
  <c r="E9"/>
  <c r="D9"/>
  <c r="C9"/>
  <c r="B9"/>
  <c r="H35" i="13" l="1"/>
  <c r="D27" i="4"/>
  <c r="E26"/>
  <c r="C27"/>
  <c r="B42"/>
  <c r="B34" s="1"/>
  <c r="H20" i="13"/>
  <c r="G49" i="4"/>
  <c r="E27" l="1"/>
  <c r="F26"/>
  <c r="D39"/>
  <c r="B50"/>
  <c r="B47"/>
  <c r="B37"/>
  <c r="C39"/>
  <c r="B40"/>
  <c r="B35" i="12" s="1"/>
  <c r="F7" i="4"/>
  <c r="E7"/>
  <c r="E8" s="1"/>
  <c r="D42" l="1"/>
  <c r="E39"/>
  <c r="F8"/>
  <c r="F27"/>
  <c r="D7"/>
  <c r="B39" i="12"/>
  <c r="B36"/>
  <c r="B34"/>
  <c r="B31"/>
  <c r="B26"/>
  <c r="B21"/>
  <c r="G21" s="1"/>
  <c r="B18"/>
  <c r="B16"/>
  <c r="B13"/>
  <c r="B37"/>
  <c r="B33"/>
  <c r="B29"/>
  <c r="B27"/>
  <c r="B23"/>
  <c r="B19"/>
  <c r="B17"/>
  <c r="B15"/>
  <c r="B12"/>
  <c r="B9"/>
  <c r="B11"/>
  <c r="B8"/>
  <c r="B6"/>
  <c r="B5"/>
  <c r="B43" i="4"/>
  <c r="B28" i="12"/>
  <c r="B15" i="6"/>
  <c r="B10" s="1"/>
  <c r="G22" i="1" s="1"/>
  <c r="C7" i="4" l="1"/>
  <c r="D8"/>
  <c r="F39"/>
  <c r="C42"/>
  <c r="C34" s="1"/>
  <c r="D34"/>
  <c r="H16" i="13"/>
  <c r="G23" i="1"/>
  <c r="G26" s="1"/>
  <c r="G30" s="1"/>
  <c r="D50" i="4" l="1"/>
  <c r="D47"/>
  <c r="D37"/>
  <c r="D40"/>
  <c r="B7"/>
  <c r="B7" i="12" s="1"/>
  <c r="C8" i="4"/>
  <c r="H15" i="13"/>
  <c r="G42" i="1"/>
  <c r="G36"/>
  <c r="G34"/>
  <c r="F42" i="4"/>
  <c r="E42" s="1"/>
  <c r="E34" s="1"/>
  <c r="C50"/>
  <c r="C47"/>
  <c r="C37"/>
  <c r="C40"/>
  <c r="C7" i="12" s="1"/>
  <c r="D37" l="1"/>
  <c r="D33"/>
  <c r="D29"/>
  <c r="D23"/>
  <c r="D19"/>
  <c r="D17"/>
  <c r="D15"/>
  <c r="D39"/>
  <c r="D36"/>
  <c r="D34"/>
  <c r="D31"/>
  <c r="D26"/>
  <c r="D21"/>
  <c r="D18"/>
  <c r="D16"/>
  <c r="D13"/>
  <c r="D11"/>
  <c r="D6"/>
  <c r="D12"/>
  <c r="D9"/>
  <c r="D5"/>
  <c r="D43" i="4"/>
  <c r="D27" i="12"/>
  <c r="D28"/>
  <c r="D7"/>
  <c r="D35"/>
  <c r="E50" i="4"/>
  <c r="E47"/>
  <c r="E37"/>
  <c r="E40"/>
  <c r="G40" i="1"/>
  <c r="G39"/>
  <c r="G46" i="4"/>
  <c r="D8" i="12"/>
  <c r="C37"/>
  <c r="C33"/>
  <c r="C29"/>
  <c r="C23"/>
  <c r="C19"/>
  <c r="C17"/>
  <c r="C15"/>
  <c r="C39"/>
  <c r="C36"/>
  <c r="C34"/>
  <c r="C31"/>
  <c r="C26"/>
  <c r="C21"/>
  <c r="C18"/>
  <c r="C16"/>
  <c r="C13"/>
  <c r="C12"/>
  <c r="C9"/>
  <c r="C6"/>
  <c r="C11"/>
  <c r="C5"/>
  <c r="C43" i="4"/>
  <c r="C27" i="12"/>
  <c r="C28"/>
  <c r="C35"/>
  <c r="C8"/>
  <c r="E39" l="1"/>
  <c r="E36"/>
  <c r="E34"/>
  <c r="E31"/>
  <c r="E26"/>
  <c r="E21"/>
  <c r="E18"/>
  <c r="E16"/>
  <c r="E13"/>
  <c r="E37"/>
  <c r="E33"/>
  <c r="E29"/>
  <c r="E23"/>
  <c r="E19"/>
  <c r="E17"/>
  <c r="E15"/>
  <c r="E11"/>
  <c r="E6"/>
  <c r="E12"/>
  <c r="E9"/>
  <c r="E5"/>
  <c r="E43" i="4"/>
  <c r="E27" i="12"/>
  <c r="E28"/>
  <c r="E7"/>
  <c r="E8"/>
  <c r="E35"/>
  <c r="F34" i="4"/>
  <c r="F40"/>
  <c r="F9" i="12"/>
  <c r="G9"/>
  <c r="F16"/>
  <c r="G16"/>
  <c r="F29"/>
  <c r="G29"/>
  <c r="F7"/>
  <c r="G7"/>
  <c r="F18"/>
  <c r="G18"/>
  <c r="F13"/>
  <c r="G13"/>
  <c r="F15"/>
  <c r="G15"/>
  <c r="F36"/>
  <c r="G36"/>
  <c r="F11"/>
  <c r="G11"/>
  <c r="F31"/>
  <c r="G31"/>
  <c r="F34"/>
  <c r="G34"/>
  <c r="F26"/>
  <c r="G26"/>
  <c r="F19"/>
  <c r="G19"/>
  <c r="F35"/>
  <c r="G35"/>
  <c r="F17"/>
  <c r="G17"/>
  <c r="F28"/>
  <c r="G28"/>
  <c r="F39"/>
  <c r="G39"/>
  <c r="F8"/>
  <c r="G8"/>
  <c r="F37"/>
  <c r="G37"/>
  <c r="F5"/>
  <c r="G5"/>
  <c r="F23"/>
  <c r="G23"/>
  <c r="F33"/>
  <c r="G33"/>
  <c r="F27"/>
  <c r="G27"/>
  <c r="F12"/>
  <c r="G12"/>
  <c r="F6"/>
  <c r="G6"/>
  <c r="G19" i="4"/>
  <c r="H19" i="13"/>
  <c r="H22"/>
  <c r="I6" i="1"/>
  <c r="J6"/>
  <c r="K6"/>
  <c r="K15"/>
  <c r="K32" i="4"/>
  <c r="K33"/>
  <c r="H35"/>
  <c r="I35"/>
  <c r="J35"/>
  <c r="K35"/>
  <c r="K36"/>
  <c r="G7"/>
  <c r="G8"/>
  <c r="G6"/>
  <c r="H7"/>
  <c r="H8"/>
  <c r="H6"/>
  <c r="I20" i="1"/>
  <c r="I23"/>
  <c r="I25"/>
  <c r="I26"/>
  <c r="I28"/>
  <c r="I30"/>
  <c r="I36"/>
  <c r="I42"/>
  <c r="I7" i="4"/>
  <c r="I8"/>
  <c r="I6"/>
  <c r="J20" i="1"/>
  <c r="J23"/>
  <c r="J25"/>
  <c r="J26"/>
  <c r="J28"/>
  <c r="J30"/>
  <c r="J36"/>
  <c r="J42"/>
  <c r="J7" i="4"/>
  <c r="J8"/>
  <c r="J6"/>
  <c r="K20" i="1"/>
  <c r="K23"/>
  <c r="K25"/>
  <c r="K26"/>
  <c r="K28"/>
  <c r="K30"/>
  <c r="K36"/>
  <c r="K42"/>
  <c r="K7" i="4"/>
  <c r="K8"/>
  <c r="K6"/>
  <c r="K15"/>
  <c r="K16"/>
  <c r="K17"/>
  <c r="H18"/>
  <c r="I18"/>
  <c r="J18"/>
  <c r="K18"/>
  <c r="K19"/>
  <c r="G5"/>
  <c r="H5"/>
  <c r="I5"/>
  <c r="J5"/>
  <c r="K5"/>
  <c r="K9"/>
  <c r="H11"/>
  <c r="I11"/>
  <c r="J11"/>
  <c r="K11"/>
  <c r="H12"/>
  <c r="I12"/>
  <c r="J12"/>
  <c r="K12"/>
  <c r="K13"/>
  <c r="H9"/>
  <c r="J15"/>
  <c r="J16"/>
  <c r="J17"/>
  <c r="J19"/>
  <c r="I15"/>
  <c r="I16"/>
  <c r="I17"/>
  <c r="G26"/>
  <c r="H26"/>
  <c r="I26"/>
  <c r="I19"/>
  <c r="G27"/>
  <c r="J9"/>
  <c r="I13"/>
  <c r="J26"/>
  <c r="K26"/>
  <c r="G9"/>
  <c r="I9"/>
  <c r="J13"/>
  <c r="H13"/>
  <c r="G48"/>
  <c r="F19"/>
  <c r="E19"/>
  <c r="D19"/>
  <c r="C19"/>
  <c r="B19"/>
  <c r="G22"/>
  <c r="G39"/>
  <c r="G42"/>
  <c r="G34"/>
  <c r="G50"/>
  <c r="G37"/>
  <c r="H28"/>
  <c r="I28"/>
  <c r="J28"/>
  <c r="K28"/>
  <c r="H36"/>
  <c r="H30"/>
  <c r="I30"/>
  <c r="J30"/>
  <c r="K30"/>
  <c r="K22"/>
  <c r="H25"/>
  <c r="I25"/>
  <c r="J25"/>
  <c r="K25"/>
  <c r="K27"/>
  <c r="K39"/>
  <c r="K42"/>
  <c r="K34"/>
  <c r="J22"/>
  <c r="J15" i="1"/>
  <c r="J32" i="4"/>
  <c r="J33"/>
  <c r="J36"/>
  <c r="J27"/>
  <c r="J39"/>
  <c r="J42"/>
  <c r="J34"/>
  <c r="I22"/>
  <c r="I15" i="1"/>
  <c r="I32" i="4"/>
  <c r="I33"/>
  <c r="I36"/>
  <c r="I27"/>
  <c r="I39"/>
  <c r="I42"/>
  <c r="I34"/>
  <c r="H19"/>
  <c r="H22"/>
  <c r="H27"/>
  <c r="H39"/>
  <c r="H42"/>
  <c r="H34"/>
  <c r="G40"/>
  <c r="J40"/>
  <c r="H40"/>
  <c r="K40"/>
  <c r="I40"/>
  <c r="G43"/>
  <c r="F22"/>
  <c r="E22"/>
  <c r="D22"/>
  <c r="C22"/>
  <c r="H43"/>
  <c r="I43"/>
  <c r="K43"/>
  <c r="J43"/>
  <c r="G45"/>
  <c r="I46"/>
  <c r="G47"/>
  <c r="J45"/>
  <c r="H46"/>
  <c r="K45"/>
  <c r="I45"/>
  <c r="K46"/>
  <c r="H45"/>
  <c r="J46"/>
  <c r="J48"/>
  <c r="J47"/>
  <c r="K48"/>
  <c r="K47"/>
  <c r="I48"/>
  <c r="I47"/>
  <c r="H48"/>
  <c r="H47"/>
  <c r="I19" i="13"/>
  <c r="I20"/>
  <c r="I22"/>
  <c r="F37" i="4"/>
  <c r="F47"/>
  <c r="F50"/>
  <c r="F43"/>
  <c r="F21" i="12"/>
  <c r="I32" i="1"/>
  <c r="J32"/>
  <c r="K32"/>
  <c r="I7"/>
  <c r="I8"/>
  <c r="I10"/>
  <c r="I11"/>
  <c r="I12"/>
  <c r="I5"/>
  <c r="I13"/>
  <c r="I16"/>
  <c r="I18"/>
  <c r="I19"/>
  <c r="K5"/>
  <c r="K7"/>
  <c r="K8"/>
  <c r="K10"/>
  <c r="K11"/>
  <c r="K13"/>
  <c r="K16"/>
  <c r="K12"/>
  <c r="K19"/>
  <c r="K18"/>
  <c r="J8"/>
  <c r="J10"/>
  <c r="J11"/>
  <c r="J12"/>
  <c r="J5"/>
  <c r="J7"/>
  <c r="J13"/>
  <c r="J16"/>
  <c r="J19"/>
  <c r="J18"/>
  <c r="H37" i="13"/>
  <c r="H40"/>
  <c r="H45"/>
  <c r="I35"/>
  <c r="I37"/>
  <c r="I40"/>
  <c r="I45"/>
  <c r="J15"/>
  <c r="J17"/>
  <c r="J19"/>
  <c r="J20"/>
  <c r="J22"/>
  <c r="J34"/>
  <c r="J35"/>
  <c r="J37"/>
  <c r="J40"/>
  <c r="J45"/>
  <c r="K15"/>
  <c r="K17"/>
  <c r="K19"/>
  <c r="K20"/>
  <c r="K22"/>
  <c r="K34"/>
  <c r="K35"/>
  <c r="K37"/>
  <c r="K40"/>
  <c r="K45"/>
  <c r="L15"/>
  <c r="L17"/>
  <c r="L19"/>
  <c r="L20"/>
  <c r="L22"/>
  <c r="L34"/>
  <c r="L35"/>
  <c r="L37"/>
  <c r="L38"/>
  <c r="L40"/>
  <c r="L45"/>
  <c r="C47"/>
  <c r="H25"/>
  <c r="H30"/>
  <c r="I25"/>
  <c r="I30"/>
  <c r="J25"/>
  <c r="J30"/>
  <c r="K25"/>
  <c r="K30"/>
  <c r="L23"/>
  <c r="L25"/>
  <c r="L30"/>
  <c r="C32"/>
  <c r="J39" i="1"/>
  <c r="I39"/>
  <c r="I40"/>
  <c r="H40"/>
  <c r="K39"/>
  <c r="K40"/>
  <c r="J40"/>
  <c r="H37" i="4"/>
  <c r="K49"/>
  <c r="J50"/>
  <c r="J34" i="1"/>
  <c r="K37" i="4"/>
  <c r="J49"/>
  <c r="I50"/>
  <c r="C51" i="13"/>
  <c r="K34" i="1"/>
  <c r="I34"/>
  <c r="J37" i="4"/>
  <c r="I49"/>
  <c r="H50"/>
  <c r="I37"/>
  <c r="H49"/>
  <c r="K50"/>
</calcChain>
</file>

<file path=xl/comments1.xml><?xml version="1.0" encoding="utf-8"?>
<comments xmlns="http://schemas.openxmlformats.org/spreadsheetml/2006/main">
  <authors>
    <author>Guru</author>
  </authors>
  <commentList>
    <comment ref="A19" authorId="0">
      <text>
        <r>
          <rPr>
            <b/>
            <sz val="8"/>
            <color indexed="81"/>
            <rFont val="Tahoma"/>
            <family val="2"/>
          </rPr>
          <t>For the first year, high investments in previous year is expected to be reversed to meet needs of high dividend payment</t>
        </r>
      </text>
    </comment>
    <comment ref="F28" authorId="0">
      <text>
        <r>
          <rPr>
            <b/>
            <sz val="8"/>
            <color indexed="81"/>
            <rFont val="Tahoma"/>
            <family val="2"/>
          </rPr>
          <t>Due to diverse nature of the data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Basesh Gala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Basesh Gala:</t>
        </r>
        <r>
          <rPr>
            <sz val="9"/>
            <color indexed="81"/>
            <rFont val="Tahoma"/>
            <family val="2"/>
          </rPr>
          <t xml:space="preserve">
Net Income</t>
        </r>
      </text>
    </comment>
  </commentList>
</comments>
</file>

<file path=xl/sharedStrings.xml><?xml version="1.0" encoding="utf-8"?>
<sst xmlns="http://schemas.openxmlformats.org/spreadsheetml/2006/main" count="269" uniqueCount="174">
  <si>
    <t>Income Statement</t>
  </si>
  <si>
    <t>Year ended 31 March</t>
  </si>
  <si>
    <t>Yearly</t>
  </si>
  <si>
    <t>Gross Sales</t>
  </si>
  <si>
    <t>Net Sales</t>
  </si>
  <si>
    <t>Revenue Block</t>
  </si>
  <si>
    <t>Consumption of raw materials</t>
  </si>
  <si>
    <t>Purchase of traded goods</t>
  </si>
  <si>
    <t>Employees cost</t>
  </si>
  <si>
    <t>Change in stock-in-trade and WIP</t>
  </si>
  <si>
    <t>Cost of Goods Sold</t>
  </si>
  <si>
    <t>Gross Profit</t>
  </si>
  <si>
    <t>Other expenses</t>
  </si>
  <si>
    <t>Expense Block</t>
  </si>
  <si>
    <t>EBITDA</t>
  </si>
  <si>
    <t>Depreciation</t>
  </si>
  <si>
    <t>EBIT</t>
  </si>
  <si>
    <t>Interest expense</t>
  </si>
  <si>
    <t>Other income</t>
  </si>
  <si>
    <t>Profit Before Tax</t>
  </si>
  <si>
    <t>Tax expense</t>
  </si>
  <si>
    <t>Net Profit After Tax</t>
  </si>
  <si>
    <t>Other operating income</t>
  </si>
  <si>
    <t>Total operating income</t>
  </si>
  <si>
    <t>Earnings per share</t>
  </si>
  <si>
    <t>Paid-up share capital</t>
  </si>
  <si>
    <t>Ordinary Dividends paid</t>
  </si>
  <si>
    <t>Special Dividends paid</t>
  </si>
  <si>
    <t>Ordinary Dividends per share</t>
  </si>
  <si>
    <t>Total Dividends per share</t>
  </si>
  <si>
    <t>Asset Block</t>
  </si>
  <si>
    <t>Liability Block</t>
  </si>
  <si>
    <t>Ordinary Share capital</t>
  </si>
  <si>
    <t>Retained earnings</t>
  </si>
  <si>
    <t>Shareholder's equity</t>
  </si>
  <si>
    <t>Reserves and surplus</t>
  </si>
  <si>
    <t xml:space="preserve">    Retained earnings</t>
  </si>
  <si>
    <t>Total shareholders' funds</t>
  </si>
  <si>
    <t>Secured Loans</t>
  </si>
  <si>
    <t>Unsecured Loans</t>
  </si>
  <si>
    <t>Total Debt</t>
  </si>
  <si>
    <t>Deferred Tax Liabilities</t>
  </si>
  <si>
    <t>Other Current Liabilities</t>
  </si>
  <si>
    <t>Sundry Creditors</t>
  </si>
  <si>
    <t>Total current liabilities</t>
  </si>
  <si>
    <t>Provisions</t>
  </si>
  <si>
    <t>Total current liabilities and provisions</t>
  </si>
  <si>
    <t>Total Liabilities and shareholders' equity</t>
  </si>
  <si>
    <t>Less: Accum. Depreciation</t>
  </si>
  <si>
    <t>Net Block</t>
  </si>
  <si>
    <t>Capital Work in Progress</t>
  </si>
  <si>
    <t>Gross Fixed Assets</t>
  </si>
  <si>
    <t>Investments</t>
  </si>
  <si>
    <t>Cash and Bank Balance</t>
  </si>
  <si>
    <t>Inventories</t>
  </si>
  <si>
    <t>Sundry Debtors</t>
  </si>
  <si>
    <t>Loans and Advances</t>
  </si>
  <si>
    <t>Total Current Assets, Loans and Advances</t>
  </si>
  <si>
    <t>Total Assets</t>
  </si>
  <si>
    <t>(Rs. Crs.)</t>
  </si>
  <si>
    <t>(Rs. Crs)</t>
  </si>
  <si>
    <t xml:space="preserve">    Change in reserves ( ex appropriation)</t>
  </si>
  <si>
    <t>Book Value per share (Rs.)</t>
  </si>
  <si>
    <t>Net Debt (Rs. Crs.)</t>
  </si>
  <si>
    <t>Balance Sheet</t>
  </si>
  <si>
    <t>Provisions ex Dividends (Rs. Crs.)</t>
  </si>
  <si>
    <t>Income Statement related assumptions</t>
  </si>
  <si>
    <t>User Inputs</t>
  </si>
  <si>
    <t>Name</t>
  </si>
  <si>
    <t>Value</t>
  </si>
  <si>
    <t>Unit</t>
  </si>
  <si>
    <t>Comments</t>
  </si>
  <si>
    <t>Rate of change in sales</t>
  </si>
  <si>
    <t>Increase in Sales Trend1</t>
  </si>
  <si>
    <t>Trend 1 Years</t>
  </si>
  <si>
    <t>5 years growth period</t>
  </si>
  <si>
    <t>Mature phase - Decay</t>
  </si>
  <si>
    <t>Increase in Sales Trend2</t>
  </si>
  <si>
    <t>(as a % of Net Sales)</t>
  </si>
  <si>
    <t>Average</t>
  </si>
  <si>
    <t xml:space="preserve">    Change in reserves</t>
  </si>
  <si>
    <t>Net Sales growth rate</t>
  </si>
  <si>
    <t>Issue of Share Capital per year</t>
  </si>
  <si>
    <t>Every year shares issued</t>
  </si>
  <si>
    <t>Dividend Payout ratio</t>
  </si>
  <si>
    <t>Balance Sheet related assumptions</t>
  </si>
  <si>
    <t>Rs. Crs</t>
  </si>
  <si>
    <t>Additions to GFA per year</t>
  </si>
  <si>
    <t>Capital WIP</t>
  </si>
  <si>
    <t>Additions to capital WIP per year</t>
  </si>
  <si>
    <t>% of GFA</t>
  </si>
  <si>
    <t>Based on 5-year average as % of GFA</t>
  </si>
  <si>
    <t>YoY growth</t>
  </si>
  <si>
    <t>No. of days</t>
  </si>
  <si>
    <t>Based on average inventory days</t>
  </si>
  <si>
    <t>Based on average debtor days</t>
  </si>
  <si>
    <t>Loans and advances</t>
  </si>
  <si>
    <t>Taken as an average of past 4-years</t>
  </si>
  <si>
    <t>Change in Reserves</t>
  </si>
  <si>
    <t>Additions to Reserves per year</t>
  </si>
  <si>
    <t>Additions to Secured Loans per year</t>
  </si>
  <si>
    <t>Additions to Unsecured Loans per year</t>
  </si>
  <si>
    <t>Based on average creditor days</t>
  </si>
  <si>
    <t>% of Net Sales</t>
  </si>
  <si>
    <t>5-year average as a % of Net Sales</t>
  </si>
  <si>
    <t>Provisions ex Dividends</t>
  </si>
  <si>
    <t>Taken as equal to one for latest available year</t>
  </si>
  <si>
    <t>Total Current Assets, Loans and Advances ex Cash</t>
  </si>
  <si>
    <t>Total Assets ex Cash</t>
  </si>
  <si>
    <t>Total CA with Cash</t>
  </si>
  <si>
    <t>Liabilities - Asset Match ex Cash check</t>
  </si>
  <si>
    <t>L=A?</t>
  </si>
  <si>
    <t>Total assets</t>
  </si>
  <si>
    <t>Cap Ex</t>
  </si>
  <si>
    <t>Working Capital (Rs. Crs.) ex Cash</t>
  </si>
  <si>
    <t>Working capital including Cash</t>
  </si>
  <si>
    <t>Rf</t>
  </si>
  <si>
    <t>Rm</t>
  </si>
  <si>
    <t>B</t>
  </si>
  <si>
    <t>Rd</t>
  </si>
  <si>
    <t>Variables</t>
  </si>
  <si>
    <t>Values</t>
  </si>
  <si>
    <t>Average Interest Expense Divided by Average debt</t>
  </si>
  <si>
    <t>Regression; Website</t>
  </si>
  <si>
    <t>Average Nifty returns</t>
  </si>
  <si>
    <t>Risk free rate; Govt. of India bond Rate of 30 years</t>
  </si>
  <si>
    <t>Calculate average tax payment on profit before tax</t>
  </si>
  <si>
    <t>Net Income</t>
  </si>
  <si>
    <t>FCFF</t>
  </si>
  <si>
    <t>FCFE</t>
  </si>
  <si>
    <t>Depreciation (Add)</t>
  </si>
  <si>
    <t>Interest * ( 1- tax)  (Add)</t>
  </si>
  <si>
    <t>Change in WC excl. cash (Subtract)</t>
  </si>
  <si>
    <t>Cap Ex (Subtract)</t>
  </si>
  <si>
    <t>Interest * ( 1- tax) (Subtract)</t>
  </si>
  <si>
    <t>Net Borrowings (Add)</t>
  </si>
  <si>
    <t>Re</t>
  </si>
  <si>
    <t>G</t>
  </si>
  <si>
    <t>terminal growth rate</t>
  </si>
  <si>
    <t>Terminal Value</t>
  </si>
  <si>
    <t>CF</t>
  </si>
  <si>
    <t>No of Shares</t>
  </si>
  <si>
    <t>Valuation per share</t>
  </si>
  <si>
    <t>Period</t>
  </si>
  <si>
    <t>Wacc</t>
  </si>
  <si>
    <t>Wd</t>
  </si>
  <si>
    <t>We</t>
  </si>
  <si>
    <t>CF of FCFF</t>
  </si>
  <si>
    <t>User</t>
  </si>
  <si>
    <t>A</t>
  </si>
  <si>
    <t>Sum</t>
  </si>
  <si>
    <t>Product</t>
  </si>
  <si>
    <t>Sum Product</t>
  </si>
  <si>
    <t>Rate</t>
  </si>
  <si>
    <t>in %</t>
  </si>
  <si>
    <t>years</t>
  </si>
  <si>
    <t>%</t>
  </si>
  <si>
    <t>% inc</t>
  </si>
  <si>
    <t>as a % of GFA</t>
  </si>
  <si>
    <t>Beta</t>
  </si>
  <si>
    <t>Discount Factor for FCFE</t>
  </si>
  <si>
    <t>Discount Factor for FCFF</t>
  </si>
  <si>
    <t>PV CF for FCFF</t>
  </si>
  <si>
    <t>PV CF for FCFE</t>
  </si>
  <si>
    <t>Value of Firm</t>
  </si>
  <si>
    <t>Value of equity</t>
  </si>
  <si>
    <t>Tax rate</t>
  </si>
  <si>
    <t>Market Value</t>
  </si>
  <si>
    <t>Growth rate</t>
  </si>
  <si>
    <t>Dividend per share</t>
  </si>
  <si>
    <t>Retention ratio</t>
  </si>
  <si>
    <t>Return on Equity(ROE)</t>
  </si>
  <si>
    <t>Intrinsic value</t>
  </si>
  <si>
    <t>Div1</t>
  </si>
</sst>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0.0%"/>
    <numFmt numFmtId="168" formatCode="_(&quot;$&quot;* #,##0.0_);_(&quot;$&quot;* \(#,##0.0\);_(&quot;$&quot;* &quot;-&quot;??_);_(@_)"/>
    <numFmt numFmtId="169" formatCode="_ [$₹-4009]\ * #,##0.00_ ;_ [$₹-4009]\ * \-#,##0.00_ ;_ [$₹-4009]\ * &quot;-&quot;??_ ;_ @_ "/>
  </numFmts>
  <fonts count="2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b/>
      <sz val="10"/>
      <color indexed="10"/>
      <name val="Verdana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color rgb="FF11111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1" xfId="0" applyBorder="1"/>
    <xf numFmtId="166" fontId="6" fillId="0" borderId="1" xfId="0" applyNumberFormat="1" applyFont="1" applyBorder="1" applyAlignment="1"/>
    <xf numFmtId="0" fontId="9" fillId="0" borderId="0" xfId="0" applyFont="1"/>
    <xf numFmtId="0" fontId="4" fillId="4" borderId="0" xfId="0" applyFont="1" applyFill="1"/>
    <xf numFmtId="166" fontId="6" fillId="0" borderId="1" xfId="0" applyNumberFormat="1" applyFont="1" applyFill="1" applyBorder="1" applyAlignment="1">
      <alignment horizontal="right"/>
    </xf>
    <xf numFmtId="166" fontId="6" fillId="0" borderId="1" xfId="0" applyNumberFormat="1" applyFont="1" applyBorder="1"/>
    <xf numFmtId="0" fontId="9" fillId="0" borderId="4" xfId="0" applyFont="1" applyBorder="1"/>
    <xf numFmtId="166" fontId="6" fillId="5" borderId="1" xfId="0" applyNumberFormat="1" applyFont="1" applyFill="1" applyBorder="1"/>
    <xf numFmtId="0" fontId="10" fillId="0" borderId="0" xfId="0" applyFont="1"/>
    <xf numFmtId="166" fontId="7" fillId="5" borderId="1" xfId="0" applyNumberFormat="1" applyFont="1" applyFill="1" applyBorder="1"/>
    <xf numFmtId="0" fontId="11" fillId="0" borderId="0" xfId="0" applyFont="1"/>
    <xf numFmtId="0" fontId="5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9" fillId="0" borderId="2" xfId="0" applyFont="1" applyBorder="1"/>
    <xf numFmtId="0" fontId="7" fillId="2" borderId="2" xfId="0" applyFont="1" applyFill="1" applyBorder="1"/>
    <xf numFmtId="166" fontId="6" fillId="0" borderId="1" xfId="0" applyNumberFormat="1" applyFont="1" applyBorder="1" applyAlignment="1">
      <alignment horizontal="right"/>
    </xf>
    <xf numFmtId="166" fontId="6" fillId="0" borderId="1" xfId="2" applyNumberFormat="1" applyFont="1" applyBorder="1" applyAlignment="1">
      <alignment horizontal="right"/>
    </xf>
    <xf numFmtId="166" fontId="6" fillId="0" borderId="1" xfId="1" applyNumberFormat="1" applyFont="1" applyBorder="1" applyAlignment="1"/>
    <xf numFmtId="0" fontId="5" fillId="0" borderId="1" xfId="0" applyFont="1" applyBorder="1"/>
    <xf numFmtId="166" fontId="7" fillId="5" borderId="1" xfId="0" applyNumberFormat="1" applyFont="1" applyFill="1" applyBorder="1" applyAlignment="1">
      <alignment horizontal="right"/>
    </xf>
    <xf numFmtId="166" fontId="6" fillId="0" borderId="1" xfId="0" applyNumberFormat="1" applyFont="1" applyFill="1" applyBorder="1"/>
    <xf numFmtId="0" fontId="11" fillId="0" borderId="1" xfId="0" applyFont="1" applyBorder="1"/>
    <xf numFmtId="2" fontId="6" fillId="5" borderId="1" xfId="0" applyNumberFormat="1" applyFont="1" applyFill="1" applyBorder="1"/>
    <xf numFmtId="2" fontId="7" fillId="5" borderId="1" xfId="0" applyNumberFormat="1" applyFont="1" applyFill="1" applyBorder="1"/>
    <xf numFmtId="166" fontId="7" fillId="5" borderId="3" xfId="0" applyNumberFormat="1" applyFont="1" applyFill="1" applyBorder="1"/>
    <xf numFmtId="0" fontId="11" fillId="0" borderId="3" xfId="0" applyFont="1" applyBorder="1"/>
    <xf numFmtId="0" fontId="8" fillId="3" borderId="0" xfId="0" applyFont="1" applyFill="1"/>
    <xf numFmtId="166" fontId="13" fillId="0" borderId="3" xfId="0" applyNumberFormat="1" applyFont="1" applyFill="1" applyBorder="1"/>
    <xf numFmtId="0" fontId="12" fillId="0" borderId="5" xfId="0" applyFont="1" applyFill="1" applyBorder="1"/>
    <xf numFmtId="0" fontId="4" fillId="4" borderId="6" xfId="0" applyFont="1" applyFill="1" applyBorder="1"/>
    <xf numFmtId="166" fontId="7" fillId="6" borderId="1" xfId="0" applyNumberFormat="1" applyFont="1" applyFill="1" applyBorder="1"/>
    <xf numFmtId="0" fontId="5" fillId="0" borderId="2" xfId="0" applyFont="1" applyBorder="1"/>
    <xf numFmtId="166" fontId="6" fillId="0" borderId="2" xfId="0" applyNumberFormat="1" applyFont="1" applyBorder="1"/>
    <xf numFmtId="0" fontId="5" fillId="0" borderId="3" xfId="0" applyFont="1" applyBorder="1"/>
    <xf numFmtId="166" fontId="6" fillId="0" borderId="3" xfId="0" applyNumberFormat="1" applyFont="1" applyBorder="1"/>
    <xf numFmtId="0" fontId="14" fillId="3" borderId="0" xfId="0" applyFont="1" applyFill="1"/>
    <xf numFmtId="0" fontId="15" fillId="3" borderId="0" xfId="0" applyFont="1" applyFill="1"/>
    <xf numFmtId="0" fontId="4" fillId="0" borderId="0" xfId="0" applyFont="1"/>
    <xf numFmtId="9" fontId="0" fillId="0" borderId="0" xfId="0" applyNumberFormat="1"/>
    <xf numFmtId="0" fontId="16" fillId="0" borderId="0" xfId="0" applyFont="1"/>
    <xf numFmtId="0" fontId="17" fillId="0" borderId="1" xfId="0" applyFont="1" applyBorder="1"/>
    <xf numFmtId="0" fontId="7" fillId="2" borderId="4" xfId="0" applyFont="1" applyFill="1" applyBorder="1"/>
    <xf numFmtId="9" fontId="6" fillId="0" borderId="1" xfId="3" applyFont="1" applyBorder="1"/>
    <xf numFmtId="0" fontId="11" fillId="0" borderId="5" xfId="0" applyNumberFormat="1" applyFont="1" applyFill="1" applyBorder="1" applyAlignment="1">
      <alignment vertical="center"/>
    </xf>
    <xf numFmtId="0" fontId="9" fillId="0" borderId="8" xfId="0" applyFont="1" applyBorder="1"/>
    <xf numFmtId="10" fontId="0" fillId="0" borderId="0" xfId="0" applyNumberFormat="1"/>
    <xf numFmtId="9" fontId="5" fillId="0" borderId="0" xfId="0" applyNumberFormat="1" applyFont="1"/>
    <xf numFmtId="1" fontId="5" fillId="0" borderId="0" xfId="0" applyNumberFormat="1" applyFont="1"/>
    <xf numFmtId="0" fontId="1" fillId="0" borderId="0" xfId="0" applyFont="1"/>
    <xf numFmtId="10" fontId="5" fillId="0" borderId="0" xfId="0" applyNumberFormat="1" applyFont="1"/>
    <xf numFmtId="0" fontId="5" fillId="7" borderId="0" xfId="0" applyFont="1" applyFill="1"/>
    <xf numFmtId="166" fontId="6" fillId="7" borderId="1" xfId="0" applyNumberFormat="1" applyFont="1" applyFill="1" applyBorder="1"/>
    <xf numFmtId="0" fontId="0" fillId="7" borderId="0" xfId="0" applyFill="1"/>
    <xf numFmtId="0" fontId="12" fillId="0" borderId="0" xfId="0" applyFont="1" applyFill="1" applyBorder="1"/>
    <xf numFmtId="166" fontId="13" fillId="0" borderId="0" xfId="0" applyNumberFormat="1" applyFont="1" applyFill="1" applyBorder="1"/>
    <xf numFmtId="9" fontId="0" fillId="0" borderId="0" xfId="5" applyFont="1"/>
    <xf numFmtId="10" fontId="0" fillId="0" borderId="0" xfId="5" applyNumberFormat="1" applyFont="1"/>
    <xf numFmtId="0" fontId="0" fillId="8" borderId="0" xfId="0" applyFill="1"/>
    <xf numFmtId="0" fontId="4" fillId="8" borderId="0" xfId="0" applyFont="1" applyFill="1"/>
    <xf numFmtId="0" fontId="0" fillId="9" borderId="0" xfId="0" applyFill="1"/>
    <xf numFmtId="0" fontId="4" fillId="9" borderId="0" xfId="0" applyFont="1" applyFill="1"/>
    <xf numFmtId="0" fontId="4" fillId="10" borderId="0" xfId="0" applyFont="1" applyFill="1"/>
    <xf numFmtId="0" fontId="4" fillId="0" borderId="9" xfId="0" applyFont="1" applyBorder="1"/>
    <xf numFmtId="167" fontId="4" fillId="0" borderId="10" xfId="5" applyNumberFormat="1" applyFont="1" applyBorder="1"/>
    <xf numFmtId="10" fontId="4" fillId="0" borderId="10" xfId="5" applyNumberFormat="1" applyFont="1" applyBorder="1"/>
    <xf numFmtId="10" fontId="6" fillId="0" borderId="1" xfId="3" applyNumberFormat="1" applyFont="1" applyBorder="1"/>
    <xf numFmtId="10" fontId="6" fillId="0" borderId="1" xfId="0" applyNumberFormat="1" applyFont="1" applyBorder="1"/>
    <xf numFmtId="10" fontId="6" fillId="0" borderId="3" xfId="3" applyNumberFormat="1" applyFont="1" applyBorder="1"/>
    <xf numFmtId="10" fontId="6" fillId="0" borderId="3" xfId="0" applyNumberFormat="1" applyFont="1" applyBorder="1"/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9" xfId="0" applyFont="1" applyBorder="1"/>
    <xf numFmtId="10" fontId="0" fillId="0" borderId="10" xfId="5" applyNumberFormat="1" applyFont="1" applyBorder="1"/>
    <xf numFmtId="0" fontId="0" fillId="0" borderId="2" xfId="0" applyBorder="1" applyAlignment="1">
      <alignment horizontal="center"/>
    </xf>
    <xf numFmtId="0" fontId="1" fillId="7" borderId="4" xfId="0" applyFont="1" applyFill="1" applyBorder="1"/>
    <xf numFmtId="0" fontId="0" fillId="7" borderId="4" xfId="0" applyFill="1" applyBorder="1"/>
    <xf numFmtId="9" fontId="17" fillId="0" borderId="1" xfId="0" applyNumberFormat="1" applyFont="1" applyBorder="1"/>
    <xf numFmtId="0" fontId="5" fillId="0" borderId="0" xfId="0" applyFont="1" applyFill="1"/>
    <xf numFmtId="0" fontId="0" fillId="0" borderId="0" xfId="0" applyFill="1"/>
    <xf numFmtId="10" fontId="0" fillId="0" borderId="7" xfId="5" applyNumberFormat="1" applyFont="1" applyBorder="1"/>
    <xf numFmtId="0" fontId="4" fillId="0" borderId="11" xfId="0" applyFont="1" applyBorder="1"/>
    <xf numFmtId="0" fontId="4" fillId="0" borderId="12" xfId="0" applyFont="1" applyBorder="1"/>
    <xf numFmtId="168" fontId="4" fillId="0" borderId="0" xfId="0" applyNumberFormat="1" applyFont="1" applyFill="1"/>
    <xf numFmtId="0" fontId="0" fillId="0" borderId="4" xfId="0" applyBorder="1"/>
    <xf numFmtId="0" fontId="4" fillId="10" borderId="4" xfId="0" applyFont="1" applyFill="1" applyBorder="1"/>
    <xf numFmtId="0" fontId="4" fillId="9" borderId="8" xfId="0" applyFont="1" applyFill="1" applyBorder="1"/>
    <xf numFmtId="0" fontId="0" fillId="0" borderId="4" xfId="0" applyFill="1" applyBorder="1"/>
    <xf numFmtId="2" fontId="0" fillId="0" borderId="4" xfId="0" applyNumberFormat="1" applyBorder="1"/>
    <xf numFmtId="0" fontId="0" fillId="8" borderId="4" xfId="0" applyFill="1" applyBorder="1"/>
    <xf numFmtId="2" fontId="0" fillId="8" borderId="4" xfId="0" applyNumberFormat="1" applyFill="1" applyBorder="1"/>
    <xf numFmtId="0" fontId="4" fillId="9" borderId="4" xfId="0" applyFont="1" applyFill="1" applyBorder="1"/>
    <xf numFmtId="0" fontId="4" fillId="7" borderId="4" xfId="0" applyFont="1" applyFill="1" applyBorder="1"/>
    <xf numFmtId="0" fontId="4" fillId="8" borderId="4" xfId="0" applyFont="1" applyFill="1" applyBorder="1"/>
    <xf numFmtId="0" fontId="4" fillId="7" borderId="9" xfId="0" applyFont="1" applyFill="1" applyBorder="1"/>
    <xf numFmtId="0" fontId="4" fillId="0" borderId="0" xfId="0" applyFont="1" applyFill="1"/>
    <xf numFmtId="10" fontId="1" fillId="0" borderId="0" xfId="5" applyNumberFormat="1" applyFont="1"/>
    <xf numFmtId="169" fontId="0" fillId="0" borderId="4" xfId="0" applyNumberFormat="1" applyBorder="1"/>
    <xf numFmtId="169" fontId="0" fillId="0" borderId="4" xfId="4" applyNumberFormat="1" applyFont="1" applyBorder="1"/>
    <xf numFmtId="169" fontId="4" fillId="10" borderId="4" xfId="0" applyNumberFormat="1" applyFont="1" applyFill="1" applyBorder="1"/>
    <xf numFmtId="169" fontId="0" fillId="0" borderId="13" xfId="0" applyNumberFormat="1" applyBorder="1"/>
    <xf numFmtId="169" fontId="4" fillId="10" borderId="7" xfId="0" applyNumberFormat="1" applyFont="1" applyFill="1" applyBorder="1"/>
    <xf numFmtId="169" fontId="0" fillId="0" borderId="0" xfId="0" applyNumberFormat="1"/>
    <xf numFmtId="169" fontId="4" fillId="0" borderId="0" xfId="0" applyNumberFormat="1" applyFont="1" applyFill="1"/>
    <xf numFmtId="169" fontId="0" fillId="7" borderId="4" xfId="0" applyNumberFormat="1" applyFill="1" applyBorder="1"/>
    <xf numFmtId="169" fontId="0" fillId="0" borderId="4" xfId="5" applyNumberFormat="1" applyFont="1" applyBorder="1"/>
    <xf numFmtId="169" fontId="4" fillId="10" borderId="4" xfId="5" applyNumberFormat="1" applyFont="1" applyFill="1" applyBorder="1"/>
    <xf numFmtId="169" fontId="0" fillId="0" borderId="13" xfId="5" applyNumberFormat="1" applyFont="1" applyBorder="1"/>
    <xf numFmtId="169" fontId="4" fillId="10" borderId="7" xfId="5" applyNumberFormat="1" applyFont="1" applyFill="1" applyBorder="1"/>
    <xf numFmtId="169" fontId="4" fillId="7" borderId="4" xfId="0" applyNumberFormat="1" applyFont="1" applyFill="1" applyBorder="1"/>
    <xf numFmtId="169" fontId="4" fillId="0" borderId="4" xfId="4" applyNumberFormat="1" applyFont="1" applyFill="1" applyBorder="1"/>
    <xf numFmtId="169" fontId="0" fillId="7" borderId="1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169" fontId="0" fillId="0" borderId="0" xfId="0" applyNumberFormat="1" applyFill="1" applyBorder="1"/>
    <xf numFmtId="0" fontId="1" fillId="0" borderId="9" xfId="0" applyFont="1" applyFill="1" applyBorder="1"/>
    <xf numFmtId="169" fontId="0" fillId="0" borderId="10" xfId="0" applyNumberFormat="1" applyFill="1" applyBorder="1"/>
    <xf numFmtId="169" fontId="1" fillId="0" borderId="0" xfId="0" applyNumberFormat="1" applyFont="1" applyFill="1" applyBorder="1"/>
    <xf numFmtId="169" fontId="0" fillId="0" borderId="0" xfId="0" applyNumberFormat="1" applyFill="1"/>
    <xf numFmtId="0" fontId="24" fillId="0" borderId="0" xfId="0" applyFont="1"/>
    <xf numFmtId="0" fontId="0" fillId="0" borderId="0" xfId="0" applyBorder="1"/>
    <xf numFmtId="2" fontId="0" fillId="0" borderId="0" xfId="0" applyNumberFormat="1"/>
    <xf numFmtId="0" fontId="4" fillId="0" borderId="0" xfId="0" applyFont="1" applyFill="1" applyBorder="1"/>
    <xf numFmtId="0" fontId="4" fillId="8" borderId="9" xfId="0" applyFont="1" applyFill="1" applyBorder="1"/>
    <xf numFmtId="0" fontId="4" fillId="9" borderId="3" xfId="0" applyFont="1" applyFill="1" applyBorder="1"/>
    <xf numFmtId="0" fontId="1" fillId="9" borderId="9" xfId="0" applyFont="1" applyFill="1" applyBorder="1"/>
    <xf numFmtId="10" fontId="4" fillId="8" borderId="10" xfId="5" applyNumberFormat="1" applyFont="1" applyFill="1" applyBorder="1"/>
    <xf numFmtId="10" fontId="0" fillId="0" borderId="4" xfId="5" applyNumberFormat="1" applyFont="1" applyBorder="1"/>
    <xf numFmtId="10" fontId="0" fillId="0" borderId="4" xfId="0" applyNumberFormat="1" applyBorder="1"/>
    <xf numFmtId="169" fontId="0" fillId="0" borderId="10" xfId="0" applyNumberFormat="1" applyBorder="1"/>
  </cellXfs>
  <cellStyles count="6">
    <cellStyle name="Comma" xfId="1" builtinId="3"/>
    <cellStyle name="Currency" xfId="4" builtinId="4"/>
    <cellStyle name="Normal" xfId="0" builtinId="0"/>
    <cellStyle name="Normal_Sheet1" xfId="2"/>
    <cellStyle name="Percent" xfId="5" builtinId="5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I$3" max="100" page="10" val="22"/>
</file>

<file path=xl/ctrlProps/ctrlProp2.xml><?xml version="1.0" encoding="utf-8"?>
<formControlPr xmlns="http://schemas.microsoft.com/office/spreadsheetml/2009/9/main" objectType="Radio" firstButton="1" fmlaLink="$K$11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tables/table1.xml><?xml version="1.0" encoding="utf-8"?>
<table xmlns="http://schemas.openxmlformats.org/spreadsheetml/2006/main" id="1" name="Table1" displayName="Table1" ref="B2:D8" totalsRowShown="0">
  <autoFilter ref="B2:D8"/>
  <tableColumns count="3">
    <tableColumn id="1" name="Variables"/>
    <tableColumn id="2" name="Values"/>
    <tableColumn id="3" name="Comment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I28"/>
  <sheetViews>
    <sheetView workbookViewId="0">
      <selection activeCell="C9" sqref="C9"/>
    </sheetView>
  </sheetViews>
  <sheetFormatPr defaultRowHeight="12.75"/>
  <cols>
    <col min="1" max="1" width="37.140625" bestFit="1" customWidth="1"/>
    <col min="2" max="3" width="19" customWidth="1"/>
    <col min="4" max="4" width="12.28515625" customWidth="1"/>
    <col min="5" max="5" width="11" bestFit="1" customWidth="1"/>
    <col min="6" max="6" width="22.140625" customWidth="1"/>
  </cols>
  <sheetData>
    <row r="2" spans="1:6">
      <c r="A2" s="40" t="s">
        <v>66</v>
      </c>
      <c r="B2" s="41" t="s">
        <v>148</v>
      </c>
      <c r="C2" s="41" t="s">
        <v>79</v>
      </c>
      <c r="D2" s="41"/>
      <c r="E2" s="40" t="s">
        <v>67</v>
      </c>
    </row>
    <row r="3" spans="1:6">
      <c r="A3" s="42" t="s">
        <v>68</v>
      </c>
      <c r="B3" s="42" t="s">
        <v>69</v>
      </c>
      <c r="C3" s="42"/>
      <c r="D3" s="42" t="s">
        <v>70</v>
      </c>
      <c r="E3" s="42"/>
      <c r="F3" s="42" t="s">
        <v>71</v>
      </c>
    </row>
    <row r="5" spans="1:6">
      <c r="A5" t="s">
        <v>73</v>
      </c>
      <c r="B5" s="43">
        <v>0.15</v>
      </c>
      <c r="C5" s="43"/>
      <c r="D5" s="53" t="s">
        <v>154</v>
      </c>
      <c r="F5" t="s">
        <v>72</v>
      </c>
    </row>
    <row r="6" spans="1:6">
      <c r="A6" t="s">
        <v>74</v>
      </c>
      <c r="B6">
        <v>3</v>
      </c>
      <c r="D6" s="53" t="s">
        <v>155</v>
      </c>
      <c r="F6" t="s">
        <v>75</v>
      </c>
    </row>
    <row r="7" spans="1:6">
      <c r="A7" t="s">
        <v>77</v>
      </c>
      <c r="B7" s="43">
        <v>0.02</v>
      </c>
      <c r="C7" s="43"/>
      <c r="D7" s="53" t="s">
        <v>156</v>
      </c>
      <c r="F7" t="s">
        <v>76</v>
      </c>
    </row>
    <row r="8" spans="1:6">
      <c r="A8" s="1" t="s">
        <v>82</v>
      </c>
      <c r="B8" s="50">
        <v>0</v>
      </c>
      <c r="C8" s="50"/>
      <c r="D8" s="53" t="s">
        <v>156</v>
      </c>
      <c r="F8" s="1" t="s">
        <v>83</v>
      </c>
    </row>
    <row r="9" spans="1:6">
      <c r="A9" s="1" t="s">
        <v>84</v>
      </c>
      <c r="B9" s="43">
        <v>0.5</v>
      </c>
      <c r="C9" s="43"/>
    </row>
    <row r="10" spans="1:6" ht="15">
      <c r="A10" s="53" t="s">
        <v>15</v>
      </c>
      <c r="B10" s="50">
        <f>'Balance Sheet'!F54</f>
        <v>5.9290423670742762E-2</v>
      </c>
      <c r="D10" s="2" t="s">
        <v>90</v>
      </c>
      <c r="E10" s="2"/>
      <c r="F10" s="2" t="s">
        <v>91</v>
      </c>
    </row>
    <row r="11" spans="1:6" ht="15">
      <c r="A11" s="53"/>
      <c r="B11" s="50"/>
      <c r="D11" s="2"/>
      <c r="E11" s="2"/>
      <c r="F11" s="2"/>
    </row>
    <row r="13" spans="1:6">
      <c r="A13" s="40" t="s">
        <v>85</v>
      </c>
      <c r="B13" s="41"/>
      <c r="C13" s="41"/>
      <c r="D13" s="41"/>
      <c r="E13" s="40" t="s">
        <v>67</v>
      </c>
    </row>
    <row r="14" spans="1:6">
      <c r="A14" s="42" t="s">
        <v>68</v>
      </c>
      <c r="B14" s="42" t="s">
        <v>69</v>
      </c>
      <c r="C14" s="42"/>
      <c r="D14" s="42" t="s">
        <v>70</v>
      </c>
      <c r="E14" s="42"/>
      <c r="F14" s="42" t="s">
        <v>71</v>
      </c>
    </row>
    <row r="15" spans="1:6">
      <c r="A15" s="1" t="s">
        <v>82</v>
      </c>
      <c r="B15" s="50">
        <f>B8</f>
        <v>0</v>
      </c>
      <c r="C15" s="50"/>
      <c r="D15" s="53" t="s">
        <v>157</v>
      </c>
      <c r="F15" s="1" t="s">
        <v>83</v>
      </c>
    </row>
    <row r="16" spans="1:6" ht="15">
      <c r="A16" s="2" t="s">
        <v>51</v>
      </c>
      <c r="B16" s="2">
        <v>1500</v>
      </c>
      <c r="C16" s="2"/>
      <c r="D16" s="2" t="s">
        <v>86</v>
      </c>
      <c r="E16" s="2"/>
      <c r="F16" s="2" t="s">
        <v>87</v>
      </c>
    </row>
    <row r="17" spans="1:9" ht="15">
      <c r="A17" s="2" t="s">
        <v>88</v>
      </c>
      <c r="B17" s="2">
        <v>0</v>
      </c>
      <c r="C17" s="2"/>
      <c r="D17" s="2" t="s">
        <v>86</v>
      </c>
      <c r="E17" s="2"/>
      <c r="F17" s="2" t="s">
        <v>89</v>
      </c>
    </row>
    <row r="18" spans="1:9" ht="15">
      <c r="A18" s="2" t="s">
        <v>15</v>
      </c>
      <c r="B18" s="54"/>
      <c r="C18" s="54"/>
      <c r="D18" s="2" t="s">
        <v>90</v>
      </c>
      <c r="E18" s="2"/>
      <c r="F18" s="2" t="s">
        <v>91</v>
      </c>
      <c r="I18" s="53"/>
    </row>
    <row r="19" spans="1:9" ht="15">
      <c r="A19" s="82" t="s">
        <v>52</v>
      </c>
      <c r="B19" s="51">
        <v>0</v>
      </c>
      <c r="C19" s="51"/>
      <c r="D19" s="2" t="s">
        <v>92</v>
      </c>
      <c r="E19" s="2"/>
      <c r="F19" s="2"/>
      <c r="I19" s="53"/>
    </row>
    <row r="20" spans="1:9" ht="15">
      <c r="A20" s="2" t="s">
        <v>54</v>
      </c>
      <c r="B20" s="52">
        <v>207</v>
      </c>
      <c r="C20" s="52"/>
      <c r="D20" s="2" t="s">
        <v>93</v>
      </c>
      <c r="E20" s="2"/>
      <c r="F20" s="2" t="s">
        <v>94</v>
      </c>
    </row>
    <row r="21" spans="1:9" ht="15">
      <c r="A21" s="2" t="s">
        <v>55</v>
      </c>
      <c r="B21" s="52">
        <v>18</v>
      </c>
      <c r="C21" s="52"/>
      <c r="D21" s="2" t="s">
        <v>93</v>
      </c>
      <c r="E21" s="2"/>
      <c r="F21" s="2" t="s">
        <v>95</v>
      </c>
    </row>
    <row r="22" spans="1:9" ht="15">
      <c r="A22" s="2" t="s">
        <v>96</v>
      </c>
      <c r="B22" s="51">
        <v>0.1</v>
      </c>
      <c r="C22" s="51"/>
      <c r="D22" s="2" t="s">
        <v>92</v>
      </c>
      <c r="E22" s="2"/>
      <c r="F22" s="2" t="s">
        <v>97</v>
      </c>
    </row>
    <row r="23" spans="1:9" ht="15">
      <c r="A23" s="2" t="s">
        <v>98</v>
      </c>
      <c r="B23" s="2">
        <v>0</v>
      </c>
      <c r="C23" s="2"/>
      <c r="D23" s="2" t="s">
        <v>86</v>
      </c>
      <c r="E23" s="2"/>
      <c r="F23" s="2" t="s">
        <v>99</v>
      </c>
    </row>
    <row r="24" spans="1:9" ht="15">
      <c r="A24" s="2" t="s">
        <v>38</v>
      </c>
      <c r="B24" s="2">
        <v>0</v>
      </c>
      <c r="C24" s="2"/>
      <c r="D24" s="2" t="s">
        <v>86</v>
      </c>
      <c r="E24" s="2"/>
      <c r="F24" s="2" t="s">
        <v>100</v>
      </c>
    </row>
    <row r="25" spans="1:9" ht="15">
      <c r="A25" s="2" t="s">
        <v>39</v>
      </c>
      <c r="B25" s="2">
        <v>0</v>
      </c>
      <c r="C25" s="2"/>
      <c r="D25" s="2" t="s">
        <v>86</v>
      </c>
      <c r="E25" s="2"/>
      <c r="F25" s="2" t="s">
        <v>101</v>
      </c>
    </row>
    <row r="26" spans="1:9" ht="15">
      <c r="A26" s="2" t="s">
        <v>43</v>
      </c>
      <c r="B26" s="52">
        <v>67</v>
      </c>
      <c r="C26" s="52"/>
      <c r="D26" s="2" t="s">
        <v>93</v>
      </c>
      <c r="E26" s="2"/>
      <c r="F26" s="2" t="s">
        <v>102</v>
      </c>
    </row>
    <row r="27" spans="1:9" ht="15">
      <c r="A27" s="2" t="s">
        <v>42</v>
      </c>
      <c r="B27" s="51">
        <v>0.02</v>
      </c>
      <c r="C27" s="51"/>
      <c r="D27" s="2" t="s">
        <v>103</v>
      </c>
      <c r="E27" s="2"/>
      <c r="F27" s="2" t="s">
        <v>104</v>
      </c>
    </row>
    <row r="28" spans="1:9" ht="15">
      <c r="A28" s="2" t="s">
        <v>105</v>
      </c>
      <c r="B28" s="51">
        <v>0.02</v>
      </c>
      <c r="C28" s="51"/>
      <c r="D28" s="2" t="s">
        <v>92</v>
      </c>
      <c r="E28" s="2"/>
      <c r="F28" s="2" t="s">
        <v>106</v>
      </c>
    </row>
  </sheetData>
  <scenarios current="0" show="0">
    <scenario name="Base" locked="1" count="14" user="Basesh Gala" comment="Created by Basesh Gala on 10/7/2012">
      <inputCells r="B15" val="0"/>
      <inputCells r="B16" val="1500"/>
      <inputCells r="B17" val="0"/>
      <inputCells r="B18" val="0.0506021130660595"/>
      <inputCells r="B19" val="0" numFmtId="9"/>
      <inputCells r="B20" val="207" numFmtId="1"/>
      <inputCells r="B21" val="18" numFmtId="1"/>
      <inputCells r="B22" val="0.102383457876748"/>
      <inputCells r="B23" val="0"/>
      <inputCells r="B24" val="0"/>
      <inputCells r="B25" val="0"/>
      <inputCells r="B26" val="67" numFmtId="1"/>
      <inputCells r="B27" val="0.0241572973195"/>
      <inputCells r="B28" val="0.02" numFmtId="9"/>
    </scenario>
  </scenario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W62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30" sqref="A30"/>
    </sheetView>
  </sheetViews>
  <sheetFormatPr defaultRowHeight="12.75"/>
  <cols>
    <col min="1" max="1" width="45.5703125" bestFit="1" customWidth="1"/>
    <col min="2" max="11" width="12.85546875" customWidth="1"/>
    <col min="12" max="23" width="9.140625" style="83"/>
  </cols>
  <sheetData>
    <row r="1" spans="1:11">
      <c r="A1" s="6" t="s">
        <v>64</v>
      </c>
      <c r="B1" s="6" t="s">
        <v>2</v>
      </c>
      <c r="C1" s="5" t="s">
        <v>60</v>
      </c>
    </row>
    <row r="2" spans="1:11">
      <c r="A2" s="9" t="s">
        <v>1</v>
      </c>
      <c r="B2" s="19">
        <v>2006</v>
      </c>
      <c r="C2" s="19">
        <v>2007</v>
      </c>
      <c r="D2" s="19">
        <v>2008</v>
      </c>
      <c r="E2" s="19">
        <v>2009</v>
      </c>
      <c r="F2" s="19">
        <v>2010</v>
      </c>
      <c r="G2" s="19">
        <v>2011</v>
      </c>
      <c r="H2" s="19">
        <v>2012</v>
      </c>
      <c r="I2" s="19">
        <v>2013</v>
      </c>
      <c r="J2" s="19">
        <v>2014</v>
      </c>
      <c r="K2" s="19">
        <v>2015</v>
      </c>
    </row>
    <row r="3" spans="1:11" ht="15">
      <c r="A3" s="11" t="s">
        <v>31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>
      <c r="A4" s="13" t="s">
        <v>34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>
      <c r="A5" s="2" t="s">
        <v>32</v>
      </c>
      <c r="B5" s="8">
        <v>375.52</v>
      </c>
      <c r="C5" s="8">
        <v>376.22</v>
      </c>
      <c r="D5" s="8">
        <v>376.86</v>
      </c>
      <c r="E5" s="8">
        <v>377.53</v>
      </c>
      <c r="F5" s="8">
        <v>381.82</v>
      </c>
      <c r="G5" s="8">
        <f>F5*(1+'Assumption Sheet'!$B$15)</f>
        <v>381.82</v>
      </c>
      <c r="H5" s="8">
        <f>G5*(1+'Assumption Sheet'!$B$15)</f>
        <v>381.82</v>
      </c>
      <c r="I5" s="8">
        <f>H5*(1+'Assumption Sheet'!$B$15)</f>
        <v>381.82</v>
      </c>
      <c r="J5" s="8">
        <f>I5*(1+'Assumption Sheet'!$B$15)</f>
        <v>381.82</v>
      </c>
      <c r="K5" s="8">
        <f>J5*(1+'Assumption Sheet'!$B$15)</f>
        <v>381.82</v>
      </c>
    </row>
    <row r="6" spans="1:11" ht="15">
      <c r="A6" s="2" t="s">
        <v>35</v>
      </c>
      <c r="B6" s="8">
        <v>8685.9599999999991</v>
      </c>
      <c r="C6" s="8">
        <v>10060.9</v>
      </c>
      <c r="D6" s="8">
        <v>11680.8</v>
      </c>
      <c r="E6" s="8">
        <v>13357.6</v>
      </c>
      <c r="F6" s="8">
        <v>13682.6</v>
      </c>
      <c r="G6" s="8">
        <f>F6+G7+G8</f>
        <v>16682.187325650251</v>
      </c>
      <c r="H6" s="8">
        <f>G6+H7+H8</f>
        <v>20439.072127686977</v>
      </c>
      <c r="I6" s="8">
        <f>H6+I7+I8</f>
        <v>24652.04015002921</v>
      </c>
      <c r="J6" s="8">
        <f>I6+J7+J8</f>
        <v>28934.940932818288</v>
      </c>
      <c r="K6" s="8">
        <f>J6+K7+K8</f>
        <v>33289.173131263153</v>
      </c>
    </row>
    <row r="7" spans="1:11" ht="15">
      <c r="A7" s="2" t="s">
        <v>36</v>
      </c>
      <c r="B7" s="10">
        <f>'IS-Yearly'!B42</f>
        <v>1100.6499999999999</v>
      </c>
      <c r="C7" s="10">
        <f>'IS-Yearly'!C42</f>
        <v>1335.461868668001</v>
      </c>
      <c r="D7" s="10">
        <f>'IS-Yearly'!D42</f>
        <v>1576.9200000000003</v>
      </c>
      <c r="E7" s="10">
        <f>'IS-Yearly'!E42</f>
        <v>1629.7199999999984</v>
      </c>
      <c r="F7" s="10">
        <f>'IS-Yearly'!F42</f>
        <v>-391.32999999999947</v>
      </c>
      <c r="G7" s="10">
        <f>'IS-Yearly'!G42</f>
        <v>2283.2573256502528</v>
      </c>
      <c r="H7" s="10">
        <f>'IS-Yearly'!H42</f>
        <v>3040.554802036726</v>
      </c>
      <c r="I7" s="10">
        <f>'IS-Yearly'!I42</f>
        <v>3496.6380223422348</v>
      </c>
      <c r="J7" s="10">
        <f>'IS-Yearly'!J42</f>
        <v>3566.5707827890792</v>
      </c>
      <c r="K7" s="10">
        <f>'IS-Yearly'!K42</f>
        <v>3637.9021984448609</v>
      </c>
    </row>
    <row r="8" spans="1:11" ht="15">
      <c r="A8" s="2" t="s">
        <v>61</v>
      </c>
      <c r="B8" s="10"/>
      <c r="C8" s="10">
        <f>C6-B6-C7</f>
        <v>39.478131331999521</v>
      </c>
      <c r="D8" s="10">
        <f>D6-C6-D7</f>
        <v>42.979999999999336</v>
      </c>
      <c r="E8" s="10">
        <f>E6-D6-E7</f>
        <v>47.080000000002656</v>
      </c>
      <c r="F8" s="10">
        <f>F6-E6-F7</f>
        <v>716.32999999999947</v>
      </c>
      <c r="G8" s="10">
        <f>F8+'Assumption Sheet'!$B$23</f>
        <v>716.32999999999947</v>
      </c>
      <c r="H8" s="10">
        <f>G8+'Assumption Sheet'!$B$23</f>
        <v>716.32999999999947</v>
      </c>
      <c r="I8" s="10">
        <f>H8+'Assumption Sheet'!$B$23</f>
        <v>716.32999999999947</v>
      </c>
      <c r="J8" s="10">
        <f>I8+'Assumption Sheet'!$B$23</f>
        <v>716.32999999999947</v>
      </c>
      <c r="K8" s="10">
        <f>J8+'Assumption Sheet'!$B$23</f>
        <v>716.32999999999947</v>
      </c>
    </row>
    <row r="9" spans="1:11" ht="15">
      <c r="A9" s="13" t="s">
        <v>37</v>
      </c>
      <c r="B9" s="12">
        <f t="shared" ref="B9:K9" si="0">B5+B6</f>
        <v>9061.48</v>
      </c>
      <c r="C9" s="12">
        <f t="shared" si="0"/>
        <v>10437.119999999999</v>
      </c>
      <c r="D9" s="12">
        <f t="shared" si="0"/>
        <v>12057.66</v>
      </c>
      <c r="E9" s="12">
        <f t="shared" si="0"/>
        <v>13735.130000000001</v>
      </c>
      <c r="F9" s="12">
        <f t="shared" si="0"/>
        <v>14064.42</v>
      </c>
      <c r="G9" s="12">
        <f t="shared" si="0"/>
        <v>17064.007325650251</v>
      </c>
      <c r="H9" s="12">
        <f t="shared" si="0"/>
        <v>20820.892127686977</v>
      </c>
      <c r="I9" s="12">
        <f t="shared" si="0"/>
        <v>25033.86015002921</v>
      </c>
      <c r="J9" s="12">
        <f t="shared" si="0"/>
        <v>29316.760932818288</v>
      </c>
      <c r="K9" s="12">
        <f t="shared" si="0"/>
        <v>33670.993131263152</v>
      </c>
    </row>
    <row r="10" spans="1:11" ht="15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5">
      <c r="A11" s="2" t="s">
        <v>38</v>
      </c>
      <c r="B11" s="8">
        <v>25.91</v>
      </c>
      <c r="C11" s="8">
        <v>60.78</v>
      </c>
      <c r="D11" s="8">
        <v>5.57</v>
      </c>
      <c r="E11" s="8">
        <v>11.63</v>
      </c>
      <c r="F11" s="8">
        <v>0</v>
      </c>
      <c r="G11" s="8">
        <f>F11+'Assumption Sheet'!$B$24</f>
        <v>0</v>
      </c>
      <c r="H11" s="8">
        <f>G11+'Assumption Sheet'!$B$24</f>
        <v>0</v>
      </c>
      <c r="I11" s="8">
        <f>H11+'Assumption Sheet'!$B$24</f>
        <v>0</v>
      </c>
      <c r="J11" s="8">
        <f>I11+'Assumption Sheet'!$B$24</f>
        <v>0</v>
      </c>
      <c r="K11" s="8">
        <f>J11+'Assumption Sheet'!$B$24</f>
        <v>0</v>
      </c>
    </row>
    <row r="12" spans="1:11" ht="15">
      <c r="A12" s="2" t="s">
        <v>39</v>
      </c>
      <c r="B12" s="8">
        <v>93.82</v>
      </c>
      <c r="C12" s="8">
        <v>140.1</v>
      </c>
      <c r="D12" s="8">
        <v>208.86</v>
      </c>
      <c r="E12" s="8">
        <v>165.92</v>
      </c>
      <c r="F12" s="8">
        <v>107.71</v>
      </c>
      <c r="G12" s="8">
        <f>F12+'Assumption Sheet'!$B$25</f>
        <v>107.71</v>
      </c>
      <c r="H12" s="8">
        <f>G12+'Assumption Sheet'!$B$25</f>
        <v>107.71</v>
      </c>
      <c r="I12" s="8">
        <f>H12+'Assumption Sheet'!$B$25</f>
        <v>107.71</v>
      </c>
      <c r="J12" s="8">
        <f>I12+'Assumption Sheet'!$B$25</f>
        <v>107.71</v>
      </c>
      <c r="K12" s="8">
        <f>J12+'Assumption Sheet'!$B$25</f>
        <v>107.71</v>
      </c>
    </row>
    <row r="13" spans="1:11" ht="15">
      <c r="A13" s="13" t="s">
        <v>40</v>
      </c>
      <c r="B13" s="12">
        <f t="shared" ref="B13:K13" si="1">B11+B12</f>
        <v>119.72999999999999</v>
      </c>
      <c r="C13" s="12">
        <f t="shared" si="1"/>
        <v>200.88</v>
      </c>
      <c r="D13" s="12">
        <f t="shared" si="1"/>
        <v>214.43</v>
      </c>
      <c r="E13" s="12">
        <f t="shared" si="1"/>
        <v>177.54999999999998</v>
      </c>
      <c r="F13" s="12">
        <f t="shared" si="1"/>
        <v>107.71</v>
      </c>
      <c r="G13" s="12">
        <f t="shared" si="1"/>
        <v>107.71</v>
      </c>
      <c r="H13" s="12">
        <f t="shared" si="1"/>
        <v>107.71</v>
      </c>
      <c r="I13" s="12">
        <f t="shared" si="1"/>
        <v>107.71</v>
      </c>
      <c r="J13" s="12">
        <f t="shared" si="1"/>
        <v>107.71</v>
      </c>
      <c r="K13" s="12">
        <f t="shared" si="1"/>
        <v>107.71</v>
      </c>
    </row>
    <row r="14" spans="1:11" ht="15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15">
      <c r="A15" s="2" t="s">
        <v>43</v>
      </c>
      <c r="B15" s="8">
        <f>2141.69+6.73</f>
        <v>2148.42</v>
      </c>
      <c r="C15" s="8">
        <f>2343.26+0.18</f>
        <v>2343.44</v>
      </c>
      <c r="D15" s="8">
        <f>2737.52+2.15</f>
        <v>2739.67</v>
      </c>
      <c r="E15" s="8">
        <f>2923.32+0.39</f>
        <v>2923.71</v>
      </c>
      <c r="F15" s="8">
        <f>3440.12+3.95</f>
        <v>3444.0699999999997</v>
      </c>
      <c r="G15" s="8">
        <f>'Assumption Sheet'!$B$26*'IS-Yearly'!G6/365</f>
        <v>3832.0638068493145</v>
      </c>
      <c r="H15" s="8">
        <f>'Assumption Sheet'!$B$26*'IS-Yearly'!H6/365</f>
        <v>4406.8733778767109</v>
      </c>
      <c r="I15" s="8">
        <f>'Assumption Sheet'!$B$26*'IS-Yearly'!I6/365</f>
        <v>5067.9043845582182</v>
      </c>
      <c r="J15" s="8">
        <f>'Assumption Sheet'!$B$26*'IS-Yearly'!J6/365</f>
        <v>5169.2624722493829</v>
      </c>
      <c r="K15" s="8">
        <f>'Assumption Sheet'!$B$26*'IS-Yearly'!K6/365</f>
        <v>5272.6477216943704</v>
      </c>
    </row>
    <row r="16" spans="1:11" ht="15">
      <c r="A16" s="2" t="s">
        <v>42</v>
      </c>
      <c r="B16" s="8">
        <v>274.83</v>
      </c>
      <c r="C16" s="8">
        <v>308.14</v>
      </c>
      <c r="D16" s="8">
        <v>347.05</v>
      </c>
      <c r="E16" s="8">
        <v>352.17</v>
      </c>
      <c r="F16" s="8">
        <v>405.74</v>
      </c>
      <c r="G16" s="8">
        <f>'Assumption Sheet'!$B$27*'IS-Yearly'!G6</f>
        <v>417.52336999999994</v>
      </c>
      <c r="H16" s="8">
        <f>'Assumption Sheet'!$B$27*'IS-Yearly'!H6</f>
        <v>480.1518754999999</v>
      </c>
      <c r="I16" s="8">
        <f>'Assumption Sheet'!$B$27*'IS-Yearly'!I6</f>
        <v>552.17465682499983</v>
      </c>
      <c r="J16" s="8">
        <f>'Assumption Sheet'!$B$27*'IS-Yearly'!J6</f>
        <v>563.21814996149988</v>
      </c>
      <c r="K16" s="8">
        <f>'Assumption Sheet'!$B$27*'IS-Yearly'!K6</f>
        <v>574.48251296072988</v>
      </c>
    </row>
    <row r="17" spans="1:11" ht="15">
      <c r="A17" s="13" t="s">
        <v>44</v>
      </c>
      <c r="B17" s="12">
        <f t="shared" ref="B17:K17" si="2">B15+B16</f>
        <v>2423.25</v>
      </c>
      <c r="C17" s="12">
        <f t="shared" si="2"/>
        <v>2651.58</v>
      </c>
      <c r="D17" s="12">
        <f t="shared" si="2"/>
        <v>3086.7200000000003</v>
      </c>
      <c r="E17" s="12">
        <f t="shared" si="2"/>
        <v>3275.88</v>
      </c>
      <c r="F17" s="12">
        <f t="shared" si="2"/>
        <v>3849.8099999999995</v>
      </c>
      <c r="G17" s="12">
        <f t="shared" si="2"/>
        <v>4249.5871768493143</v>
      </c>
      <c r="H17" s="12">
        <f t="shared" si="2"/>
        <v>4887.0252533767107</v>
      </c>
      <c r="I17" s="12">
        <f t="shared" si="2"/>
        <v>5620.0790413832183</v>
      </c>
      <c r="J17" s="12">
        <f t="shared" si="2"/>
        <v>5732.4806222108828</v>
      </c>
      <c r="K17" s="12">
        <f t="shared" si="2"/>
        <v>5847.1302346551001</v>
      </c>
    </row>
    <row r="18" spans="1:11" ht="15">
      <c r="A18" s="2" t="s">
        <v>45</v>
      </c>
      <c r="B18" s="8">
        <v>1389.04</v>
      </c>
      <c r="C18" s="8">
        <v>1472.84</v>
      </c>
      <c r="D18" s="8">
        <v>1645.33</v>
      </c>
      <c r="E18" s="8">
        <v>1729.51</v>
      </c>
      <c r="F18" s="8">
        <v>4549.9399999999996</v>
      </c>
      <c r="G18" s="8">
        <f>F18*(1+'Assumption Sheet'!$B$28)</f>
        <v>4640.9387999999999</v>
      </c>
      <c r="H18" s="8">
        <f>G18*(1+'Assumption Sheet'!$B$28)</f>
        <v>4733.757576</v>
      </c>
      <c r="I18" s="8">
        <f>H18*(1+'Assumption Sheet'!$B$28)</f>
        <v>4828.4327275200003</v>
      </c>
      <c r="J18" s="8">
        <f>I18*(1+'Assumption Sheet'!$B$28)</f>
        <v>4925.0013820704007</v>
      </c>
      <c r="K18" s="8">
        <f>J18*(1+'Assumption Sheet'!$B$28)</f>
        <v>5023.5014097118092</v>
      </c>
    </row>
    <row r="19" spans="1:11" ht="15">
      <c r="A19" s="13" t="s">
        <v>46</v>
      </c>
      <c r="B19" s="12">
        <f t="shared" ref="B19:K19" si="3">B17+B18</f>
        <v>3812.29</v>
      </c>
      <c r="C19" s="12">
        <f t="shared" si="3"/>
        <v>4124.42</v>
      </c>
      <c r="D19" s="12">
        <f t="shared" si="3"/>
        <v>4732.05</v>
      </c>
      <c r="E19" s="12">
        <f t="shared" si="3"/>
        <v>5005.3900000000003</v>
      </c>
      <c r="F19" s="12">
        <f t="shared" si="3"/>
        <v>8399.75</v>
      </c>
      <c r="G19" s="12">
        <f t="shared" si="3"/>
        <v>8890.5259768493142</v>
      </c>
      <c r="H19" s="12">
        <f t="shared" si="3"/>
        <v>9620.7828293767107</v>
      </c>
      <c r="I19" s="12">
        <f t="shared" si="3"/>
        <v>10448.511768903219</v>
      </c>
      <c r="J19" s="12">
        <f t="shared" si="3"/>
        <v>10657.482004281283</v>
      </c>
      <c r="K19" s="12">
        <f t="shared" si="3"/>
        <v>10870.631644366909</v>
      </c>
    </row>
    <row r="20" spans="1:11" ht="15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5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>
      <c r="A22" s="31" t="s">
        <v>47</v>
      </c>
      <c r="B22" s="35">
        <f t="shared" ref="B22:K22" si="4">B9+B13+B19</f>
        <v>12993.5</v>
      </c>
      <c r="C22" s="35">
        <f t="shared" si="4"/>
        <v>14762.419999999998</v>
      </c>
      <c r="D22" s="35">
        <f t="shared" si="4"/>
        <v>17004.14</v>
      </c>
      <c r="E22" s="35">
        <f t="shared" si="4"/>
        <v>18918.07</v>
      </c>
      <c r="F22" s="35">
        <f t="shared" si="4"/>
        <v>22571.879999999997</v>
      </c>
      <c r="G22" s="35">
        <f t="shared" si="4"/>
        <v>26062.243302499563</v>
      </c>
      <c r="H22" s="35">
        <f t="shared" si="4"/>
        <v>30549.384957063688</v>
      </c>
      <c r="I22" s="35">
        <f t="shared" si="4"/>
        <v>35590.081918932425</v>
      </c>
      <c r="J22" s="35">
        <f t="shared" si="4"/>
        <v>40081.952937099573</v>
      </c>
      <c r="K22" s="35">
        <f t="shared" si="4"/>
        <v>44649.334775630065</v>
      </c>
    </row>
    <row r="23" spans="1:11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5">
      <c r="A24" s="11" t="s">
        <v>30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5">
      <c r="A25" s="2" t="s">
        <v>51</v>
      </c>
      <c r="B25" s="8">
        <v>6227.17</v>
      </c>
      <c r="C25" s="8">
        <v>7173.1273086620004</v>
      </c>
      <c r="D25" s="8">
        <v>9035.64</v>
      </c>
      <c r="E25" s="8">
        <v>10688.14</v>
      </c>
      <c r="F25" s="8">
        <v>12167.34</v>
      </c>
      <c r="G25" s="8">
        <f>F25+'Assumption Sheet'!$B$16</f>
        <v>13667.34</v>
      </c>
      <c r="H25" s="8">
        <f>G25+'Assumption Sheet'!$B$16</f>
        <v>15167.34</v>
      </c>
      <c r="I25" s="8">
        <f>H25+'Assumption Sheet'!$B$16</f>
        <v>16667.34</v>
      </c>
      <c r="J25" s="8">
        <f>I25+'Assumption Sheet'!$B$16</f>
        <v>18167.34</v>
      </c>
      <c r="K25" s="8">
        <f>J25+'Assumption Sheet'!$B$16</f>
        <v>19667.34</v>
      </c>
    </row>
    <row r="26" spans="1:11" ht="15">
      <c r="A26" s="2" t="s">
        <v>48</v>
      </c>
      <c r="B26" s="8">
        <v>2065.44</v>
      </c>
      <c r="C26" s="8">
        <f>B26+'IS-Yearly'!C22</f>
        <v>2428.3573086619999</v>
      </c>
      <c r="D26" s="8">
        <f>C26+'IS-Yearly'!D22</f>
        <v>2866.817308662</v>
      </c>
      <c r="E26" s="8">
        <f>D26+'IS-Yearly'!E22</f>
        <v>3416.2273086619998</v>
      </c>
      <c r="F26" s="8">
        <f>E26+'IS-Yearly'!F22</f>
        <v>4024.9373086619999</v>
      </c>
      <c r="G26" s="8">
        <f>F26+'IS-Yearly'!G22</f>
        <v>4746.3440522079754</v>
      </c>
      <c r="H26" s="8">
        <f>G26+'IS-Yearly'!H22</f>
        <v>4746.3440522079754</v>
      </c>
      <c r="I26" s="8">
        <f>H26+'IS-Yearly'!I22</f>
        <v>4746.3440522079754</v>
      </c>
      <c r="J26" s="8">
        <f>I26+'IS-Yearly'!J22</f>
        <v>4746.3440522079754</v>
      </c>
      <c r="K26" s="8">
        <f>J26+'IS-Yearly'!K22</f>
        <v>4746.3440522079754</v>
      </c>
    </row>
    <row r="27" spans="1:11" ht="15">
      <c r="A27" s="2" t="s">
        <v>49</v>
      </c>
      <c r="B27" s="10">
        <f t="shared" ref="B27:K27" si="5">B25-B26</f>
        <v>4161.7299999999996</v>
      </c>
      <c r="C27" s="10">
        <f t="shared" si="5"/>
        <v>4744.7700000000004</v>
      </c>
      <c r="D27" s="10">
        <f t="shared" si="5"/>
        <v>6168.8226913379995</v>
      </c>
      <c r="E27" s="10">
        <f t="shared" si="5"/>
        <v>7271.9126913379996</v>
      </c>
      <c r="F27" s="10">
        <f t="shared" si="5"/>
        <v>8142.4026913380003</v>
      </c>
      <c r="G27" s="10">
        <f t="shared" si="5"/>
        <v>8920.9959477920238</v>
      </c>
      <c r="H27" s="10">
        <f t="shared" si="5"/>
        <v>10420.995947792024</v>
      </c>
      <c r="I27" s="10">
        <f t="shared" si="5"/>
        <v>11920.995947792024</v>
      </c>
      <c r="J27" s="10">
        <f t="shared" si="5"/>
        <v>13420.995947792024</v>
      </c>
      <c r="K27" s="10">
        <f t="shared" si="5"/>
        <v>14920.995947792024</v>
      </c>
    </row>
    <row r="28" spans="1:11" ht="15">
      <c r="A28" s="2" t="s">
        <v>50</v>
      </c>
      <c r="B28" s="8">
        <v>243.4</v>
      </c>
      <c r="C28" s="8">
        <v>866.14</v>
      </c>
      <c r="D28" s="8">
        <v>1126.82</v>
      </c>
      <c r="E28" s="8">
        <v>1214.06</v>
      </c>
      <c r="F28" s="8">
        <v>1008.99</v>
      </c>
      <c r="G28" s="8">
        <f>F28+'Assumption Sheet'!$B$17</f>
        <v>1008.99</v>
      </c>
      <c r="H28" s="8">
        <f>G28+'Assumption Sheet'!$B$17</f>
        <v>1008.99</v>
      </c>
      <c r="I28" s="8">
        <f>H28+'Assumption Sheet'!$B$17</f>
        <v>1008.99</v>
      </c>
      <c r="J28" s="8">
        <f>I28+'Assumption Sheet'!$B$17</f>
        <v>1008.99</v>
      </c>
      <c r="K28" s="8">
        <f>J28+'Assumption Sheet'!$B$17</f>
        <v>1008.99</v>
      </c>
    </row>
    <row r="29" spans="1:11" ht="1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5">
      <c r="A30" s="2" t="s">
        <v>52</v>
      </c>
      <c r="B30" s="8">
        <v>3517.01</v>
      </c>
      <c r="C30" s="8">
        <v>3067.77</v>
      </c>
      <c r="D30" s="8">
        <v>2934.55</v>
      </c>
      <c r="E30" s="8">
        <v>2837.75</v>
      </c>
      <c r="F30" s="8">
        <v>5726.87</v>
      </c>
      <c r="G30" s="8">
        <f>F30*(1+'Assumption Sheet'!$B$19)</f>
        <v>5726.87</v>
      </c>
      <c r="H30" s="8">
        <f>G30*(1+'Assumption Sheet'!$B$19)</f>
        <v>5726.87</v>
      </c>
      <c r="I30" s="8">
        <f>H30*(1+'Assumption Sheet'!$B$19)</f>
        <v>5726.87</v>
      </c>
      <c r="J30" s="8">
        <f>I30*(1+'Assumption Sheet'!$B$19)</f>
        <v>5726.87</v>
      </c>
      <c r="K30" s="8">
        <f>J30*(1+'Assumption Sheet'!$B$19)</f>
        <v>5726.87</v>
      </c>
    </row>
    <row r="31" spans="1:11" ht="15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5">
      <c r="A32" s="2" t="s">
        <v>54</v>
      </c>
      <c r="B32" s="8">
        <v>2636.29</v>
      </c>
      <c r="C32" s="8">
        <v>3354.03</v>
      </c>
      <c r="D32" s="8">
        <v>4050.52</v>
      </c>
      <c r="E32" s="8">
        <v>4599.72</v>
      </c>
      <c r="F32" s="8">
        <v>4549.07</v>
      </c>
      <c r="G32" s="8">
        <f>'Assumption Sheet'!$B$20*'IS-Yearly'!G15/365</f>
        <v>5470.6013964368822</v>
      </c>
      <c r="H32" s="8">
        <f>'Assumption Sheet'!$B$20*'IS-Yearly'!H15/365</f>
        <v>6291.1916059024143</v>
      </c>
      <c r="I32" s="8">
        <f>'Assumption Sheet'!$B$20*'IS-Yearly'!I15/365</f>
        <v>7234.8703467877758</v>
      </c>
      <c r="J32" s="8">
        <f>'Assumption Sheet'!$B$20*'IS-Yearly'!J15/365</f>
        <v>7379.5677537235315</v>
      </c>
      <c r="K32" s="8">
        <f>'Assumption Sheet'!$B$20*'IS-Yearly'!K15/365</f>
        <v>7527.1591087980014</v>
      </c>
    </row>
    <row r="33" spans="1:23" ht="15">
      <c r="A33" s="2" t="s">
        <v>55</v>
      </c>
      <c r="B33" s="8">
        <v>559.02</v>
      </c>
      <c r="C33" s="8">
        <v>648.11</v>
      </c>
      <c r="D33" s="8">
        <v>748.96</v>
      </c>
      <c r="E33" s="8">
        <v>680.55</v>
      </c>
      <c r="F33" s="8">
        <v>874.08</v>
      </c>
      <c r="G33" s="8">
        <f>'Assumption Sheet'!$B$21*'IS-Yearly'!G6/365</f>
        <v>1029.5096794520546</v>
      </c>
      <c r="H33" s="8">
        <f>'Assumption Sheet'!$B$21*'IS-Yearly'!H6/365</f>
        <v>1183.9361313698628</v>
      </c>
      <c r="I33" s="8">
        <f>'Assumption Sheet'!$B$21*'IS-Yearly'!I6/365</f>
        <v>1361.526551075342</v>
      </c>
      <c r="J33" s="8">
        <f>'Assumption Sheet'!$B$21*'IS-Yearly'!J6/365</f>
        <v>1388.757082096849</v>
      </c>
      <c r="K33" s="8">
        <f>'Assumption Sheet'!$B$21*'IS-Yearly'!K6/365</f>
        <v>1416.5322237387859</v>
      </c>
    </row>
    <row r="34" spans="1:23" s="57" customFormat="1" ht="15">
      <c r="A34" s="55" t="s">
        <v>53</v>
      </c>
      <c r="B34" s="56">
        <f t="shared" ref="B34:K34" si="6">B42</f>
        <v>531.06000000000131</v>
      </c>
      <c r="C34" s="56">
        <f t="shared" si="6"/>
        <v>427.34999999999854</v>
      </c>
      <c r="D34" s="56">
        <f t="shared" si="6"/>
        <v>25.177308662001451</v>
      </c>
      <c r="E34" s="56">
        <f t="shared" si="6"/>
        <v>163.86730866200014</v>
      </c>
      <c r="F34" s="56">
        <f t="shared" si="6"/>
        <v>341.30730866199883</v>
      </c>
      <c r="G34" s="56">
        <f t="shared" si="6"/>
        <v>1783.2002788186001</v>
      </c>
      <c r="H34" s="56">
        <f t="shared" si="6"/>
        <v>3583.1176719993855</v>
      </c>
      <c r="I34" s="56">
        <f t="shared" si="6"/>
        <v>5769.1171132772797</v>
      </c>
      <c r="J34" s="56">
        <f t="shared" si="6"/>
        <v>8332.2889974871687</v>
      </c>
      <c r="K34" s="56">
        <f t="shared" si="6"/>
        <v>10941.85602370125</v>
      </c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</row>
    <row r="35" spans="1:23" ht="15">
      <c r="A35" s="2" t="s">
        <v>56</v>
      </c>
      <c r="B35" s="8">
        <v>1344.99</v>
      </c>
      <c r="C35" s="8">
        <v>1654.25</v>
      </c>
      <c r="D35" s="8">
        <v>1949.29</v>
      </c>
      <c r="E35" s="8">
        <v>2150.21</v>
      </c>
      <c r="F35" s="8">
        <v>1929.16</v>
      </c>
      <c r="G35" s="8">
        <f>F35*(1+'Assumption Sheet'!$B$22)</f>
        <v>2122.0760000000005</v>
      </c>
      <c r="H35" s="8">
        <f>G35*(1+'Assumption Sheet'!$B$22)</f>
        <v>2334.2836000000007</v>
      </c>
      <c r="I35" s="8">
        <f>H35*(1+'Assumption Sheet'!$B$22)</f>
        <v>2567.711960000001</v>
      </c>
      <c r="J35" s="8">
        <f>I35*(1+'Assumption Sheet'!$B$22)</f>
        <v>2824.4831560000011</v>
      </c>
      <c r="K35" s="8">
        <f>J35*(1+'Assumption Sheet'!$B$22)</f>
        <v>3106.9314716000017</v>
      </c>
    </row>
    <row r="36" spans="1:23" ht="15">
      <c r="A36" s="13" t="s">
        <v>107</v>
      </c>
      <c r="B36" s="12">
        <f>SUM(B32:B33,B35)</f>
        <v>4540.3</v>
      </c>
      <c r="C36" s="12">
        <f>SUM(C32:C33,C35)</f>
        <v>5656.39</v>
      </c>
      <c r="D36" s="12">
        <f>SUM(D32:D33,D35)</f>
        <v>6748.7699999999995</v>
      </c>
      <c r="E36" s="12">
        <f>SUM(E32:E33,E35)</f>
        <v>7430.4800000000005</v>
      </c>
      <c r="F36" s="12">
        <f>SUM(F32:F33,F35)</f>
        <v>7352.3099999999995</v>
      </c>
      <c r="G36" s="12">
        <f>G32+G33+G35</f>
        <v>8622.1870758889381</v>
      </c>
      <c r="H36" s="12">
        <f>H32+H33+H35</f>
        <v>9809.4113372722786</v>
      </c>
      <c r="I36" s="12">
        <f>I32+I33+I35</f>
        <v>11164.108857863119</v>
      </c>
      <c r="J36" s="12">
        <f>J32+J33+J35</f>
        <v>11592.80799182038</v>
      </c>
      <c r="K36" s="12">
        <f>K32+K33+K35</f>
        <v>12050.62280413679</v>
      </c>
    </row>
    <row r="37" spans="1:23" ht="15">
      <c r="A37" s="13" t="s">
        <v>109</v>
      </c>
      <c r="B37" s="12">
        <f t="shared" ref="B37:K37" si="7">B36+B34</f>
        <v>5071.3600000000015</v>
      </c>
      <c r="C37" s="12">
        <f t="shared" si="7"/>
        <v>6083.7399999999989</v>
      </c>
      <c r="D37" s="12">
        <f t="shared" si="7"/>
        <v>6773.947308662001</v>
      </c>
      <c r="E37" s="12">
        <f t="shared" si="7"/>
        <v>7594.3473086620006</v>
      </c>
      <c r="F37" s="12">
        <f t="shared" si="7"/>
        <v>7693.6173086619983</v>
      </c>
      <c r="G37" s="12">
        <f t="shared" si="7"/>
        <v>10405.387354707538</v>
      </c>
      <c r="H37" s="12">
        <f t="shared" si="7"/>
        <v>13392.529009271664</v>
      </c>
      <c r="I37" s="12">
        <f t="shared" si="7"/>
        <v>16933.225971140397</v>
      </c>
      <c r="J37" s="12">
        <f t="shared" si="7"/>
        <v>19925.096989307549</v>
      </c>
      <c r="K37" s="12">
        <f t="shared" si="7"/>
        <v>22992.47882783804</v>
      </c>
    </row>
    <row r="38" spans="1:23" ht="15">
      <c r="A38" s="2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23" ht="15">
      <c r="A39" s="31" t="s">
        <v>108</v>
      </c>
      <c r="B39" s="35">
        <f>B27+B28+B30+B36</f>
        <v>12462.439999999999</v>
      </c>
      <c r="C39" s="35">
        <f>C27+C28+C30+C36</f>
        <v>14335.07</v>
      </c>
      <c r="D39" s="35">
        <f>D27+D28+D30+D36</f>
        <v>16978.962691337998</v>
      </c>
      <c r="E39" s="35">
        <f>E27+E28+E30+E36</f>
        <v>18754.202691338</v>
      </c>
      <c r="F39" s="35">
        <f>F27+F28+F30+F36</f>
        <v>22230.572691337999</v>
      </c>
      <c r="G39" s="35">
        <f>G36+G27+G28+G30</f>
        <v>24279.043023680963</v>
      </c>
      <c r="H39" s="35">
        <f>H36+H27+H28+H30</f>
        <v>26966.267285064303</v>
      </c>
      <c r="I39" s="35">
        <f>I36+I27+I28+I30</f>
        <v>29820.964805655145</v>
      </c>
      <c r="J39" s="35">
        <f>J36+J27+J28+J30</f>
        <v>31749.663939612405</v>
      </c>
      <c r="K39" s="35">
        <f>K36+K27+K28+K30</f>
        <v>33707.478751928815</v>
      </c>
    </row>
    <row r="40" spans="1:23" ht="15">
      <c r="A40" s="31" t="s">
        <v>112</v>
      </c>
      <c r="B40" s="35">
        <f t="shared" ref="B40:K40" si="8">B39+B34</f>
        <v>12993.5</v>
      </c>
      <c r="C40" s="35">
        <f t="shared" si="8"/>
        <v>14762.419999999998</v>
      </c>
      <c r="D40" s="35">
        <f t="shared" si="8"/>
        <v>17004.14</v>
      </c>
      <c r="E40" s="35">
        <f t="shared" si="8"/>
        <v>18918.07</v>
      </c>
      <c r="F40" s="35">
        <f t="shared" si="8"/>
        <v>22571.879999999997</v>
      </c>
      <c r="G40" s="35">
        <f t="shared" si="8"/>
        <v>26062.243302499563</v>
      </c>
      <c r="H40" s="35">
        <f t="shared" si="8"/>
        <v>30549.384957063688</v>
      </c>
      <c r="I40" s="35">
        <f t="shared" si="8"/>
        <v>35590.081918932425</v>
      </c>
      <c r="J40" s="35">
        <f t="shared" si="8"/>
        <v>40081.952937099573</v>
      </c>
      <c r="K40" s="35">
        <f t="shared" si="8"/>
        <v>44649.334775630065</v>
      </c>
    </row>
    <row r="41" spans="1:23" ht="15">
      <c r="A41" s="2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23" ht="15">
      <c r="A42" s="33" t="s">
        <v>110</v>
      </c>
      <c r="B42" s="32">
        <f t="shared" ref="B42:K42" si="9">B22-B39</f>
        <v>531.06000000000131</v>
      </c>
      <c r="C42" s="32">
        <f t="shared" si="9"/>
        <v>427.34999999999854</v>
      </c>
      <c r="D42" s="32">
        <f t="shared" si="9"/>
        <v>25.177308662001451</v>
      </c>
      <c r="E42" s="32">
        <f t="shared" si="9"/>
        <v>163.86730866200014</v>
      </c>
      <c r="F42" s="32">
        <f t="shared" si="9"/>
        <v>341.30730866199883</v>
      </c>
      <c r="G42" s="32">
        <f t="shared" si="9"/>
        <v>1783.2002788186001</v>
      </c>
      <c r="H42" s="32">
        <f t="shared" si="9"/>
        <v>3583.1176719993855</v>
      </c>
      <c r="I42" s="32">
        <f t="shared" si="9"/>
        <v>5769.1171132772797</v>
      </c>
      <c r="J42" s="32">
        <f t="shared" si="9"/>
        <v>8332.2889974871687</v>
      </c>
      <c r="K42" s="32">
        <f t="shared" si="9"/>
        <v>10941.85602370125</v>
      </c>
    </row>
    <row r="43" spans="1:23" ht="15">
      <c r="A43" s="58" t="s">
        <v>111</v>
      </c>
      <c r="B43" s="59" t="b">
        <f t="shared" ref="B43:K43" si="10">B22=B40</f>
        <v>1</v>
      </c>
      <c r="C43" s="59" t="b">
        <f t="shared" si="10"/>
        <v>1</v>
      </c>
      <c r="D43" s="59" t="b">
        <f t="shared" si="10"/>
        <v>1</v>
      </c>
      <c r="E43" s="59" t="b">
        <f t="shared" si="10"/>
        <v>1</v>
      </c>
      <c r="F43" s="59" t="b">
        <f t="shared" si="10"/>
        <v>1</v>
      </c>
      <c r="G43" s="59" t="b">
        <f t="shared" si="10"/>
        <v>1</v>
      </c>
      <c r="H43" s="59" t="b">
        <f t="shared" si="10"/>
        <v>1</v>
      </c>
      <c r="I43" s="59" t="b">
        <f t="shared" si="10"/>
        <v>1</v>
      </c>
      <c r="J43" s="59" t="b">
        <f t="shared" si="10"/>
        <v>1</v>
      </c>
      <c r="K43" s="59" t="b">
        <f t="shared" si="10"/>
        <v>1</v>
      </c>
    </row>
    <row r="45" spans="1:23" ht="15">
      <c r="A45" s="36" t="s">
        <v>62</v>
      </c>
      <c r="B45" s="37">
        <f t="shared" ref="B45:G45" si="11">B9/(B5)</f>
        <v>24.130485726459309</v>
      </c>
      <c r="C45" s="37">
        <f t="shared" si="11"/>
        <v>27.742065812556479</v>
      </c>
      <c r="D45" s="37">
        <f t="shared" si="11"/>
        <v>31.995064480178314</v>
      </c>
      <c r="E45" s="37">
        <f t="shared" si="11"/>
        <v>36.381559081397512</v>
      </c>
      <c r="F45" s="37">
        <f t="shared" si="11"/>
        <v>36.835210308522342</v>
      </c>
      <c r="G45" s="37">
        <f t="shared" si="11"/>
        <v>44.691234942250937</v>
      </c>
      <c r="H45" s="37">
        <f>H9/(H5)</f>
        <v>54.530648283712161</v>
      </c>
      <c r="I45" s="37">
        <f>I9/(I5)</f>
        <v>65.564559609316461</v>
      </c>
      <c r="J45" s="37">
        <f>J9/(J5)</f>
        <v>76.781627292489361</v>
      </c>
      <c r="K45" s="37">
        <f>K9/(K5)</f>
        <v>88.185514460382251</v>
      </c>
    </row>
    <row r="46" spans="1:23" ht="15">
      <c r="A46" s="23" t="s">
        <v>65</v>
      </c>
      <c r="B46" s="8">
        <f>B18-'IS-Yearly'!B36-'IS-Yearly'!B37</f>
        <v>254.33999999999992</v>
      </c>
      <c r="C46" s="8">
        <f>C18-'IS-Yearly'!C36-'IS-Yearly'!C37</f>
        <v>108.33999999999992</v>
      </c>
      <c r="D46" s="8">
        <f>D18-'IS-Yearly'!D36-'IS-Yearly'!D37</f>
        <v>102.14999999999986</v>
      </c>
      <c r="E46" s="8">
        <f>E18-'IS-Yearly'!E36-'IS-Yearly'!E37</f>
        <v>95.6400000000001</v>
      </c>
      <c r="F46" s="8">
        <f>F18-'IS-Yearly'!F36-'IS-Yearly'!F37</f>
        <v>97.609999999999218</v>
      </c>
      <c r="G46" s="8">
        <f>G18-'IS-Yearly'!G36-'IS-Yearly'!G37</f>
        <v>2357.6814743497471</v>
      </c>
      <c r="H46" s="8">
        <f>H18-'IS-Yearly'!H36-'IS-Yearly'!H37</f>
        <v>1693.202773963274</v>
      </c>
      <c r="I46" s="8">
        <f>I18-'IS-Yearly'!I36-'IS-Yearly'!I37</f>
        <v>1331.7947051777655</v>
      </c>
      <c r="J46" s="8">
        <f>J18-'IS-Yearly'!J36-'IS-Yearly'!J37</f>
        <v>1358.4305992813215</v>
      </c>
      <c r="K46" s="8">
        <f>K18-'IS-Yearly'!K36-'IS-Yearly'!K37</f>
        <v>1385.5992112669483</v>
      </c>
    </row>
    <row r="47" spans="1:23" ht="15">
      <c r="A47" s="23" t="s">
        <v>115</v>
      </c>
      <c r="B47" s="8">
        <f t="shared" ref="B47:K47" si="12">B48+B34</f>
        <v>1259.0700000000015</v>
      </c>
      <c r="C47" s="8">
        <f t="shared" si="12"/>
        <v>1959.3199999999988</v>
      </c>
      <c r="D47" s="8">
        <f t="shared" si="12"/>
        <v>2041.8973086620008</v>
      </c>
      <c r="E47" s="8">
        <f t="shared" si="12"/>
        <v>2588.9573086620003</v>
      </c>
      <c r="F47" s="8">
        <f t="shared" si="12"/>
        <v>-706.13269133800168</v>
      </c>
      <c r="G47" s="8">
        <f t="shared" si="12"/>
        <v>1514.8613778582239</v>
      </c>
      <c r="H47" s="8">
        <f t="shared" si="12"/>
        <v>3771.7461798949535</v>
      </c>
      <c r="I47" s="8">
        <f t="shared" si="12"/>
        <v>6484.7142022371791</v>
      </c>
      <c r="J47" s="8">
        <f t="shared" si="12"/>
        <v>9267.6149850262664</v>
      </c>
      <c r="K47" s="8">
        <f t="shared" si="12"/>
        <v>12121.847183471131</v>
      </c>
    </row>
    <row r="48" spans="1:23" ht="15">
      <c r="A48" s="23" t="s">
        <v>114</v>
      </c>
      <c r="B48" s="8">
        <f t="shared" ref="B48:K48" si="13">B36-B19</f>
        <v>728.01000000000022</v>
      </c>
      <c r="C48" s="8">
        <f t="shared" si="13"/>
        <v>1531.9700000000003</v>
      </c>
      <c r="D48" s="8">
        <f t="shared" si="13"/>
        <v>2016.7199999999993</v>
      </c>
      <c r="E48" s="8">
        <f t="shared" si="13"/>
        <v>2425.09</v>
      </c>
      <c r="F48" s="8">
        <f t="shared" si="13"/>
        <v>-1047.4400000000005</v>
      </c>
      <c r="G48" s="8">
        <f t="shared" si="13"/>
        <v>-268.33890096037612</v>
      </c>
      <c r="H48" s="8">
        <f t="shared" si="13"/>
        <v>188.62850789556796</v>
      </c>
      <c r="I48" s="8">
        <f t="shared" si="13"/>
        <v>715.59708895989934</v>
      </c>
      <c r="J48" s="8">
        <f t="shared" si="13"/>
        <v>935.3259875390977</v>
      </c>
      <c r="K48" s="8">
        <f t="shared" si="13"/>
        <v>1179.9911597698811</v>
      </c>
    </row>
    <row r="49" spans="1:11" ht="15">
      <c r="A49" s="23" t="s">
        <v>113</v>
      </c>
      <c r="B49" s="8"/>
      <c r="C49" s="8">
        <f t="shared" ref="C49:K49" si="14">C25-B25</f>
        <v>945.95730866200029</v>
      </c>
      <c r="D49" s="8">
        <f t="shared" si="14"/>
        <v>1862.5126913379991</v>
      </c>
      <c r="E49" s="8">
        <f t="shared" si="14"/>
        <v>1652.5</v>
      </c>
      <c r="F49" s="8">
        <f t="shared" si="14"/>
        <v>1479.2000000000007</v>
      </c>
      <c r="G49" s="8">
        <f t="shared" si="14"/>
        <v>1500</v>
      </c>
      <c r="H49" s="8">
        <f t="shared" si="14"/>
        <v>1500</v>
      </c>
      <c r="I49" s="8">
        <f t="shared" si="14"/>
        <v>1500</v>
      </c>
      <c r="J49" s="8">
        <f t="shared" si="14"/>
        <v>1500</v>
      </c>
      <c r="K49" s="8">
        <f t="shared" si="14"/>
        <v>1500</v>
      </c>
    </row>
    <row r="50" spans="1:11" ht="15">
      <c r="A50" s="38" t="s">
        <v>63</v>
      </c>
      <c r="B50" s="39">
        <f t="shared" ref="B50:K50" si="15">B13-B34</f>
        <v>-411.33000000000129</v>
      </c>
      <c r="C50" s="39">
        <f t="shared" si="15"/>
        <v>-226.46999999999855</v>
      </c>
      <c r="D50" s="39">
        <f t="shared" si="15"/>
        <v>189.25269133799856</v>
      </c>
      <c r="E50" s="39">
        <f t="shared" si="15"/>
        <v>13.682691337999842</v>
      </c>
      <c r="F50" s="39">
        <f t="shared" si="15"/>
        <v>-233.59730866199885</v>
      </c>
      <c r="G50" s="39">
        <f t="shared" si="15"/>
        <v>-1675.4902788186</v>
      </c>
      <c r="H50" s="39">
        <f t="shared" si="15"/>
        <v>-3475.4076719993855</v>
      </c>
      <c r="I50" s="39">
        <f t="shared" si="15"/>
        <v>-5661.4071132772797</v>
      </c>
      <c r="J50" s="39">
        <f t="shared" si="15"/>
        <v>-8224.5789974871695</v>
      </c>
      <c r="K50" s="39">
        <f t="shared" si="15"/>
        <v>-10834.146023701251</v>
      </c>
    </row>
    <row r="52" spans="1:11" ht="13.5" thickBot="1"/>
    <row r="53" spans="1:11">
      <c r="B53" s="86" t="s">
        <v>15</v>
      </c>
      <c r="C53" s="84">
        <f>'IS-Yearly'!C22/'Balance Sheet'!B25</f>
        <v>5.8279653303507047E-2</v>
      </c>
      <c r="D53" s="84">
        <f>'IS-Yearly'!D22/'Balance Sheet'!C25</f>
        <v>6.1125361524049918E-2</v>
      </c>
      <c r="E53" s="84">
        <f>'IS-Yearly'!E22/'Balance Sheet'!D25</f>
        <v>6.0804768671615966E-2</v>
      </c>
      <c r="F53" s="84">
        <f>'IS-Yearly'!F22/'Balance Sheet'!E25</f>
        <v>5.6951911183798123E-2</v>
      </c>
    </row>
    <row r="54" spans="1:11" ht="13.5" thickBot="1">
      <c r="B54" s="85" t="s">
        <v>158</v>
      </c>
      <c r="E54" s="53" t="s">
        <v>79</v>
      </c>
      <c r="F54" s="50">
        <f>AVERAGE(C53:F53)</f>
        <v>5.9290423670742762E-2</v>
      </c>
    </row>
    <row r="62" spans="1:11">
      <c r="B62" s="61"/>
      <c r="C62" s="61"/>
      <c r="D62" s="61"/>
      <c r="E62" s="61"/>
      <c r="F62" s="61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9"/>
  <dimension ref="A1:G39"/>
  <sheetViews>
    <sheetView topLeftCell="A20" workbookViewId="0">
      <selection activeCell="B42" sqref="B42"/>
    </sheetView>
  </sheetViews>
  <sheetFormatPr defaultRowHeight="12.75"/>
  <cols>
    <col min="1" max="1" width="37.7109375" customWidth="1"/>
    <col min="2" max="2" width="11.7109375" customWidth="1"/>
    <col min="3" max="3" width="12.28515625" customWidth="1"/>
    <col min="4" max="4" width="12.5703125" customWidth="1"/>
    <col min="5" max="5" width="10.7109375" customWidth="1"/>
    <col min="6" max="6" width="11.42578125" customWidth="1"/>
    <col min="7" max="7" width="10.28515625" customWidth="1"/>
  </cols>
  <sheetData>
    <row r="1" spans="1:7">
      <c r="A1" s="6" t="s">
        <v>64</v>
      </c>
      <c r="B1" s="6" t="s">
        <v>2</v>
      </c>
      <c r="C1" s="5" t="s">
        <v>60</v>
      </c>
    </row>
    <row r="2" spans="1:7">
      <c r="A2" s="49" t="s">
        <v>1</v>
      </c>
      <c r="B2" s="46">
        <v>2006</v>
      </c>
      <c r="C2" s="46">
        <v>2007</v>
      </c>
      <c r="D2" s="46">
        <v>2008</v>
      </c>
      <c r="E2" s="46">
        <v>2009</v>
      </c>
      <c r="F2" s="46">
        <v>2010</v>
      </c>
      <c r="G2" s="46" t="s">
        <v>79</v>
      </c>
    </row>
    <row r="3" spans="1:7" ht="15">
      <c r="A3" s="11" t="s">
        <v>31</v>
      </c>
      <c r="B3" s="3"/>
      <c r="C3" s="3"/>
      <c r="D3" s="3"/>
      <c r="E3" s="3"/>
      <c r="F3" s="3"/>
      <c r="G3" s="3"/>
    </row>
    <row r="4" spans="1:7" ht="15">
      <c r="A4" s="13" t="s">
        <v>34</v>
      </c>
      <c r="B4" s="3"/>
      <c r="C4" s="3"/>
      <c r="D4" s="3"/>
      <c r="E4" s="3"/>
      <c r="F4" s="3"/>
      <c r="G4" s="3"/>
    </row>
    <row r="5" spans="1:7" ht="15">
      <c r="A5" s="2" t="s">
        <v>32</v>
      </c>
      <c r="B5" s="70">
        <f>'Balance Sheet'!B5/'Balance Sheet'!B$40</f>
        <v>2.8900604148227958E-2</v>
      </c>
      <c r="C5" s="70">
        <f>'Balance Sheet'!C5/'Balance Sheet'!C$40</f>
        <v>2.5484981459679378E-2</v>
      </c>
      <c r="D5" s="70">
        <f>'Balance Sheet'!D5/'Balance Sheet'!D$40</f>
        <v>2.2162837991218612E-2</v>
      </c>
      <c r="E5" s="70">
        <f>'Balance Sheet'!E5/'Balance Sheet'!E$40</f>
        <v>1.9956052599445925E-2</v>
      </c>
      <c r="F5" s="70">
        <f>'Balance Sheet'!F5/'Balance Sheet'!F$40</f>
        <v>1.6915737634614399E-2</v>
      </c>
      <c r="G5" s="71">
        <f>AVERAGE(B5:F5)</f>
        <v>2.2684042766637255E-2</v>
      </c>
    </row>
    <row r="6" spans="1:7" ht="15">
      <c r="A6" s="2" t="s">
        <v>35</v>
      </c>
      <c r="B6" s="70">
        <f>'Balance Sheet'!B6/'Balance Sheet'!B$40</f>
        <v>0.66848501173663744</v>
      </c>
      <c r="C6" s="70">
        <f>'Balance Sheet'!C6/'Balance Sheet'!C$40</f>
        <v>0.68152105142652764</v>
      </c>
      <c r="D6" s="70">
        <f>'Balance Sheet'!D6/'Balance Sheet'!D$40</f>
        <v>0.68693859260156642</v>
      </c>
      <c r="E6" s="70">
        <f>'Balance Sheet'!E6/'Balance Sheet'!E$40</f>
        <v>0.70607625407877228</v>
      </c>
      <c r="F6" s="70">
        <f>'Balance Sheet'!F6/'Balance Sheet'!F$40</f>
        <v>0.60617901566019317</v>
      </c>
      <c r="G6" s="71">
        <f>AVERAGE(B6:F6)</f>
        <v>0.66983998510073939</v>
      </c>
    </row>
    <row r="7" spans="1:7" ht="15">
      <c r="A7" s="2" t="s">
        <v>36</v>
      </c>
      <c r="B7" s="70">
        <f>'Balance Sheet'!B7/'Balance Sheet'!B$40</f>
        <v>8.4707738484626913E-2</v>
      </c>
      <c r="C7" s="70">
        <f>'Balance Sheet'!C7/'Balance Sheet'!C$40</f>
        <v>9.0463614276521137E-2</v>
      </c>
      <c r="D7" s="70">
        <f>'Balance Sheet'!D7/'Balance Sheet'!D$40</f>
        <v>9.2737415711703172E-2</v>
      </c>
      <c r="E7" s="70">
        <f>'Balance Sheet'!E7/'Balance Sheet'!E$40</f>
        <v>8.6146208360577931E-2</v>
      </c>
      <c r="F7" s="70">
        <f>'Balance Sheet'!F7/'Balance Sheet'!F$40</f>
        <v>-1.7337058322124677E-2</v>
      </c>
      <c r="G7" s="71">
        <f>AVERAGE(B7:F7)</f>
        <v>6.7343583702260887E-2</v>
      </c>
    </row>
    <row r="8" spans="1:7" ht="15">
      <c r="A8" s="2" t="s">
        <v>80</v>
      </c>
      <c r="B8" s="70">
        <f>'Balance Sheet'!B8/'Balance Sheet'!B$40</f>
        <v>0</v>
      </c>
      <c r="C8" s="70">
        <f>'Balance Sheet'!C8/'Balance Sheet'!C$40</f>
        <v>2.6742316864036874E-3</v>
      </c>
      <c r="D8" s="70">
        <f>'Balance Sheet'!D8/'Balance Sheet'!D$40</f>
        <v>2.5276197443680972E-3</v>
      </c>
      <c r="E8" s="70">
        <f>'Balance Sheet'!E8/'Balance Sheet'!E$40</f>
        <v>2.4886259539161583E-3</v>
      </c>
      <c r="F8" s="70">
        <f>'Balance Sheet'!F8/'Balance Sheet'!F$40</f>
        <v>3.1735504530415702E-2</v>
      </c>
      <c r="G8" s="71">
        <f>AVERAGE(B8:F8)</f>
        <v>7.8851963830207285E-3</v>
      </c>
    </row>
    <row r="9" spans="1:7" ht="15">
      <c r="A9" s="13" t="s">
        <v>37</v>
      </c>
      <c r="B9" s="70">
        <f>'Balance Sheet'!B9/'Balance Sheet'!B$40</f>
        <v>0.69738561588486547</v>
      </c>
      <c r="C9" s="70">
        <f>'Balance Sheet'!C9/'Balance Sheet'!C$40</f>
        <v>0.707006032886207</v>
      </c>
      <c r="D9" s="70">
        <f>'Balance Sheet'!D9/'Balance Sheet'!D$40</f>
        <v>0.70910143059278508</v>
      </c>
      <c r="E9" s="70">
        <f>'Balance Sheet'!E9/'Balance Sheet'!E$40</f>
        <v>0.72603230667821828</v>
      </c>
      <c r="F9" s="70">
        <f>'Balance Sheet'!F9/'Balance Sheet'!F$40</f>
        <v>0.62309475329480757</v>
      </c>
      <c r="G9" s="71">
        <f>AVERAGE(B9:F9)</f>
        <v>0.69252402786737666</v>
      </c>
    </row>
    <row r="10" spans="1:7" ht="15">
      <c r="A10" s="2"/>
      <c r="B10" s="70"/>
      <c r="C10" s="70"/>
      <c r="D10" s="70"/>
      <c r="E10" s="70"/>
      <c r="F10" s="70"/>
      <c r="G10" s="71"/>
    </row>
    <row r="11" spans="1:7" ht="15">
      <c r="A11" s="2" t="s">
        <v>38</v>
      </c>
      <c r="B11" s="70">
        <f>'Balance Sheet'!B11/'Balance Sheet'!B$40</f>
        <v>1.9940739600569518E-3</v>
      </c>
      <c r="C11" s="70">
        <f>'Balance Sheet'!C11/'Balance Sheet'!C$40</f>
        <v>4.1172111347597485E-3</v>
      </c>
      <c r="D11" s="70">
        <f>'Balance Sheet'!D11/'Balance Sheet'!D$40</f>
        <v>3.2756728655492136E-4</v>
      </c>
      <c r="E11" s="70">
        <f>'Balance Sheet'!E11/'Balance Sheet'!E$40</f>
        <v>6.1475615641553292E-4</v>
      </c>
      <c r="F11" s="70">
        <f>'Balance Sheet'!F11/'Balance Sheet'!F$40</f>
        <v>0</v>
      </c>
      <c r="G11" s="71">
        <f t="shared" ref="G11:G39" si="0">AVERAGE(B11:F11)</f>
        <v>1.4107217075574308E-3</v>
      </c>
    </row>
    <row r="12" spans="1:7" ht="15">
      <c r="A12" s="2" t="s">
        <v>39</v>
      </c>
      <c r="B12" s="70">
        <f>'Balance Sheet'!B12/'Balance Sheet'!B$40</f>
        <v>7.2205333435948742E-3</v>
      </c>
      <c r="C12" s="70">
        <f>'Balance Sheet'!C12/'Balance Sheet'!C$40</f>
        <v>9.4903139187206449E-3</v>
      </c>
      <c r="D12" s="70">
        <f>'Balance Sheet'!D12/'Balance Sheet'!D$40</f>
        <v>1.2282891107694951E-2</v>
      </c>
      <c r="E12" s="70">
        <f>'Balance Sheet'!E12/'Balance Sheet'!E$40</f>
        <v>8.770450685508616E-3</v>
      </c>
      <c r="F12" s="70">
        <f>'Balance Sheet'!F12/'Balance Sheet'!F$40</f>
        <v>4.7718665879846961E-3</v>
      </c>
      <c r="G12" s="71">
        <f t="shared" si="0"/>
        <v>8.5072111287007555E-3</v>
      </c>
    </row>
    <row r="13" spans="1:7" ht="15">
      <c r="A13" s="13" t="s">
        <v>40</v>
      </c>
      <c r="B13" s="70">
        <f>'Balance Sheet'!B13/'Balance Sheet'!B$40</f>
        <v>9.2146073036518256E-3</v>
      </c>
      <c r="C13" s="70">
        <f>'Balance Sheet'!C13/'Balance Sheet'!C$40</f>
        <v>1.3607525053480393E-2</v>
      </c>
      <c r="D13" s="70">
        <f>'Balance Sheet'!D13/'Balance Sheet'!D$40</f>
        <v>1.2610458394249872E-2</v>
      </c>
      <c r="E13" s="70">
        <f>'Balance Sheet'!E13/'Balance Sheet'!E$40</f>
        <v>9.3852068419241486E-3</v>
      </c>
      <c r="F13" s="70">
        <f>'Balance Sheet'!F13/'Balance Sheet'!F$40</f>
        <v>4.7718665879846961E-3</v>
      </c>
      <c r="G13" s="71">
        <f t="shared" si="0"/>
        <v>9.9179328362581868E-3</v>
      </c>
    </row>
    <row r="14" spans="1:7" ht="15">
      <c r="A14" s="2"/>
      <c r="B14" s="70"/>
      <c r="C14" s="70"/>
      <c r="D14" s="70"/>
      <c r="E14" s="70"/>
      <c r="F14" s="70"/>
      <c r="G14" s="71"/>
    </row>
    <row r="15" spans="1:7" ht="15">
      <c r="A15" s="2" t="s">
        <v>43</v>
      </c>
      <c r="B15" s="70">
        <f>'Balance Sheet'!B15/'Balance Sheet'!B$40</f>
        <v>0.16534574979797592</v>
      </c>
      <c r="C15" s="70">
        <f>'Balance Sheet'!C15/'Balance Sheet'!C$40</f>
        <v>0.15874362062588657</v>
      </c>
      <c r="D15" s="70">
        <f>'Balance Sheet'!D15/'Balance Sheet'!D$40</f>
        <v>0.16111782189513849</v>
      </c>
      <c r="E15" s="70">
        <f>'Balance Sheet'!E15/'Balance Sheet'!E$40</f>
        <v>0.15454589183780376</v>
      </c>
      <c r="F15" s="70">
        <f>'Balance Sheet'!F15/'Balance Sheet'!F$40</f>
        <v>0.15258232810027345</v>
      </c>
      <c r="G15" s="71">
        <f t="shared" si="0"/>
        <v>0.15846708245141566</v>
      </c>
    </row>
    <row r="16" spans="1:7" ht="15">
      <c r="A16" s="2" t="s">
        <v>42</v>
      </c>
      <c r="B16" s="70">
        <f>'Balance Sheet'!B16/'Balance Sheet'!B$40</f>
        <v>2.1151344903220841E-2</v>
      </c>
      <c r="C16" s="70">
        <f>'Balance Sheet'!C16/'Balance Sheet'!C$40</f>
        <v>2.0873271455493073E-2</v>
      </c>
      <c r="D16" s="70">
        <f>'Balance Sheet'!D16/'Balance Sheet'!D$40</f>
        <v>2.0409735511469559E-2</v>
      </c>
      <c r="E16" s="70">
        <f>'Balance Sheet'!E16/'Balance Sheet'!E$40</f>
        <v>1.8615535305662789E-2</v>
      </c>
      <c r="F16" s="70">
        <f>'Balance Sheet'!F16/'Balance Sheet'!F$40</f>
        <v>1.7975463275544619E-2</v>
      </c>
      <c r="G16" s="71">
        <f t="shared" si="0"/>
        <v>1.9805070090278175E-2</v>
      </c>
    </row>
    <row r="17" spans="1:7" ht="15">
      <c r="A17" s="13" t="s">
        <v>44</v>
      </c>
      <c r="B17" s="70">
        <f>'Balance Sheet'!B17/'Balance Sheet'!B$40</f>
        <v>0.18649709470119674</v>
      </c>
      <c r="C17" s="70">
        <f>'Balance Sheet'!C17/'Balance Sheet'!C$40</f>
        <v>0.17961689208137963</v>
      </c>
      <c r="D17" s="70">
        <f>'Balance Sheet'!D17/'Balance Sheet'!D$40</f>
        <v>0.18152755740660806</v>
      </c>
      <c r="E17" s="70">
        <f>'Balance Sheet'!E17/'Balance Sheet'!E$40</f>
        <v>0.17316142714346655</v>
      </c>
      <c r="F17" s="70">
        <f>'Balance Sheet'!F17/'Balance Sheet'!F$40</f>
        <v>0.17055779137581806</v>
      </c>
      <c r="G17" s="71">
        <f t="shared" si="0"/>
        <v>0.17827215254169379</v>
      </c>
    </row>
    <row r="18" spans="1:7" ht="15">
      <c r="A18" s="2" t="s">
        <v>45</v>
      </c>
      <c r="B18" s="70">
        <f>'Balance Sheet'!B18/'Balance Sheet'!B$40</f>
        <v>0.1069026821102859</v>
      </c>
      <c r="C18" s="70">
        <f>'Balance Sheet'!C18/'Balance Sheet'!C$40</f>
        <v>9.9769549978933003E-2</v>
      </c>
      <c r="D18" s="70">
        <f>'Balance Sheet'!D18/'Balance Sheet'!D$40</f>
        <v>9.6760553606357033E-2</v>
      </c>
      <c r="E18" s="70">
        <f>'Balance Sheet'!E18/'Balance Sheet'!E$40</f>
        <v>9.1421059336391081E-2</v>
      </c>
      <c r="F18" s="70">
        <f>'Balance Sheet'!F18/'Balance Sheet'!F$40</f>
        <v>0.20157558874138973</v>
      </c>
      <c r="G18" s="71">
        <f t="shared" si="0"/>
        <v>0.11928588675467136</v>
      </c>
    </row>
    <row r="19" spans="1:7" ht="15">
      <c r="A19" s="13" t="s">
        <v>46</v>
      </c>
      <c r="B19" s="70">
        <f>'Balance Sheet'!B19/'Balance Sheet'!B$40</f>
        <v>0.29339977681148266</v>
      </c>
      <c r="C19" s="70">
        <f>'Balance Sheet'!C19/'Balance Sheet'!C$40</f>
        <v>0.27938644206031266</v>
      </c>
      <c r="D19" s="70">
        <f>'Balance Sheet'!D19/'Balance Sheet'!D$40</f>
        <v>0.27828811101296508</v>
      </c>
      <c r="E19" s="70">
        <f>'Balance Sheet'!E19/'Balance Sheet'!E$40</f>
        <v>0.26458248647985766</v>
      </c>
      <c r="F19" s="70">
        <f>'Balance Sheet'!F19/'Balance Sheet'!F$40</f>
        <v>0.37213338011720781</v>
      </c>
      <c r="G19" s="71">
        <f t="shared" si="0"/>
        <v>0.29755803929636515</v>
      </c>
    </row>
    <row r="20" spans="1:7" ht="15">
      <c r="A20" s="2"/>
      <c r="B20" s="70"/>
      <c r="C20" s="70"/>
      <c r="D20" s="70"/>
      <c r="E20" s="70"/>
      <c r="F20" s="70"/>
      <c r="G20" s="71"/>
    </row>
    <row r="21" spans="1:7" ht="15">
      <c r="A21" s="2" t="s">
        <v>41</v>
      </c>
      <c r="B21" s="70" t="e">
        <f>'Balance Sheet'!#REF!/'Balance Sheet'!B$40</f>
        <v>#REF!</v>
      </c>
      <c r="C21" s="70" t="e">
        <f>'Balance Sheet'!#REF!/'Balance Sheet'!C$40</f>
        <v>#REF!</v>
      </c>
      <c r="D21" s="70" t="e">
        <f>'Balance Sheet'!#REF!/'Balance Sheet'!D$40</f>
        <v>#REF!</v>
      </c>
      <c r="E21" s="70" t="e">
        <f>'Balance Sheet'!#REF!/'Balance Sheet'!E$40</f>
        <v>#REF!</v>
      </c>
      <c r="F21" s="70" t="e">
        <f>'Balance Sheet'!#REF!/'Balance Sheet'!F$40</f>
        <v>#REF!</v>
      </c>
      <c r="G21" s="71" t="e">
        <f t="shared" si="0"/>
        <v>#REF!</v>
      </c>
    </row>
    <row r="22" spans="1:7" ht="15">
      <c r="A22" s="2"/>
      <c r="B22" s="70"/>
      <c r="C22" s="70"/>
      <c r="D22" s="70"/>
      <c r="E22" s="70"/>
      <c r="F22" s="70"/>
      <c r="G22" s="71"/>
    </row>
    <row r="23" spans="1:7" ht="15">
      <c r="A23" s="31" t="s">
        <v>47</v>
      </c>
      <c r="B23" s="70">
        <f>'Balance Sheet'!B22/'Balance Sheet'!B$40</f>
        <v>1</v>
      </c>
      <c r="C23" s="70">
        <f>'Balance Sheet'!C22/'Balance Sheet'!C$40</f>
        <v>1</v>
      </c>
      <c r="D23" s="70">
        <f>'Balance Sheet'!D22/'Balance Sheet'!D$40</f>
        <v>1</v>
      </c>
      <c r="E23" s="70">
        <f>'Balance Sheet'!E22/'Balance Sheet'!E$40</f>
        <v>1</v>
      </c>
      <c r="F23" s="70">
        <f>'Balance Sheet'!F22/'Balance Sheet'!F$40</f>
        <v>1</v>
      </c>
      <c r="G23" s="71">
        <f t="shared" si="0"/>
        <v>1</v>
      </c>
    </row>
    <row r="24" spans="1:7">
      <c r="B24" s="47"/>
      <c r="C24" s="47"/>
      <c r="D24" s="47"/>
      <c r="E24" s="47"/>
      <c r="F24" s="47"/>
      <c r="G24" s="71"/>
    </row>
    <row r="25" spans="1:7" ht="15">
      <c r="A25" s="11" t="s">
        <v>30</v>
      </c>
      <c r="B25" s="47"/>
      <c r="C25" s="47"/>
      <c r="D25" s="47"/>
      <c r="E25" s="47"/>
      <c r="F25" s="47"/>
      <c r="G25" s="71"/>
    </row>
    <row r="26" spans="1:7" ht="15">
      <c r="A26" s="2" t="s">
        <v>51</v>
      </c>
      <c r="B26" s="70">
        <f>'Balance Sheet'!B25/'Balance Sheet'!B$40</f>
        <v>0.47925270327471431</v>
      </c>
      <c r="C26" s="70">
        <f>'Balance Sheet'!C25/'Balance Sheet'!C$40</f>
        <v>0.4859045677241266</v>
      </c>
      <c r="D26" s="70">
        <f>'Balance Sheet'!D25/'Balance Sheet'!D$40</f>
        <v>0.53137882892048638</v>
      </c>
      <c r="E26" s="70">
        <f>'Balance Sheet'!E25/'Balance Sheet'!E$40</f>
        <v>0.56496989386338037</v>
      </c>
      <c r="F26" s="70">
        <f>'Balance Sheet'!F25/'Balance Sheet'!F$40</f>
        <v>0.53904858611688533</v>
      </c>
      <c r="G26" s="71">
        <f t="shared" si="0"/>
        <v>0.52011091597991865</v>
      </c>
    </row>
    <row r="27" spans="1:7" ht="15">
      <c r="A27" s="2" t="s">
        <v>48</v>
      </c>
      <c r="B27" s="70">
        <f>'Balance Sheet'!B26/'Balance Sheet'!B$40</f>
        <v>0.15895947973986993</v>
      </c>
      <c r="C27" s="70">
        <f>'Balance Sheet'!C26/'Balance Sheet'!C$40</f>
        <v>0.16449588269822971</v>
      </c>
      <c r="D27" s="70">
        <f>'Balance Sheet'!D26/'Balance Sheet'!D$40</f>
        <v>0.16859525437111197</v>
      </c>
      <c r="E27" s="70">
        <f>'Balance Sheet'!E26/'Balance Sheet'!E$40</f>
        <v>0.18058011777427613</v>
      </c>
      <c r="F27" s="70">
        <f>'Balance Sheet'!F26/'Balance Sheet'!F$40</f>
        <v>0.17831644101696448</v>
      </c>
      <c r="G27" s="71">
        <f t="shared" si="0"/>
        <v>0.17018943512009041</v>
      </c>
    </row>
    <row r="28" spans="1:7" ht="15">
      <c r="A28" s="2" t="s">
        <v>49</v>
      </c>
      <c r="B28" s="70">
        <f>'Balance Sheet'!B27/'Balance Sheet'!B$40</f>
        <v>0.3202932235348443</v>
      </c>
      <c r="C28" s="70">
        <f>'Balance Sheet'!C27/'Balance Sheet'!C$40</f>
        <v>0.32140868502589692</v>
      </c>
      <c r="D28" s="70">
        <f>'Balance Sheet'!D27/'Balance Sheet'!D$40</f>
        <v>0.36278357454937443</v>
      </c>
      <c r="E28" s="70">
        <f>'Balance Sheet'!E27/'Balance Sheet'!E$40</f>
        <v>0.38438977608910418</v>
      </c>
      <c r="F28" s="70">
        <f>'Balance Sheet'!F27/'Balance Sheet'!F$40</f>
        <v>0.36073214509992085</v>
      </c>
      <c r="G28" s="71">
        <f t="shared" si="0"/>
        <v>0.3499214808598281</v>
      </c>
    </row>
    <row r="29" spans="1:7" ht="15">
      <c r="A29" s="2" t="s">
        <v>50</v>
      </c>
      <c r="B29" s="70">
        <f>'Balance Sheet'!B28/'Balance Sheet'!B$40</f>
        <v>1.8732443144649249E-2</v>
      </c>
      <c r="C29" s="70">
        <f>'Balance Sheet'!C28/'Balance Sheet'!C$40</f>
        <v>5.8671952159605273E-2</v>
      </c>
      <c r="D29" s="70">
        <f>'Balance Sheet'!D28/'Balance Sheet'!D$40</f>
        <v>6.6267391352929347E-2</v>
      </c>
      <c r="E29" s="70">
        <f>'Balance Sheet'!E28/'Balance Sheet'!E$40</f>
        <v>6.4174622464130859E-2</v>
      </c>
      <c r="F29" s="70">
        <f>'Balance Sheet'!F28/'Balance Sheet'!F$40</f>
        <v>4.4701194583703266E-2</v>
      </c>
      <c r="G29" s="71">
        <f t="shared" si="0"/>
        <v>5.0509520741003601E-2</v>
      </c>
    </row>
    <row r="30" spans="1:7" ht="15">
      <c r="A30" s="2"/>
      <c r="B30" s="70"/>
      <c r="C30" s="70"/>
      <c r="D30" s="70"/>
      <c r="E30" s="70"/>
      <c r="F30" s="70"/>
      <c r="G30" s="71"/>
    </row>
    <row r="31" spans="1:7" ht="15">
      <c r="A31" s="2" t="s">
        <v>52</v>
      </c>
      <c r="B31" s="70">
        <f>'Balance Sheet'!B30/'Balance Sheet'!B$40</f>
        <v>0.2706745680532574</v>
      </c>
      <c r="C31" s="70">
        <f>'Balance Sheet'!C30/'Balance Sheet'!C$40</f>
        <v>0.20780942420009729</v>
      </c>
      <c r="D31" s="70">
        <f>'Balance Sheet'!D30/'Balance Sheet'!D$40</f>
        <v>0.17257856028002594</v>
      </c>
      <c r="E31" s="70">
        <f>'Balance Sheet'!E30/'Balance Sheet'!E$40</f>
        <v>0.1500020879508322</v>
      </c>
      <c r="F31" s="70">
        <f>'Balance Sheet'!F30/'Balance Sheet'!F$40</f>
        <v>0.25371701426730964</v>
      </c>
      <c r="G31" s="71">
        <f t="shared" si="0"/>
        <v>0.2109563309503045</v>
      </c>
    </row>
    <row r="32" spans="1:7" ht="15">
      <c r="A32" s="2"/>
      <c r="B32" s="70"/>
      <c r="C32" s="70"/>
      <c r="D32" s="70"/>
      <c r="E32" s="70"/>
      <c r="F32" s="70"/>
      <c r="G32" s="71"/>
    </row>
    <row r="33" spans="1:7" ht="15">
      <c r="A33" s="2" t="s">
        <v>54</v>
      </c>
      <c r="B33" s="70">
        <f>'Balance Sheet'!B32/'Balance Sheet'!B$40</f>
        <v>0.20289298495401548</v>
      </c>
      <c r="C33" s="70">
        <f>'Balance Sheet'!C32/'Balance Sheet'!C$40</f>
        <v>0.2272005538387338</v>
      </c>
      <c r="D33" s="70">
        <f>'Balance Sheet'!D32/'Balance Sheet'!D$40</f>
        <v>0.23820787173006103</v>
      </c>
      <c r="E33" s="70">
        <f>'Balance Sheet'!E32/'Balance Sheet'!E$40</f>
        <v>0.24313896713565392</v>
      </c>
      <c r="F33" s="70">
        <f>'Balance Sheet'!F32/'Balance Sheet'!F$40</f>
        <v>0.20153704520846294</v>
      </c>
      <c r="G33" s="71">
        <f t="shared" si="0"/>
        <v>0.22259548457338543</v>
      </c>
    </row>
    <row r="34" spans="1:7" ht="15">
      <c r="A34" s="2" t="s">
        <v>55</v>
      </c>
      <c r="B34" s="70">
        <f>'Balance Sheet'!B33/'Balance Sheet'!B$40</f>
        <v>4.3023049986531725E-2</v>
      </c>
      <c r="C34" s="70">
        <f>'Balance Sheet'!C33/'Balance Sheet'!C$40</f>
        <v>4.3902693460828243E-2</v>
      </c>
      <c r="D34" s="70">
        <f>'Balance Sheet'!D33/'Balance Sheet'!D$40</f>
        <v>4.4045744154070719E-2</v>
      </c>
      <c r="E34" s="70">
        <f>'Balance Sheet'!E33/'Balance Sheet'!E$40</f>
        <v>3.5973542755682791E-2</v>
      </c>
      <c r="F34" s="70">
        <f>'Balance Sheet'!F33/'Balance Sheet'!F$40</f>
        <v>3.872428880536314E-2</v>
      </c>
      <c r="G34" s="71">
        <f t="shared" si="0"/>
        <v>4.1133863832495322E-2</v>
      </c>
    </row>
    <row r="35" spans="1:7" ht="15">
      <c r="A35" s="2" t="s">
        <v>53</v>
      </c>
      <c r="B35" s="70">
        <f>'Balance Sheet'!B34/'Balance Sheet'!B$40</f>
        <v>4.0871204833185924E-2</v>
      </c>
      <c r="C35" s="70">
        <f>'Balance Sheet'!C34/'Balance Sheet'!C$40</f>
        <v>2.8948505732799813E-2</v>
      </c>
      <c r="D35" s="70">
        <f>'Balance Sheet'!D34/'Balance Sheet'!D$40</f>
        <v>1.4806575729205624E-3</v>
      </c>
      <c r="E35" s="70">
        <f>'Balance Sheet'!E34/'Balance Sheet'!E$40</f>
        <v>8.6619464174728256E-3</v>
      </c>
      <c r="F35" s="70">
        <f>'Balance Sheet'!F34/'Balance Sheet'!F$40</f>
        <v>1.5120907459281144E-2</v>
      </c>
      <c r="G35" s="71">
        <f t="shared" si="0"/>
        <v>1.9016644403132055E-2</v>
      </c>
    </row>
    <row r="36" spans="1:7" ht="15">
      <c r="A36" s="2" t="s">
        <v>56</v>
      </c>
      <c r="B36" s="70">
        <f>'Balance Sheet'!B35/'Balance Sheet'!B$40</f>
        <v>0.10351252549351599</v>
      </c>
      <c r="C36" s="70">
        <f>'Balance Sheet'!C35/'Balance Sheet'!C$40</f>
        <v>0.11205818558203873</v>
      </c>
      <c r="D36" s="70">
        <f>'Balance Sheet'!D35/'Balance Sheet'!D$40</f>
        <v>0.11463620036061806</v>
      </c>
      <c r="E36" s="70">
        <f>'Balance Sheet'!E35/'Balance Sheet'!E$40</f>
        <v>0.11365905718712321</v>
      </c>
      <c r="F36" s="70">
        <f>'Balance Sheet'!F35/'Balance Sheet'!F$40</f>
        <v>8.5467404575959124E-2</v>
      </c>
      <c r="G36" s="71">
        <f t="shared" si="0"/>
        <v>0.10586667463985103</v>
      </c>
    </row>
    <row r="37" spans="1:7" ht="15">
      <c r="A37" s="13" t="s">
        <v>57</v>
      </c>
      <c r="B37" s="70">
        <f>'Balance Sheet'!B36/'Balance Sheet'!B$40</f>
        <v>0.34942856043406317</v>
      </c>
      <c r="C37" s="70">
        <f>'Balance Sheet'!C36/'Balance Sheet'!C$40</f>
        <v>0.38316143288160076</v>
      </c>
      <c r="D37" s="70">
        <f>'Balance Sheet'!D36/'Balance Sheet'!D$40</f>
        <v>0.39688981624474978</v>
      </c>
      <c r="E37" s="70">
        <f>'Balance Sheet'!E36/'Balance Sheet'!E$40</f>
        <v>0.39277156707845995</v>
      </c>
      <c r="F37" s="70">
        <f>'Balance Sheet'!F36/'Balance Sheet'!F$40</f>
        <v>0.32572873858978518</v>
      </c>
      <c r="G37" s="71">
        <f t="shared" si="0"/>
        <v>0.36959602304573175</v>
      </c>
    </row>
    <row r="38" spans="1:7" ht="15">
      <c r="A38" s="2"/>
      <c r="B38" s="47"/>
      <c r="C38" s="47"/>
      <c r="D38" s="47"/>
      <c r="E38" s="47"/>
      <c r="F38" s="47"/>
      <c r="G38" s="71"/>
    </row>
    <row r="39" spans="1:7" ht="15">
      <c r="A39" s="31" t="s">
        <v>58</v>
      </c>
      <c r="B39" s="72">
        <f>'Balance Sheet'!B40/'Balance Sheet'!B$40</f>
        <v>1</v>
      </c>
      <c r="C39" s="72">
        <f>'Balance Sheet'!C40/'Balance Sheet'!C$40</f>
        <v>1</v>
      </c>
      <c r="D39" s="72">
        <f>'Balance Sheet'!D40/'Balance Sheet'!D$40</f>
        <v>1</v>
      </c>
      <c r="E39" s="72">
        <f>'Balance Sheet'!E40/'Balance Sheet'!E$40</f>
        <v>1</v>
      </c>
      <c r="F39" s="72">
        <f>'Balance Sheet'!F40/'Balance Sheet'!F$40</f>
        <v>1</v>
      </c>
      <c r="G39" s="73">
        <f t="shared" si="0"/>
        <v>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K51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defaultRowHeight="12.75"/>
  <cols>
    <col min="1" max="1" width="31.140625" customWidth="1"/>
    <col min="2" max="2" width="11.7109375" customWidth="1"/>
    <col min="3" max="3" width="12.28515625" customWidth="1"/>
    <col min="4" max="4" width="12.5703125" customWidth="1"/>
    <col min="5" max="6" width="14.28515625" bestFit="1" customWidth="1"/>
    <col min="7" max="11" width="14.28515625" bestFit="1" customWidth="1" collapsed="1"/>
  </cols>
  <sheetData>
    <row r="1" spans="1:11">
      <c r="A1" s="6" t="s">
        <v>0</v>
      </c>
      <c r="B1" s="6" t="s">
        <v>2</v>
      </c>
      <c r="C1" s="5" t="s">
        <v>59</v>
      </c>
    </row>
    <row r="2" spans="1:11">
      <c r="A2" s="18" t="s">
        <v>1</v>
      </c>
      <c r="B2" s="19">
        <v>2006</v>
      </c>
      <c r="C2" s="19">
        <v>2007</v>
      </c>
      <c r="D2" s="19">
        <v>2008</v>
      </c>
      <c r="E2" s="19">
        <v>2009</v>
      </c>
      <c r="F2" s="19">
        <v>2010</v>
      </c>
      <c r="G2" s="19">
        <v>2011</v>
      </c>
      <c r="H2" s="19">
        <v>2012</v>
      </c>
      <c r="I2" s="19">
        <v>2013</v>
      </c>
      <c r="J2" s="19">
        <v>2014</v>
      </c>
      <c r="K2" s="19">
        <v>2015</v>
      </c>
    </row>
    <row r="3" spans="1:11" ht="15">
      <c r="A3" s="11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4.25">
      <c r="A4" s="44" t="s">
        <v>81</v>
      </c>
      <c r="B4" s="45"/>
      <c r="C4" s="45"/>
      <c r="D4" s="45"/>
      <c r="E4" s="45"/>
      <c r="F4" s="45"/>
      <c r="G4" s="81">
        <v>0.15</v>
      </c>
      <c r="H4" s="81">
        <v>0.15</v>
      </c>
      <c r="I4" s="81">
        <v>0.15</v>
      </c>
      <c r="J4" s="81">
        <v>0.02</v>
      </c>
      <c r="K4" s="81">
        <v>0.02</v>
      </c>
    </row>
    <row r="5" spans="1:11" ht="15">
      <c r="A5" s="2" t="s">
        <v>3</v>
      </c>
      <c r="B5" s="20">
        <v>16283.07</v>
      </c>
      <c r="C5" s="21">
        <v>19300.04</v>
      </c>
      <c r="D5" s="7">
        <v>21355.94</v>
      </c>
      <c r="E5" s="25">
        <v>23143.53</v>
      </c>
      <c r="F5" s="25">
        <v>26259.599999999999</v>
      </c>
      <c r="G5" s="25">
        <f>G6*'Common Size IS '!$G$4</f>
        <v>32080.860029025051</v>
      </c>
      <c r="H5" s="25">
        <f>H6*'Common Size IS '!$G$4</f>
        <v>36892.989033378806</v>
      </c>
      <c r="I5" s="25">
        <f>I6*'Common Size IS '!$G$4</f>
        <v>42426.937388385624</v>
      </c>
      <c r="J5" s="25">
        <f>J6*'Common Size IS '!$G$4</f>
        <v>43275.476136153346</v>
      </c>
      <c r="K5" s="25">
        <f>K6*'Common Size IS '!$G$4</f>
        <v>44140.985658876409</v>
      </c>
    </row>
    <row r="6" spans="1:11" ht="15">
      <c r="A6" s="2" t="s">
        <v>4</v>
      </c>
      <c r="B6" s="20">
        <v>9790.5333118000017</v>
      </c>
      <c r="C6" s="8">
        <v>12369.295353703001</v>
      </c>
      <c r="D6" s="8">
        <v>13947.53</v>
      </c>
      <c r="E6" s="25">
        <v>15611.919999999998</v>
      </c>
      <c r="F6" s="25">
        <v>18153.189999999999</v>
      </c>
      <c r="G6" s="25">
        <f>F6*(1+G4)</f>
        <v>20876.168499999996</v>
      </c>
      <c r="H6" s="25">
        <f>G6*(1+H4)</f>
        <v>24007.593774999994</v>
      </c>
      <c r="I6" s="25">
        <f>H6*(1+I4)</f>
        <v>27608.732841249992</v>
      </c>
      <c r="J6" s="25">
        <f>I6*(1+J4)</f>
        <v>28160.907498074994</v>
      </c>
      <c r="K6" s="25">
        <f>J6*(1+K4)</f>
        <v>28724.125648036494</v>
      </c>
    </row>
    <row r="7" spans="1:11" ht="15">
      <c r="A7" s="2" t="s">
        <v>22</v>
      </c>
      <c r="B7" s="20">
        <v>286.07590185100003</v>
      </c>
      <c r="C7" s="21">
        <v>336.49318171099998</v>
      </c>
      <c r="D7" s="7">
        <v>234.47</v>
      </c>
      <c r="E7" s="25">
        <v>194.62</v>
      </c>
      <c r="F7" s="25">
        <v>229.05</v>
      </c>
      <c r="G7" s="25">
        <f>'Common Size IS '!$G$6*'IS-Yearly'!G6</f>
        <v>410.50124348507546</v>
      </c>
      <c r="H7" s="25">
        <f>'Common Size IS '!$G$6*'IS-Yearly'!H6</f>
        <v>472.07643000783673</v>
      </c>
      <c r="I7" s="25">
        <f>'Common Size IS '!$G$6*'IS-Yearly'!I6</f>
        <v>542.8878945090122</v>
      </c>
      <c r="J7" s="25">
        <f>'Common Size IS '!$G$6*'IS-Yearly'!J6</f>
        <v>553.74565239919252</v>
      </c>
      <c r="K7" s="25">
        <f>'Common Size IS '!$G$6*'IS-Yearly'!K6</f>
        <v>564.82056544717636</v>
      </c>
    </row>
    <row r="8" spans="1:11" ht="15">
      <c r="A8" s="13" t="s">
        <v>23</v>
      </c>
      <c r="B8" s="24">
        <f>B6+B7</f>
        <v>10076.609213651001</v>
      </c>
      <c r="C8" s="24">
        <f>C6+C7</f>
        <v>12705.788535414</v>
      </c>
      <c r="D8" s="24">
        <f>D6+D7</f>
        <v>14182</v>
      </c>
      <c r="E8" s="24">
        <v>15806.539999999999</v>
      </c>
      <c r="F8" s="24">
        <v>18382.239999999998</v>
      </c>
      <c r="G8" s="24">
        <f>G6*'Common Size IS '!$G$7</f>
        <v>21286.669743485072</v>
      </c>
      <c r="H8" s="24">
        <f>H6*'Common Size IS '!$G$7</f>
        <v>24479.670205007831</v>
      </c>
      <c r="I8" s="24">
        <f>I6*'Common Size IS '!$G$7</f>
        <v>28151.620735759003</v>
      </c>
      <c r="J8" s="24">
        <f>J6*'Common Size IS '!$G$7</f>
        <v>28714.653150474187</v>
      </c>
      <c r="K8" s="24">
        <f>K6*'Common Size IS '!$G$7</f>
        <v>29288.946213483669</v>
      </c>
    </row>
    <row r="9" spans="1:11" ht="15">
      <c r="A9" s="11" t="s">
        <v>13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5">
      <c r="A10" s="14" t="s">
        <v>9</v>
      </c>
      <c r="B10" s="8">
        <v>-141.67490258000001</v>
      </c>
      <c r="C10" s="8">
        <v>-259.48076029999999</v>
      </c>
      <c r="D10" s="8">
        <v>-5.69</v>
      </c>
      <c r="E10" s="8">
        <v>-136.34999999999997</v>
      </c>
      <c r="F10" s="8">
        <v>175.24</v>
      </c>
      <c r="G10" s="8">
        <f>G$6*'Common Size IS '!$G9</f>
        <v>-145.86881505860197</v>
      </c>
      <c r="H10" s="8">
        <f>H$6*'Common Size IS '!$G9</f>
        <v>-167.74913731739227</v>
      </c>
      <c r="I10" s="8">
        <f>I$6*'Common Size IS '!$G9</f>
        <v>-192.9115079150011</v>
      </c>
      <c r="J10" s="8">
        <f>J$6*'Common Size IS '!$G9</f>
        <v>-196.76973807330114</v>
      </c>
      <c r="K10" s="8">
        <f>K$6*'Common Size IS '!$G9</f>
        <v>-200.70513283476714</v>
      </c>
    </row>
    <row r="11" spans="1:11" ht="15">
      <c r="A11" s="15" t="s">
        <v>6</v>
      </c>
      <c r="B11" s="8">
        <v>4124.9045164800009</v>
      </c>
      <c r="C11" s="8">
        <v>5644.3442314859994</v>
      </c>
      <c r="D11" s="8">
        <v>4639.3500000000004</v>
      </c>
      <c r="E11" s="8">
        <v>4896.2200000000012</v>
      </c>
      <c r="F11" s="8">
        <v>5797.9599999999991</v>
      </c>
      <c r="G11" s="8">
        <f>G$6*'Common Size IS '!$G10</f>
        <v>7696.1026137980025</v>
      </c>
      <c r="H11" s="8">
        <f>H$6*'Common Size IS '!$G10</f>
        <v>8850.5180058677015</v>
      </c>
      <c r="I11" s="8">
        <f>I$6*'Common Size IS '!$G10</f>
        <v>10178.095706747858</v>
      </c>
      <c r="J11" s="8">
        <f>J$6*'Common Size IS '!$G10</f>
        <v>10381.657620882814</v>
      </c>
      <c r="K11" s="8">
        <f>K$6*'Common Size IS '!$G10</f>
        <v>10589.29077330047</v>
      </c>
    </row>
    <row r="12" spans="1:11" ht="15">
      <c r="A12" s="15" t="s">
        <v>7</v>
      </c>
      <c r="B12" s="8"/>
      <c r="C12" s="8"/>
      <c r="D12" s="8">
        <v>1383.04</v>
      </c>
      <c r="E12" s="8">
        <v>1198</v>
      </c>
      <c r="F12" s="8">
        <v>998.2</v>
      </c>
      <c r="G12" s="8">
        <f>G$6*'Common Size IS '!$G11</f>
        <v>963.99477392600329</v>
      </c>
      <c r="H12" s="8">
        <f>H$6*'Common Size IS '!$G11</f>
        <v>1108.5939900149037</v>
      </c>
      <c r="I12" s="8">
        <f>I$6*'Common Size IS '!$G11</f>
        <v>1274.8830885171392</v>
      </c>
      <c r="J12" s="8">
        <f>J$6*'Common Size IS '!$G11</f>
        <v>1300.380750287482</v>
      </c>
      <c r="K12" s="8">
        <f>K$6*'Common Size IS '!$G11</f>
        <v>1326.3883652932318</v>
      </c>
    </row>
    <row r="13" spans="1:11" ht="15">
      <c r="A13" s="15" t="s">
        <v>8</v>
      </c>
      <c r="B13" s="8">
        <v>541.39529022199997</v>
      </c>
      <c r="C13" s="8">
        <v>630.14721698000017</v>
      </c>
      <c r="D13" s="8">
        <v>733.32</v>
      </c>
      <c r="E13" s="8">
        <v>890.88</v>
      </c>
      <c r="F13" s="8">
        <v>1002.77</v>
      </c>
      <c r="G13" s="8">
        <f>G$6*'Common Size IS '!$G12</f>
        <v>1132.0009427909342</v>
      </c>
      <c r="H13" s="8">
        <f>H$6*'Common Size IS '!$G12</f>
        <v>1301.8010842095744</v>
      </c>
      <c r="I13" s="8">
        <f>I$6*'Common Size IS '!$G12</f>
        <v>1497.0712468410104</v>
      </c>
      <c r="J13" s="8">
        <f>J$6*'Common Size IS '!$G12</f>
        <v>1527.0126717778307</v>
      </c>
      <c r="K13" s="8">
        <f>K$6*'Common Size IS '!$G12</f>
        <v>1557.5529252133874</v>
      </c>
    </row>
    <row r="14" spans="1:11" ht="15">
      <c r="A14" s="15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15">
      <c r="A15" s="16" t="s">
        <v>10</v>
      </c>
      <c r="B15" s="12">
        <f>SUM(B10:B13)</f>
        <v>4524.6249041220008</v>
      </c>
      <c r="C15" s="12">
        <f>SUM(C10:C13)</f>
        <v>6015.0106881659995</v>
      </c>
      <c r="D15" s="12">
        <f>SUM(D10:D13)</f>
        <v>6750.02</v>
      </c>
      <c r="E15" s="12">
        <v>6848.7500000000009</v>
      </c>
      <c r="F15" s="12">
        <v>7974.1699999999983</v>
      </c>
      <c r="G15" s="12">
        <f>G$6*'Common Size IS '!$G14</f>
        <v>9646.229515456338</v>
      </c>
      <c r="H15" s="12">
        <f>H$6*'Common Size IS '!$G14</f>
        <v>11093.163942774789</v>
      </c>
      <c r="I15" s="12">
        <f>I$6*'Common Size IS '!$G14</f>
        <v>12757.138534191006</v>
      </c>
      <c r="J15" s="12">
        <f>J$6*'Common Size IS '!$G14</f>
        <v>13012.281304874827</v>
      </c>
      <c r="K15" s="12">
        <f>K$6*'Common Size IS '!$G14</f>
        <v>13272.526930972323</v>
      </c>
    </row>
    <row r="16" spans="1:11" ht="15">
      <c r="A16" s="16" t="s">
        <v>11</v>
      </c>
      <c r="B16" s="12">
        <f>B8-B15</f>
        <v>5551.9843095290007</v>
      </c>
      <c r="C16" s="12">
        <f>C8-C15</f>
        <v>6690.7778472480004</v>
      </c>
      <c r="D16" s="12">
        <f>D8-D15</f>
        <v>7431.98</v>
      </c>
      <c r="E16" s="12">
        <v>8957.7899999999972</v>
      </c>
      <c r="F16" s="12">
        <v>10408.07</v>
      </c>
      <c r="G16" s="12">
        <f>G$6*'Common Size IS '!$G15</f>
        <v>11640.440228028732</v>
      </c>
      <c r="H16" s="12">
        <f>H$6*'Common Size IS '!$G15</f>
        <v>13386.506262233042</v>
      </c>
      <c r="I16" s="12">
        <f>I$6*'Common Size IS '!$G15</f>
        <v>15394.482201567998</v>
      </c>
      <c r="J16" s="12">
        <f>J$6*'Common Size IS '!$G15</f>
        <v>15702.371845599358</v>
      </c>
      <c r="K16" s="12">
        <f>K$6*'Common Size IS '!$G15</f>
        <v>16016.419282511346</v>
      </c>
    </row>
    <row r="17" spans="1:11" ht="15">
      <c r="A17" s="17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5">
      <c r="A18" s="17" t="s">
        <v>12</v>
      </c>
      <c r="B18" s="20">
        <v>1938.5169295768737</v>
      </c>
      <c r="C18" s="21">
        <v>2397.884172257</v>
      </c>
      <c r="D18" s="7">
        <v>2793.57</v>
      </c>
      <c r="E18" s="8">
        <v>3904.63</v>
      </c>
      <c r="F18" s="8">
        <v>4105.0199999999995</v>
      </c>
      <c r="G18" s="8">
        <f>G$6*'Common Size IS '!$G17</f>
        <v>4460.7617339867948</v>
      </c>
      <c r="H18" s="8">
        <f>H$6*'Common Size IS '!$G17</f>
        <v>5129.875994084814</v>
      </c>
      <c r="I18" s="8">
        <f>I$6*'Common Size IS '!$G17</f>
        <v>5899.3573931975352</v>
      </c>
      <c r="J18" s="8">
        <f>J$6*'Common Size IS '!$G17</f>
        <v>6017.3445410614868</v>
      </c>
      <c r="K18" s="8">
        <f>K$6*'Common Size IS '!$G17</f>
        <v>6137.6914318827166</v>
      </c>
    </row>
    <row r="19" spans="1:11" ht="15">
      <c r="A19" s="17" t="s">
        <v>18</v>
      </c>
      <c r="B19" s="22">
        <v>-58.637019887769434</v>
      </c>
      <c r="C19" s="21">
        <v>0</v>
      </c>
      <c r="D19" s="7">
        <v>376.43</v>
      </c>
      <c r="E19" s="8">
        <v>340.31</v>
      </c>
      <c r="F19" s="8">
        <v>374.33</v>
      </c>
      <c r="G19" s="8">
        <f>G$6*'Common Size IS '!$G18</f>
        <v>264.7873050242406</v>
      </c>
      <c r="H19" s="8">
        <f>H$6*'Common Size IS '!$G18</f>
        <v>304.50540077787667</v>
      </c>
      <c r="I19" s="8">
        <f>I$6*'Common Size IS '!$G18</f>
        <v>350.18121089455815</v>
      </c>
      <c r="J19" s="8">
        <f>J$6*'Common Size IS '!$G18</f>
        <v>357.18483511244938</v>
      </c>
      <c r="K19" s="8">
        <f>K$6*'Common Size IS '!$G18</f>
        <v>364.32853181469835</v>
      </c>
    </row>
    <row r="20" spans="1:11" ht="15">
      <c r="A20" s="16" t="s">
        <v>14</v>
      </c>
      <c r="B20" s="12">
        <f>B16-B18+B19</f>
        <v>3554.8303600643576</v>
      </c>
      <c r="C20" s="12">
        <f>C16-C18+C19</f>
        <v>4292.8936749910008</v>
      </c>
      <c r="D20" s="12">
        <f>D16-D18+D19</f>
        <v>5014.84</v>
      </c>
      <c r="E20" s="12">
        <v>5393.4699999999975</v>
      </c>
      <c r="F20" s="12">
        <v>6677.38</v>
      </c>
      <c r="G20" s="12">
        <f>G$6*'Common Size IS '!$G19</f>
        <v>7444.4657990661799</v>
      </c>
      <c r="H20" s="12">
        <f>H$6*'Common Size IS '!$G19</f>
        <v>8561.1356689261065</v>
      </c>
      <c r="I20" s="12">
        <f>I$6*'Common Size IS '!$G19</f>
        <v>9845.306019265021</v>
      </c>
      <c r="J20" s="12">
        <f>J$6*'Common Size IS '!$G19</f>
        <v>10042.212139650323</v>
      </c>
      <c r="K20" s="12">
        <f>K$6*'Common Size IS '!$G19</f>
        <v>10243.056382443328</v>
      </c>
    </row>
    <row r="21" spans="1:11" ht="15">
      <c r="A21" s="17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>
      <c r="A22" s="17" t="s">
        <v>15</v>
      </c>
      <c r="B22" s="20">
        <v>332.34411091300001</v>
      </c>
      <c r="C22" s="21">
        <v>362.91730866199998</v>
      </c>
      <c r="D22" s="7">
        <v>438.46</v>
      </c>
      <c r="E22" s="8">
        <v>549.41000000000008</v>
      </c>
      <c r="F22" s="8">
        <v>608.71</v>
      </c>
      <c r="G22" s="8">
        <f>'Assumption Sheet'!$B$10*'Balance Sheet'!F25</f>
        <v>721.40674354597525</v>
      </c>
      <c r="H22" s="8"/>
      <c r="I22" s="8"/>
      <c r="J22" s="8"/>
      <c r="K22" s="8"/>
    </row>
    <row r="23" spans="1:11" ht="15">
      <c r="A23" s="16" t="s">
        <v>16</v>
      </c>
      <c r="B23" s="12">
        <f>B20-B22</f>
        <v>3222.4862491513577</v>
      </c>
      <c r="C23" s="12">
        <f>C20-C22</f>
        <v>3929.9763663290009</v>
      </c>
      <c r="D23" s="12">
        <f>D20-D22</f>
        <v>4576.38</v>
      </c>
      <c r="E23" s="12">
        <v>4844.0599999999977</v>
      </c>
      <c r="F23" s="12">
        <v>6068.67</v>
      </c>
      <c r="G23" s="12">
        <f>G20-G22</f>
        <v>6723.0590555202043</v>
      </c>
      <c r="H23" s="12">
        <f>H20-H22</f>
        <v>8561.1356689261065</v>
      </c>
      <c r="I23" s="12">
        <f>I20-I22</f>
        <v>9845.306019265021</v>
      </c>
      <c r="J23" s="12">
        <f>J20-J22</f>
        <v>10042.212139650323</v>
      </c>
      <c r="K23" s="12">
        <f>K20-K22</f>
        <v>10243.056382443328</v>
      </c>
    </row>
    <row r="24" spans="1:11" ht="15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5">
      <c r="A25" s="17" t="s">
        <v>17</v>
      </c>
      <c r="B25" s="20">
        <v>11.931777200000001</v>
      </c>
      <c r="C25" s="21">
        <v>3.2834885610000004</v>
      </c>
      <c r="D25" s="7">
        <v>4.6100000000000003</v>
      </c>
      <c r="E25" s="8">
        <v>18.32</v>
      </c>
      <c r="F25" s="8">
        <v>53.36</v>
      </c>
      <c r="G25" s="8">
        <f>G$6*'Common Size IS '!$G24</f>
        <v>24.749012562902315</v>
      </c>
      <c r="H25" s="8">
        <f>H$6*'Common Size IS '!$G24</f>
        <v>28.461364447337662</v>
      </c>
      <c r="I25" s="8">
        <f>I$6*'Common Size IS '!$G24</f>
        <v>32.73056911443831</v>
      </c>
      <c r="J25" s="8">
        <f>J$6*'Common Size IS '!$G24</f>
        <v>33.385180496727081</v>
      </c>
      <c r="K25" s="8">
        <f>K$6*'Common Size IS '!$G24</f>
        <v>34.052884106661622</v>
      </c>
    </row>
    <row r="26" spans="1:11" ht="15">
      <c r="A26" s="16" t="s">
        <v>19</v>
      </c>
      <c r="B26" s="12">
        <f>B23-B25</f>
        <v>3210.5544719513578</v>
      </c>
      <c r="C26" s="12">
        <f>C23-C25</f>
        <v>3926.6928777680009</v>
      </c>
      <c r="D26" s="12">
        <f>D23-D25</f>
        <v>4571.7700000000004</v>
      </c>
      <c r="E26" s="12">
        <v>4825.739999999998</v>
      </c>
      <c r="F26" s="12">
        <v>6015.31</v>
      </c>
      <c r="G26" s="12">
        <f>G23-G25</f>
        <v>6698.3100429573024</v>
      </c>
      <c r="H26" s="12">
        <f>H23-H25</f>
        <v>8532.674304478769</v>
      </c>
      <c r="I26" s="12">
        <f>I23-I25</f>
        <v>9812.5754501505835</v>
      </c>
      <c r="J26" s="12">
        <f>J23-J25</f>
        <v>10008.826959153595</v>
      </c>
      <c r="K26" s="12">
        <f>K23-K25</f>
        <v>10209.003498336668</v>
      </c>
    </row>
    <row r="27" spans="1:11" ht="15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5">
      <c r="A28" s="17" t="s">
        <v>20</v>
      </c>
      <c r="B28" s="20">
        <v>975.20447195135785</v>
      </c>
      <c r="C28" s="21">
        <v>1226.7310090999999</v>
      </c>
      <c r="D28" s="7">
        <v>1451.67</v>
      </c>
      <c r="E28" s="8">
        <v>1562.1499999999999</v>
      </c>
      <c r="F28" s="8">
        <v>1954.31</v>
      </c>
      <c r="G28" s="8">
        <f>G$6*'Common Size IS '!$G27</f>
        <v>2131.7953916567972</v>
      </c>
      <c r="H28" s="8">
        <f>H$6*'Common Size IS '!$G27</f>
        <v>2451.5647004053167</v>
      </c>
      <c r="I28" s="8">
        <f>I$6*'Common Size IS '!$G27</f>
        <v>2819.299405466114</v>
      </c>
      <c r="J28" s="8">
        <f>J$6*'Common Size IS '!$G27</f>
        <v>2875.6853935754366</v>
      </c>
      <c r="K28" s="8">
        <f>K$6*'Common Size IS '!$G27</f>
        <v>2933.1991014469454</v>
      </c>
    </row>
    <row r="29" spans="1:11" ht="1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5">
      <c r="A30" s="16" t="s">
        <v>21</v>
      </c>
      <c r="B30" s="12">
        <f>B26-B28</f>
        <v>2235.35</v>
      </c>
      <c r="C30" s="12">
        <f>C26-C28</f>
        <v>2699.961868668001</v>
      </c>
      <c r="D30" s="12">
        <f>D26-D28</f>
        <v>3120.1000000000004</v>
      </c>
      <c r="E30" s="12">
        <v>3263.5899999999983</v>
      </c>
      <c r="F30" s="12">
        <v>4061.0000000000005</v>
      </c>
      <c r="G30" s="12">
        <f>G26-G28</f>
        <v>4566.5146513005056</v>
      </c>
      <c r="H30" s="12">
        <f>H26-H28</f>
        <v>6081.1096040734519</v>
      </c>
      <c r="I30" s="12">
        <f>I26-I28</f>
        <v>6993.2760446844695</v>
      </c>
      <c r="J30" s="12">
        <f>J26-J28</f>
        <v>7133.1415655781584</v>
      </c>
      <c r="K30" s="12">
        <f>K26-K28</f>
        <v>7275.8043968897218</v>
      </c>
    </row>
    <row r="31" spans="1:11" ht="15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5">
      <c r="A32" s="2" t="s">
        <v>25</v>
      </c>
      <c r="B32" s="4">
        <v>375.52</v>
      </c>
      <c r="C32" s="21">
        <v>376.22</v>
      </c>
      <c r="D32" s="7">
        <v>376.86</v>
      </c>
      <c r="E32" s="8">
        <v>377.44</v>
      </c>
      <c r="F32" s="8">
        <v>381.82</v>
      </c>
      <c r="G32" s="8">
        <f>F32*(1+'Assumption Sheet'!$B$8)</f>
        <v>381.82</v>
      </c>
      <c r="H32" s="8">
        <f>G32*(1+'Assumption Sheet'!$B$8)</f>
        <v>381.82</v>
      </c>
      <c r="I32" s="8">
        <f>H32*(1+'Assumption Sheet'!$B$8)</f>
        <v>381.82</v>
      </c>
      <c r="J32" s="8">
        <f>I32*(1+'Assumption Sheet'!$B$8)</f>
        <v>381.82</v>
      </c>
      <c r="K32" s="8">
        <f>J32*(1+'Assumption Sheet'!$B$8)</f>
        <v>381.82</v>
      </c>
    </row>
    <row r="33" spans="1:11">
      <c r="A33" s="3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5">
      <c r="A34" s="26" t="s">
        <v>24</v>
      </c>
      <c r="B34" s="28">
        <f>B30/B32</f>
        <v>5.9526789518534295</v>
      </c>
      <c r="C34" s="28">
        <f>C30/C32</f>
        <v>7.1765506051459278</v>
      </c>
      <c r="D34" s="28">
        <f>D30/D32</f>
        <v>8.2792018256116329</v>
      </c>
      <c r="E34" s="28">
        <v>8.6466458245019027</v>
      </c>
      <c r="F34" s="28">
        <v>10.635901733801269</v>
      </c>
      <c r="G34" s="28">
        <f>G30/G32</f>
        <v>11.959862373109072</v>
      </c>
      <c r="H34" s="28">
        <f>H30/H32</f>
        <v>15.926639788574333</v>
      </c>
      <c r="I34" s="28">
        <f>I30/I32</f>
        <v>18.315635756860484</v>
      </c>
      <c r="J34" s="28">
        <f>J30/J32</f>
        <v>18.681948471997693</v>
      </c>
      <c r="K34" s="28">
        <f>K30/K32</f>
        <v>19.055587441437645</v>
      </c>
    </row>
    <row r="35" spans="1:11" ht="15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5">
      <c r="A36" s="23" t="s">
        <v>26</v>
      </c>
      <c r="B36" s="8">
        <v>1134.7</v>
      </c>
      <c r="C36" s="8">
        <v>1364.5</v>
      </c>
      <c r="D36" s="8">
        <v>1543.18</v>
      </c>
      <c r="E36" s="8">
        <v>1633.87</v>
      </c>
      <c r="F36" s="8">
        <v>2003.55</v>
      </c>
      <c r="G36" s="8">
        <f>'Assumption Sheet'!$B$9*'IS-Yearly'!G30</f>
        <v>2283.2573256502528</v>
      </c>
      <c r="H36" s="8">
        <f>'Assumption Sheet'!$B$9*'IS-Yearly'!H30</f>
        <v>3040.554802036726</v>
      </c>
      <c r="I36" s="8">
        <f>'Assumption Sheet'!$B$9*'IS-Yearly'!I30</f>
        <v>3496.6380223422348</v>
      </c>
      <c r="J36" s="8">
        <f>'Assumption Sheet'!$B$9*'IS-Yearly'!J30</f>
        <v>3566.5707827890792</v>
      </c>
      <c r="K36" s="8">
        <f>'Assumption Sheet'!$B$9*'IS-Yearly'!K30</f>
        <v>3637.9021984448609</v>
      </c>
    </row>
    <row r="37" spans="1:11" ht="15">
      <c r="A37" s="23" t="s">
        <v>27</v>
      </c>
      <c r="B37" s="8"/>
      <c r="C37" s="8"/>
      <c r="D37" s="8"/>
      <c r="E37" s="8"/>
      <c r="F37" s="8">
        <v>2448.7800000000002</v>
      </c>
      <c r="G37" s="8"/>
      <c r="H37" s="8"/>
      <c r="I37" s="8"/>
      <c r="J37" s="8"/>
      <c r="K37" s="8"/>
    </row>
    <row r="38" spans="1:11" ht="15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5">
      <c r="A39" s="23" t="s">
        <v>28</v>
      </c>
      <c r="B39" s="27">
        <v>3.021676608436302</v>
      </c>
      <c r="C39" s="27">
        <v>3.6268672585189514</v>
      </c>
      <c r="D39" s="27">
        <v>4.0948362787241948</v>
      </c>
      <c r="E39" s="27">
        <v>4.3288204747774479</v>
      </c>
      <c r="F39" s="27">
        <v>5.2473678696768111</v>
      </c>
      <c r="G39" s="27">
        <f>G36/G32</f>
        <v>5.9799311865545359</v>
      </c>
      <c r="H39" s="27">
        <f>H36/H32</f>
        <v>7.9633198942871664</v>
      </c>
      <c r="I39" s="27">
        <f>I36/I32</f>
        <v>9.157817878430242</v>
      </c>
      <c r="J39" s="27">
        <f>J36/J32</f>
        <v>9.3409742359988464</v>
      </c>
      <c r="K39" s="27">
        <f>K36/K32</f>
        <v>9.5277937207188224</v>
      </c>
    </row>
    <row r="40" spans="1:11" ht="15">
      <c r="A40" s="23" t="s">
        <v>29</v>
      </c>
      <c r="B40" s="27">
        <v>3.021676608436302</v>
      </c>
      <c r="C40" s="27">
        <v>3.6268672585189514</v>
      </c>
      <c r="D40" s="27">
        <v>4.0948362787241948</v>
      </c>
      <c r="E40" s="27">
        <v>4.3288204747774479</v>
      </c>
      <c r="F40" s="27">
        <v>11.660808758053532</v>
      </c>
      <c r="G40" s="27">
        <f>(G36+G37)/G32</f>
        <v>5.9799311865545359</v>
      </c>
      <c r="H40" s="27">
        <f>(H36+H37)/H32</f>
        <v>7.9633198942871664</v>
      </c>
      <c r="I40" s="27">
        <f>(I36+I37)/I32</f>
        <v>9.157817878430242</v>
      </c>
      <c r="J40" s="27">
        <f>(J36+J37)/J32</f>
        <v>9.3409742359988464</v>
      </c>
      <c r="K40" s="27">
        <f>(K36+K37)/K32</f>
        <v>9.5277937207188224</v>
      </c>
    </row>
    <row r="41" spans="1:11" ht="1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5">
      <c r="A42" s="30" t="s">
        <v>33</v>
      </c>
      <c r="B42" s="29">
        <f>B30-B36-B37</f>
        <v>1100.6499999999999</v>
      </c>
      <c r="C42" s="29">
        <f>C30-C36-C37</f>
        <v>1335.461868668001</v>
      </c>
      <c r="D42" s="29">
        <f>D30-D36-D37</f>
        <v>1576.9200000000003</v>
      </c>
      <c r="E42" s="29">
        <v>1629.7199999999984</v>
      </c>
      <c r="F42" s="29">
        <v>-391.32999999999947</v>
      </c>
      <c r="G42" s="29">
        <f>G30-G36-G37</f>
        <v>2283.2573256502528</v>
      </c>
      <c r="H42" s="29">
        <f>H30-H36-H37</f>
        <v>3040.554802036726</v>
      </c>
      <c r="I42" s="29">
        <f>I30-I36-I37</f>
        <v>3496.6380223422348</v>
      </c>
      <c r="J42" s="29">
        <f>J30-J36-J37</f>
        <v>3566.5707827890792</v>
      </c>
      <c r="K42" s="29">
        <f>K30-K36-K37</f>
        <v>3637.9021984448609</v>
      </c>
    </row>
    <row r="46" spans="1:11">
      <c r="A46" s="53"/>
      <c r="B46" s="61"/>
      <c r="C46" s="61"/>
      <c r="D46" s="61"/>
      <c r="E46" s="61"/>
      <c r="F46" s="61"/>
    </row>
    <row r="51" spans="6:6">
      <c r="F51" s="100"/>
    </row>
  </sheetData>
  <dataConsolidate>
    <dataRefs count="1">
      <dataRef ref="E3:H3" sheet="IS-Yearly"/>
    </dataRefs>
  </dataConsolidate>
  <phoneticPr fontId="3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G29"/>
  <sheetViews>
    <sheetView topLeftCell="A4" workbookViewId="0">
      <selection activeCell="N21" sqref="N21"/>
    </sheetView>
  </sheetViews>
  <sheetFormatPr defaultRowHeight="12.75"/>
  <cols>
    <col min="1" max="1" width="31.140625" customWidth="1"/>
    <col min="2" max="2" width="11.7109375" customWidth="1"/>
    <col min="3" max="3" width="12.28515625" customWidth="1"/>
    <col min="4" max="4" width="12.5703125" customWidth="1"/>
    <col min="5" max="5" width="12.28515625" customWidth="1"/>
    <col min="6" max="6" width="12.5703125" customWidth="1"/>
    <col min="7" max="7" width="11.42578125" customWidth="1"/>
  </cols>
  <sheetData>
    <row r="1" spans="1:7">
      <c r="A1" s="34" t="s">
        <v>0</v>
      </c>
      <c r="B1" s="6" t="s">
        <v>2</v>
      </c>
      <c r="C1" s="5" t="s">
        <v>78</v>
      </c>
    </row>
    <row r="2" spans="1:7">
      <c r="A2" s="9" t="s">
        <v>1</v>
      </c>
      <c r="B2" s="46">
        <v>2006</v>
      </c>
      <c r="C2" s="46">
        <v>2007</v>
      </c>
      <c r="D2" s="46">
        <v>2008</v>
      </c>
      <c r="E2" s="46">
        <v>2009</v>
      </c>
      <c r="F2" s="46">
        <v>2010</v>
      </c>
      <c r="G2" s="46" t="s">
        <v>79</v>
      </c>
    </row>
    <row r="3" spans="1:7" ht="15">
      <c r="A3" s="11" t="s">
        <v>5</v>
      </c>
      <c r="B3" s="3"/>
      <c r="C3" s="3"/>
      <c r="D3" s="3"/>
      <c r="E3" s="3"/>
      <c r="F3" s="3"/>
      <c r="G3" s="3"/>
    </row>
    <row r="4" spans="1:7" ht="15">
      <c r="A4" s="2" t="s">
        <v>3</v>
      </c>
      <c r="B4" s="70">
        <f>'IS-Yearly'!B5/'IS-Yearly'!B$6</f>
        <v>1.6631443335548324</v>
      </c>
      <c r="C4" s="70">
        <f>'IS-Yearly'!C5/'IS-Yearly'!C$6</f>
        <v>1.5603184698974901</v>
      </c>
      <c r="D4" s="70">
        <f>'IS-Yearly'!D5/'IS-Yearly'!D$6</f>
        <v>1.5311628653962384</v>
      </c>
      <c r="E4" s="70">
        <f>'IS-Yearly'!E5/'IS-Yearly'!E$6</f>
        <v>1.482426889197485</v>
      </c>
      <c r="F4" s="70">
        <f>'IS-Yearly'!F5/'IS-Yearly'!F$6</f>
        <v>1.4465556742368697</v>
      </c>
      <c r="G4" s="71">
        <f>AVERAGE(B4:F4)</f>
        <v>1.5367216464565832</v>
      </c>
    </row>
    <row r="5" spans="1:7" ht="15">
      <c r="A5" s="2" t="s">
        <v>4</v>
      </c>
      <c r="B5" s="70">
        <f>'IS-Yearly'!B6/'IS-Yearly'!B$6</f>
        <v>1</v>
      </c>
      <c r="C5" s="70">
        <f>'IS-Yearly'!C6/'IS-Yearly'!C$6</f>
        <v>1</v>
      </c>
      <c r="D5" s="70">
        <f>'IS-Yearly'!D6/'IS-Yearly'!D$6</f>
        <v>1</v>
      </c>
      <c r="E5" s="70">
        <f>'IS-Yearly'!E6/'IS-Yearly'!E$6</f>
        <v>1</v>
      </c>
      <c r="F5" s="70">
        <f>'IS-Yearly'!F6/'IS-Yearly'!F$6</f>
        <v>1</v>
      </c>
      <c r="G5" s="71">
        <f t="shared" ref="G5:G12" si="0">AVERAGE(B5:F5)</f>
        <v>1</v>
      </c>
    </row>
    <row r="6" spans="1:7" ht="15">
      <c r="A6" s="2" t="s">
        <v>22</v>
      </c>
      <c r="B6" s="70">
        <f>'IS-Yearly'!B7/'IS-Yearly'!B$6</f>
        <v>2.9219644399371806E-2</v>
      </c>
      <c r="C6" s="70">
        <f>'IS-Yearly'!C7/'IS-Yearly'!C$6</f>
        <v>2.7203908718233E-2</v>
      </c>
      <c r="D6" s="70">
        <f>'IS-Yearly'!D7/'IS-Yearly'!D$6</f>
        <v>1.6810861851524965E-2</v>
      </c>
      <c r="E6" s="70">
        <f>'IS-Yearly'!E7/'IS-Yearly'!E$6</f>
        <v>1.2466115634720139E-2</v>
      </c>
      <c r="F6" s="70">
        <f>'IS-Yearly'!F7/'IS-Yearly'!F$6</f>
        <v>1.2617617068955925E-2</v>
      </c>
      <c r="G6" s="71">
        <f t="shared" si="0"/>
        <v>1.9663629534561168E-2</v>
      </c>
    </row>
    <row r="7" spans="1:7" ht="15">
      <c r="A7" s="13" t="s">
        <v>23</v>
      </c>
      <c r="B7" s="70">
        <f>'IS-Yearly'!B8/'IS-Yearly'!B$6</f>
        <v>1.0292196443993717</v>
      </c>
      <c r="C7" s="70">
        <f>'IS-Yearly'!C8/'IS-Yearly'!C$6</f>
        <v>1.027203908718233</v>
      </c>
      <c r="D7" s="70">
        <f>'IS-Yearly'!D8/'IS-Yearly'!D$6</f>
        <v>1.016810861851525</v>
      </c>
      <c r="E7" s="70">
        <f>'IS-Yearly'!E8/'IS-Yearly'!E$6</f>
        <v>1.0124661156347201</v>
      </c>
      <c r="F7" s="70">
        <f>'IS-Yearly'!F8/'IS-Yearly'!F$6</f>
        <v>1.0126176170689558</v>
      </c>
      <c r="G7" s="71">
        <f t="shared" si="0"/>
        <v>1.0196636295345611</v>
      </c>
    </row>
    <row r="8" spans="1:7" ht="15">
      <c r="A8" s="11" t="s">
        <v>13</v>
      </c>
      <c r="B8" s="70">
        <f>'IS-Yearly'!B9/'IS-Yearly'!B$6</f>
        <v>0</v>
      </c>
      <c r="C8" s="70">
        <f>'IS-Yearly'!C9/'IS-Yearly'!C$6</f>
        <v>0</v>
      </c>
      <c r="D8" s="70">
        <f>'IS-Yearly'!D9/'IS-Yearly'!D$6</f>
        <v>0</v>
      </c>
      <c r="E8" s="70">
        <f>'IS-Yearly'!E9/'IS-Yearly'!E$6</f>
        <v>0</v>
      </c>
      <c r="F8" s="70">
        <f>'IS-Yearly'!F9/'IS-Yearly'!F$6</f>
        <v>0</v>
      </c>
      <c r="G8" s="71">
        <f t="shared" si="0"/>
        <v>0</v>
      </c>
    </row>
    <row r="9" spans="1:7" ht="15">
      <c r="A9" s="14" t="s">
        <v>9</v>
      </c>
      <c r="B9" s="70">
        <f>'IS-Yearly'!B10/'IS-Yearly'!B$6</f>
        <v>-1.4470601147870759E-2</v>
      </c>
      <c r="C9" s="70">
        <f>'IS-Yearly'!C10/'IS-Yearly'!C$6</f>
        <v>-2.0977812630395241E-2</v>
      </c>
      <c r="D9" s="70">
        <f>'IS-Yearly'!D10/'IS-Yearly'!D$6</f>
        <v>-4.0795753800135221E-4</v>
      </c>
      <c r="E9" s="70">
        <f>'IS-Yearly'!E10/'IS-Yearly'!E$6</f>
        <v>-8.733711164289849E-3</v>
      </c>
      <c r="F9" s="70">
        <f>'IS-Yearly'!F10/'IS-Yearly'!F$6</f>
        <v>9.6533997605930434E-3</v>
      </c>
      <c r="G9" s="71">
        <f t="shared" si="0"/>
        <v>-6.9873365439928311E-3</v>
      </c>
    </row>
    <row r="10" spans="1:7" ht="15">
      <c r="A10" s="15" t="s">
        <v>6</v>
      </c>
      <c r="B10" s="70">
        <f>'IS-Yearly'!B11/'IS-Yearly'!B$6</f>
        <v>0.42131561020363173</v>
      </c>
      <c r="C10" s="70">
        <f>'IS-Yearly'!C11/'IS-Yearly'!C$6</f>
        <v>0.45631897938278676</v>
      </c>
      <c r="D10" s="70">
        <f>'IS-Yearly'!D11/'IS-Yearly'!D$6</f>
        <v>0.33262878803630463</v>
      </c>
      <c r="E10" s="70">
        <f>'IS-Yearly'!E11/'IS-Yearly'!E$6</f>
        <v>0.31362061809181713</v>
      </c>
      <c r="F10" s="70">
        <f>'IS-Yearly'!F11/'IS-Yearly'!F$6</f>
        <v>0.31939069662136516</v>
      </c>
      <c r="G10" s="71">
        <f t="shared" si="0"/>
        <v>0.36865493846718106</v>
      </c>
    </row>
    <row r="11" spans="1:7" ht="15">
      <c r="A11" s="15" t="s">
        <v>7</v>
      </c>
      <c r="B11" s="70">
        <f>'IS-Yearly'!B12/'IS-Yearly'!B$6</f>
        <v>0</v>
      </c>
      <c r="C11" s="70">
        <f>'IS-Yearly'!C12/'IS-Yearly'!C$6</f>
        <v>0</v>
      </c>
      <c r="D11" s="70">
        <f>'IS-Yearly'!D12/'IS-Yearly'!D$6</f>
        <v>9.9160209728891058E-2</v>
      </c>
      <c r="E11" s="70">
        <f>'IS-Yearly'!E12/'IS-Yearly'!E$6</f>
        <v>7.6736237439085017E-2</v>
      </c>
      <c r="F11" s="70">
        <f>'IS-Yearly'!F12/'IS-Yearly'!F$6</f>
        <v>5.4987580695183606E-2</v>
      </c>
      <c r="G11" s="71">
        <f t="shared" si="0"/>
        <v>4.6176805572631943E-2</v>
      </c>
    </row>
    <row r="12" spans="1:7" ht="15">
      <c r="A12" s="15" t="s">
        <v>8</v>
      </c>
      <c r="B12" s="70">
        <f>'IS-Yearly'!B13/'IS-Yearly'!B$6</f>
        <v>5.529783444682073E-2</v>
      </c>
      <c r="C12" s="70">
        <f>'IS-Yearly'!C13/'IS-Yearly'!C$6</f>
        <v>5.0944471690649119E-2</v>
      </c>
      <c r="D12" s="70">
        <f>'IS-Yearly'!D13/'IS-Yearly'!D$6</f>
        <v>5.2577051277179543E-2</v>
      </c>
      <c r="E12" s="70">
        <f>'IS-Yearly'!E13/'IS-Yearly'!E$6</f>
        <v>5.7064089490594369E-2</v>
      </c>
      <c r="F12" s="70">
        <f>'IS-Yearly'!F13/'IS-Yearly'!F$6</f>
        <v>5.5239327082457684E-2</v>
      </c>
      <c r="G12" s="71">
        <f t="shared" si="0"/>
        <v>5.4224554797540292E-2</v>
      </c>
    </row>
    <row r="13" spans="1:7" ht="15">
      <c r="A13" s="15"/>
      <c r="B13" s="70"/>
      <c r="C13" s="70"/>
      <c r="D13" s="70"/>
      <c r="E13" s="70"/>
      <c r="F13" s="70"/>
      <c r="G13" s="71"/>
    </row>
    <row r="14" spans="1:7" ht="15">
      <c r="A14" s="16" t="s">
        <v>10</v>
      </c>
      <c r="B14" s="70">
        <f>'IS-Yearly'!B15/'IS-Yearly'!B$6</f>
        <v>0.46214284350258167</v>
      </c>
      <c r="C14" s="70">
        <f>'IS-Yearly'!C15/'IS-Yearly'!C$6</f>
        <v>0.48628563844304062</v>
      </c>
      <c r="D14" s="70">
        <f>'IS-Yearly'!D15/'IS-Yearly'!D$6</f>
        <v>0.48395809150437391</v>
      </c>
      <c r="E14" s="70">
        <f>'IS-Yearly'!E15/'IS-Yearly'!E$6</f>
        <v>0.43868723385720665</v>
      </c>
      <c r="F14" s="70">
        <f>'IS-Yearly'!F15/'IS-Yearly'!F$6</f>
        <v>0.43927100415959941</v>
      </c>
      <c r="G14" s="71">
        <f>AVERAGE(B14:F14)</f>
        <v>0.46206896229336047</v>
      </c>
    </row>
    <row r="15" spans="1:7" ht="15">
      <c r="A15" s="16" t="s">
        <v>11</v>
      </c>
      <c r="B15" s="70">
        <f>'IS-Yearly'!B16/'IS-Yearly'!B$6</f>
        <v>0.56707680089679013</v>
      </c>
      <c r="C15" s="70">
        <f>'IS-Yearly'!C16/'IS-Yearly'!C$6</f>
        <v>0.54091827027519235</v>
      </c>
      <c r="D15" s="70">
        <f>'IS-Yearly'!D16/'IS-Yearly'!D$6</f>
        <v>0.53285277034715106</v>
      </c>
      <c r="E15" s="70">
        <f>'IS-Yearly'!E16/'IS-Yearly'!E$6</f>
        <v>0.57377888177751346</v>
      </c>
      <c r="F15" s="70">
        <f>'IS-Yearly'!F16/'IS-Yearly'!F$6</f>
        <v>0.5733466129093564</v>
      </c>
      <c r="G15" s="71">
        <f>AVERAGE(B15:F15)</f>
        <v>0.55759466724120066</v>
      </c>
    </row>
    <row r="16" spans="1:7" ht="15">
      <c r="A16" s="17"/>
      <c r="B16" s="70"/>
      <c r="C16" s="70"/>
      <c r="D16" s="70"/>
      <c r="E16" s="70"/>
      <c r="F16" s="70"/>
      <c r="G16" s="71"/>
    </row>
    <row r="17" spans="1:7" ht="15">
      <c r="A17" s="17" t="s">
        <v>12</v>
      </c>
      <c r="B17" s="70">
        <f>'IS-Yearly'!B18/'IS-Yearly'!B$6</f>
        <v>0.19799911484295588</v>
      </c>
      <c r="C17" s="70">
        <f>'IS-Yearly'!C18/'IS-Yearly'!C$6</f>
        <v>0.19385778281534402</v>
      </c>
      <c r="D17" s="70">
        <f>'IS-Yearly'!D18/'IS-Yearly'!D$6</f>
        <v>0.20029137775649164</v>
      </c>
      <c r="E17" s="70">
        <f>'IS-Yearly'!E18/'IS-Yearly'!E$6</f>
        <v>0.25010568847393533</v>
      </c>
      <c r="F17" s="70">
        <f>'IS-Yearly'!F18/'IS-Yearly'!F$6</f>
        <v>0.2261321563868389</v>
      </c>
      <c r="G17" s="71">
        <f>AVERAGE(B17:F17)</f>
        <v>0.21367722405511316</v>
      </c>
    </row>
    <row r="18" spans="1:7" ht="15">
      <c r="A18" s="17" t="s">
        <v>18</v>
      </c>
      <c r="B18" s="70">
        <f>'IS-Yearly'!B19/'IS-Yearly'!B$6</f>
        <v>-5.9891548315450186E-3</v>
      </c>
      <c r="C18" s="70">
        <f>'IS-Yearly'!C19/'IS-Yearly'!C$6</f>
        <v>0</v>
      </c>
      <c r="D18" s="70">
        <f>'IS-Yearly'!D19/'IS-Yearly'!D$6</f>
        <v>2.6989008089604395E-2</v>
      </c>
      <c r="E18" s="70">
        <f>'IS-Yearly'!E19/'IS-Yearly'!E$6</f>
        <v>2.1798087615104357E-2</v>
      </c>
      <c r="F18" s="70">
        <f>'IS-Yearly'!F19/'IS-Yearly'!F$6</f>
        <v>2.0620618194377958E-2</v>
      </c>
      <c r="G18" s="71">
        <f>AVERAGE(B18:F18)</f>
        <v>1.2683711813508339E-2</v>
      </c>
    </row>
    <row r="19" spans="1:7" ht="15">
      <c r="A19" s="16" t="s">
        <v>14</v>
      </c>
      <c r="B19" s="70">
        <f>'IS-Yearly'!B20/'IS-Yearly'!B$6</f>
        <v>0.36308853122228923</v>
      </c>
      <c r="C19" s="70">
        <f>'IS-Yearly'!C20/'IS-Yearly'!C$6</f>
        <v>0.34706048745984835</v>
      </c>
      <c r="D19" s="70">
        <f>'IS-Yearly'!D20/'IS-Yearly'!D$6</f>
        <v>0.35955040068026384</v>
      </c>
      <c r="E19" s="70">
        <f>'IS-Yearly'!E20/'IS-Yearly'!E$6</f>
        <v>0.34547128091868251</v>
      </c>
      <c r="F19" s="70">
        <f>'IS-Yearly'!F20/'IS-Yearly'!F$6</f>
        <v>0.36783507471689553</v>
      </c>
      <c r="G19" s="71">
        <f>AVERAGE(B19:F19)</f>
        <v>0.35660115499959588</v>
      </c>
    </row>
    <row r="20" spans="1:7" ht="15">
      <c r="A20" s="17"/>
      <c r="B20" s="70"/>
      <c r="C20" s="70"/>
      <c r="D20" s="70"/>
      <c r="E20" s="70"/>
      <c r="F20" s="70"/>
      <c r="G20" s="71"/>
    </row>
    <row r="21" spans="1:7" ht="15">
      <c r="A21" s="17" t="s">
        <v>15</v>
      </c>
      <c r="B21" s="70">
        <f>'IS-Yearly'!B22/'IS-Yearly'!B$6</f>
        <v>3.3945455301443446E-2</v>
      </c>
      <c r="C21" s="70">
        <f>'IS-Yearly'!C22/'IS-Yearly'!C$6</f>
        <v>2.9340176484132001E-2</v>
      </c>
      <c r="D21" s="70">
        <f>'IS-Yearly'!D22/'IS-Yearly'!D$6</f>
        <v>3.1436390529362541E-2</v>
      </c>
      <c r="E21" s="70">
        <f>'IS-Yearly'!E22/'IS-Yearly'!E$6</f>
        <v>3.5191699675632473E-2</v>
      </c>
      <c r="F21" s="70">
        <f>'IS-Yearly'!F22/'IS-Yearly'!F$6</f>
        <v>3.3531847570592278E-2</v>
      </c>
      <c r="G21" s="71">
        <f>AVERAGE(B21:F21)</f>
        <v>3.2689113912232545E-2</v>
      </c>
    </row>
    <row r="22" spans="1:7" ht="15">
      <c r="A22" s="16" t="s">
        <v>16</v>
      </c>
      <c r="B22" s="70">
        <f>'IS-Yearly'!B23/'IS-Yearly'!B$6</f>
        <v>0.3291430759208458</v>
      </c>
      <c r="C22" s="70">
        <f>'IS-Yearly'!C23/'IS-Yearly'!C$6</f>
        <v>0.31772031097571635</v>
      </c>
      <c r="D22" s="70">
        <f>'IS-Yearly'!D23/'IS-Yearly'!D$6</f>
        <v>0.32811401015090125</v>
      </c>
      <c r="E22" s="70">
        <f>'IS-Yearly'!E23/'IS-Yearly'!E$6</f>
        <v>0.31027958124305005</v>
      </c>
      <c r="F22" s="70">
        <f>'IS-Yearly'!F23/'IS-Yearly'!F$6</f>
        <v>0.33430322714630323</v>
      </c>
      <c r="G22" s="71">
        <f>AVERAGE(B22:F22)</f>
        <v>0.32391204108736338</v>
      </c>
    </row>
    <row r="23" spans="1:7" ht="15">
      <c r="A23" s="2"/>
      <c r="B23" s="70"/>
      <c r="C23" s="70"/>
      <c r="D23" s="70"/>
      <c r="E23" s="70"/>
      <c r="F23" s="70"/>
      <c r="G23" s="71"/>
    </row>
    <row r="24" spans="1:7" ht="15">
      <c r="A24" s="17" t="s">
        <v>17</v>
      </c>
      <c r="B24" s="70">
        <f>'IS-Yearly'!B25/'IS-Yearly'!B$6</f>
        <v>1.2187055413640515E-3</v>
      </c>
      <c r="C24" s="70">
        <f>'IS-Yearly'!C25/'IS-Yearly'!C$6</f>
        <v>2.6545477871680229E-4</v>
      </c>
      <c r="D24" s="70">
        <f>'IS-Yearly'!D25/'IS-Yearly'!D$6</f>
        <v>3.3052447279195674E-4</v>
      </c>
      <c r="E24" s="70">
        <f>'IS-Yearly'!E25/'IS-Yearly'!E$6</f>
        <v>1.1734623287846723E-3</v>
      </c>
      <c r="F24" s="70">
        <f>'IS-Yearly'!F25/'IS-Yearly'!F$6</f>
        <v>2.9394282767932251E-3</v>
      </c>
      <c r="G24" s="71">
        <f>AVERAGE(B24:F24)</f>
        <v>1.1855150796901415E-3</v>
      </c>
    </row>
    <row r="25" spans="1:7" ht="15">
      <c r="A25" s="16" t="s">
        <v>19</v>
      </c>
      <c r="B25" s="70">
        <f>'IS-Yearly'!B26/'IS-Yearly'!B$6</f>
        <v>0.32792437037948174</v>
      </c>
      <c r="C25" s="70">
        <f>'IS-Yearly'!C26/'IS-Yearly'!C$6</f>
        <v>0.31745485619699954</v>
      </c>
      <c r="D25" s="70">
        <f>'IS-Yearly'!D26/'IS-Yearly'!D$6</f>
        <v>0.32778348567810933</v>
      </c>
      <c r="E25" s="70">
        <f>'IS-Yearly'!E26/'IS-Yearly'!E$6</f>
        <v>0.30910611891426543</v>
      </c>
      <c r="F25" s="70">
        <f>'IS-Yearly'!F26/'IS-Yearly'!F$6</f>
        <v>0.33136379886951001</v>
      </c>
      <c r="G25" s="71">
        <f>AVERAGE(B25:F25)</f>
        <v>0.32272652600767321</v>
      </c>
    </row>
    <row r="26" spans="1:7" ht="15">
      <c r="A26" s="2"/>
      <c r="B26" s="70"/>
      <c r="C26" s="70"/>
      <c r="D26" s="70"/>
      <c r="E26" s="70"/>
      <c r="F26" s="70"/>
      <c r="G26" s="71"/>
    </row>
    <row r="27" spans="1:7" ht="15">
      <c r="A27" s="17" t="s">
        <v>20</v>
      </c>
      <c r="B27" s="70">
        <f>'IS-Yearly'!B28/'IS-Yearly'!B$6</f>
        <v>9.9606879512477278E-2</v>
      </c>
      <c r="C27" s="70">
        <f>'IS-Yearly'!C28/'IS-Yearly'!C$6</f>
        <v>9.9175496584189254E-2</v>
      </c>
      <c r="D27" s="70">
        <f>'IS-Yearly'!D28/'IS-Yearly'!D$6</f>
        <v>0.10408079423381775</v>
      </c>
      <c r="E27" s="70">
        <f>'IS-Yearly'!E28/'IS-Yearly'!E$6</f>
        <v>0.10006136336850305</v>
      </c>
      <c r="F27" s="70">
        <f>'IS-Yearly'!F28/'IS-Yearly'!F$6</f>
        <v>0.10765656063755186</v>
      </c>
      <c r="G27" s="71">
        <f>AVERAGE(B27:F27)</f>
        <v>0.10211621886730785</v>
      </c>
    </row>
    <row r="28" spans="1:7" ht="15">
      <c r="A28" s="2"/>
      <c r="B28" s="70"/>
      <c r="C28" s="70"/>
      <c r="D28" s="70"/>
      <c r="E28" s="70"/>
      <c r="F28" s="70"/>
      <c r="G28" s="71"/>
    </row>
    <row r="29" spans="1:7" ht="15">
      <c r="A29" s="48" t="s">
        <v>21</v>
      </c>
      <c r="B29" s="70">
        <f>'IS-Yearly'!B30/'IS-Yearly'!B$6</f>
        <v>0.22831749086700448</v>
      </c>
      <c r="C29" s="70">
        <f>'IS-Yearly'!C30/'IS-Yearly'!C$6</f>
        <v>0.21827935961281031</v>
      </c>
      <c r="D29" s="70">
        <f>'IS-Yearly'!D30/'IS-Yearly'!D$6</f>
        <v>0.22370269144429158</v>
      </c>
      <c r="E29" s="70">
        <f>'IS-Yearly'!E30/'IS-Yearly'!E$6</f>
        <v>0.20904475554576238</v>
      </c>
      <c r="F29" s="70">
        <f>'IS-Yearly'!F30/'IS-Yearly'!F$6</f>
        <v>0.22370723823195818</v>
      </c>
      <c r="G29" s="73">
        <f>AVERAGE(B29:F29)</f>
        <v>0.22061030714036539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T83"/>
  <sheetViews>
    <sheetView tabSelected="1" topLeftCell="A4" zoomScale="80" zoomScaleNormal="80" workbookViewId="0">
      <selection activeCell="M13" sqref="M13"/>
    </sheetView>
  </sheetViews>
  <sheetFormatPr defaultRowHeight="12.75"/>
  <cols>
    <col min="1" max="1" width="2.85546875" customWidth="1"/>
    <col min="2" max="2" width="36" style="64" bestFit="1" customWidth="1"/>
    <col min="3" max="3" width="12.42578125" bestFit="1" customWidth="1"/>
    <col min="4" max="4" width="26.28515625" customWidth="1"/>
    <col min="5" max="6" width="13.5703125" bestFit="1" customWidth="1"/>
    <col min="7" max="7" width="14.42578125" bestFit="1" customWidth="1"/>
    <col min="8" max="9" width="13.5703125" bestFit="1" customWidth="1"/>
    <col min="10" max="10" width="12.7109375" customWidth="1"/>
    <col min="11" max="12" width="13.5703125" bestFit="1" customWidth="1"/>
    <col min="16" max="16" width="11.42578125" bestFit="1" customWidth="1"/>
  </cols>
  <sheetData>
    <row r="1" spans="2:46" ht="13.5" thickBot="1">
      <c r="B1"/>
    </row>
    <row r="2" spans="2:46" ht="13.5" thickBot="1">
      <c r="B2" t="s">
        <v>120</v>
      </c>
      <c r="C2" t="s">
        <v>121</v>
      </c>
      <c r="D2" t="s">
        <v>71</v>
      </c>
      <c r="I2" s="67" t="s">
        <v>136</v>
      </c>
      <c r="J2" s="68">
        <f>C3+C5*(C4-C3)</f>
        <v>0.15600000000000003</v>
      </c>
    </row>
    <row r="3" spans="2:46" ht="13.5" thickBot="1">
      <c r="B3" t="s">
        <v>116</v>
      </c>
      <c r="C3" s="43">
        <v>0.06</v>
      </c>
      <c r="D3" s="53" t="s">
        <v>125</v>
      </c>
      <c r="J3" s="60"/>
    </row>
    <row r="4" spans="2:46" ht="13.5" thickBot="1">
      <c r="B4" t="s">
        <v>117</v>
      </c>
      <c r="C4" s="43">
        <v>0.14000000000000001</v>
      </c>
      <c r="D4" t="s">
        <v>124</v>
      </c>
      <c r="I4" s="67" t="s">
        <v>144</v>
      </c>
      <c r="J4" s="69">
        <f>J6*C6*(1-C7)+(J7*J2)</f>
        <v>0.15529480649071883</v>
      </c>
    </row>
    <row r="5" spans="2:46">
      <c r="B5" s="53" t="s">
        <v>159</v>
      </c>
      <c r="C5">
        <v>1.2</v>
      </c>
      <c r="D5" t="s">
        <v>123</v>
      </c>
    </row>
    <row r="6" spans="2:46">
      <c r="B6" t="s">
        <v>119</v>
      </c>
      <c r="C6" s="61">
        <f>AVERAGE('IS-Yearly'!B25:F25)/AVERAGE('Balance Sheet'!B13:F13)</f>
        <v>0.11155097618066562</v>
      </c>
      <c r="D6" t="s">
        <v>122</v>
      </c>
      <c r="I6" t="s">
        <v>145</v>
      </c>
      <c r="J6" s="61">
        <f>1-J7</f>
        <v>7.6001278565748231E-3</v>
      </c>
    </row>
    <row r="7" spans="2:46">
      <c r="B7" s="53" t="s">
        <v>166</v>
      </c>
      <c r="C7" s="61">
        <f>AVERAGE('IS-Yearly'!F28)/AVERAGE('IS-Yearly'!B26:F26)</f>
        <v>0.43332686543491</v>
      </c>
      <c r="D7" t="s">
        <v>126</v>
      </c>
      <c r="I7" t="s">
        <v>146</v>
      </c>
      <c r="J7" s="61">
        <f>'Balance Sheet'!F9/('Balance Sheet'!F13+'Balance Sheet'!F9)</f>
        <v>0.99239987214342518</v>
      </c>
    </row>
    <row r="8" spans="2:46">
      <c r="B8" s="53" t="s">
        <v>137</v>
      </c>
      <c r="C8" s="43">
        <f>'Assumption Sheet'!B7</f>
        <v>0.02</v>
      </c>
      <c r="D8" s="53" t="s">
        <v>138</v>
      </c>
    </row>
    <row r="9" spans="2:46">
      <c r="B9"/>
    </row>
    <row r="10" spans="2:46">
      <c r="B10"/>
    </row>
    <row r="11" spans="2:46">
      <c r="B11"/>
    </row>
    <row r="12" spans="2:46">
      <c r="B12"/>
    </row>
    <row r="13" spans="2:46" s="62" customFormat="1">
      <c r="D13" s="63">
        <v>2007</v>
      </c>
      <c r="E13" s="63">
        <v>2008</v>
      </c>
      <c r="F13" s="63">
        <v>2009</v>
      </c>
      <c r="G13" s="63">
        <v>2010</v>
      </c>
      <c r="H13" s="63">
        <v>2011</v>
      </c>
      <c r="I13" s="63">
        <v>2012</v>
      </c>
      <c r="J13" s="63">
        <v>2013</v>
      </c>
      <c r="K13" s="63">
        <v>2014</v>
      </c>
      <c r="L13" s="63">
        <v>2015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2:46" s="62" customFormat="1">
      <c r="D14" s="63"/>
      <c r="E14" s="63"/>
      <c r="F14" s="63"/>
      <c r="G14" s="63"/>
      <c r="H14" s="63"/>
      <c r="I14" s="63"/>
      <c r="J14" s="63"/>
      <c r="K14" s="63"/>
      <c r="L14" s="63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2:46">
      <c r="B15" s="95" t="s">
        <v>127</v>
      </c>
      <c r="C15" s="101"/>
      <c r="D15" s="102">
        <f>'IS-Yearly'!C30</f>
        <v>2699.961868668001</v>
      </c>
      <c r="E15" s="102">
        <f>'IS-Yearly'!D30</f>
        <v>3120.1000000000004</v>
      </c>
      <c r="F15" s="102">
        <f>'IS-Yearly'!E30</f>
        <v>3263.5899999999983</v>
      </c>
      <c r="G15" s="102">
        <f>'IS-Yearly'!F30</f>
        <v>4061.0000000000005</v>
      </c>
      <c r="H15" s="102">
        <f>'IS-Yearly'!G30</f>
        <v>4566.5146513005056</v>
      </c>
      <c r="I15" s="102">
        <f>'IS-Yearly'!H30</f>
        <v>6081.1096040734519</v>
      </c>
      <c r="J15" s="102">
        <f>'IS-Yearly'!I30</f>
        <v>6993.2760446844695</v>
      </c>
      <c r="K15" s="102">
        <f>'IS-Yearly'!J30</f>
        <v>7133.1415655781584</v>
      </c>
      <c r="L15" s="102">
        <f>'IS-Yearly'!K30</f>
        <v>7275.8043968897218</v>
      </c>
    </row>
    <row r="16" spans="2:46">
      <c r="B16" s="95" t="s">
        <v>130</v>
      </c>
      <c r="C16" s="101"/>
      <c r="D16" s="102">
        <f>'IS-Yearly'!C22</f>
        <v>362.91730866199998</v>
      </c>
      <c r="E16" s="102">
        <f>'IS-Yearly'!D22</f>
        <v>438.46</v>
      </c>
      <c r="F16" s="102">
        <f>'IS-Yearly'!E22</f>
        <v>549.41000000000008</v>
      </c>
      <c r="G16" s="102">
        <f>'IS-Yearly'!F22</f>
        <v>608.71</v>
      </c>
      <c r="H16" s="102">
        <f>'IS-Yearly'!G22</f>
        <v>721.40674354597525</v>
      </c>
      <c r="I16" s="102">
        <f>'IS-Yearly'!H22</f>
        <v>0</v>
      </c>
      <c r="J16" s="102">
        <f>'IS-Yearly'!I22</f>
        <v>0</v>
      </c>
      <c r="K16" s="102">
        <f>'IS-Yearly'!J22</f>
        <v>0</v>
      </c>
      <c r="L16" s="102">
        <f>'IS-Yearly'!K22</f>
        <v>0</v>
      </c>
    </row>
    <row r="17" spans="1:46">
      <c r="B17" s="95" t="s">
        <v>131</v>
      </c>
      <c r="C17" s="101"/>
      <c r="D17" s="102">
        <f>'IS-Yearly'!C25*(1-Valuation!$C$7)</f>
        <v>1.8606647551704867</v>
      </c>
      <c r="E17" s="102">
        <f>'IS-Yearly'!D25*(1-Valuation!$C$7)</f>
        <v>2.6123631503450646</v>
      </c>
      <c r="F17" s="102">
        <f>'IS-Yearly'!E25*(1-Valuation!$C$7)</f>
        <v>10.381451825232448</v>
      </c>
      <c r="G17" s="102">
        <f>'IS-Yearly'!F25*(1-Valuation!$C$7)</f>
        <v>30.237678460393198</v>
      </c>
      <c r="H17" s="102">
        <f>'IS-Yearly'!G25*(1-Valuation!$C$7)</f>
        <v>14.024600526410646</v>
      </c>
      <c r="I17" s="102">
        <f>'IS-Yearly'!H25*(1-Valuation!$C$7)</f>
        <v>16.128290605372243</v>
      </c>
      <c r="J17" s="102">
        <f>'IS-Yearly'!I25*(1-Valuation!$C$7)</f>
        <v>18.547534196178077</v>
      </c>
      <c r="K17" s="102">
        <f>'IS-Yearly'!J25*(1-Valuation!$C$7)</f>
        <v>18.918484880101641</v>
      </c>
      <c r="L17" s="102">
        <f>'IS-Yearly'!K25*(1-Valuation!$C$7)</f>
        <v>19.296854577703673</v>
      </c>
    </row>
    <row r="18" spans="1:46">
      <c r="B18" s="95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46">
      <c r="B19" s="95" t="s">
        <v>132</v>
      </c>
      <c r="C19" s="101"/>
      <c r="D19" s="102">
        <f>'Balance Sheet'!C36-'Balance Sheet'!C19</f>
        <v>1531.9700000000003</v>
      </c>
      <c r="E19" s="102">
        <f>'Balance Sheet'!D36-'Balance Sheet'!D19</f>
        <v>2016.7199999999993</v>
      </c>
      <c r="F19" s="102">
        <f>'Balance Sheet'!E36-'Balance Sheet'!E19</f>
        <v>2425.09</v>
      </c>
      <c r="G19" s="102">
        <f>'Balance Sheet'!F36-'Balance Sheet'!F19</f>
        <v>-1047.4400000000005</v>
      </c>
      <c r="H19" s="102">
        <f>'Balance Sheet'!G36-'Balance Sheet'!G19</f>
        <v>-268.33890096037612</v>
      </c>
      <c r="I19" s="102">
        <f>'Balance Sheet'!H36-'Balance Sheet'!H19</f>
        <v>188.62850789556796</v>
      </c>
      <c r="J19" s="102">
        <f>'Balance Sheet'!I36-'Balance Sheet'!I19</f>
        <v>715.59708895989934</v>
      </c>
      <c r="K19" s="102">
        <f>'Balance Sheet'!J36-'Balance Sheet'!J19</f>
        <v>935.3259875390977</v>
      </c>
      <c r="L19" s="102">
        <f>'Balance Sheet'!K36-'Balance Sheet'!K19</f>
        <v>1179.9911597698811</v>
      </c>
      <c r="P19" s="106"/>
    </row>
    <row r="20" spans="1:46">
      <c r="B20" s="95" t="s">
        <v>133</v>
      </c>
      <c r="C20" s="101"/>
      <c r="D20" s="102">
        <f>'Balance Sheet'!C25-'Balance Sheet'!B25</f>
        <v>945.95730866200029</v>
      </c>
      <c r="E20" s="102">
        <f>'Balance Sheet'!D25-'Balance Sheet'!C25</f>
        <v>1862.5126913379991</v>
      </c>
      <c r="F20" s="102">
        <f>'Balance Sheet'!E25-'Balance Sheet'!D25</f>
        <v>1652.5</v>
      </c>
      <c r="G20" s="102">
        <f>'Balance Sheet'!F25-'Balance Sheet'!E25</f>
        <v>1479.2000000000007</v>
      </c>
      <c r="H20" s="102">
        <f>'Balance Sheet'!G25-'Balance Sheet'!F25</f>
        <v>1500</v>
      </c>
      <c r="I20" s="102">
        <f>'Balance Sheet'!H25-'Balance Sheet'!G25</f>
        <v>1500</v>
      </c>
      <c r="J20" s="102">
        <f>'Balance Sheet'!I25-'Balance Sheet'!H25</f>
        <v>1500</v>
      </c>
      <c r="K20" s="102">
        <f>'Balance Sheet'!J25-'Balance Sheet'!I25</f>
        <v>1500</v>
      </c>
      <c r="L20" s="102">
        <f>'Balance Sheet'!K25-'Balance Sheet'!J25</f>
        <v>1500</v>
      </c>
    </row>
    <row r="21" spans="1:46">
      <c r="B21" s="95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46" s="66" customFormat="1">
      <c r="A22" s="99"/>
      <c r="B22" s="89" t="s">
        <v>128</v>
      </c>
      <c r="C22" s="103"/>
      <c r="D22" s="103">
        <f>D15+D16+D17-D19-D20</f>
        <v>586.81253342317086</v>
      </c>
      <c r="E22" s="103">
        <f t="shared" ref="E22:L22" si="0">E15+E16+E17-E19-E20</f>
        <v>-318.06032818765289</v>
      </c>
      <c r="F22" s="103">
        <f t="shared" si="0"/>
        <v>-254.20854817476948</v>
      </c>
      <c r="G22" s="103">
        <f t="shared" si="0"/>
        <v>4268.1876784603937</v>
      </c>
      <c r="H22" s="103">
        <f t="shared" si="0"/>
        <v>4070.2848963332681</v>
      </c>
      <c r="I22" s="103">
        <f t="shared" si="0"/>
        <v>4408.609386783256</v>
      </c>
      <c r="J22" s="103">
        <f t="shared" si="0"/>
        <v>4796.2264899207485</v>
      </c>
      <c r="K22" s="103">
        <f t="shared" si="0"/>
        <v>4716.7340629191622</v>
      </c>
      <c r="L22" s="103">
        <f t="shared" si="0"/>
        <v>4615.1100916975447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>
      <c r="B23" s="90" t="s">
        <v>139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5">
        <f>L22/(J4-C8)</f>
        <v>34111.509609307424</v>
      </c>
    </row>
    <row r="24" spans="1:46">
      <c r="B24" s="65"/>
      <c r="C24" s="106"/>
      <c r="D24" s="106"/>
      <c r="E24" s="106"/>
      <c r="F24" s="106"/>
      <c r="G24" s="106"/>
      <c r="H24" s="106"/>
      <c r="I24" s="106"/>
      <c r="J24" s="106"/>
      <c r="K24" s="106"/>
      <c r="L24" s="107"/>
    </row>
    <row r="25" spans="1:46">
      <c r="B25" s="96" t="s">
        <v>147</v>
      </c>
      <c r="C25" s="108"/>
      <c r="D25" s="108">
        <f>D22+D23</f>
        <v>586.81253342317086</v>
      </c>
      <c r="E25" s="108">
        <f t="shared" ref="E25:L25" si="1">E22+E23</f>
        <v>-318.06032818765289</v>
      </c>
      <c r="F25" s="108">
        <f t="shared" si="1"/>
        <v>-254.20854817476948</v>
      </c>
      <c r="G25" s="108">
        <f t="shared" si="1"/>
        <v>4268.1876784603937</v>
      </c>
      <c r="H25" s="108">
        <f t="shared" si="1"/>
        <v>4070.2848963332681</v>
      </c>
      <c r="I25" s="108">
        <f t="shared" si="1"/>
        <v>4408.609386783256</v>
      </c>
      <c r="J25" s="108">
        <f t="shared" si="1"/>
        <v>4796.2264899207485</v>
      </c>
      <c r="K25" s="108">
        <f t="shared" si="1"/>
        <v>4716.7340629191622</v>
      </c>
      <c r="L25" s="108">
        <f t="shared" si="1"/>
        <v>38726.619701004965</v>
      </c>
    </row>
    <row r="26" spans="1:46">
      <c r="B26" s="65"/>
    </row>
    <row r="27" spans="1:46">
      <c r="B27" s="97" t="s">
        <v>143</v>
      </c>
      <c r="C27" s="93"/>
      <c r="D27" s="94"/>
      <c r="E27" s="94"/>
      <c r="F27" s="94"/>
      <c r="G27" s="94"/>
      <c r="H27" s="94">
        <v>1</v>
      </c>
      <c r="I27" s="94">
        <v>2</v>
      </c>
      <c r="J27" s="94">
        <v>3</v>
      </c>
      <c r="K27" s="94">
        <v>4</v>
      </c>
      <c r="L27" s="94">
        <v>5</v>
      </c>
    </row>
    <row r="28" spans="1:46">
      <c r="B28" s="97" t="s">
        <v>161</v>
      </c>
      <c r="C28" s="93"/>
      <c r="D28" s="94"/>
      <c r="E28" s="94"/>
      <c r="F28" s="94"/>
      <c r="G28" s="94"/>
      <c r="H28" s="94">
        <f>1/(1+$J$4)^H27</f>
        <v>0.86557993196348149</v>
      </c>
      <c r="I28" s="94">
        <f>1/(1+$J$4)^I27</f>
        <v>0.74922861861790524</v>
      </c>
      <c r="J28" s="94">
        <f>1/(1+$J$4)^J27</f>
        <v>0.64851725672837968</v>
      </c>
      <c r="K28" s="94">
        <f>1/(1+$J$4)^K27</f>
        <v>0.56134352295609458</v>
      </c>
      <c r="L28" s="94">
        <f>1/(1+$J$4)^L27</f>
        <v>0.48588768840847735</v>
      </c>
    </row>
    <row r="29" spans="1:46">
      <c r="B29" s="65"/>
    </row>
    <row r="30" spans="1:46">
      <c r="B30" s="95" t="s">
        <v>162</v>
      </c>
      <c r="C30" s="102"/>
      <c r="D30" s="102"/>
      <c r="E30" s="102"/>
      <c r="F30" s="102"/>
      <c r="G30" s="102">
        <f>G25</f>
        <v>4268.1876784603937</v>
      </c>
      <c r="H30" s="102">
        <f>H25*H28</f>
        <v>3523.1569236401365</v>
      </c>
      <c r="I30" s="102">
        <f>I25*I28</f>
        <v>3303.0563208855492</v>
      </c>
      <c r="J30" s="102">
        <f>J25*J28</f>
        <v>3110.4356458913894</v>
      </c>
      <c r="K30" s="102">
        <f>K25*K28</f>
        <v>2647.7081157260559</v>
      </c>
      <c r="L30" s="102">
        <f>L25*L28</f>
        <v>18816.787726395502</v>
      </c>
    </row>
    <row r="31" spans="1:46">
      <c r="B31" s="65"/>
    </row>
    <row r="32" spans="1:46">
      <c r="B32" s="95" t="s">
        <v>164</v>
      </c>
      <c r="C32" s="101">
        <f>SUM(G30:L30)</f>
        <v>35669.332410999021</v>
      </c>
    </row>
    <row r="33" spans="1:46">
      <c r="B33" s="65"/>
    </row>
    <row r="34" spans="1:46">
      <c r="B34" s="95" t="s">
        <v>134</v>
      </c>
      <c r="C34" s="109"/>
      <c r="D34" s="109">
        <f>D17</f>
        <v>1.8606647551704867</v>
      </c>
      <c r="E34" s="109">
        <f t="shared" ref="E34:L34" si="2">E17</f>
        <v>2.6123631503450646</v>
      </c>
      <c r="F34" s="109">
        <f t="shared" si="2"/>
        <v>10.381451825232448</v>
      </c>
      <c r="G34" s="109">
        <f t="shared" si="2"/>
        <v>30.237678460393198</v>
      </c>
      <c r="H34" s="109">
        <f t="shared" si="2"/>
        <v>14.024600526410646</v>
      </c>
      <c r="I34" s="109">
        <f t="shared" si="2"/>
        <v>16.128290605372243</v>
      </c>
      <c r="J34" s="109">
        <f t="shared" si="2"/>
        <v>18.547534196178077</v>
      </c>
      <c r="K34" s="109">
        <f t="shared" si="2"/>
        <v>18.918484880101641</v>
      </c>
      <c r="L34" s="109">
        <f t="shared" si="2"/>
        <v>19.296854577703673</v>
      </c>
    </row>
    <row r="35" spans="1:46">
      <c r="B35" s="95" t="s">
        <v>135</v>
      </c>
      <c r="C35" s="109"/>
      <c r="D35" s="109">
        <f>'Balance Sheet'!C13-'Balance Sheet'!B13</f>
        <v>81.150000000000006</v>
      </c>
      <c r="E35" s="109">
        <f>'Balance Sheet'!D13-'Balance Sheet'!C13</f>
        <v>13.550000000000011</v>
      </c>
      <c r="F35" s="109">
        <f>'Balance Sheet'!E13-'Balance Sheet'!D13</f>
        <v>-36.880000000000024</v>
      </c>
      <c r="G35" s="109">
        <f>'Balance Sheet'!F13-'Balance Sheet'!E13</f>
        <v>-69.839999999999989</v>
      </c>
      <c r="H35" s="109">
        <f>'Balance Sheet'!G13-'Balance Sheet'!F13</f>
        <v>0</v>
      </c>
      <c r="I35" s="109">
        <f>'Balance Sheet'!H13-'Balance Sheet'!G13</f>
        <v>0</v>
      </c>
      <c r="J35" s="109">
        <f>'Balance Sheet'!I13-'Balance Sheet'!H13</f>
        <v>0</v>
      </c>
      <c r="K35" s="109">
        <f>'Balance Sheet'!J13-'Balance Sheet'!I13</f>
        <v>0</v>
      </c>
      <c r="L35" s="109">
        <f>'Balance Sheet'!K13-'Balance Sheet'!J13</f>
        <v>0</v>
      </c>
    </row>
    <row r="36" spans="1:46">
      <c r="B36" s="95"/>
      <c r="C36" s="109"/>
      <c r="D36" s="109"/>
      <c r="E36" s="109"/>
      <c r="F36" s="109"/>
      <c r="G36" s="109"/>
      <c r="H36" s="109"/>
      <c r="I36" s="109"/>
      <c r="J36" s="109"/>
      <c r="K36" s="109"/>
      <c r="L36" s="109"/>
    </row>
    <row r="37" spans="1:46" s="66" customFormat="1">
      <c r="A37" s="99"/>
      <c r="B37" s="89" t="s">
        <v>129</v>
      </c>
      <c r="C37" s="110"/>
      <c r="D37" s="110">
        <f>D22-D34+D35</f>
        <v>666.10186866800041</v>
      </c>
      <c r="E37" s="110">
        <f t="shared" ref="E37:L37" si="3">E22-E34+E35</f>
        <v>-307.12269133799794</v>
      </c>
      <c r="F37" s="110">
        <f t="shared" si="3"/>
        <v>-301.47000000000196</v>
      </c>
      <c r="G37" s="110">
        <f t="shared" si="3"/>
        <v>4168.1100000000006</v>
      </c>
      <c r="H37" s="110">
        <f t="shared" si="3"/>
        <v>4056.2602958068574</v>
      </c>
      <c r="I37" s="110">
        <f t="shared" si="3"/>
        <v>4392.481096177884</v>
      </c>
      <c r="J37" s="110">
        <f t="shared" si="3"/>
        <v>4777.6789557245702</v>
      </c>
      <c r="K37" s="110">
        <f t="shared" si="3"/>
        <v>4697.8155780390607</v>
      </c>
      <c r="L37" s="110">
        <f t="shared" si="3"/>
        <v>4595.8132371198408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>
      <c r="B38" s="90" t="s">
        <v>139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2">
        <f>L37/(J2-C8)</f>
        <v>33792.744390587053</v>
      </c>
    </row>
    <row r="39" spans="1:46">
      <c r="B39" s="65"/>
    </row>
    <row r="40" spans="1:46">
      <c r="B40" s="96" t="s">
        <v>140</v>
      </c>
      <c r="C40" s="108"/>
      <c r="D40" s="113">
        <f>D37+D38</f>
        <v>666.10186866800041</v>
      </c>
      <c r="E40" s="113">
        <f t="shared" ref="E40:L40" si="4">E37+E38</f>
        <v>-307.12269133799794</v>
      </c>
      <c r="F40" s="113">
        <f t="shared" si="4"/>
        <v>-301.47000000000196</v>
      </c>
      <c r="G40" s="113">
        <f t="shared" si="4"/>
        <v>4168.1100000000006</v>
      </c>
      <c r="H40" s="113">
        <f t="shared" si="4"/>
        <v>4056.2602958068574</v>
      </c>
      <c r="I40" s="113">
        <f t="shared" si="4"/>
        <v>4392.481096177884</v>
      </c>
      <c r="J40" s="113">
        <f t="shared" si="4"/>
        <v>4777.6789557245702</v>
      </c>
      <c r="K40" s="113">
        <f t="shared" si="4"/>
        <v>4697.8155780390607</v>
      </c>
      <c r="L40" s="113">
        <f t="shared" si="4"/>
        <v>38388.55762770689</v>
      </c>
      <c r="M40" s="83"/>
    </row>
    <row r="41" spans="1:46">
      <c r="B41" s="65"/>
    </row>
    <row r="42" spans="1:46">
      <c r="B42" s="95" t="s">
        <v>143</v>
      </c>
      <c r="C42" s="88"/>
      <c r="D42" s="92"/>
      <c r="E42" s="92"/>
      <c r="F42" s="92"/>
      <c r="G42" s="92"/>
      <c r="H42" s="92">
        <f>H27</f>
        <v>1</v>
      </c>
      <c r="I42" s="92">
        <f>I27</f>
        <v>2</v>
      </c>
      <c r="J42" s="92">
        <f>J27</f>
        <v>3</v>
      </c>
      <c r="K42" s="92">
        <f>K27</f>
        <v>4</v>
      </c>
      <c r="L42" s="92">
        <f>L27</f>
        <v>5</v>
      </c>
    </row>
    <row r="43" spans="1:46">
      <c r="B43" s="95" t="s">
        <v>160</v>
      </c>
      <c r="C43" s="88"/>
      <c r="D43" s="92"/>
      <c r="E43" s="92"/>
      <c r="F43" s="92"/>
      <c r="G43" s="92"/>
      <c r="H43" s="92">
        <f>1/($J$2+1)^H42</f>
        <v>0.86505190311418678</v>
      </c>
      <c r="I43" s="92">
        <f>1/($J$2+1)^I42</f>
        <v>0.74831479508147625</v>
      </c>
      <c r="J43" s="92">
        <f>1/($J$2+1)^J42</f>
        <v>0.64733113761373373</v>
      </c>
      <c r="K43" s="92">
        <f>1/($J$2+1)^K42</f>
        <v>0.55997503253783176</v>
      </c>
      <c r="L43" s="92">
        <f>1/($J$2+1)^L42</f>
        <v>0.48440746759328007</v>
      </c>
    </row>
    <row r="44" spans="1:46">
      <c r="B44" s="65"/>
    </row>
    <row r="45" spans="1:46">
      <c r="B45" s="95" t="s">
        <v>163</v>
      </c>
      <c r="C45" s="101"/>
      <c r="D45" s="103"/>
      <c r="E45" s="103"/>
      <c r="F45" s="103"/>
      <c r="G45" s="103">
        <f>G40</f>
        <v>4168.1100000000006</v>
      </c>
      <c r="H45" s="103">
        <f>H40*H43</f>
        <v>3508.8756884142363</v>
      </c>
      <c r="I45" s="103">
        <f>I40*I43</f>
        <v>3286.9585913856113</v>
      </c>
      <c r="J45" s="103">
        <f>J40*J43</f>
        <v>3092.7403535623812</v>
      </c>
      <c r="K45" s="103">
        <f>K40*K43</f>
        <v>2630.6594311691561</v>
      </c>
      <c r="L45" s="103">
        <f>L40*L43</f>
        <v>18595.703984996191</v>
      </c>
    </row>
    <row r="46" spans="1:46">
      <c r="B46" s="65"/>
      <c r="C46" s="87"/>
      <c r="D46" s="87"/>
      <c r="E46" s="87"/>
      <c r="F46" s="87"/>
      <c r="G46" s="87"/>
      <c r="H46" s="87"/>
      <c r="I46" s="87"/>
      <c r="J46" s="87"/>
      <c r="K46" s="87"/>
    </row>
    <row r="47" spans="1:46">
      <c r="B47" s="95" t="s">
        <v>165</v>
      </c>
      <c r="C47" s="114">
        <f>SUM(G45:L45)</f>
        <v>35283.048049527577</v>
      </c>
      <c r="D47" s="87"/>
      <c r="E47" s="87"/>
      <c r="F47" s="87"/>
      <c r="G47" s="87"/>
      <c r="H47" s="107"/>
      <c r="I47" s="107"/>
      <c r="J47" s="107"/>
      <c r="K47" s="107"/>
      <c r="L47" s="106"/>
      <c r="M47" s="106"/>
    </row>
    <row r="48" spans="1:46">
      <c r="B48" s="65"/>
      <c r="F48" s="116"/>
      <c r="G48" s="116"/>
      <c r="H48" s="118"/>
      <c r="I48" s="118"/>
      <c r="J48" s="106"/>
      <c r="K48" s="106"/>
      <c r="L48" s="106"/>
      <c r="M48" s="106"/>
    </row>
    <row r="49" spans="2:13" ht="13.5" thickBot="1">
      <c r="B49" s="95" t="s">
        <v>141</v>
      </c>
      <c r="C49" s="91">
        <f>'Balance Sheet'!F5</f>
        <v>381.82</v>
      </c>
      <c r="F49" s="116"/>
      <c r="G49" s="116"/>
      <c r="H49" s="118"/>
      <c r="I49" s="118"/>
      <c r="J49" s="118"/>
      <c r="K49" s="118"/>
      <c r="L49" s="106"/>
      <c r="M49" s="106"/>
    </row>
    <row r="50" spans="2:13" ht="13.5" thickBot="1">
      <c r="B50" s="65"/>
      <c r="F50" s="116"/>
      <c r="G50" s="119" t="s">
        <v>167</v>
      </c>
      <c r="H50" s="120">
        <v>120</v>
      </c>
      <c r="I50" s="118"/>
      <c r="J50" s="118"/>
      <c r="K50" s="118"/>
      <c r="L50" s="106"/>
      <c r="M50" s="106"/>
    </row>
    <row r="51" spans="2:13" ht="13.5" thickBot="1">
      <c r="B51" s="98" t="s">
        <v>142</v>
      </c>
      <c r="C51" s="115">
        <f>C47/C49</f>
        <v>92.407542950939131</v>
      </c>
      <c r="F51" s="116"/>
      <c r="G51" s="117"/>
      <c r="H51" s="121"/>
      <c r="I51" s="118"/>
      <c r="J51" s="118"/>
      <c r="K51" s="118"/>
      <c r="L51" s="106"/>
      <c r="M51" s="106"/>
    </row>
    <row r="52" spans="2:13">
      <c r="B52" s="65"/>
      <c r="F52" s="116"/>
      <c r="G52" s="116"/>
      <c r="H52" s="118"/>
      <c r="I52" s="118"/>
      <c r="J52" s="118"/>
      <c r="K52" s="118"/>
      <c r="L52" s="106"/>
      <c r="M52" s="106"/>
    </row>
    <row r="53" spans="2:13" s="83" customFormat="1">
      <c r="F53" s="116"/>
      <c r="G53" s="116"/>
      <c r="H53" s="118"/>
      <c r="I53" s="118"/>
      <c r="J53" s="118"/>
      <c r="K53" s="118"/>
      <c r="L53" s="122"/>
      <c r="M53" s="122"/>
    </row>
    <row r="54" spans="2:13" s="83" customFormat="1">
      <c r="F54" s="116"/>
      <c r="G54" s="116"/>
      <c r="H54" s="116"/>
      <c r="I54" s="116"/>
      <c r="J54" s="116"/>
      <c r="K54" s="116"/>
    </row>
    <row r="55" spans="2:13" s="83" customFormat="1">
      <c r="F55" s="116"/>
      <c r="G55" s="116"/>
      <c r="H55" s="116"/>
      <c r="I55" s="116"/>
      <c r="J55" s="116"/>
    </row>
    <row r="56" spans="2:13" s="83" customFormat="1">
      <c r="F56" s="116"/>
      <c r="G56" s="116"/>
      <c r="H56" s="116"/>
      <c r="I56" s="116"/>
      <c r="J56" s="116"/>
    </row>
    <row r="57" spans="2:13" s="83" customFormat="1"/>
    <row r="58" spans="2:13" s="83" customFormat="1"/>
    <row r="59" spans="2:13" s="83" customFormat="1"/>
    <row r="60" spans="2:13" s="83" customFormat="1"/>
    <row r="61" spans="2:13" s="83" customFormat="1"/>
    <row r="62" spans="2:13" s="83" customFormat="1"/>
    <row r="63" spans="2:13" s="83" customFormat="1"/>
    <row r="64" spans="2:13" s="83" customFormat="1"/>
    <row r="65" s="83" customFormat="1"/>
    <row r="66" s="83" customFormat="1"/>
    <row r="67" s="83" customFormat="1"/>
    <row r="68" s="83" customFormat="1"/>
    <row r="69" s="83" customFormat="1"/>
    <row r="70" s="83" customFormat="1"/>
    <row r="71" s="83" customFormat="1"/>
    <row r="72" s="83" customFormat="1"/>
    <row r="73" s="83" customFormat="1"/>
    <row r="74" s="83" customFormat="1"/>
    <row r="75" s="83" customFormat="1"/>
    <row r="76" s="83" customFormat="1"/>
    <row r="77" s="83" customFormat="1"/>
    <row r="78" s="83" customFormat="1"/>
    <row r="79" s="83" customFormat="1"/>
    <row r="80" s="83" customFormat="1"/>
    <row r="81" s="83" customFormat="1"/>
    <row r="82" s="83" customFormat="1"/>
    <row r="83" s="83" customFormat="1"/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C19" sqref="C19"/>
    </sheetView>
  </sheetViews>
  <sheetFormatPr defaultRowHeight="12.75"/>
  <cols>
    <col min="2" max="2" width="20.85546875" bestFit="1" customWidth="1"/>
    <col min="3" max="3" width="9.28515625" bestFit="1" customWidth="1"/>
    <col min="8" max="8" width="9.5703125" bestFit="1" customWidth="1"/>
    <col min="10" max="10" width="12" bestFit="1" customWidth="1"/>
    <col min="11" max="11" width="9.28515625" bestFit="1" customWidth="1"/>
    <col min="13" max="13" width="10.5703125" bestFit="1" customWidth="1"/>
  </cols>
  <sheetData>
    <row r="1" spans="1:18">
      <c r="A1" s="123"/>
    </row>
    <row r="3" spans="1:18" ht="13.5" thickBot="1"/>
    <row r="4" spans="1:18" ht="13.5" thickBot="1">
      <c r="L4" s="127" t="s">
        <v>136</v>
      </c>
      <c r="M4" s="130">
        <f>Valuation!J2</f>
        <v>0.15600000000000003</v>
      </c>
    </row>
    <row r="5" spans="1:18">
      <c r="A5" s="62"/>
      <c r="B5" s="62"/>
      <c r="C5" s="63">
        <v>2006</v>
      </c>
      <c r="D5" s="63">
        <f>C5+1</f>
        <v>2007</v>
      </c>
      <c r="E5" s="63">
        <f t="shared" ref="E5:G5" si="0">D5+1</f>
        <v>2008</v>
      </c>
      <c r="F5" s="63">
        <f t="shared" si="0"/>
        <v>2009</v>
      </c>
      <c r="G5" s="63">
        <f t="shared" si="0"/>
        <v>2010</v>
      </c>
      <c r="H5" s="126"/>
      <c r="I5" s="126"/>
      <c r="J5" s="126"/>
      <c r="K5" s="126"/>
      <c r="L5" s="126"/>
    </row>
    <row r="6" spans="1:18">
      <c r="A6" s="62"/>
      <c r="B6" s="62"/>
      <c r="C6" s="62"/>
      <c r="D6" s="63"/>
      <c r="E6" s="63"/>
      <c r="F6" s="63"/>
      <c r="G6" s="63"/>
      <c r="H6" s="126" t="s">
        <v>79</v>
      </c>
      <c r="I6" s="126"/>
      <c r="J6" s="126"/>
      <c r="K6" s="126"/>
      <c r="L6" s="126"/>
    </row>
    <row r="7" spans="1:18">
      <c r="B7" s="95" t="s">
        <v>169</v>
      </c>
      <c r="C7" s="101">
        <f>'IS-Yearly'!B39</f>
        <v>3.021676608436302</v>
      </c>
      <c r="D7" s="101">
        <f>'IS-Yearly'!C39</f>
        <v>3.6268672585189514</v>
      </c>
      <c r="E7" s="101">
        <f>'IS-Yearly'!D39</f>
        <v>4.0948362787241948</v>
      </c>
      <c r="F7" s="101">
        <f>'IS-Yearly'!E39</f>
        <v>4.3288204747774479</v>
      </c>
      <c r="G7" s="101">
        <f>'IS-Yearly'!F39</f>
        <v>5.2473678696768111</v>
      </c>
      <c r="H7" s="106"/>
    </row>
    <row r="8" spans="1:18" ht="13.5" thickBot="1">
      <c r="B8" s="95"/>
      <c r="C8" s="88"/>
      <c r="D8" s="88"/>
      <c r="E8" s="88"/>
      <c r="F8" s="88"/>
      <c r="G8" s="88"/>
    </row>
    <row r="9" spans="1:18" ht="13.5" thickBot="1">
      <c r="B9" s="95" t="s">
        <v>84</v>
      </c>
      <c r="C9" s="131">
        <f>'IS-Yearly'!B36/'IS-Yearly'!B30</f>
        <v>0.50761625696199708</v>
      </c>
      <c r="D9" s="131">
        <f>'IS-Yearly'!C36/'IS-Yearly'!C30</f>
        <v>0.50537750767315925</v>
      </c>
      <c r="E9" s="131">
        <f>'IS-Yearly'!D36/'IS-Yearly'!D30</f>
        <v>0.49459312201531996</v>
      </c>
      <c r="F9" s="131">
        <f>'IS-Yearly'!E36/'IS-Yearly'!E30</f>
        <v>0.5006358029041641</v>
      </c>
      <c r="G9" s="131">
        <f>'IS-Yearly'!F36/'IS-Yearly'!F30</f>
        <v>0.4933637035213001</v>
      </c>
      <c r="H9" s="50">
        <f>AVERAGE(C9:G9)</f>
        <v>0.50031727861518804</v>
      </c>
      <c r="L9" s="76" t="s">
        <v>173</v>
      </c>
      <c r="M9" s="133">
        <f>G7*(1+H15)</f>
        <v>5.9244256630890995</v>
      </c>
    </row>
    <row r="10" spans="1:18">
      <c r="B10" s="95"/>
      <c r="C10" s="88"/>
      <c r="D10" s="88"/>
      <c r="E10" s="88"/>
      <c r="F10" s="88"/>
      <c r="G10" s="88"/>
    </row>
    <row r="11" spans="1:18">
      <c r="B11" s="95" t="s">
        <v>170</v>
      </c>
      <c r="C11" s="132">
        <f>1-C9</f>
        <v>0.49238374303800292</v>
      </c>
      <c r="D11" s="132">
        <f t="shared" ref="D11:G11" si="1">1-D9</f>
        <v>0.49462249232684075</v>
      </c>
      <c r="E11" s="132">
        <f t="shared" si="1"/>
        <v>0.50540687798468009</v>
      </c>
      <c r="F11" s="132">
        <f t="shared" si="1"/>
        <v>0.4993641970958359</v>
      </c>
      <c r="G11" s="132">
        <f t="shared" si="1"/>
        <v>0.5066362964786999</v>
      </c>
    </row>
    <row r="12" spans="1:18">
      <c r="B12" s="95"/>
      <c r="C12" s="132"/>
      <c r="D12" s="132"/>
      <c r="E12" s="132"/>
      <c r="F12" s="132"/>
      <c r="G12" s="132"/>
    </row>
    <row r="13" spans="1:18">
      <c r="B13" s="95" t="s">
        <v>171</v>
      </c>
      <c r="C13" s="132">
        <f>'IS-Yearly'!B30/'Balance Sheet'!B9</f>
        <v>0.24668707540048646</v>
      </c>
      <c r="D13" s="132">
        <f>'IS-Yearly'!C30/'Balance Sheet'!C9</f>
        <v>0.25868839954585182</v>
      </c>
      <c r="E13" s="132">
        <f>'IS-Yearly'!D30/'Balance Sheet'!D9</f>
        <v>0.25876496766370927</v>
      </c>
      <c r="F13" s="132">
        <f>'IS-Yearly'!E30/'Balance Sheet'!E9</f>
        <v>0.23760896329339423</v>
      </c>
      <c r="G13" s="132">
        <f>'IS-Yearly'!F30/'Balance Sheet'!F9</f>
        <v>0.28874279920537077</v>
      </c>
    </row>
    <row r="14" spans="1:18">
      <c r="B14" s="95"/>
      <c r="C14" s="88"/>
      <c r="D14" s="88"/>
      <c r="E14" s="88"/>
      <c r="F14" s="88"/>
      <c r="G14" s="88"/>
      <c r="M14" s="53"/>
      <c r="N14" s="61"/>
      <c r="O14" s="61"/>
      <c r="P14" s="61"/>
      <c r="Q14" s="61"/>
      <c r="R14" s="61"/>
    </row>
    <row r="15" spans="1:18">
      <c r="B15" s="95" t="s">
        <v>168</v>
      </c>
      <c r="C15" s="131">
        <f>C11*C13</f>
        <v>0.12146470554478958</v>
      </c>
      <c r="D15" s="131">
        <f t="shared" ref="D15:G15" si="2">D11*D13</f>
        <v>0.12795310091941081</v>
      </c>
      <c r="E15" s="131">
        <f t="shared" si="2"/>
        <v>0.130781594438722</v>
      </c>
      <c r="F15" s="131">
        <f t="shared" si="2"/>
        <v>0.11865340917777975</v>
      </c>
      <c r="G15" s="131">
        <f t="shared" si="2"/>
        <v>0.14628758242430193</v>
      </c>
      <c r="H15" s="61">
        <f>AVERAGE(C15:G15)</f>
        <v>0.12902807850100081</v>
      </c>
      <c r="I15" s="125"/>
      <c r="M15" s="53"/>
      <c r="N15" s="61"/>
      <c r="O15" s="61"/>
      <c r="P15" s="61"/>
      <c r="Q15" s="61"/>
      <c r="R15" s="61"/>
    </row>
    <row r="16" spans="1:18">
      <c r="B16" s="95"/>
      <c r="C16" s="124"/>
      <c r="D16" s="124"/>
      <c r="E16" s="124"/>
      <c r="F16" s="124"/>
      <c r="G16" s="124"/>
      <c r="M16" s="53"/>
      <c r="N16" s="61"/>
      <c r="O16" s="61"/>
      <c r="P16" s="61"/>
      <c r="Q16" s="61"/>
      <c r="R16" s="61"/>
    </row>
    <row r="17" spans="2:18">
      <c r="B17" s="128"/>
      <c r="Q17" s="53"/>
      <c r="R17" s="50"/>
    </row>
    <row r="18" spans="2:18" ht="13.5" thickBot="1">
      <c r="B18" s="64"/>
    </row>
    <row r="19" spans="2:18" ht="13.5" thickBot="1">
      <c r="B19" s="129" t="s">
        <v>172</v>
      </c>
      <c r="C19" s="115">
        <f>M9/(M4-H15)</f>
        <v>219.65159817438013</v>
      </c>
      <c r="J19" s="76" t="s">
        <v>167</v>
      </c>
      <c r="K19" s="133">
        <f>Valuation!H50</f>
        <v>120</v>
      </c>
    </row>
    <row r="20" spans="2:18">
      <c r="B20" s="64"/>
      <c r="G20" s="53"/>
      <c r="H20" s="61"/>
    </row>
    <row r="21" spans="2:18">
      <c r="B21" s="64"/>
    </row>
    <row r="22" spans="2:18">
      <c r="B22" s="64"/>
    </row>
    <row r="23" spans="2:18">
      <c r="B23" s="64"/>
    </row>
    <row r="24" spans="2:18">
      <c r="B24" s="64"/>
    </row>
    <row r="25" spans="2:18">
      <c r="B25" s="64"/>
    </row>
    <row r="26" spans="2:18">
      <c r="B26" s="64"/>
    </row>
    <row r="27" spans="2:18">
      <c r="B27" s="64"/>
    </row>
    <row r="28" spans="2:18">
      <c r="B28" s="64"/>
    </row>
    <row r="29" spans="2:18">
      <c r="B29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1:H12"/>
  <sheetViews>
    <sheetView workbookViewId="0">
      <selection activeCell="N22" sqref="N22"/>
    </sheetView>
  </sheetViews>
  <sheetFormatPr defaultRowHeight="12.75"/>
  <cols>
    <col min="7" max="7" width="11.85546875" bestFit="1" customWidth="1"/>
  </cols>
  <sheetData>
    <row r="1" spans="3:8" ht="13.5" thickBot="1"/>
    <row r="2" spans="3:8" ht="13.5" thickBot="1">
      <c r="G2" s="76" t="s">
        <v>153</v>
      </c>
      <c r="H2" s="77">
        <v>0.1</v>
      </c>
    </row>
    <row r="4" spans="3:8">
      <c r="D4" s="75" t="s">
        <v>149</v>
      </c>
      <c r="E4" s="75" t="s">
        <v>118</v>
      </c>
    </row>
    <row r="5" spans="3:8">
      <c r="D5" s="74">
        <v>2</v>
      </c>
      <c r="E5" s="74">
        <v>3</v>
      </c>
      <c r="G5">
        <f t="shared" ref="G5:H7" si="0">D5*$H$2</f>
        <v>0.2</v>
      </c>
      <c r="H5">
        <f t="shared" si="0"/>
        <v>0.30000000000000004</v>
      </c>
    </row>
    <row r="6" spans="3:8">
      <c r="D6" s="74">
        <v>4</v>
      </c>
      <c r="E6" s="74">
        <v>7</v>
      </c>
      <c r="G6">
        <f t="shared" si="0"/>
        <v>0.4</v>
      </c>
      <c r="H6">
        <f t="shared" si="0"/>
        <v>0.70000000000000007</v>
      </c>
    </row>
    <row r="7" spans="3:8">
      <c r="D7" s="78">
        <v>12</v>
      </c>
      <c r="E7" s="78">
        <v>14</v>
      </c>
      <c r="G7">
        <f t="shared" si="0"/>
        <v>1.2000000000000002</v>
      </c>
      <c r="H7">
        <f t="shared" si="0"/>
        <v>1.4000000000000001</v>
      </c>
    </row>
    <row r="8" spans="3:8">
      <c r="C8" s="79" t="s">
        <v>150</v>
      </c>
      <c r="D8" s="80">
        <f>SUM(D5,D6,D7)</f>
        <v>18</v>
      </c>
      <c r="E8" s="80">
        <f>SUM(E5:E7)</f>
        <v>24</v>
      </c>
    </row>
    <row r="9" spans="3:8">
      <c r="C9" s="79" t="s">
        <v>151</v>
      </c>
      <c r="D9" s="80">
        <f>PRODUCT(D5:D7)</f>
        <v>96</v>
      </c>
      <c r="E9" s="80">
        <f>PRODUCT(E5:E7)</f>
        <v>294</v>
      </c>
    </row>
    <row r="10" spans="3:8">
      <c r="C10" s="79" t="s">
        <v>79</v>
      </c>
      <c r="D10" s="80">
        <f>AVERAGE(D5:D7)</f>
        <v>6</v>
      </c>
      <c r="E10" s="80">
        <f>AVERAGE(E5:E7)</f>
        <v>8</v>
      </c>
    </row>
    <row r="12" spans="3:8">
      <c r="G12" s="79" t="s">
        <v>152</v>
      </c>
      <c r="H12" s="80">
        <f>SUMPRODUCT(D5:D7,E5:E7)</f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 Sheet</vt:lpstr>
      <vt:lpstr>Balance Sheet</vt:lpstr>
      <vt:lpstr>Common Size BS</vt:lpstr>
      <vt:lpstr>IS-Yearly</vt:lpstr>
      <vt:lpstr>Common Size IS </vt:lpstr>
      <vt:lpstr>Valuation</vt:lpstr>
      <vt:lpstr>DDM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</dc:creator>
  <cp:lastModifiedBy>Rohit</cp:lastModifiedBy>
  <dcterms:created xsi:type="dcterms:W3CDTF">2010-10-15T19:18:12Z</dcterms:created>
  <dcterms:modified xsi:type="dcterms:W3CDTF">2014-01-27T08:29:46Z</dcterms:modified>
</cp:coreProperties>
</file>