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s" sheetId="1" r:id="rId3"/>
    <sheet state="visible" name="Andaman and Nicobar Islands" sheetId="2" r:id="rId4"/>
    <sheet state="visible" name="Andra Pradesh" sheetId="3" r:id="rId5"/>
    <sheet state="visible" name="Arunachal Pradesh" sheetId="4" r:id="rId6"/>
    <sheet state="visible" name="Assam" sheetId="5" r:id="rId7"/>
    <sheet state="visible" name="Bihar" sheetId="6" r:id="rId8"/>
    <sheet state="visible" name="Chandigarh" sheetId="7" r:id="rId9"/>
    <sheet state="visible" name="Chhattisgarh" sheetId="8" r:id="rId10"/>
    <sheet state="visible" name="Dadra &amp; Nagar Havelli" sheetId="9" r:id="rId11"/>
    <sheet state="visible" name="Daman &amp; Diu" sheetId="10" r:id="rId12"/>
    <sheet state="visible" name="Delhi" sheetId="11" r:id="rId13"/>
    <sheet state="visible" name="Goa" sheetId="12" r:id="rId14"/>
    <sheet state="visible" name="Gujarat" sheetId="13" r:id="rId15"/>
    <sheet state="visible" name="Haryana" sheetId="14" r:id="rId16"/>
    <sheet state="visible" name="Himachal Pradesh" sheetId="15" r:id="rId17"/>
    <sheet state="visible" name="Jammu &amp; Kashmir" sheetId="16" r:id="rId18"/>
    <sheet state="visible" name="Jharkhand" sheetId="17" r:id="rId19"/>
    <sheet state="visible" name="Karnataka" sheetId="18" r:id="rId20"/>
    <sheet state="visible" name="Kerala" sheetId="19" r:id="rId21"/>
    <sheet state="visible" name="Lakshadweep" sheetId="20" r:id="rId22"/>
    <sheet state="visible" name="Madhya Pradesh" sheetId="21" r:id="rId23"/>
    <sheet state="visible" name="Maharashatra" sheetId="22" r:id="rId24"/>
    <sheet state="visible" name="Manipur" sheetId="23" r:id="rId25"/>
    <sheet state="visible" name="Meghalaya" sheetId="24" r:id="rId26"/>
    <sheet state="visible" name="Mizoram" sheetId="25" r:id="rId27"/>
    <sheet state="visible" name="Nagaland" sheetId="26" r:id="rId28"/>
    <sheet state="visible" name="Odisha" sheetId="27" r:id="rId29"/>
    <sheet state="visible" name="Puducherry" sheetId="28" r:id="rId30"/>
    <sheet state="visible" name="Punjab" sheetId="29" r:id="rId31"/>
    <sheet state="visible" name="Rajasthan" sheetId="30" r:id="rId32"/>
    <sheet state="visible" name="Sikkim" sheetId="31" r:id="rId33"/>
    <sheet state="visible" name="Tamil Nadu" sheetId="32" r:id="rId34"/>
    <sheet state="visible" name="Telangana" sheetId="33" r:id="rId35"/>
    <sheet state="visible" name="Tripura" sheetId="34" r:id="rId36"/>
    <sheet state="visible" name="Uttar Pradesh" sheetId="35" r:id="rId37"/>
    <sheet state="visible" name="Uttarakhand" sheetId="36" r:id="rId38"/>
    <sheet state="visible" name="West Bengal" sheetId="37" r:id="rId39"/>
    <sheet state="visible" name="Sheet39" sheetId="38" r:id="rId40"/>
  </sheets>
  <definedNames/>
  <calcPr/>
</workbook>
</file>

<file path=xl/sharedStrings.xml><?xml version="1.0" encoding="utf-8"?>
<sst xmlns="http://schemas.openxmlformats.org/spreadsheetml/2006/main" count="2011" uniqueCount="746">
  <si>
    <t>Party</t>
  </si>
  <si>
    <t>Alliance</t>
  </si>
  <si>
    <t>State</t>
  </si>
  <si>
    <t>BJP</t>
  </si>
  <si>
    <t>NDA</t>
  </si>
  <si>
    <t>INC</t>
  </si>
  <si>
    <t>UPA</t>
  </si>
  <si>
    <t>Independents/others</t>
  </si>
  <si>
    <t>CONSTITUENCY</t>
  </si>
  <si>
    <t>VOTE SHARE</t>
  </si>
  <si>
    <t xml:space="preserve">NUMBER OF VOTES RECEIVED
</t>
  </si>
  <si>
    <t>VOTE SHARE(Normalised)</t>
  </si>
  <si>
    <t>Borda Votes</t>
  </si>
  <si>
    <t xml:space="preserve">INC
</t>
  </si>
  <si>
    <t>Total</t>
  </si>
  <si>
    <t>independents/others</t>
  </si>
  <si>
    <t>Andaman &amp; Nicobar Islands</t>
  </si>
  <si>
    <t>Actual</t>
  </si>
  <si>
    <t>Simulated</t>
  </si>
  <si>
    <t>to be done by</t>
  </si>
  <si>
    <t>status</t>
  </si>
  <si>
    <t>preference based on</t>
  </si>
  <si>
    <t>remarks</t>
  </si>
  <si>
    <t>preference table</t>
  </si>
  <si>
    <t>votes</t>
  </si>
  <si>
    <t>BJP+TDP</t>
  </si>
  <si>
    <t>Andaman and Nicobar Islands</t>
  </si>
  <si>
    <t>YRSCP</t>
  </si>
  <si>
    <t>SRV</t>
  </si>
  <si>
    <t>done</t>
  </si>
  <si>
    <t>no need</t>
  </si>
  <si>
    <t>Andhra Pradesh</t>
  </si>
  <si>
    <t>telangana issue</t>
  </si>
  <si>
    <t>Arunachal Pradesh</t>
  </si>
  <si>
    <t>winner in majority</t>
  </si>
  <si>
    <t>Assam</t>
  </si>
  <si>
    <t>caste</t>
  </si>
  <si>
    <t>Bihar</t>
  </si>
  <si>
    <t>TDP</t>
  </si>
  <si>
    <t>political alignment</t>
  </si>
  <si>
    <t>Chandigarh</t>
  </si>
  <si>
    <t>Total Votes</t>
  </si>
  <si>
    <t>Chhattisgarh</t>
  </si>
  <si>
    <t>Dadra and Nagar Haveli</t>
  </si>
  <si>
    <t>Daman and Diu</t>
  </si>
  <si>
    <t>TOTAL</t>
  </si>
  <si>
    <t>Kakinada</t>
  </si>
  <si>
    <t>Delhi</t>
  </si>
  <si>
    <t>Goa</t>
  </si>
  <si>
    <t>religion</t>
  </si>
  <si>
    <t>Gujarat</t>
  </si>
  <si>
    <t>Haryana</t>
  </si>
  <si>
    <t>nikhil</t>
  </si>
  <si>
    <t>Himachal Pradesh</t>
  </si>
  <si>
    <t>Jammu and Kashmir</t>
  </si>
  <si>
    <t>Jharkhand</t>
  </si>
  <si>
    <t>Nikhil</t>
  </si>
  <si>
    <t>Karnataka</t>
  </si>
  <si>
    <t>Parties with atleast 5% vote in any constituency</t>
  </si>
  <si>
    <t xml:space="preserve">Party
</t>
  </si>
  <si>
    <t>Kerala</t>
  </si>
  <si>
    <t>PPA</t>
  </si>
  <si>
    <t>not done in column E=alliance check karna baki hai :P</t>
  </si>
  <si>
    <t>Lakshadweep</t>
  </si>
  <si>
    <t xml:space="preserve"> winner in majority and both parties have same alliance</t>
  </si>
  <si>
    <t>Madhya Pradesh</t>
  </si>
  <si>
    <t>Maharashtra</t>
  </si>
  <si>
    <t xml:space="preserve"> </t>
  </si>
  <si>
    <t>Arunachal West</t>
  </si>
  <si>
    <t>Kurnool</t>
  </si>
  <si>
    <t>Meghalaya</t>
  </si>
  <si>
    <t>Mizoram</t>
  </si>
  <si>
    <t>Nellore</t>
  </si>
  <si>
    <t>Nagaland</t>
  </si>
  <si>
    <t>Arunachal East</t>
  </si>
  <si>
    <t>Odisha</t>
  </si>
  <si>
    <t>Puducherry</t>
  </si>
  <si>
    <t>Sagar Chand</t>
  </si>
  <si>
    <t>Punjab</t>
  </si>
  <si>
    <t>Aruku</t>
  </si>
  <si>
    <t>Rajasthan</t>
  </si>
  <si>
    <t>Sikkim</t>
  </si>
  <si>
    <t>Srikakulam</t>
  </si>
  <si>
    <t>Tamil Nadu</t>
  </si>
  <si>
    <t>Telangana</t>
  </si>
  <si>
    <t>Tripura</t>
  </si>
  <si>
    <t>Vizianagaram</t>
  </si>
  <si>
    <t>Uttar Pradesh</t>
  </si>
  <si>
    <t>Uttarakhand</t>
  </si>
  <si>
    <t>Visakhapatnam</t>
  </si>
  <si>
    <t>West Bengal</t>
  </si>
  <si>
    <t>Anakapalli</t>
  </si>
  <si>
    <t>http://www.census2011.co.in/religion.php</t>
  </si>
  <si>
    <t>Amalapuram</t>
  </si>
  <si>
    <t>Rajahmundry</t>
  </si>
  <si>
    <t>Narsapuram</t>
  </si>
  <si>
    <t>Eluru</t>
  </si>
  <si>
    <t>Machilipatnam</t>
  </si>
  <si>
    <t>Vijayawada</t>
  </si>
  <si>
    <t>Guntur</t>
  </si>
  <si>
    <t>Narasaraopet</t>
  </si>
  <si>
    <t>Bapatla</t>
  </si>
  <si>
    <t>Ongole</t>
  </si>
  <si>
    <t>Nandyal</t>
  </si>
  <si>
    <t>AIUDF</t>
  </si>
  <si>
    <t xml:space="preserve">BJP </t>
  </si>
  <si>
    <t>Anantapur</t>
  </si>
  <si>
    <t>Independent/AGP</t>
  </si>
  <si>
    <t>Hindupur</t>
  </si>
  <si>
    <t>Kadapa</t>
  </si>
  <si>
    <t>Independent/AGP/BOPF</t>
  </si>
  <si>
    <t>Karimganj</t>
  </si>
  <si>
    <t>Tirupati</t>
  </si>
  <si>
    <t>Rajampet</t>
  </si>
  <si>
    <t>Chittoor</t>
  </si>
  <si>
    <t>Silchar</t>
  </si>
  <si>
    <t>Autonomous District</t>
  </si>
  <si>
    <t>Dhubri</t>
  </si>
  <si>
    <t>Kokrajhar</t>
  </si>
  <si>
    <t>Barpeta</t>
  </si>
  <si>
    <t>Gauhati</t>
  </si>
  <si>
    <t>Mangaldoi</t>
  </si>
  <si>
    <t>JDU+CPI</t>
  </si>
  <si>
    <t>BJP+LJP+RSLP</t>
  </si>
  <si>
    <t>JDU</t>
  </si>
  <si>
    <t>INC+RJD+NCP</t>
  </si>
  <si>
    <t>Independent/others</t>
  </si>
  <si>
    <t>Tezpur</t>
  </si>
  <si>
    <t>Nowgong</t>
  </si>
  <si>
    <t>Kaliabor</t>
  </si>
  <si>
    <t>Valmiki Nagar</t>
  </si>
  <si>
    <t>Jorhat</t>
  </si>
  <si>
    <t>Dibrugarh</t>
  </si>
  <si>
    <t>Lakhimpur</t>
  </si>
  <si>
    <t>Pashim Champaran</t>
  </si>
  <si>
    <t>Purvi Champaran</t>
  </si>
  <si>
    <t>Sheohar</t>
  </si>
  <si>
    <t>Sitamarhi</t>
  </si>
  <si>
    <t>Madhubani</t>
  </si>
  <si>
    <t>Jhanjharpur</t>
  </si>
  <si>
    <t>Supaul</t>
  </si>
  <si>
    <t>Araria</t>
  </si>
  <si>
    <t>Kishanganj</t>
  </si>
  <si>
    <t>AAAP</t>
  </si>
  <si>
    <t>Katihar</t>
  </si>
  <si>
    <t>Purnia</t>
  </si>
  <si>
    <t>Madhepura</t>
  </si>
  <si>
    <t>Darbhanga</t>
  </si>
  <si>
    <t>Muzaffarpur</t>
  </si>
  <si>
    <t>Vaishali</t>
  </si>
  <si>
    <t>Gopalganj</t>
  </si>
  <si>
    <t>Siwan</t>
  </si>
  <si>
    <t>Maharajganj</t>
  </si>
  <si>
    <t>Saran</t>
  </si>
  <si>
    <t>Hajipur</t>
  </si>
  <si>
    <t>Ujiarpur</t>
  </si>
  <si>
    <t>Samastipur</t>
  </si>
  <si>
    <t>Begusarai</t>
  </si>
  <si>
    <t>Khagaria</t>
  </si>
  <si>
    <t>Bhagalpur</t>
  </si>
  <si>
    <t>Banka</t>
  </si>
  <si>
    <t>Munger</t>
  </si>
  <si>
    <t>BSP/others</t>
  </si>
  <si>
    <t>Nalanda</t>
  </si>
  <si>
    <t>BSP</t>
  </si>
  <si>
    <t>Sarguja</t>
  </si>
  <si>
    <t>Patna Sahib</t>
  </si>
  <si>
    <t>Pataliputra</t>
  </si>
  <si>
    <t>Raigarh</t>
  </si>
  <si>
    <t>Arrah</t>
  </si>
  <si>
    <t>Jangir-Champa</t>
  </si>
  <si>
    <t>Buxar</t>
  </si>
  <si>
    <t>Korba</t>
  </si>
  <si>
    <t>Bilaspur</t>
  </si>
  <si>
    <t>Rajnandgaon</t>
  </si>
  <si>
    <t>Sasaram</t>
  </si>
  <si>
    <t>Durg</t>
  </si>
  <si>
    <t>Raipur</t>
  </si>
  <si>
    <t>Mahasamund</t>
  </si>
  <si>
    <t>Karakat</t>
  </si>
  <si>
    <t>Bastar</t>
  </si>
  <si>
    <t>Jahanabad</t>
  </si>
  <si>
    <t>Kanker</t>
  </si>
  <si>
    <t>Aurangabad</t>
  </si>
  <si>
    <t>Gaya</t>
  </si>
  <si>
    <t>Nawada</t>
  </si>
  <si>
    <t>Jamui</t>
  </si>
  <si>
    <t>Dadar &amp; Nagar Havelli</t>
  </si>
  <si>
    <t>Daman &amp; Diu</t>
  </si>
  <si>
    <t>AAP</t>
  </si>
  <si>
    <t>Chandni Chowk</t>
  </si>
  <si>
    <t>North East Delhi</t>
  </si>
  <si>
    <t>East Delhi</t>
  </si>
  <si>
    <t>New Delhi</t>
  </si>
  <si>
    <t>North West Delhi</t>
  </si>
  <si>
    <t>West Delhi</t>
  </si>
  <si>
    <t>South Delhi</t>
  </si>
  <si>
    <t>North Goa</t>
  </si>
  <si>
    <t>South Goa</t>
  </si>
  <si>
    <t>Hindu</t>
  </si>
  <si>
    <t>Christians</t>
  </si>
  <si>
    <t>Muslims</t>
  </si>
  <si>
    <t>others</t>
  </si>
  <si>
    <t>INC+NCP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</si>
  <si>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</si>
  <si>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</si>
  <si>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</si>
  <si>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</si>
  <si>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</si>
  <si>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</si>
  <si>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</si>
  <si>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</si>
  <si>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</si>
  <si>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</si>
  <si>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</si>
  <si>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</si>
  <si>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</si>
  <si>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BJP+HJCBL</t>
  </si>
  <si>
    <t>INLD</t>
  </si>
  <si>
    <t>Amreli</t>
  </si>
  <si>
    <t>Bhavnagar</t>
  </si>
  <si>
    <t>Anand</t>
  </si>
  <si>
    <t>HJCBL</t>
  </si>
  <si>
    <t>Kheda</t>
  </si>
  <si>
    <t xml:space="preserve">Total Votes Casted
</t>
  </si>
  <si>
    <t>Panchmahal</t>
  </si>
  <si>
    <t>AAAP/BSP</t>
  </si>
  <si>
    <t>Dahod</t>
  </si>
  <si>
    <t>Kurukshetra</t>
  </si>
  <si>
    <t>Vadodara</t>
  </si>
  <si>
    <t>Chhota Udaipur</t>
  </si>
  <si>
    <t>Bharuch</t>
  </si>
  <si>
    <t>Sirsa</t>
  </si>
  <si>
    <t>Bardoli</t>
  </si>
  <si>
    <t>Hisar</t>
  </si>
  <si>
    <t>Surat</t>
  </si>
  <si>
    <t>Sonipat</t>
  </si>
  <si>
    <t>Navsari</t>
  </si>
  <si>
    <t>Bhiwani-Mahendragarh</t>
  </si>
  <si>
    <t>Valsad</t>
  </si>
  <si>
    <t>Rohtak</t>
  </si>
  <si>
    <t>Gurgaon</t>
  </si>
  <si>
    <t>Faridabad</t>
  </si>
  <si>
    <t>Karnal</t>
  </si>
  <si>
    <t>Ambala</t>
  </si>
  <si>
    <t>Kangra</t>
  </si>
  <si>
    <t>Mandi</t>
  </si>
  <si>
    <t>Hamirpur</t>
  </si>
  <si>
    <t>Shimla</t>
  </si>
  <si>
    <t>JKPDP</t>
  </si>
  <si>
    <t>JKN</t>
  </si>
  <si>
    <t>JPC</t>
  </si>
  <si>
    <t>JPC/independent</t>
  </si>
  <si>
    <t>Baramulla</t>
  </si>
  <si>
    <t>Srinagar</t>
  </si>
  <si>
    <t>Anantnag</t>
  </si>
  <si>
    <t>Ladakh</t>
  </si>
  <si>
    <t>Udhampur</t>
  </si>
  <si>
    <t>Jammu</t>
  </si>
  <si>
    <t>Muslim</t>
  </si>
  <si>
    <t>baramulla</t>
  </si>
  <si>
    <t>kupwara</t>
  </si>
  <si>
    <t>bandipura</t>
  </si>
  <si>
    <t>srinagar</t>
  </si>
  <si>
    <t>ganderbal</t>
  </si>
  <si>
    <t>budgam</t>
  </si>
  <si>
    <t>pulwana</t>
  </si>
  <si>
    <t>shupian</t>
  </si>
  <si>
    <t>kulgam</t>
  </si>
  <si>
    <t>anantnag</t>
  </si>
  <si>
    <t>leh</t>
  </si>
  <si>
    <t>kargil</t>
  </si>
  <si>
    <t>kishtwar</t>
  </si>
  <si>
    <t>doda</t>
  </si>
  <si>
    <t>ramban</t>
  </si>
  <si>
    <t>reasi</t>
  </si>
  <si>
    <t>udhampur</t>
  </si>
  <si>
    <t>kathua</t>
  </si>
  <si>
    <t>samba</t>
  </si>
  <si>
    <t>jammu</t>
  </si>
  <si>
    <t>rajouri</t>
  </si>
  <si>
    <t>poonch</t>
  </si>
  <si>
    <t>JVM</t>
  </si>
  <si>
    <t>INC+JMM+RJD</t>
  </si>
  <si>
    <t>JMM</t>
  </si>
  <si>
    <t>RJD</t>
  </si>
  <si>
    <t>Others</t>
  </si>
  <si>
    <t>Kodarma</t>
  </si>
  <si>
    <t>Giridih</t>
  </si>
  <si>
    <t>Singhbhum</t>
  </si>
  <si>
    <t>Khunti</t>
  </si>
  <si>
    <t>Lohardaga</t>
  </si>
  <si>
    <t>Dumka</t>
  </si>
  <si>
    <t>Godda</t>
  </si>
  <si>
    <t>Dhanbad</t>
  </si>
  <si>
    <t>Ranchi</t>
  </si>
  <si>
    <t>Jamshedpur</t>
  </si>
  <si>
    <t>Hazaribagh</t>
  </si>
  <si>
    <t>Rajmahal</t>
  </si>
  <si>
    <t>Palamau</t>
  </si>
  <si>
    <t>Chatra</t>
  </si>
  <si>
    <t>JD(S)</t>
  </si>
  <si>
    <t>Chikkodi</t>
  </si>
  <si>
    <t>Raichur</t>
  </si>
  <si>
    <t>Davanagere</t>
  </si>
  <si>
    <t>Hassan</t>
  </si>
  <si>
    <t>Chitradurga</t>
  </si>
  <si>
    <t>Tumkur</t>
  </si>
  <si>
    <t>Mandya</t>
  </si>
  <si>
    <t>Mysore</t>
  </si>
  <si>
    <t>Bangalore Rural</t>
  </si>
  <si>
    <t>Chikkballapur</t>
  </si>
  <si>
    <t>Kolar</t>
  </si>
  <si>
    <t>Belgaum</t>
  </si>
  <si>
    <t>Bagalkot</t>
  </si>
  <si>
    <t>Bijapur</t>
  </si>
  <si>
    <t>Gulbarga</t>
  </si>
  <si>
    <t>Bidar</t>
  </si>
  <si>
    <t>Koppal</t>
  </si>
  <si>
    <t>Bellary</t>
  </si>
  <si>
    <t>Haveri</t>
  </si>
  <si>
    <t>Dharwad</t>
  </si>
  <si>
    <t>Utte Kannada</t>
  </si>
  <si>
    <t>Shimoga</t>
  </si>
  <si>
    <t>Udupi Chikmagalur</t>
  </si>
  <si>
    <t>Dakshina Kannada</t>
  </si>
  <si>
    <t>Chamarajanagar</t>
  </si>
  <si>
    <t>Bangalore North</t>
  </si>
  <si>
    <t>Bangalore Central</t>
  </si>
  <si>
    <t>Bangalore South</t>
  </si>
  <si>
    <t>CPM</t>
  </si>
  <si>
    <t>Left/LDF</t>
  </si>
  <si>
    <t>INC+IUML+RSP+KC(M)</t>
  </si>
  <si>
    <t>BJP+KC(N)+RSPK(B)</t>
  </si>
  <si>
    <t>CPM+CPI+SJD+IND</t>
  </si>
  <si>
    <t>UPA/UDF</t>
  </si>
  <si>
    <t>IUML</t>
  </si>
  <si>
    <t>KC(M)</t>
  </si>
  <si>
    <t>SJD</t>
  </si>
  <si>
    <t>RSP</t>
  </si>
  <si>
    <t>CPI</t>
  </si>
  <si>
    <t>Independents(backed by left)</t>
  </si>
  <si>
    <t>KCN+RSPK(B)</t>
  </si>
  <si>
    <t>Kasaragod</t>
  </si>
  <si>
    <t>Kannur</t>
  </si>
  <si>
    <t>Vadakara</t>
  </si>
  <si>
    <t>Wayand</t>
  </si>
  <si>
    <t>Kozhikode</t>
  </si>
  <si>
    <t>Ponnani</t>
  </si>
  <si>
    <t>Palakkad</t>
  </si>
  <si>
    <t>Alathur</t>
  </si>
  <si>
    <t>Thrissur</t>
  </si>
  <si>
    <t>Chalakudy</t>
  </si>
  <si>
    <t>Ernakulam</t>
  </si>
  <si>
    <t>Alappuzha</t>
  </si>
  <si>
    <t>Mavelikkara</t>
  </si>
  <si>
    <t>Pathanamthitta</t>
  </si>
  <si>
    <t>Kollam</t>
  </si>
  <si>
    <t>Attingal</t>
  </si>
  <si>
    <t>Thiruvananthpuram</t>
  </si>
  <si>
    <t>Malappuram</t>
  </si>
  <si>
    <t>Idukki</t>
  </si>
  <si>
    <t>Kottayam</t>
  </si>
  <si>
    <t>NCP</t>
  </si>
  <si>
    <t>BSP+CPI+GCP</t>
  </si>
  <si>
    <t>BJP+SHS+SWP+RPI+RSP</t>
  </si>
  <si>
    <t>MNS</t>
  </si>
  <si>
    <t>Others/Independents</t>
  </si>
  <si>
    <t>BSP+CPI+GCP+SP</t>
  </si>
  <si>
    <t>SHS</t>
  </si>
  <si>
    <t>SWP</t>
  </si>
  <si>
    <t>RPI</t>
  </si>
  <si>
    <t>Independent</t>
  </si>
  <si>
    <t>Total votes</t>
  </si>
  <si>
    <t>Others/Independent</t>
  </si>
  <si>
    <t>Morena</t>
  </si>
  <si>
    <t>Akola</t>
  </si>
  <si>
    <t>Bhind</t>
  </si>
  <si>
    <t>Hingoli</t>
  </si>
  <si>
    <t>Gwalior</t>
  </si>
  <si>
    <t>NPF</t>
  </si>
  <si>
    <t>Raigad</t>
  </si>
  <si>
    <t>AITC</t>
  </si>
  <si>
    <t>Inner Manipur</t>
  </si>
  <si>
    <t>Guna</t>
  </si>
  <si>
    <t>Maval</t>
  </si>
  <si>
    <t>Sagar</t>
  </si>
  <si>
    <t>Nandurbar</t>
  </si>
  <si>
    <t>Tikamgarh</t>
  </si>
  <si>
    <t>Damoh</t>
  </si>
  <si>
    <t>Khajuraho</t>
  </si>
  <si>
    <t>Dhule</t>
  </si>
  <si>
    <t>Outer Manipur</t>
  </si>
  <si>
    <t>Jalgaon</t>
  </si>
  <si>
    <t>Raver</t>
  </si>
  <si>
    <t>Buldhana</t>
  </si>
  <si>
    <t>Satna</t>
  </si>
  <si>
    <t>Amravati</t>
  </si>
  <si>
    <t>Rewa</t>
  </si>
  <si>
    <t>Sidhi</t>
  </si>
  <si>
    <t>Shahdol</t>
  </si>
  <si>
    <t>Wardha</t>
  </si>
  <si>
    <t>Jabalpur</t>
  </si>
  <si>
    <t>Mandla</t>
  </si>
  <si>
    <t>Ramtek</t>
  </si>
  <si>
    <t>UDP</t>
  </si>
  <si>
    <t>BJP+NPEP</t>
  </si>
  <si>
    <t>Nagpur</t>
  </si>
  <si>
    <t>NPEP</t>
  </si>
  <si>
    <t>Borda votes</t>
  </si>
  <si>
    <t>Bhandara-gondiya</t>
  </si>
  <si>
    <t>Shillong</t>
  </si>
  <si>
    <t>Balaghat</t>
  </si>
  <si>
    <t>Chhindwara</t>
  </si>
  <si>
    <t>Gadchiroli-Chimur</t>
  </si>
  <si>
    <t>Hoshangabad</t>
  </si>
  <si>
    <t>Vidisha</t>
  </si>
  <si>
    <t>Bhopal</t>
  </si>
  <si>
    <t>Chandrapur</t>
  </si>
  <si>
    <t>Rajgarh</t>
  </si>
  <si>
    <t>Yavatmal-Washim</t>
  </si>
  <si>
    <t>Dewas</t>
  </si>
  <si>
    <t>Ujjain</t>
  </si>
  <si>
    <t>Nanded</t>
  </si>
  <si>
    <t>Mandsour</t>
  </si>
  <si>
    <t>Tura</t>
  </si>
  <si>
    <t>Parbhani</t>
  </si>
  <si>
    <t>Ratlam</t>
  </si>
  <si>
    <t>Dhar</t>
  </si>
  <si>
    <t>Jalna</t>
  </si>
  <si>
    <t>Indore</t>
  </si>
  <si>
    <t>Dindori</t>
  </si>
  <si>
    <t>Khargone</t>
  </si>
  <si>
    <t>Khandwa</t>
  </si>
  <si>
    <t>Betul</t>
  </si>
  <si>
    <t>Nashik</t>
  </si>
  <si>
    <t>Palghar</t>
  </si>
  <si>
    <t>Bhiwandi</t>
  </si>
  <si>
    <t>Kalyan</t>
  </si>
  <si>
    <t>Thane</t>
  </si>
  <si>
    <t>BJD</t>
  </si>
  <si>
    <t>INC+JMM</t>
  </si>
  <si>
    <t>Mumbai-North</t>
  </si>
  <si>
    <t>Bargarh</t>
  </si>
  <si>
    <t>Mumbai North West</t>
  </si>
  <si>
    <t>AINRC</t>
  </si>
  <si>
    <t>ADMK</t>
  </si>
  <si>
    <t>DMK</t>
  </si>
  <si>
    <t>Mumbai North East</t>
  </si>
  <si>
    <t>Sundargarh</t>
  </si>
  <si>
    <t>Sambalpur</t>
  </si>
  <si>
    <t>Mumbai North Central</t>
  </si>
  <si>
    <t>Keonjhar</t>
  </si>
  <si>
    <t>Mumbai South central</t>
  </si>
  <si>
    <t>Mayurbhanj</t>
  </si>
  <si>
    <t>Balasore</t>
  </si>
  <si>
    <t>Mumbai South</t>
  </si>
  <si>
    <t>Bhadrak</t>
  </si>
  <si>
    <t>Pune</t>
  </si>
  <si>
    <t>Jaipur</t>
  </si>
  <si>
    <t>Baramati</t>
  </si>
  <si>
    <t>Dhenkanal</t>
  </si>
  <si>
    <t>SAD</t>
  </si>
  <si>
    <t>BJP+SAD</t>
  </si>
  <si>
    <t>Shirur</t>
  </si>
  <si>
    <t>Bolangir</t>
  </si>
  <si>
    <t>IND</t>
  </si>
  <si>
    <t>Ahmadnagar</t>
  </si>
  <si>
    <t>independent</t>
  </si>
  <si>
    <t>Kalahandi</t>
  </si>
  <si>
    <t>Gurdaspur</t>
  </si>
  <si>
    <t>Nabaranpur</t>
  </si>
  <si>
    <t>Shirdi</t>
  </si>
  <si>
    <t>Beed</t>
  </si>
  <si>
    <t>Kandhamal</t>
  </si>
  <si>
    <t>Osmanabad</t>
  </si>
  <si>
    <t>Cuttack</t>
  </si>
  <si>
    <t>Latur</t>
  </si>
  <si>
    <t>Solapur</t>
  </si>
  <si>
    <t>Kendrapara</t>
  </si>
  <si>
    <t>Madha</t>
  </si>
  <si>
    <t>Amritsar</t>
  </si>
  <si>
    <t>Jagatsinghpur</t>
  </si>
  <si>
    <t>Sangli</t>
  </si>
  <si>
    <t>Khadoor Sahib</t>
  </si>
  <si>
    <t>Satara</t>
  </si>
  <si>
    <t>Jalandhar</t>
  </si>
  <si>
    <t>Hoshiarpur</t>
  </si>
  <si>
    <t>Anandpur Sahib</t>
  </si>
  <si>
    <t>Ratnagiri-sindhudurg</t>
  </si>
  <si>
    <t>Ludhiana</t>
  </si>
  <si>
    <t>Kolhapur</t>
  </si>
  <si>
    <t>Hatkanangle</t>
  </si>
  <si>
    <t>Fatehgarh Sahib</t>
  </si>
  <si>
    <t>Faridkot</t>
  </si>
  <si>
    <t>Firozpur</t>
  </si>
  <si>
    <t>BSP/ind/others</t>
  </si>
  <si>
    <t>Ganganagar</t>
  </si>
  <si>
    <t>Bathinda</t>
  </si>
  <si>
    <t>Sangrur</t>
  </si>
  <si>
    <t>Patiala</t>
  </si>
  <si>
    <t>Bikaner</t>
  </si>
  <si>
    <t>Churu</t>
  </si>
  <si>
    <t>SDF</t>
  </si>
  <si>
    <t>SKM</t>
  </si>
  <si>
    <t xml:space="preserve">post poll NDA
</t>
  </si>
  <si>
    <t>Jhunjhunu</t>
  </si>
  <si>
    <t>Sikar</t>
  </si>
  <si>
    <t>Jaipur Rural</t>
  </si>
  <si>
    <t>Alwar</t>
  </si>
  <si>
    <t>BHARATPUR</t>
  </si>
  <si>
    <t>KARAULI-DHOLPUR</t>
  </si>
  <si>
    <t>Dausa</t>
  </si>
  <si>
    <t>mhmhm</t>
  </si>
  <si>
    <t>TONK-SAWAI MADHOPUR</t>
  </si>
  <si>
    <t>Ajmer</t>
  </si>
  <si>
    <t>Nagaur</t>
  </si>
  <si>
    <t>mhmhmh</t>
  </si>
  <si>
    <t>Pali</t>
  </si>
  <si>
    <t>Jodhpur</t>
  </si>
  <si>
    <t>Barmer</t>
  </si>
  <si>
    <t>sagar</t>
  </si>
  <si>
    <t>Jalore</t>
  </si>
  <si>
    <t>Udaipur</t>
  </si>
  <si>
    <t>Banswara</t>
  </si>
  <si>
    <t>Chittorgarh</t>
  </si>
  <si>
    <t>Rajsamand</t>
  </si>
  <si>
    <t>Bhilwara</t>
  </si>
  <si>
    <t>Kota</t>
  </si>
  <si>
    <t>JHALAWAR-BARAN</t>
  </si>
  <si>
    <t>Puri</t>
  </si>
  <si>
    <t>Bhubaneswar</t>
  </si>
  <si>
    <t>Aska</t>
  </si>
  <si>
    <t>DMDK</t>
  </si>
  <si>
    <t>Berhampur</t>
  </si>
  <si>
    <t>DPK</t>
  </si>
  <si>
    <t>MDMK</t>
  </si>
  <si>
    <t>snapped ties 6 months after election</t>
  </si>
  <si>
    <t>BJP+MDMK+PMK+DMDK</t>
  </si>
  <si>
    <t>DMK+IUML+VCK+PT</t>
  </si>
  <si>
    <t>PMK</t>
  </si>
  <si>
    <t>Ind/others</t>
  </si>
  <si>
    <t>VCK</t>
  </si>
  <si>
    <t>PT</t>
  </si>
  <si>
    <t>Vote Share Normalised</t>
  </si>
  <si>
    <t>Vote Share Normalised after threshold of 5%</t>
  </si>
  <si>
    <t>Thiruvallur</t>
  </si>
  <si>
    <t>TRS</t>
  </si>
  <si>
    <t>AIMIM/YSRCP</t>
  </si>
  <si>
    <t>Left front</t>
  </si>
  <si>
    <t>AIMIM</t>
  </si>
  <si>
    <t>Tripura West</t>
  </si>
  <si>
    <t>Khammam</t>
  </si>
  <si>
    <t>Chennai North</t>
  </si>
  <si>
    <t>Chennai South</t>
  </si>
  <si>
    <t>Chennai central</t>
  </si>
  <si>
    <t>Tripura East</t>
  </si>
  <si>
    <t>Sriperumbudur</t>
  </si>
  <si>
    <t>Kancheepuram</t>
  </si>
  <si>
    <t>Adilabad</t>
  </si>
  <si>
    <t>Arakkonam</t>
  </si>
  <si>
    <t>Karimnagar</t>
  </si>
  <si>
    <t>Nizamabad</t>
  </si>
  <si>
    <t>Vellore</t>
  </si>
  <si>
    <t>Zahirabad</t>
  </si>
  <si>
    <t>Malkajgiri</t>
  </si>
  <si>
    <t>Secundrabad</t>
  </si>
  <si>
    <t>Krishnagiri</t>
  </si>
  <si>
    <t>Chelvella</t>
  </si>
  <si>
    <t>Dharmapuri</t>
  </si>
  <si>
    <t>Tiruvannamalai</t>
  </si>
  <si>
    <t>Arani</t>
  </si>
  <si>
    <t>Viluppuram</t>
  </si>
  <si>
    <t>Kallakurichi</t>
  </si>
  <si>
    <t>Salem</t>
  </si>
  <si>
    <t>Namakkal</t>
  </si>
  <si>
    <t>Mahbubnagar</t>
  </si>
  <si>
    <t>Erode</t>
  </si>
  <si>
    <t>Nagarkurnool</t>
  </si>
  <si>
    <t>Tiruppur</t>
  </si>
  <si>
    <t>Nalgonda</t>
  </si>
  <si>
    <t>Nilgiris</t>
  </si>
  <si>
    <t>Bhongir</t>
  </si>
  <si>
    <t>Mahabubabad</t>
  </si>
  <si>
    <t>Coimbatore</t>
  </si>
  <si>
    <t>Peddapalle</t>
  </si>
  <si>
    <t>Medak</t>
  </si>
  <si>
    <t>Hyderabad</t>
  </si>
  <si>
    <t>Pollachi</t>
  </si>
  <si>
    <t>Warangal</t>
  </si>
  <si>
    <t>Dindigul</t>
  </si>
  <si>
    <t>Karur</t>
  </si>
  <si>
    <t>Tiruchirappalli</t>
  </si>
  <si>
    <t>Perambalur</t>
  </si>
  <si>
    <t>Cuddalore</t>
  </si>
  <si>
    <t>Tehri Garhwal</t>
  </si>
  <si>
    <t>Chidambaram</t>
  </si>
  <si>
    <t>Mayiladuthurai</t>
  </si>
  <si>
    <t>Nagapattinam</t>
  </si>
  <si>
    <t>Thanjavur</t>
  </si>
  <si>
    <t>Sivaganga</t>
  </si>
  <si>
    <t>Madurai</t>
  </si>
  <si>
    <t>Theni</t>
  </si>
  <si>
    <t>Virudhunagar</t>
  </si>
  <si>
    <t>Ramanathapuram</t>
  </si>
  <si>
    <t>Thoothukkudi</t>
  </si>
  <si>
    <t>Tenkasi</t>
  </si>
  <si>
    <t>Tirunelveli</t>
  </si>
  <si>
    <t>Kanniyakumari</t>
  </si>
  <si>
    <t>AIFB/CPI/RSP</t>
  </si>
  <si>
    <t>Left</t>
  </si>
  <si>
    <t>Cooch Behar</t>
  </si>
  <si>
    <t>Alipurduars</t>
  </si>
  <si>
    <t>Jalpaiguri</t>
  </si>
  <si>
    <t>Darjeeling</t>
  </si>
  <si>
    <t>Garhwal</t>
  </si>
  <si>
    <t>Raiganj</t>
  </si>
  <si>
    <t>Almora</t>
  </si>
  <si>
    <t>Balughat</t>
  </si>
  <si>
    <t>Nainital-udhamsingh Nagar</t>
  </si>
  <si>
    <t>Maldaha Uttar</t>
  </si>
  <si>
    <t>Hardwar</t>
  </si>
  <si>
    <t>Maldaha Dakshin</t>
  </si>
  <si>
    <t>Jangipur</t>
  </si>
  <si>
    <t>Bharampur</t>
  </si>
  <si>
    <t>Murshidabad</t>
  </si>
  <si>
    <t>Krishnanagar</t>
  </si>
  <si>
    <t>Ranaghat</t>
  </si>
  <si>
    <t>Bangaon</t>
  </si>
  <si>
    <t>Barrackpore</t>
  </si>
  <si>
    <t>Dum Dum</t>
  </si>
  <si>
    <t>Barasat</t>
  </si>
  <si>
    <t>Basirhat</t>
  </si>
  <si>
    <t>Joynagar</t>
  </si>
  <si>
    <t>Mathurapur</t>
  </si>
  <si>
    <t>Diamond Harbour</t>
  </si>
  <si>
    <t>Jadavpur</t>
  </si>
  <si>
    <t>Kolkata Dakshin</t>
  </si>
  <si>
    <t>Kolkata Uttar</t>
  </si>
  <si>
    <t>Howrah</t>
  </si>
  <si>
    <t>Uluberia</t>
  </si>
  <si>
    <t>Srerapur</t>
  </si>
  <si>
    <t>Hooghly</t>
  </si>
  <si>
    <t>Arambagh</t>
  </si>
  <si>
    <t>Tamluk</t>
  </si>
  <si>
    <t>Kanthi</t>
  </si>
  <si>
    <t>Ghatal</t>
  </si>
  <si>
    <t>Jhargram</t>
  </si>
  <si>
    <t>Medinipur</t>
  </si>
  <si>
    <t>Purulia</t>
  </si>
  <si>
    <t>Bankura</t>
  </si>
  <si>
    <t>Bishnupur</t>
  </si>
  <si>
    <t>Bardhaman Purba</t>
  </si>
  <si>
    <t>Burdwan-durgapur</t>
  </si>
  <si>
    <t>Asansol</t>
  </si>
  <si>
    <t>Bolpur</t>
  </si>
  <si>
    <t>Birbhum</t>
  </si>
  <si>
    <t>rough</t>
  </si>
  <si>
    <t>AIADMK</t>
  </si>
  <si>
    <t>SP</t>
  </si>
  <si>
    <t>BJP+AD</t>
  </si>
  <si>
    <t>INC
+RLD+PPI+MD</t>
  </si>
  <si>
    <t>IND/AAP/QED</t>
  </si>
  <si>
    <t>ind/QED/AAP</t>
  </si>
  <si>
    <t>AD</t>
  </si>
  <si>
    <t>RLD</t>
  </si>
  <si>
    <t>MD</t>
  </si>
  <si>
    <t>PPI</t>
  </si>
  <si>
    <t>Saharanpur</t>
  </si>
  <si>
    <t>Kairana</t>
  </si>
  <si>
    <t>Muzaffarnagar</t>
  </si>
  <si>
    <t>Bijnor</t>
  </si>
  <si>
    <t>Nagina</t>
  </si>
  <si>
    <t>Moradabad</t>
  </si>
  <si>
    <t>Rampur</t>
  </si>
  <si>
    <t>Sambhal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</si>
  <si>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</si>
  <si>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</si>
  <si>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</si>
  <si>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</si>
  <si>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</si>
  <si>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</si>
  <si>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</si>
  <si>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</si>
  <si>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</si>
  <si>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</si>
  <si>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Fatehpur Sikri</t>
  </si>
  <si>
    <t>Firozabad</t>
  </si>
  <si>
    <t>Mainpuri</t>
  </si>
  <si>
    <t>Etah</t>
  </si>
  <si>
    <t>Badaun</t>
  </si>
  <si>
    <t>Aonla</t>
  </si>
  <si>
    <t>Bareilly</t>
  </si>
  <si>
    <t>Pilibhit</t>
  </si>
  <si>
    <t>Shahjahanpur</t>
  </si>
  <si>
    <t>Kheri</t>
  </si>
  <si>
    <t>Dhaurahra</t>
  </si>
  <si>
    <t>Sitapur</t>
  </si>
  <si>
    <t>Hardoi</t>
  </si>
  <si>
    <t>Misrikh</t>
  </si>
  <si>
    <t>Unnao</t>
  </si>
  <si>
    <t>Mohanlalganj</t>
  </si>
  <si>
    <t>Lucknow</t>
  </si>
  <si>
    <t>Rae Bareli</t>
  </si>
  <si>
    <t>Amethi</t>
  </si>
  <si>
    <t>Sultanpur</t>
  </si>
  <si>
    <t>Pratapgarh</t>
  </si>
  <si>
    <t>Farrukhabad</t>
  </si>
  <si>
    <t>Etawah</t>
  </si>
  <si>
    <t>Kannauj</t>
  </si>
  <si>
    <t>Kanpur</t>
  </si>
  <si>
    <t>Akbarpur</t>
  </si>
  <si>
    <t>Jalaun</t>
  </si>
  <si>
    <t>Jhansi</t>
  </si>
  <si>
    <t>Banda</t>
  </si>
  <si>
    <t>Fatehpur</t>
  </si>
  <si>
    <t>Kaushambi</t>
  </si>
  <si>
    <t>Phulpur</t>
  </si>
  <si>
    <t>Allahabad</t>
  </si>
  <si>
    <t>Barabanki</t>
  </si>
  <si>
    <t>Faizabad</t>
  </si>
  <si>
    <t>Ambedkar Nagar</t>
  </si>
  <si>
    <t>Bahraich</t>
  </si>
  <si>
    <t>Kaiserganj</t>
  </si>
  <si>
    <t>Shrawasti</t>
  </si>
  <si>
    <t>Gonda</t>
  </si>
  <si>
    <t>Domariyaganj</t>
  </si>
  <si>
    <t>Basti</t>
  </si>
  <si>
    <t>Sant Kabir Nagar</t>
  </si>
  <si>
    <t>Gorakhpur</t>
  </si>
  <si>
    <t>Kushi Nagar</t>
  </si>
  <si>
    <t>Deoria</t>
  </si>
  <si>
    <t>Bansgaon</t>
  </si>
  <si>
    <t>Lalganj</t>
  </si>
  <si>
    <t>Azamgarh</t>
  </si>
  <si>
    <t>Ghosi</t>
  </si>
  <si>
    <t>Salempur</t>
  </si>
  <si>
    <t>Ballia</t>
  </si>
  <si>
    <t>Jaunpur</t>
  </si>
  <si>
    <t>Machhlishahr</t>
  </si>
  <si>
    <t>Ghazipur</t>
  </si>
  <si>
    <t>Chandauli</t>
  </si>
  <si>
    <t>Varanasi</t>
  </si>
  <si>
    <t>Bhadohi</t>
  </si>
  <si>
    <t>Mirzapur</t>
  </si>
  <si>
    <t>Robertsganj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</si>
</sst>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name val="Cambria"/>
    </font>
    <font>
      <color rgb="FF000000"/>
      <name val="Arial"/>
    </font>
    <font>
      <name val="Monospace"/>
    </font>
    <font>
      <sz val="11.0"/>
    </font>
    <font>
      <name val="Arial"/>
    </font>
    <font>
      <sz val="11.0"/>
      <name val="Monospace"/>
    </font>
    <font>
      <u/>
      <color rgb="FF0000FF"/>
    </font>
    <font>
      <u/>
      <color rgb="FF0000FF"/>
    </font>
    <font>
      <sz val="11.0"/>
      <color rgb="FFFFFFFF"/>
      <name val="&quot;Open Sans&quot;"/>
    </font>
    <font>
      <sz val="11.0"/>
      <color rgb="FF428BCA"/>
      <name val="&quot;Open Sans&quot;"/>
    </font>
    <font>
      <sz val="11.0"/>
      <color rgb="FF666666"/>
      <name val="&quot;Open Sans&quot;"/>
    </font>
    <font>
      <color rgb="FF000000"/>
      <name val="Cambri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0" xfId="0" applyFill="1" applyFont="1"/>
    <xf borderId="0" fillId="0" fontId="4" numFmtId="0" xfId="0" applyAlignment="1" applyFont="1">
      <alignment/>
    </xf>
    <xf borderId="0" fillId="0" fontId="1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1" numFmtId="10" xfId="0" applyAlignment="1" applyFont="1" applyNumberForma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0" fillId="0" fontId="8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/>
    </xf>
    <xf borderId="0" fillId="3" fontId="3" numFmtId="0" xfId="0" applyAlignment="1" applyFill="1" applyFont="1">
      <alignment horizontal="center"/>
    </xf>
    <xf borderId="0" fillId="2" fontId="6" numFmtId="0" xfId="0" applyAlignment="1" applyFont="1">
      <alignment horizontal="right"/>
    </xf>
    <xf borderId="0" fillId="0" fontId="9" numFmtId="0" xfId="0" applyAlignment="1" applyFont="1">
      <alignment/>
    </xf>
    <xf borderId="0" fillId="3" fontId="6" numFmtId="0" xfId="0" applyAlignment="1" applyFont="1">
      <alignment horizontal="right"/>
    </xf>
    <xf borderId="0" fillId="0" fontId="1" numFmtId="3" xfId="0" applyAlignment="1" applyFont="1" applyNumberFormat="1">
      <alignment horizontal="center"/>
    </xf>
    <xf borderId="0" fillId="2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2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2" fontId="1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0" fillId="3" fontId="10" numFmtId="0" xfId="0" applyAlignment="1" applyFont="1">
      <alignment horizontal="left"/>
    </xf>
    <xf borderId="0" fillId="3" fontId="10" numFmtId="0" xfId="0" applyAlignment="1" applyFont="1">
      <alignment horizontal="center"/>
    </xf>
    <xf borderId="0" fillId="0" fontId="11" numFmtId="0" xfId="0" applyAlignment="1" applyFont="1">
      <alignment horizontal="left" vertical="top"/>
    </xf>
    <xf borderId="0" fillId="3" fontId="12" numFmtId="0" xfId="0" applyAlignment="1" applyFont="1">
      <alignment horizontal="center" vertical="top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2" fontId="4" numFmtId="0" xfId="0" applyAlignment="1" applyFont="1">
      <alignment/>
    </xf>
    <xf borderId="0" fillId="0" fontId="13" numFmtId="0" xfId="0" applyAlignment="1" applyFont="1">
      <alignment horizontal="left"/>
    </xf>
    <xf borderId="0" fillId="0" fontId="7" numFmtId="0" xfId="0" applyAlignment="1" applyFont="1">
      <alignment/>
    </xf>
    <xf borderId="0" fillId="0" fontId="6" numFmtId="0" xfId="0" applyAlignment="1" applyFont="1">
      <alignment horizontal="left"/>
    </xf>
    <xf borderId="0" fillId="3" fontId="14" numFmtId="0" xfId="0" applyAlignment="1" applyFont="1">
      <alignment horizontal="right"/>
    </xf>
    <xf borderId="0" fillId="3" fontId="14" numFmtId="0" xfId="0" applyAlignment="1" applyFont="1">
      <alignment horizontal="right"/>
    </xf>
    <xf borderId="0" fillId="3" fontId="14" numFmtId="0" xfId="0" applyFont="1"/>
    <xf borderId="0" fillId="3" fontId="14" numFmtId="0" xfId="0" applyAlignment="1" applyFont="1">
      <alignment/>
    </xf>
    <xf borderId="0" fillId="2" fontId="14" numFmtId="0" xfId="0" applyFont="1"/>
    <xf borderId="0" fillId="3" fontId="14" numFmtId="0" xfId="0" applyAlignment="1" applyFont="1">
      <alignment horizontal="right"/>
    </xf>
    <xf borderId="0" fillId="2" fontId="14" numFmtId="0" xfId="0" applyAlignment="1" applyFont="1">
      <alignment horizontal="right"/>
    </xf>
    <xf borderId="0" fillId="2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3" fontId="1" numFmtId="0" xfId="0" applyAlignment="1" applyFont="1">
      <alignment/>
    </xf>
    <xf borderId="0" fillId="3" fontId="14" numFmtId="0" xfId="0" applyFont="1"/>
    <xf borderId="0" fillId="3" fontId="1" numFmtId="0" xfId="0" applyAlignment="1" applyFont="1">
      <alignment/>
    </xf>
    <xf borderId="0" fillId="3" fontId="1" numFmtId="0" xfId="0" applyFont="1"/>
    <xf borderId="0" fillId="0" fontId="4" numFmtId="0" xfId="0" applyAlignment="1" applyFont="1">
      <alignment horizontal="right"/>
    </xf>
    <xf borderId="0" fillId="0" fontId="14" numFmtId="0" xfId="0" applyAlignment="1" applyFont="1">
      <alignment/>
    </xf>
    <xf borderId="0" fillId="2" fontId="14" numFmtId="0" xfId="0" applyFont="1"/>
    <xf borderId="0" fillId="2" fontId="6" numFmtId="0" xfId="0" applyAlignment="1" applyFont="1">
      <alignment/>
    </xf>
    <xf borderId="0" fillId="0" fontId="7" numFmtId="0" xfId="0" applyAlignment="1" applyFont="1">
      <alignment/>
    </xf>
    <xf borderId="0" fillId="3" fontId="5" numFmtId="0" xfId="0" applyFont="1"/>
    <xf borderId="0" fillId="0" fontId="5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1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Normalised Borda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'Uttar Pradesh'!$A$2:$A$11</c:f>
            </c:strRef>
          </c:cat>
          <c:val>
            <c:numRef>
              <c:f>'Uttar Pradesh'!$D$2:$D$11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Vote Share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Sheet39!$A$4:$A$12</c:f>
            </c:strRef>
          </c:cat>
          <c:val>
            <c:numRef>
              <c:f>Sheet39!$B$4:$B$12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drawings/_rels/drawing3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238125</xdr:colOff>
      <xdr:row>3</xdr:row>
      <xdr:rowOff>123825</xdr:rowOff>
    </xdr:from>
    <xdr:to>
      <xdr:col>12</xdr:col>
      <xdr:colOff>180975</xdr:colOff>
      <xdr:row>21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3</xdr:row>
      <xdr:rowOff>152400</xdr:rowOff>
    </xdr:from>
    <xdr:to>
      <xdr:col>6</xdr:col>
      <xdr:colOff>95250</xdr:colOff>
      <xdr:row>21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Madhya_Pradesh" TargetMode="External"/><Relationship Id="rId22" Type="http://schemas.openxmlformats.org/officeDocument/2006/relationships/hyperlink" Target="https://en.wikipedia.org/wiki/Meghalaya" TargetMode="External"/><Relationship Id="rId21" Type="http://schemas.openxmlformats.org/officeDocument/2006/relationships/hyperlink" Target="https://en.wikipedia.org/wiki/Maharashtra" TargetMode="External"/><Relationship Id="rId24" Type="http://schemas.openxmlformats.org/officeDocument/2006/relationships/hyperlink" Target="https://en.wikipedia.org/wiki/Nagaland" TargetMode="External"/><Relationship Id="rId23" Type="http://schemas.openxmlformats.org/officeDocument/2006/relationships/hyperlink" Target="https://en.wikipedia.org/wiki/Mizoram" TargetMode="External"/><Relationship Id="rId1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Andhra_Pradesh" TargetMode="External"/><Relationship Id="rId3" Type="http://schemas.openxmlformats.org/officeDocument/2006/relationships/hyperlink" Target="https://en.wikipedia.org/wiki/Arunachal_Pradesh" TargetMode="External"/><Relationship Id="rId4" Type="http://schemas.openxmlformats.org/officeDocument/2006/relationships/hyperlink" Target="https://en.wikipedia.org/wiki/Assam" TargetMode="External"/><Relationship Id="rId9" Type="http://schemas.openxmlformats.org/officeDocument/2006/relationships/hyperlink" Target="https://en.wikipedia.org/wiki/Daman_and_Diu" TargetMode="External"/><Relationship Id="rId26" Type="http://schemas.openxmlformats.org/officeDocument/2006/relationships/hyperlink" Target="https://en.wikipedia.org/wiki/Puducherry" TargetMode="External"/><Relationship Id="rId25" Type="http://schemas.openxmlformats.org/officeDocument/2006/relationships/hyperlink" Target="https://en.wikipedia.org/wiki/Odisha" TargetMode="External"/><Relationship Id="rId28" Type="http://schemas.openxmlformats.org/officeDocument/2006/relationships/hyperlink" Target="https://en.wikipedia.org/wiki/Rajasthan" TargetMode="External"/><Relationship Id="rId27" Type="http://schemas.openxmlformats.org/officeDocument/2006/relationships/hyperlink" Target="https://en.wikipedia.org/wiki/Punjab_%28India%29" TargetMode="External"/><Relationship Id="rId5" Type="http://schemas.openxmlformats.org/officeDocument/2006/relationships/hyperlink" Target="https://en.wikipedia.org/wiki/Bihar" TargetMode="External"/><Relationship Id="rId6" Type="http://schemas.openxmlformats.org/officeDocument/2006/relationships/hyperlink" Target="https://en.wikipedia.org/wiki/Chandigarh" TargetMode="External"/><Relationship Id="rId29" Type="http://schemas.openxmlformats.org/officeDocument/2006/relationships/hyperlink" Target="https://en.wikipedia.org/wiki/Sikkim" TargetMode="External"/><Relationship Id="rId7" Type="http://schemas.openxmlformats.org/officeDocument/2006/relationships/hyperlink" Target="https://en.wikipedia.org/wiki/Chhattisgarh" TargetMode="External"/><Relationship Id="rId8" Type="http://schemas.openxmlformats.org/officeDocument/2006/relationships/hyperlink" Target="https://en.wikipedia.org/wiki/Dadra_and_Nagar_Haveli" TargetMode="External"/><Relationship Id="rId31" Type="http://schemas.openxmlformats.org/officeDocument/2006/relationships/hyperlink" Target="https://en.wikipedia.org/wiki/Telangana" TargetMode="External"/><Relationship Id="rId30" Type="http://schemas.openxmlformats.org/officeDocument/2006/relationships/hyperlink" Target="https://en.wikipedia.org/wiki/Tamil_Nadu" TargetMode="External"/><Relationship Id="rId11" Type="http://schemas.openxmlformats.org/officeDocument/2006/relationships/hyperlink" Target="https://en.wikipedia.org/wiki/Goa" TargetMode="External"/><Relationship Id="rId33" Type="http://schemas.openxmlformats.org/officeDocument/2006/relationships/hyperlink" Target="https://en.wikipedia.org/wiki/Uttar_Pradesh" TargetMode="External"/><Relationship Id="rId10" Type="http://schemas.openxmlformats.org/officeDocument/2006/relationships/hyperlink" Target="https://en.wikipedia.org/wiki/Delhi" TargetMode="External"/><Relationship Id="rId32" Type="http://schemas.openxmlformats.org/officeDocument/2006/relationships/hyperlink" Target="https://en.wikipedia.org/wiki/Tripura" TargetMode="External"/><Relationship Id="rId13" Type="http://schemas.openxmlformats.org/officeDocument/2006/relationships/hyperlink" Target="https://en.wikipedia.org/wiki/Haryana" TargetMode="External"/><Relationship Id="rId35" Type="http://schemas.openxmlformats.org/officeDocument/2006/relationships/hyperlink" Target="https://en.wikipedia.org/wiki/West_Bengal" TargetMode="External"/><Relationship Id="rId12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Uttarakhand" TargetMode="External"/><Relationship Id="rId15" Type="http://schemas.openxmlformats.org/officeDocument/2006/relationships/hyperlink" Target="https://en.wikipedia.org/wiki/Jammu_and_Kashmir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en.wikipedia.org/wiki/Himachal_Pradesh" TargetMode="External"/><Relationship Id="rId36" Type="http://schemas.openxmlformats.org/officeDocument/2006/relationships/hyperlink" Target="http://www.census2011.co.in/religion.php" TargetMode="External"/><Relationship Id="rId17" Type="http://schemas.openxmlformats.org/officeDocument/2006/relationships/hyperlink" Target="https://en.wikipedia.org/wiki/Karnataka" TargetMode="External"/><Relationship Id="rId16" Type="http://schemas.openxmlformats.org/officeDocument/2006/relationships/hyperlink" Target="https://en.wikipedia.org/wiki/Jharkhand" TargetMode="External"/><Relationship Id="rId19" Type="http://schemas.openxmlformats.org/officeDocument/2006/relationships/hyperlink" Target="https://en.wikipedia.org/wiki/Lakshadweep" TargetMode="External"/><Relationship Id="rId18" Type="http://schemas.openxmlformats.org/officeDocument/2006/relationships/hyperlink" Target="https://en.wikipedia.org/wiki/Kerala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2</v>
      </c>
      <c r="C1" s="7"/>
      <c r="D1" s="7" t="s">
        <v>19</v>
      </c>
      <c r="E1" s="7" t="s">
        <v>20</v>
      </c>
      <c r="G1" s="7"/>
      <c r="H1" s="9" t="s">
        <v>21</v>
      </c>
      <c r="I1" s="7"/>
      <c r="J1" s="7"/>
      <c r="K1" s="7" t="s">
        <v>22</v>
      </c>
      <c r="L1" s="7"/>
    </row>
    <row r="2">
      <c r="A2" s="1"/>
      <c r="B2" s="1"/>
      <c r="C2" s="7"/>
      <c r="D2" s="11"/>
      <c r="E2" s="7" t="s">
        <v>23</v>
      </c>
      <c r="F2" s="7" t="s">
        <v>24</v>
      </c>
      <c r="G2" s="7"/>
      <c r="H2" s="13"/>
      <c r="I2" s="7"/>
      <c r="J2" s="7"/>
      <c r="K2" s="7"/>
      <c r="L2" s="7"/>
    </row>
    <row r="3">
      <c r="A3" s="1"/>
      <c r="B3" s="16" t="s">
        <v>26</v>
      </c>
      <c r="C3" s="7"/>
      <c r="D3" s="7" t="s">
        <v>28</v>
      </c>
      <c r="E3" s="7" t="s">
        <v>29</v>
      </c>
      <c r="F3" s="7"/>
      <c r="G3" s="7"/>
      <c r="H3" s="18" t="s">
        <v>30</v>
      </c>
      <c r="I3" s="7"/>
      <c r="J3" s="7"/>
      <c r="K3" s="7"/>
      <c r="L3" s="7"/>
    </row>
    <row r="4">
      <c r="A4" s="1"/>
      <c r="B4" s="16" t="s">
        <v>31</v>
      </c>
      <c r="C4" s="7"/>
      <c r="D4" s="7" t="s">
        <v>28</v>
      </c>
      <c r="E4" s="7" t="s">
        <v>29</v>
      </c>
      <c r="F4" s="7"/>
      <c r="G4" s="7"/>
      <c r="H4" s="9" t="s">
        <v>32</v>
      </c>
      <c r="I4" s="7"/>
      <c r="J4" s="7"/>
      <c r="K4" s="7"/>
      <c r="L4" s="7"/>
    </row>
    <row r="5">
      <c r="A5" s="1"/>
      <c r="B5" s="16" t="s">
        <v>33</v>
      </c>
      <c r="C5" s="7"/>
      <c r="D5" s="7" t="s">
        <v>28</v>
      </c>
      <c r="E5" s="7" t="s">
        <v>29</v>
      </c>
      <c r="F5" s="7"/>
      <c r="G5" s="7"/>
      <c r="H5" s="9" t="s">
        <v>30</v>
      </c>
      <c r="I5" s="7"/>
      <c r="J5" s="7"/>
      <c r="K5" s="7" t="s">
        <v>34</v>
      </c>
      <c r="L5" s="7"/>
    </row>
    <row r="6">
      <c r="A6" s="1"/>
      <c r="B6" s="16" t="s">
        <v>35</v>
      </c>
      <c r="C6" s="7"/>
      <c r="D6" s="7" t="s">
        <v>28</v>
      </c>
      <c r="E6" s="7" t="s">
        <v>29</v>
      </c>
      <c r="F6" s="7"/>
      <c r="G6" s="7"/>
      <c r="H6" s="9" t="s">
        <v>36</v>
      </c>
      <c r="I6" s="7"/>
      <c r="J6" s="7"/>
      <c r="K6" s="7"/>
      <c r="L6" s="7"/>
    </row>
    <row r="7">
      <c r="A7" s="1"/>
      <c r="B7" s="16" t="s">
        <v>37</v>
      </c>
      <c r="C7" s="7"/>
      <c r="D7" s="7" t="s">
        <v>28</v>
      </c>
      <c r="E7" s="7" t="s">
        <v>29</v>
      </c>
      <c r="F7" s="7"/>
      <c r="G7" s="7"/>
      <c r="H7" s="9" t="s">
        <v>39</v>
      </c>
      <c r="I7" s="7"/>
      <c r="J7" s="7"/>
      <c r="K7" s="7"/>
      <c r="L7" s="7"/>
    </row>
    <row r="8">
      <c r="A8" s="1"/>
      <c r="B8" s="16" t="s">
        <v>40</v>
      </c>
      <c r="C8" s="7"/>
      <c r="D8" s="7" t="s">
        <v>28</v>
      </c>
      <c r="E8" s="7" t="s">
        <v>29</v>
      </c>
      <c r="F8" s="7"/>
      <c r="G8" s="7"/>
      <c r="H8" s="9" t="s">
        <v>36</v>
      </c>
      <c r="I8" s="7"/>
      <c r="J8" s="7"/>
      <c r="K8" s="7"/>
      <c r="L8" s="7"/>
    </row>
    <row r="9">
      <c r="A9" s="1"/>
      <c r="B9" s="16" t="s">
        <v>42</v>
      </c>
      <c r="C9" s="7"/>
      <c r="D9" s="7" t="s">
        <v>28</v>
      </c>
      <c r="E9" s="7" t="s">
        <v>29</v>
      </c>
      <c r="F9" s="7"/>
      <c r="G9" s="7"/>
      <c r="H9" s="9" t="s">
        <v>30</v>
      </c>
      <c r="I9" s="7"/>
      <c r="J9" s="7"/>
      <c r="K9" s="7"/>
      <c r="L9" s="7"/>
    </row>
    <row r="10">
      <c r="A10" s="1"/>
      <c r="B10" s="16" t="s">
        <v>43</v>
      </c>
      <c r="C10" s="7"/>
      <c r="D10" s="7" t="s">
        <v>28</v>
      </c>
      <c r="E10" s="7" t="s">
        <v>29</v>
      </c>
      <c r="F10" s="7"/>
      <c r="G10" s="7"/>
      <c r="H10" s="9" t="s">
        <v>30</v>
      </c>
      <c r="I10" s="7"/>
      <c r="J10" s="7"/>
      <c r="K10" s="7"/>
      <c r="L10" s="7"/>
    </row>
    <row r="11">
      <c r="A11" s="1"/>
      <c r="B11" s="16" t="s">
        <v>44</v>
      </c>
      <c r="C11" s="7"/>
      <c r="D11" s="7" t="s">
        <v>28</v>
      </c>
      <c r="E11" s="7" t="s">
        <v>29</v>
      </c>
      <c r="F11" s="7"/>
      <c r="G11" s="7"/>
      <c r="H11" s="9" t="s">
        <v>30</v>
      </c>
      <c r="I11" s="7"/>
      <c r="J11" s="7"/>
      <c r="K11" s="23" t="s">
        <v>34</v>
      </c>
      <c r="L11" s="7"/>
    </row>
    <row r="12">
      <c r="A12" s="1"/>
      <c r="B12" s="16" t="s">
        <v>47</v>
      </c>
      <c r="C12" s="7"/>
      <c r="D12" s="7" t="s">
        <v>28</v>
      </c>
      <c r="E12" s="7" t="s">
        <v>29</v>
      </c>
      <c r="F12" s="7"/>
      <c r="G12" s="7"/>
      <c r="H12" s="9" t="s">
        <v>39</v>
      </c>
      <c r="I12" s="7"/>
      <c r="J12" s="7"/>
      <c r="K12" s="7"/>
      <c r="L12" s="7"/>
    </row>
    <row r="13">
      <c r="A13" s="1"/>
      <c r="B13" s="16" t="s">
        <v>48</v>
      </c>
      <c r="C13" s="7"/>
      <c r="D13" s="7" t="s">
        <v>28</v>
      </c>
      <c r="E13" s="7" t="s">
        <v>29</v>
      </c>
      <c r="F13" s="7"/>
      <c r="G13" s="7"/>
      <c r="H13" s="18" t="s">
        <v>49</v>
      </c>
      <c r="I13" s="7"/>
      <c r="J13" s="7"/>
      <c r="K13" s="7"/>
      <c r="L13" s="7"/>
    </row>
    <row r="14">
      <c r="A14" s="1"/>
      <c r="B14" s="16" t="s">
        <v>50</v>
      </c>
      <c r="C14" s="7"/>
      <c r="D14" s="7" t="s">
        <v>28</v>
      </c>
      <c r="E14" s="7" t="s">
        <v>29</v>
      </c>
      <c r="F14" s="7"/>
      <c r="G14" s="7"/>
      <c r="H14" s="9" t="s">
        <v>30</v>
      </c>
      <c r="I14" s="7"/>
      <c r="J14" s="7"/>
      <c r="K14" s="23" t="s">
        <v>34</v>
      </c>
      <c r="L14" s="7"/>
    </row>
    <row r="15">
      <c r="A15" s="1"/>
      <c r="B15" s="16" t="s">
        <v>51</v>
      </c>
      <c r="C15" s="7"/>
      <c r="D15" s="7" t="s">
        <v>52</v>
      </c>
      <c r="E15" s="7" t="s">
        <v>29</v>
      </c>
      <c r="F15" s="7" t="s">
        <v>29</v>
      </c>
      <c r="G15" s="7"/>
      <c r="H15" s="9" t="s">
        <v>39</v>
      </c>
      <c r="I15" s="7"/>
      <c r="J15" s="7"/>
      <c r="K15" s="7"/>
      <c r="L15" s="7"/>
    </row>
    <row r="16">
      <c r="A16" s="1"/>
      <c r="B16" s="16" t="s">
        <v>53</v>
      </c>
      <c r="C16" s="7"/>
      <c r="D16" s="7" t="s">
        <v>28</v>
      </c>
      <c r="E16" s="7" t="s">
        <v>29</v>
      </c>
      <c r="F16" s="7"/>
      <c r="G16" s="7"/>
      <c r="H16" s="9" t="s">
        <v>30</v>
      </c>
      <c r="I16" s="7"/>
      <c r="J16" s="7"/>
      <c r="K16" s="23" t="s">
        <v>34</v>
      </c>
      <c r="L16" s="7"/>
    </row>
    <row r="17">
      <c r="A17" s="1"/>
      <c r="B17" s="16" t="s">
        <v>54</v>
      </c>
      <c r="C17" s="7"/>
      <c r="D17" s="7" t="s">
        <v>28</v>
      </c>
      <c r="E17" s="7" t="s">
        <v>29</v>
      </c>
      <c r="F17" s="7"/>
      <c r="G17" s="7"/>
      <c r="H17" s="9" t="s">
        <v>36</v>
      </c>
      <c r="I17" s="7"/>
      <c r="J17" s="7"/>
      <c r="K17" s="7"/>
    </row>
    <row r="18">
      <c r="A18" s="1"/>
      <c r="B18" s="16" t="s">
        <v>55</v>
      </c>
      <c r="C18" s="7"/>
      <c r="D18" s="7" t="s">
        <v>56</v>
      </c>
      <c r="E18" s="7" t="s">
        <v>29</v>
      </c>
      <c r="F18" s="7" t="s">
        <v>29</v>
      </c>
      <c r="G18" s="7"/>
      <c r="H18" s="9" t="s">
        <v>39</v>
      </c>
      <c r="I18" s="7"/>
      <c r="J18" s="7"/>
      <c r="K18" s="7"/>
      <c r="L18" s="7"/>
    </row>
    <row r="19">
      <c r="A19" s="1"/>
      <c r="B19" s="16" t="s">
        <v>57</v>
      </c>
      <c r="C19" s="7"/>
      <c r="D19" s="7" t="s">
        <v>56</v>
      </c>
      <c r="E19" s="7" t="s">
        <v>29</v>
      </c>
      <c r="F19" s="7" t="s">
        <v>29</v>
      </c>
      <c r="G19" s="7"/>
      <c r="H19" s="9" t="s">
        <v>39</v>
      </c>
      <c r="I19" s="7"/>
      <c r="J19" s="7"/>
      <c r="K19" s="7"/>
      <c r="L19" s="7"/>
    </row>
    <row r="20">
      <c r="A20" s="1"/>
      <c r="B20" s="16" t="s">
        <v>60</v>
      </c>
      <c r="C20" s="7"/>
      <c r="D20" s="7" t="s">
        <v>56</v>
      </c>
      <c r="E20" s="7" t="s">
        <v>29</v>
      </c>
      <c r="F20" s="7" t="s">
        <v>29</v>
      </c>
      <c r="G20" s="7"/>
      <c r="H20" s="9" t="s">
        <v>39</v>
      </c>
      <c r="I20" s="7"/>
      <c r="J20" s="7"/>
      <c r="N20" s="7" t="s">
        <v>62</v>
      </c>
    </row>
    <row r="21">
      <c r="A21" s="1"/>
      <c r="B21" s="16" t="s">
        <v>63</v>
      </c>
      <c r="C21" s="7"/>
      <c r="D21" s="7" t="s">
        <v>56</v>
      </c>
      <c r="E21" s="7" t="s">
        <v>29</v>
      </c>
      <c r="F21" s="7" t="s">
        <v>29</v>
      </c>
      <c r="G21" s="7"/>
      <c r="H21" s="9" t="s">
        <v>30</v>
      </c>
      <c r="I21" s="7"/>
      <c r="J21" s="7"/>
      <c r="K21" s="23" t="s">
        <v>64</v>
      </c>
      <c r="L21" s="7"/>
    </row>
    <row r="22">
      <c r="A22" s="1"/>
      <c r="B22" s="16" t="s">
        <v>65</v>
      </c>
      <c r="C22" s="7"/>
      <c r="D22" s="7" t="s">
        <v>56</v>
      </c>
      <c r="E22" s="7" t="s">
        <v>29</v>
      </c>
      <c r="F22" s="7" t="s">
        <v>29</v>
      </c>
      <c r="G22" s="7"/>
      <c r="H22" s="9" t="s">
        <v>36</v>
      </c>
      <c r="I22" s="7"/>
      <c r="J22" s="7"/>
      <c r="K22" s="7"/>
      <c r="L22" s="7"/>
    </row>
    <row r="23">
      <c r="A23" s="1"/>
      <c r="B23" s="16" t="s">
        <v>66</v>
      </c>
      <c r="C23" s="7"/>
      <c r="D23" s="7" t="s">
        <v>56</v>
      </c>
      <c r="E23" s="7" t="s">
        <v>29</v>
      </c>
      <c r="F23" s="7" t="s">
        <v>29</v>
      </c>
      <c r="G23" s="7"/>
      <c r="H23" s="9" t="s">
        <v>39</v>
      </c>
      <c r="I23" s="7"/>
      <c r="J23" s="7"/>
      <c r="K23" s="7"/>
      <c r="L23" s="7"/>
    </row>
    <row r="24">
      <c r="A24" s="1"/>
      <c r="B24" s="25" t="str">
        <f>HYPERLINK("https://en.wikipedia.org/wiki/Manipur","Manipur")</f>
        <v>Manipur</v>
      </c>
      <c r="C24" s="7"/>
      <c r="D24" s="7" t="s">
        <v>56</v>
      </c>
      <c r="E24" s="7" t="s">
        <v>29</v>
      </c>
      <c r="F24" s="7" t="s">
        <v>29</v>
      </c>
      <c r="G24" s="7"/>
      <c r="H24" s="9" t="s">
        <v>39</v>
      </c>
      <c r="I24" s="7"/>
      <c r="J24" s="7"/>
      <c r="K24" s="7"/>
      <c r="L24" s="7"/>
    </row>
    <row r="25">
      <c r="A25" s="1"/>
      <c r="B25" s="16" t="s">
        <v>70</v>
      </c>
      <c r="C25" s="7"/>
      <c r="D25" s="7" t="s">
        <v>56</v>
      </c>
      <c r="E25" s="7" t="s">
        <v>29</v>
      </c>
      <c r="F25" s="7" t="s">
        <v>29</v>
      </c>
      <c r="G25" s="7"/>
      <c r="H25" s="9" t="s">
        <v>39</v>
      </c>
      <c r="I25" s="7"/>
      <c r="J25" s="7"/>
      <c r="K25" s="7"/>
      <c r="L25" s="7"/>
    </row>
    <row r="26">
      <c r="A26" s="1"/>
      <c r="B26" s="16" t="s">
        <v>71</v>
      </c>
      <c r="C26" s="7"/>
      <c r="D26" s="7" t="s">
        <v>56</v>
      </c>
      <c r="E26" s="7" t="s">
        <v>29</v>
      </c>
      <c r="F26" s="7" t="s">
        <v>29</v>
      </c>
      <c r="G26" s="7"/>
      <c r="H26" s="9" t="s">
        <v>30</v>
      </c>
      <c r="I26" s="7"/>
      <c r="J26" s="7"/>
      <c r="K26" s="7"/>
      <c r="L26" s="7"/>
    </row>
    <row r="27">
      <c r="A27" s="1"/>
      <c r="B27" s="16" t="s">
        <v>73</v>
      </c>
      <c r="C27" s="7"/>
      <c r="D27" s="7" t="s">
        <v>56</v>
      </c>
      <c r="E27" s="7" t="s">
        <v>29</v>
      </c>
      <c r="F27" s="7" t="s">
        <v>29</v>
      </c>
      <c r="G27" s="7"/>
      <c r="H27" s="9" t="s">
        <v>30</v>
      </c>
      <c r="I27" s="7"/>
      <c r="J27" s="7"/>
      <c r="K27" s="23" t="s">
        <v>34</v>
      </c>
      <c r="L27" s="7"/>
    </row>
    <row r="28">
      <c r="A28" s="1"/>
      <c r="B28" s="16" t="s">
        <v>75</v>
      </c>
      <c r="C28" s="7"/>
      <c r="D28" s="7" t="s">
        <v>56</v>
      </c>
      <c r="E28" s="7" t="s">
        <v>29</v>
      </c>
      <c r="F28" s="7" t="s">
        <v>29</v>
      </c>
      <c r="G28" s="7"/>
      <c r="H28" s="9" t="s">
        <v>39</v>
      </c>
      <c r="I28" s="7"/>
      <c r="J28" s="7"/>
      <c r="K28" s="7"/>
      <c r="L28" s="7"/>
    </row>
    <row r="29">
      <c r="A29" s="1"/>
      <c r="B29" s="16" t="s">
        <v>76</v>
      </c>
      <c r="C29" s="7"/>
      <c r="D29" s="7" t="s">
        <v>77</v>
      </c>
      <c r="E29" s="7" t="s">
        <v>29</v>
      </c>
      <c r="F29" s="7" t="s">
        <v>29</v>
      </c>
      <c r="G29" s="7"/>
      <c r="H29" s="9" t="s">
        <v>39</v>
      </c>
      <c r="I29" s="7"/>
      <c r="J29" s="7"/>
      <c r="K29" s="7"/>
      <c r="L29" s="27"/>
    </row>
    <row r="30">
      <c r="A30" s="1"/>
      <c r="B30" s="16" t="s">
        <v>78</v>
      </c>
      <c r="C30" s="7"/>
      <c r="D30" s="7" t="s">
        <v>77</v>
      </c>
      <c r="E30" s="7" t="s">
        <v>29</v>
      </c>
      <c r="F30" s="7" t="s">
        <v>29</v>
      </c>
      <c r="G30" s="7"/>
      <c r="H30" s="9" t="s">
        <v>39</v>
      </c>
      <c r="I30" s="7"/>
      <c r="J30" s="7"/>
      <c r="K30" s="7"/>
      <c r="L30" s="7"/>
    </row>
    <row r="31">
      <c r="A31" s="1"/>
      <c r="B31" s="16" t="s">
        <v>80</v>
      </c>
      <c r="C31" s="7"/>
      <c r="D31" s="7" t="s">
        <v>77</v>
      </c>
      <c r="E31" s="7" t="s">
        <v>29</v>
      </c>
      <c r="F31" s="7" t="s">
        <v>29</v>
      </c>
      <c r="G31" s="7"/>
      <c r="H31" s="9" t="s">
        <v>36</v>
      </c>
      <c r="I31" s="7"/>
      <c r="J31" s="7"/>
      <c r="K31" s="7"/>
      <c r="L31" s="7"/>
    </row>
    <row r="32">
      <c r="A32" s="1"/>
      <c r="B32" s="16" t="s">
        <v>81</v>
      </c>
      <c r="C32" s="7"/>
      <c r="D32" s="7" t="s">
        <v>77</v>
      </c>
      <c r="E32" s="7" t="s">
        <v>29</v>
      </c>
      <c r="F32" s="7" t="s">
        <v>29</v>
      </c>
      <c r="G32" s="7"/>
      <c r="H32" s="9" t="s">
        <v>30</v>
      </c>
      <c r="I32" s="7"/>
      <c r="J32" s="7"/>
      <c r="K32" s="23" t="s">
        <v>34</v>
      </c>
      <c r="L32" s="7"/>
    </row>
    <row r="33">
      <c r="A33" s="1"/>
      <c r="B33" s="16" t="s">
        <v>83</v>
      </c>
      <c r="C33" s="7"/>
      <c r="D33" s="7" t="s">
        <v>77</v>
      </c>
      <c r="E33" s="7" t="s">
        <v>29</v>
      </c>
      <c r="F33" s="7" t="s">
        <v>29</v>
      </c>
      <c r="G33" s="7"/>
      <c r="H33" s="9" t="s">
        <v>39</v>
      </c>
      <c r="I33" s="7"/>
      <c r="J33" s="7"/>
      <c r="K33" s="7"/>
      <c r="L33" s="7"/>
    </row>
    <row r="34">
      <c r="B34" s="16" t="s">
        <v>84</v>
      </c>
      <c r="C34" s="7"/>
      <c r="D34" s="7" t="s">
        <v>28</v>
      </c>
      <c r="E34" s="7" t="s">
        <v>29</v>
      </c>
      <c r="F34" s="7"/>
      <c r="G34" s="7"/>
      <c r="H34" s="9" t="s">
        <v>32</v>
      </c>
      <c r="I34" s="7"/>
      <c r="J34" s="7"/>
      <c r="K34" s="7"/>
      <c r="L34" s="7"/>
    </row>
    <row r="35">
      <c r="A35" s="1"/>
      <c r="B35" s="16" t="s">
        <v>85</v>
      </c>
      <c r="C35" s="7"/>
      <c r="D35" s="7" t="s">
        <v>77</v>
      </c>
      <c r="E35" s="7" t="s">
        <v>29</v>
      </c>
      <c r="F35" s="7" t="s">
        <v>29</v>
      </c>
      <c r="G35" s="7"/>
      <c r="H35" s="9" t="s">
        <v>30</v>
      </c>
      <c r="I35" s="7"/>
      <c r="J35" s="7"/>
      <c r="K35" s="23" t="s">
        <v>34</v>
      </c>
      <c r="L35" s="7"/>
    </row>
    <row r="36">
      <c r="A36" s="1"/>
      <c r="B36" s="16" t="s">
        <v>87</v>
      </c>
      <c r="C36" s="7"/>
      <c r="D36" s="7" t="s">
        <v>77</v>
      </c>
      <c r="E36" s="7" t="s">
        <v>29</v>
      </c>
      <c r="F36" s="7" t="s">
        <v>29</v>
      </c>
      <c r="G36" s="7"/>
      <c r="H36" s="9" t="s">
        <v>36</v>
      </c>
      <c r="I36" s="7"/>
      <c r="J36" s="7"/>
      <c r="K36" s="7"/>
      <c r="L36" s="7"/>
    </row>
    <row r="37">
      <c r="A37" s="1"/>
      <c r="B37" s="16" t="s">
        <v>88</v>
      </c>
      <c r="D37" s="7" t="s">
        <v>77</v>
      </c>
      <c r="E37" s="7" t="s">
        <v>29</v>
      </c>
      <c r="F37" s="7" t="s">
        <v>29</v>
      </c>
      <c r="G37" s="7"/>
      <c r="H37" s="9" t="s">
        <v>30</v>
      </c>
      <c r="I37" s="7"/>
      <c r="J37" s="7"/>
      <c r="K37" s="23" t="s">
        <v>34</v>
      </c>
      <c r="L37" s="7"/>
    </row>
    <row r="38">
      <c r="A38" s="1"/>
      <c r="B38" s="16" t="s">
        <v>90</v>
      </c>
      <c r="D38" s="7" t="s">
        <v>28</v>
      </c>
      <c r="E38" s="7" t="s">
        <v>29</v>
      </c>
      <c r="F38" s="7" t="s">
        <v>29</v>
      </c>
      <c r="G38" s="7"/>
      <c r="H38" s="9" t="s">
        <v>36</v>
      </c>
      <c r="I38" s="7"/>
    </row>
    <row r="39">
      <c r="H39" s="12"/>
    </row>
    <row r="40">
      <c r="B40" s="16" t="s">
        <v>92</v>
      </c>
      <c r="H40" s="12"/>
    </row>
    <row r="41">
      <c r="A41" s="1"/>
      <c r="B41" s="1"/>
      <c r="H41" s="12"/>
    </row>
    <row r="42">
      <c r="A42" s="1"/>
      <c r="B42" s="1"/>
      <c r="H42" s="12"/>
    </row>
    <row r="43">
      <c r="A43" s="1"/>
      <c r="B43" s="1"/>
      <c r="H43" s="12"/>
    </row>
    <row r="44">
      <c r="A44" s="1"/>
      <c r="B44" s="1"/>
      <c r="H44" s="12"/>
    </row>
    <row r="45">
      <c r="H45" s="12"/>
    </row>
    <row r="46">
      <c r="H46" s="12"/>
    </row>
    <row r="47">
      <c r="H47" s="12"/>
    </row>
    <row r="48">
      <c r="H48" s="12"/>
    </row>
    <row r="49">
      <c r="H49" s="12"/>
    </row>
    <row r="50">
      <c r="H50" s="12"/>
    </row>
    <row r="51">
      <c r="H51" s="12"/>
    </row>
    <row r="52">
      <c r="H52" s="12"/>
    </row>
    <row r="53">
      <c r="H53" s="12"/>
    </row>
    <row r="54">
      <c r="H54" s="12"/>
    </row>
    <row r="55">
      <c r="H55" s="12"/>
    </row>
    <row r="56">
      <c r="H56" s="12"/>
    </row>
    <row r="57">
      <c r="H57" s="12"/>
    </row>
    <row r="58">
      <c r="H58" s="12"/>
    </row>
    <row r="59">
      <c r="H59" s="12"/>
    </row>
    <row r="60">
      <c r="H60" s="12"/>
    </row>
    <row r="61">
      <c r="H61" s="12"/>
    </row>
    <row r="62">
      <c r="H62" s="12"/>
    </row>
    <row r="63">
      <c r="H63" s="12"/>
    </row>
    <row r="64">
      <c r="H64" s="12"/>
    </row>
    <row r="65">
      <c r="H65" s="12"/>
    </row>
    <row r="66">
      <c r="H66" s="12"/>
    </row>
    <row r="67">
      <c r="H67" s="12"/>
    </row>
    <row r="68">
      <c r="H68" s="12"/>
    </row>
    <row r="69">
      <c r="H69" s="12"/>
    </row>
    <row r="70">
      <c r="H70" s="12"/>
    </row>
    <row r="71">
      <c r="H71" s="12"/>
    </row>
    <row r="72">
      <c r="H72" s="12"/>
    </row>
    <row r="73">
      <c r="H73" s="12"/>
    </row>
    <row r="74">
      <c r="H74" s="12"/>
    </row>
    <row r="75">
      <c r="H75" s="12"/>
    </row>
    <row r="76">
      <c r="H76" s="12"/>
    </row>
    <row r="77">
      <c r="H77" s="12"/>
    </row>
    <row r="78">
      <c r="H78" s="12"/>
    </row>
    <row r="79">
      <c r="H79" s="12"/>
    </row>
    <row r="80">
      <c r="H80" s="12"/>
    </row>
    <row r="81">
      <c r="H81" s="12"/>
    </row>
    <row r="82">
      <c r="H82" s="12"/>
    </row>
    <row r="83">
      <c r="H83" s="12"/>
    </row>
    <row r="84">
      <c r="H84" s="12"/>
    </row>
    <row r="85">
      <c r="H85" s="12"/>
    </row>
    <row r="86">
      <c r="H86" s="12"/>
    </row>
    <row r="87">
      <c r="H87" s="12"/>
    </row>
    <row r="88">
      <c r="H88" s="12"/>
    </row>
    <row r="89">
      <c r="H89" s="12"/>
    </row>
    <row r="90">
      <c r="H90" s="12"/>
    </row>
    <row r="91">
      <c r="H91" s="12"/>
    </row>
    <row r="92">
      <c r="H92" s="12"/>
    </row>
    <row r="93">
      <c r="H93" s="12"/>
    </row>
    <row r="94">
      <c r="H94" s="12"/>
    </row>
    <row r="95">
      <c r="H95" s="12"/>
    </row>
    <row r="96">
      <c r="H96" s="12"/>
    </row>
    <row r="97">
      <c r="H97" s="12"/>
    </row>
    <row r="98">
      <c r="H98" s="12"/>
    </row>
    <row r="99">
      <c r="H99" s="12"/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  <row r="999">
      <c r="H999" s="12"/>
    </row>
    <row r="1000">
      <c r="H1000" s="12"/>
    </row>
    <row r="1001">
      <c r="H1001" s="12"/>
    </row>
    <row r="1002">
      <c r="H1002" s="12"/>
    </row>
  </sheetData>
  <mergeCells count="1">
    <mergeCell ref="E1:F1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40"/>
  </hyperlinks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F2" s="1" t="s">
        <v>3</v>
      </c>
      <c r="G2" s="1" t="s">
        <v>5</v>
      </c>
    </row>
    <row r="3">
      <c r="A3" s="1" t="s">
        <v>105</v>
      </c>
      <c r="B3" s="1" t="s">
        <v>4</v>
      </c>
      <c r="C3" s="1">
        <v>1.0</v>
      </c>
      <c r="E3" s="1" t="s">
        <v>3</v>
      </c>
      <c r="F3" s="1">
        <v>1.0</v>
      </c>
      <c r="G3" s="1">
        <v>2.0</v>
      </c>
    </row>
    <row r="4">
      <c r="A4" s="1" t="s">
        <v>5</v>
      </c>
      <c r="B4" s="1" t="s">
        <v>6</v>
      </c>
      <c r="C4" s="1">
        <v>0.0</v>
      </c>
      <c r="E4" s="1" t="s">
        <v>5</v>
      </c>
      <c r="F4" s="1">
        <v>2.0</v>
      </c>
      <c r="G4" s="1">
        <v>1.0</v>
      </c>
    </row>
    <row r="5">
      <c r="A5" s="1"/>
    </row>
    <row r="7">
      <c r="A7" s="1" t="s">
        <v>8</v>
      </c>
      <c r="B7" s="1" t="s">
        <v>41</v>
      </c>
      <c r="C7" s="1"/>
      <c r="D7" s="1" t="s">
        <v>9</v>
      </c>
      <c r="E7" s="1"/>
      <c r="F7" s="1"/>
      <c r="G7" s="1"/>
      <c r="H7" s="1" t="s">
        <v>11</v>
      </c>
      <c r="I7" s="1"/>
      <c r="J7" s="1"/>
      <c r="K7" s="1" t="s">
        <v>12</v>
      </c>
      <c r="L7" s="1"/>
      <c r="M7" s="1"/>
      <c r="N7" s="1"/>
    </row>
    <row r="8">
      <c r="B8" s="1"/>
      <c r="C8" s="1"/>
      <c r="D8" s="1" t="s">
        <v>3</v>
      </c>
      <c r="E8" s="1" t="s">
        <v>5</v>
      </c>
      <c r="F8" s="1" t="s">
        <v>45</v>
      </c>
      <c r="G8" s="1"/>
      <c r="H8" s="1" t="s">
        <v>3</v>
      </c>
      <c r="I8" s="1" t="s">
        <v>5</v>
      </c>
      <c r="K8" s="1" t="s">
        <v>3</v>
      </c>
      <c r="L8" s="1" t="s">
        <v>5</v>
      </c>
    </row>
    <row r="9">
      <c r="A9" s="1" t="s">
        <v>188</v>
      </c>
      <c r="B9" s="1">
        <v>111827.0</v>
      </c>
      <c r="C9" s="1"/>
      <c r="D9" s="1">
        <v>53.83</v>
      </c>
      <c r="E9" s="1">
        <v>43.26</v>
      </c>
      <c r="F9">
        <f>D9+E9</f>
        <v>97.09</v>
      </c>
      <c r="H9">
        <f>100*D9/F9</f>
        <v>55.44340303</v>
      </c>
      <c r="I9">
        <f>100*E9/F9</f>
        <v>44.55659697</v>
      </c>
      <c r="K9" s="5">
        <f>H9+I9*0.5</f>
        <v>77.72170151</v>
      </c>
      <c r="L9">
        <f>I9+H9*0.5</f>
        <v>72.27829849</v>
      </c>
    </row>
    <row r="10">
      <c r="A10" s="14"/>
      <c r="B10" s="1"/>
      <c r="C10" s="1"/>
      <c r="D10" s="6"/>
      <c r="E10" s="1"/>
      <c r="G10" s="6"/>
    </row>
    <row r="11">
      <c r="A11" s="1"/>
      <c r="B11" s="1"/>
      <c r="D11" s="6"/>
      <c r="E11" s="6"/>
      <c r="G11" s="6"/>
    </row>
    <row r="12">
      <c r="A12" s="1"/>
      <c r="B12" s="1"/>
      <c r="D12" s="6"/>
      <c r="E12" s="6"/>
      <c r="G12" s="6"/>
    </row>
    <row r="13">
      <c r="A13" s="14"/>
      <c r="B13" s="1"/>
      <c r="D13" s="6"/>
      <c r="E13" s="6"/>
      <c r="G13" s="1"/>
    </row>
    <row r="14">
      <c r="A14" s="1"/>
      <c r="B14" s="1"/>
      <c r="D14" s="6"/>
      <c r="E14" s="6"/>
      <c r="G14" s="6"/>
    </row>
    <row r="15">
      <c r="A15" s="14"/>
      <c r="B15" s="1"/>
      <c r="D15" s="6"/>
      <c r="E15" s="6"/>
      <c r="G15" s="1"/>
    </row>
    <row r="16">
      <c r="A16" s="1"/>
      <c r="B16" s="1"/>
      <c r="D16" s="6"/>
      <c r="E16" s="6"/>
      <c r="G16" s="6"/>
    </row>
    <row r="17">
      <c r="A17" s="14"/>
      <c r="B17" s="1"/>
      <c r="D17" s="6"/>
      <c r="E17" s="6"/>
      <c r="G17" s="6"/>
    </row>
    <row r="18">
      <c r="A18" s="1"/>
      <c r="B18" s="1"/>
      <c r="D18" s="6"/>
      <c r="E18" s="6"/>
      <c r="G18" s="6"/>
    </row>
    <row r="19">
      <c r="A19" s="14"/>
      <c r="B19" s="1"/>
      <c r="D19" s="6"/>
      <c r="E19" s="6"/>
      <c r="G19" s="6"/>
    </row>
    <row r="20">
      <c r="A20" s="14"/>
      <c r="B20" s="1"/>
      <c r="D20" s="6"/>
      <c r="E20" s="6"/>
      <c r="G20" s="6"/>
    </row>
    <row r="21">
      <c r="A21" s="1"/>
      <c r="B21" s="1"/>
      <c r="D21" s="6"/>
      <c r="E21" s="6"/>
      <c r="G21" s="6"/>
    </row>
    <row r="22">
      <c r="A22" s="1"/>
      <c r="B22" s="1"/>
      <c r="D22" s="1"/>
      <c r="E22" s="1"/>
    </row>
    <row r="23">
      <c r="A23" s="1"/>
      <c r="B23" s="1"/>
      <c r="D23" s="1"/>
      <c r="E23" s="1"/>
    </row>
    <row r="24">
      <c r="A24" s="1"/>
      <c r="B24" s="1"/>
      <c r="D24" s="1"/>
      <c r="E24" s="1"/>
    </row>
    <row r="25">
      <c r="A25" s="1"/>
      <c r="B25" s="1"/>
      <c r="D25" s="1"/>
      <c r="E25" s="1"/>
    </row>
    <row r="26">
      <c r="A26" s="1"/>
      <c r="B26" s="1"/>
      <c r="D26" s="1"/>
      <c r="E26" s="1"/>
    </row>
    <row r="27">
      <c r="A27" s="1"/>
      <c r="B27" s="1"/>
      <c r="D27" s="1"/>
      <c r="E27" s="1"/>
    </row>
    <row r="28">
      <c r="A28" s="1"/>
      <c r="B28" s="1"/>
      <c r="D28" s="1"/>
      <c r="E28" s="1"/>
    </row>
    <row r="29">
      <c r="A29" s="1"/>
      <c r="B29" s="1"/>
      <c r="D29" s="1"/>
      <c r="E29" s="1"/>
    </row>
    <row r="30">
      <c r="A30" s="1"/>
      <c r="B30" s="1"/>
      <c r="D30" s="1"/>
      <c r="E30" s="1"/>
    </row>
    <row r="31">
      <c r="A31" s="1"/>
      <c r="B31" s="1"/>
      <c r="D31" s="1"/>
      <c r="E31" s="1"/>
    </row>
    <row r="32">
      <c r="A32" s="1"/>
      <c r="B32" s="1"/>
      <c r="D32" s="1"/>
      <c r="E32" s="1"/>
    </row>
    <row r="33">
      <c r="A33" s="1"/>
      <c r="B33" s="1"/>
      <c r="D33" s="1"/>
      <c r="E33" s="1"/>
    </row>
    <row r="34">
      <c r="A34" s="1"/>
      <c r="B34" s="1"/>
      <c r="D34" s="1"/>
      <c r="E34" s="1"/>
    </row>
    <row r="35">
      <c r="A35" s="1"/>
      <c r="B35" s="1"/>
      <c r="D35" s="1"/>
      <c r="E35" s="1"/>
    </row>
    <row r="36">
      <c r="A36" s="1"/>
      <c r="B36" s="1"/>
      <c r="D36" s="1"/>
      <c r="E36" s="1"/>
    </row>
    <row r="37">
      <c r="A37" s="1"/>
      <c r="B37" s="1"/>
      <c r="D37" s="1"/>
      <c r="E37" s="1"/>
    </row>
    <row r="38">
      <c r="A38" s="1"/>
      <c r="B38" s="1"/>
      <c r="D38" s="1"/>
      <c r="E38" s="1"/>
    </row>
    <row r="39">
      <c r="A39" s="1"/>
      <c r="B39" s="1"/>
      <c r="D39" s="1"/>
      <c r="E39" s="1"/>
    </row>
    <row r="40">
      <c r="A40" s="1"/>
      <c r="B40" s="1"/>
      <c r="D40" s="1"/>
      <c r="E40" s="1"/>
    </row>
    <row r="41">
      <c r="A41" s="1"/>
      <c r="B41" s="1"/>
      <c r="D41" s="1"/>
      <c r="E41" s="1"/>
    </row>
    <row r="42">
      <c r="A42" s="1"/>
      <c r="B42" s="1"/>
      <c r="D42" s="1"/>
      <c r="E42" s="1"/>
    </row>
    <row r="43">
      <c r="A43" s="1"/>
      <c r="B43" s="1"/>
      <c r="D43" s="1"/>
      <c r="E43" s="1"/>
    </row>
    <row r="44">
      <c r="A44" s="1"/>
      <c r="B44" s="1"/>
      <c r="D44" s="1"/>
      <c r="E44" s="1"/>
    </row>
    <row r="45">
      <c r="A45" s="1"/>
      <c r="B45" s="1"/>
      <c r="D45" s="1"/>
      <c r="E45" s="1"/>
    </row>
    <row r="46">
      <c r="A46" s="1"/>
      <c r="B46" s="1"/>
      <c r="D46" s="1"/>
      <c r="E46" s="1"/>
    </row>
    <row r="47">
      <c r="A47" s="1"/>
      <c r="B47" s="1"/>
      <c r="D47" s="1"/>
      <c r="E47" s="1"/>
    </row>
    <row r="48">
      <c r="A48" s="1"/>
      <c r="B48" s="1"/>
      <c r="D48" s="1"/>
      <c r="E48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K2" s="1" t="s">
        <v>67</v>
      </c>
      <c r="R2" s="1" t="s">
        <v>3</v>
      </c>
      <c r="S2" s="1" t="s">
        <v>5</v>
      </c>
      <c r="T2" s="1" t="s">
        <v>189</v>
      </c>
    </row>
    <row r="3">
      <c r="A3" s="1" t="s">
        <v>105</v>
      </c>
      <c r="B3" s="1" t="s">
        <v>4</v>
      </c>
      <c r="C3" s="1">
        <v>1.0</v>
      </c>
      <c r="Q3" s="1" t="s">
        <v>3</v>
      </c>
      <c r="R3" s="1">
        <v>1.0</v>
      </c>
      <c r="S3" s="1">
        <v>3.0</v>
      </c>
      <c r="T3" s="1">
        <v>2.0</v>
      </c>
    </row>
    <row r="4">
      <c r="A4" s="1" t="s">
        <v>5</v>
      </c>
      <c r="B4" s="1" t="s">
        <v>6</v>
      </c>
      <c r="C4" s="1">
        <v>0.0</v>
      </c>
      <c r="Q4" s="1" t="s">
        <v>5</v>
      </c>
      <c r="R4" s="1">
        <v>3.0</v>
      </c>
      <c r="S4" s="1">
        <v>1.0</v>
      </c>
      <c r="T4" s="1">
        <v>2.0</v>
      </c>
    </row>
    <row r="5">
      <c r="A5" s="1" t="s">
        <v>189</v>
      </c>
      <c r="C5" s="1">
        <v>6.0</v>
      </c>
      <c r="Q5" s="1" t="s">
        <v>189</v>
      </c>
      <c r="R5" s="1">
        <v>2.0</v>
      </c>
      <c r="S5" s="1">
        <v>3.0</v>
      </c>
      <c r="T5" s="1">
        <v>1.0</v>
      </c>
    </row>
    <row r="7">
      <c r="A7" s="1" t="s">
        <v>8</v>
      </c>
      <c r="B7" s="1" t="s">
        <v>41</v>
      </c>
      <c r="C7" s="1"/>
      <c r="D7" s="1" t="s">
        <v>9</v>
      </c>
      <c r="E7" s="1"/>
      <c r="F7" s="1"/>
      <c r="G7" s="1"/>
      <c r="H7" s="1"/>
      <c r="I7" s="1" t="s">
        <v>10</v>
      </c>
      <c r="J7" s="1"/>
      <c r="K7" s="1"/>
      <c r="L7" s="1"/>
      <c r="M7" s="1" t="s">
        <v>11</v>
      </c>
      <c r="N7" s="1"/>
      <c r="O7" s="1"/>
      <c r="Q7" s="1" t="s">
        <v>12</v>
      </c>
    </row>
    <row r="8">
      <c r="B8" s="1"/>
      <c r="C8" s="1"/>
      <c r="D8" s="1" t="s">
        <v>3</v>
      </c>
      <c r="E8" s="1" t="s">
        <v>5</v>
      </c>
      <c r="F8" s="1" t="s">
        <v>189</v>
      </c>
      <c r="G8" s="1" t="s">
        <v>45</v>
      </c>
      <c r="H8" s="1"/>
      <c r="I8" s="1" t="s">
        <v>3</v>
      </c>
      <c r="J8" s="1" t="s">
        <v>5</v>
      </c>
      <c r="K8" s="1" t="s">
        <v>189</v>
      </c>
      <c r="L8" s="1"/>
      <c r="M8" s="1" t="s">
        <v>3</v>
      </c>
      <c r="N8" s="1" t="s">
        <v>5</v>
      </c>
      <c r="O8" s="1" t="s">
        <v>189</v>
      </c>
      <c r="Q8" s="1" t="s">
        <v>3</v>
      </c>
      <c r="R8" s="1" t="s">
        <v>5</v>
      </c>
      <c r="S8" s="1" t="s">
        <v>189</v>
      </c>
    </row>
    <row r="9">
      <c r="A9" s="1" t="s">
        <v>190</v>
      </c>
      <c r="B9" s="1">
        <v>1447230.0</v>
      </c>
      <c r="C9" s="1"/>
      <c r="D9" s="1">
        <v>44.58</v>
      </c>
      <c r="E9" s="1">
        <v>17.94</v>
      </c>
      <c r="F9" s="1">
        <v>30.71</v>
      </c>
      <c r="G9">
        <f t="shared" ref="G9:G15" si="1">D9+E9+F9</f>
        <v>93.23</v>
      </c>
      <c r="I9" s="6">
        <f t="shared" ref="I9:I15" si="2">B9*D9/100</f>
        <v>645175.134</v>
      </c>
      <c r="J9" s="6">
        <f t="shared" ref="J9:J15" si="3">B9*E9/100</f>
        <v>259633.062</v>
      </c>
      <c r="K9" s="6">
        <f t="shared" ref="K9:K15" si="4">B9*F9/100</f>
        <v>444444.333</v>
      </c>
      <c r="M9">
        <f t="shared" ref="M9:M15" si="5">100*D9/G9</f>
        <v>47.81722621</v>
      </c>
      <c r="N9">
        <f t="shared" ref="N9:N15" si="6">100*E9/G9</f>
        <v>19.24273303</v>
      </c>
      <c r="O9">
        <f t="shared" ref="O9:O15" si="7">100*F9/G9</f>
        <v>32.94004076</v>
      </c>
      <c r="Q9">
        <f t="shared" ref="Q9:Q15" si="8">M9+O9*0.67+N9*0.33</f>
        <v>76.23715542</v>
      </c>
      <c r="R9">
        <f t="shared" ref="R9:R15" si="9">N9+O9*0.33+M9*0.33</f>
        <v>45.89263113</v>
      </c>
      <c r="S9" s="5">
        <f t="shared" ref="S9:S15" si="10">O9+M9*0.67+N9*0.67</f>
        <v>77.87021345</v>
      </c>
    </row>
    <row r="10">
      <c r="A10" s="14" t="s">
        <v>191</v>
      </c>
      <c r="B10" s="1">
        <v>1957708.0</v>
      </c>
      <c r="C10" s="1"/>
      <c r="D10" s="6">
        <v>45.23</v>
      </c>
      <c r="E10" s="1">
        <v>16.3</v>
      </c>
      <c r="F10" s="1">
        <v>34.3</v>
      </c>
      <c r="G10">
        <f t="shared" si="1"/>
        <v>95.83</v>
      </c>
      <c r="H10" s="6"/>
      <c r="I10" s="6">
        <f t="shared" si="2"/>
        <v>885471.3284</v>
      </c>
      <c r="J10" s="6">
        <f t="shared" si="3"/>
        <v>319106.404</v>
      </c>
      <c r="K10" s="6">
        <f t="shared" si="4"/>
        <v>671493.844</v>
      </c>
      <c r="M10">
        <f t="shared" si="5"/>
        <v>47.19816341</v>
      </c>
      <c r="N10">
        <f t="shared" si="6"/>
        <v>17.00928728</v>
      </c>
      <c r="O10">
        <f t="shared" si="7"/>
        <v>35.79254931</v>
      </c>
      <c r="Q10">
        <f t="shared" si="8"/>
        <v>76.79223625</v>
      </c>
      <c r="R10">
        <f t="shared" si="9"/>
        <v>44.39622248</v>
      </c>
      <c r="S10" s="5">
        <f t="shared" si="10"/>
        <v>78.81154127</v>
      </c>
    </row>
    <row r="11">
      <c r="A11" s="1" t="s">
        <v>192</v>
      </c>
      <c r="B11" s="1">
        <v>1829578.0</v>
      </c>
      <c r="D11" s="6">
        <v>47.81</v>
      </c>
      <c r="E11" s="6">
        <v>16.98</v>
      </c>
      <c r="F11" s="1">
        <v>31.9</v>
      </c>
      <c r="G11">
        <f t="shared" si="1"/>
        <v>96.69</v>
      </c>
      <c r="H11" s="6"/>
      <c r="I11" s="6">
        <f t="shared" si="2"/>
        <v>874721.2418</v>
      </c>
      <c r="J11" s="6">
        <f t="shared" si="3"/>
        <v>310662.3444</v>
      </c>
      <c r="K11" s="6">
        <f t="shared" si="4"/>
        <v>583635.382</v>
      </c>
      <c r="M11">
        <f t="shared" si="5"/>
        <v>49.44668528</v>
      </c>
      <c r="N11">
        <f t="shared" si="6"/>
        <v>17.56127831</v>
      </c>
      <c r="O11">
        <f t="shared" si="7"/>
        <v>32.99203641</v>
      </c>
      <c r="Q11">
        <f t="shared" si="8"/>
        <v>77.34657152</v>
      </c>
      <c r="R11">
        <f t="shared" si="9"/>
        <v>44.76605647</v>
      </c>
      <c r="S11" s="5">
        <f t="shared" si="10"/>
        <v>77.88737201</v>
      </c>
    </row>
    <row r="12">
      <c r="A12" s="1" t="s">
        <v>193</v>
      </c>
      <c r="B12" s="1">
        <v>1490147.0</v>
      </c>
      <c r="D12" s="6">
        <v>46.73</v>
      </c>
      <c r="E12" s="6">
        <v>18.85</v>
      </c>
      <c r="F12" s="1">
        <v>29.96</v>
      </c>
      <c r="G12">
        <f t="shared" si="1"/>
        <v>95.54</v>
      </c>
      <c r="H12" s="6"/>
      <c r="I12" s="6">
        <f t="shared" si="2"/>
        <v>696345.6931</v>
      </c>
      <c r="J12" s="6">
        <f t="shared" si="3"/>
        <v>280892.7095</v>
      </c>
      <c r="K12" s="6">
        <f t="shared" si="4"/>
        <v>446448.0412</v>
      </c>
      <c r="M12">
        <f t="shared" si="5"/>
        <v>48.9114507</v>
      </c>
      <c r="N12">
        <f t="shared" si="6"/>
        <v>19.72995604</v>
      </c>
      <c r="O12">
        <f t="shared" si="7"/>
        <v>31.35859326</v>
      </c>
      <c r="Q12">
        <f t="shared" si="8"/>
        <v>76.43259368</v>
      </c>
      <c r="R12">
        <f t="shared" si="9"/>
        <v>46.21907055</v>
      </c>
      <c r="S12" s="5">
        <f t="shared" si="10"/>
        <v>77.34833578</v>
      </c>
    </row>
    <row r="13">
      <c r="A13" s="14" t="s">
        <v>194</v>
      </c>
      <c r="B13" s="1">
        <v>2194343.0</v>
      </c>
      <c r="D13" s="6">
        <v>46.44</v>
      </c>
      <c r="E13" s="6">
        <v>11.61</v>
      </c>
      <c r="F13" s="1">
        <v>38.56</v>
      </c>
      <c r="G13">
        <f t="shared" si="1"/>
        <v>96.61</v>
      </c>
      <c r="H13" s="1"/>
      <c r="I13" s="6">
        <f t="shared" si="2"/>
        <v>1019052.889</v>
      </c>
      <c r="J13" s="6">
        <f t="shared" si="3"/>
        <v>254763.2223</v>
      </c>
      <c r="K13" s="6">
        <f t="shared" si="4"/>
        <v>846138.6608</v>
      </c>
      <c r="M13">
        <f t="shared" si="5"/>
        <v>48.06955802</v>
      </c>
      <c r="N13">
        <f t="shared" si="6"/>
        <v>12.0173895</v>
      </c>
      <c r="O13">
        <f t="shared" si="7"/>
        <v>39.91305248</v>
      </c>
      <c r="Q13">
        <f t="shared" si="8"/>
        <v>78.77704171</v>
      </c>
      <c r="R13">
        <f t="shared" si="9"/>
        <v>41.05165097</v>
      </c>
      <c r="S13" s="5">
        <f t="shared" si="10"/>
        <v>80.17130732</v>
      </c>
    </row>
    <row r="14">
      <c r="A14" s="1" t="s">
        <v>195</v>
      </c>
      <c r="B14" s="1">
        <v>2039410.0</v>
      </c>
      <c r="D14" s="6">
        <v>48.3</v>
      </c>
      <c r="E14" s="6">
        <v>14.33</v>
      </c>
      <c r="F14" s="1">
        <v>28.38</v>
      </c>
      <c r="G14">
        <f t="shared" si="1"/>
        <v>91.01</v>
      </c>
      <c r="H14" s="6"/>
      <c r="I14" s="6">
        <f t="shared" si="2"/>
        <v>985035.03</v>
      </c>
      <c r="J14" s="6">
        <f t="shared" si="3"/>
        <v>292247.453</v>
      </c>
      <c r="K14" s="6">
        <f t="shared" si="4"/>
        <v>578784.558</v>
      </c>
      <c r="M14">
        <f t="shared" si="5"/>
        <v>53.07109109</v>
      </c>
      <c r="N14">
        <f t="shared" si="6"/>
        <v>15.74552247</v>
      </c>
      <c r="O14">
        <f t="shared" si="7"/>
        <v>31.18338644</v>
      </c>
      <c r="Q14" s="5">
        <f t="shared" si="8"/>
        <v>79.15998242</v>
      </c>
      <c r="R14">
        <f t="shared" si="9"/>
        <v>43.54950005</v>
      </c>
      <c r="S14">
        <f t="shared" si="10"/>
        <v>77.29051753</v>
      </c>
    </row>
    <row r="15">
      <c r="A15" s="14" t="s">
        <v>196</v>
      </c>
      <c r="B15" s="1">
        <v>1752748.0</v>
      </c>
      <c r="D15" s="6">
        <v>45.15</v>
      </c>
      <c r="E15" s="6">
        <v>11.35</v>
      </c>
      <c r="F15" s="1">
        <v>35.45</v>
      </c>
      <c r="G15">
        <f t="shared" si="1"/>
        <v>91.95</v>
      </c>
      <c r="H15" s="1"/>
      <c r="I15" s="6">
        <f t="shared" si="2"/>
        <v>791365.722</v>
      </c>
      <c r="J15" s="6">
        <f t="shared" si="3"/>
        <v>198936.898</v>
      </c>
      <c r="K15" s="6">
        <f t="shared" si="4"/>
        <v>621349.166</v>
      </c>
      <c r="M15">
        <f t="shared" si="5"/>
        <v>49.10277325</v>
      </c>
      <c r="N15">
        <f t="shared" si="6"/>
        <v>12.34366504</v>
      </c>
      <c r="O15">
        <f t="shared" si="7"/>
        <v>38.55356172</v>
      </c>
      <c r="Q15">
        <f t="shared" si="8"/>
        <v>79.00706906</v>
      </c>
      <c r="R15">
        <f t="shared" si="9"/>
        <v>41.27025557</v>
      </c>
      <c r="S15" s="5">
        <f t="shared" si="10"/>
        <v>79.72267537</v>
      </c>
    </row>
    <row r="16">
      <c r="A16" s="1"/>
      <c r="B16" s="1"/>
      <c r="D16" s="6"/>
      <c r="E16" s="6"/>
      <c r="H16" s="6"/>
      <c r="I16" s="6"/>
      <c r="J16" s="6"/>
      <c r="K16" s="6"/>
    </row>
    <row r="17">
      <c r="A17" s="14"/>
      <c r="B17" s="1"/>
      <c r="D17" s="6"/>
      <c r="E17" s="6"/>
      <c r="H17" s="6"/>
      <c r="I17" s="6"/>
      <c r="J17" s="6"/>
      <c r="K17" s="6"/>
    </row>
    <row r="18">
      <c r="A18" s="1"/>
      <c r="B18" s="1"/>
      <c r="D18" s="6"/>
      <c r="E18" s="6"/>
      <c r="H18" s="6"/>
      <c r="I18" s="6"/>
      <c r="J18" s="6"/>
      <c r="K18" s="6"/>
    </row>
    <row r="19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6"/>
    </row>
    <row r="20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6"/>
      <c r="L20" s="1"/>
    </row>
    <row r="21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6"/>
      <c r="L21" s="1"/>
    </row>
    <row r="22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6"/>
    </row>
    <row r="2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6"/>
    </row>
    <row r="24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6"/>
    </row>
    <row r="2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6"/>
    </row>
    <row r="26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6"/>
    </row>
    <row r="27">
      <c r="A27" s="1"/>
      <c r="B27" s="1"/>
      <c r="D27" s="1"/>
      <c r="E27" s="1"/>
      <c r="I27" s="6"/>
      <c r="J27" s="6"/>
      <c r="K27" s="6"/>
    </row>
    <row r="28">
      <c r="A28" s="1"/>
      <c r="B28" s="1"/>
      <c r="D28" s="1"/>
      <c r="E28" s="1"/>
      <c r="I28" s="6"/>
      <c r="J28" s="6"/>
      <c r="K28" s="6"/>
    </row>
    <row r="29">
      <c r="A29" s="1"/>
      <c r="B29" s="1"/>
      <c r="D29" s="1"/>
      <c r="E29" s="1"/>
      <c r="I29" s="6"/>
      <c r="J29" s="6"/>
      <c r="K29" s="6"/>
    </row>
    <row r="30">
      <c r="A30" s="1"/>
      <c r="B30" s="1"/>
      <c r="D30" s="1"/>
      <c r="E30" s="1"/>
      <c r="I30" s="6"/>
      <c r="J30" s="6"/>
      <c r="K30" s="6"/>
    </row>
    <row r="31">
      <c r="A31" s="1"/>
      <c r="B31" s="1"/>
      <c r="D31" s="1"/>
      <c r="E31" s="1"/>
      <c r="I31" s="6"/>
      <c r="J31" s="6"/>
      <c r="K31" s="6"/>
    </row>
    <row r="32">
      <c r="A32" s="1"/>
      <c r="B32" s="1"/>
      <c r="D32" s="1"/>
      <c r="E32" s="1"/>
      <c r="I32" s="6"/>
      <c r="J32" s="6"/>
      <c r="K32" s="6"/>
    </row>
    <row r="33">
      <c r="A33" s="1"/>
      <c r="B33" s="1"/>
      <c r="D33" s="1"/>
      <c r="E33" s="1"/>
      <c r="I33" s="6"/>
      <c r="J33" s="6"/>
      <c r="K33" s="6"/>
    </row>
    <row r="34">
      <c r="A34" s="1"/>
      <c r="B34" s="1"/>
      <c r="D34" s="1"/>
      <c r="E34" s="1"/>
      <c r="J34" s="6"/>
      <c r="K34" s="6"/>
    </row>
    <row r="35">
      <c r="A35" s="1"/>
      <c r="B35" s="1"/>
      <c r="D35" s="1"/>
      <c r="E35" s="1"/>
      <c r="J35" s="6"/>
      <c r="K35" s="6"/>
    </row>
    <row r="36">
      <c r="A36" s="1"/>
      <c r="B36" s="1"/>
      <c r="D36" s="1"/>
      <c r="E36" s="1"/>
      <c r="J36" s="6"/>
      <c r="K36" s="6"/>
    </row>
    <row r="37">
      <c r="A37" s="1"/>
      <c r="B37" s="1"/>
      <c r="D37" s="1"/>
      <c r="E37" s="1"/>
      <c r="J37" s="6"/>
      <c r="K37" s="6"/>
    </row>
    <row r="38">
      <c r="A38" s="1"/>
      <c r="B38" s="1"/>
      <c r="D38" s="1"/>
      <c r="E38" s="1"/>
      <c r="J38" s="6"/>
      <c r="K38" s="6"/>
    </row>
    <row r="39">
      <c r="A39" s="1"/>
      <c r="B39" s="1"/>
      <c r="D39" s="1"/>
      <c r="E39" s="1"/>
      <c r="J39" s="6"/>
      <c r="K39" s="6"/>
    </row>
    <row r="40">
      <c r="A40" s="1"/>
      <c r="B40" s="1"/>
      <c r="D40" s="1"/>
      <c r="E40" s="1"/>
      <c r="J40" s="6"/>
      <c r="K40" s="6"/>
    </row>
    <row r="41">
      <c r="A41" s="1"/>
      <c r="B41" s="1"/>
      <c r="D41" s="1"/>
      <c r="E41" s="1"/>
      <c r="J41" s="6"/>
      <c r="K41" s="6"/>
    </row>
    <row r="42">
      <c r="A42" s="1"/>
      <c r="B42" s="1"/>
      <c r="D42" s="1"/>
      <c r="E42" s="1"/>
      <c r="J42" s="6"/>
      <c r="K42" s="6"/>
    </row>
    <row r="43">
      <c r="A43" s="1"/>
      <c r="B43" s="1"/>
      <c r="D43" s="1"/>
      <c r="E43" s="1"/>
      <c r="J43" s="6"/>
      <c r="K43" s="6"/>
    </row>
    <row r="44">
      <c r="A44" s="1"/>
      <c r="B44" s="1"/>
      <c r="D44" s="1"/>
      <c r="E44" s="1"/>
      <c r="J44" s="6"/>
      <c r="K44" s="6"/>
    </row>
    <row r="45">
      <c r="A45" s="1"/>
      <c r="B45" s="1"/>
      <c r="D45" s="1"/>
      <c r="E45" s="1"/>
      <c r="J45" s="6"/>
      <c r="K45" s="6"/>
    </row>
    <row r="46">
      <c r="A46" s="1"/>
      <c r="B46" s="1"/>
      <c r="D46" s="1"/>
      <c r="E46" s="1"/>
      <c r="J46" s="6"/>
      <c r="K46" s="6"/>
    </row>
    <row r="47">
      <c r="J47" s="6"/>
      <c r="K47" s="6"/>
    </row>
    <row r="48">
      <c r="J48" s="6"/>
      <c r="K48" s="6"/>
    </row>
    <row r="49">
      <c r="J49" s="6"/>
      <c r="K49" s="6"/>
    </row>
    <row r="50">
      <c r="J50" s="6"/>
      <c r="K50" s="6"/>
    </row>
    <row r="51">
      <c r="J51" s="6"/>
      <c r="K51" s="6"/>
    </row>
    <row r="52">
      <c r="J52" s="6"/>
      <c r="K52" s="6"/>
    </row>
  </sheetData>
  <mergeCells count="1">
    <mergeCell ref="K2:O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F2" s="1" t="s">
        <v>3</v>
      </c>
      <c r="G2" s="1" t="s">
        <v>5</v>
      </c>
    </row>
    <row r="3">
      <c r="A3" s="1" t="s">
        <v>105</v>
      </c>
      <c r="B3" s="1" t="s">
        <v>4</v>
      </c>
      <c r="C3" s="1">
        <v>2.0</v>
      </c>
      <c r="E3" s="1" t="s">
        <v>3</v>
      </c>
      <c r="F3" s="1">
        <v>1.0</v>
      </c>
      <c r="G3" s="1">
        <v>2.0</v>
      </c>
    </row>
    <row r="4">
      <c r="A4" s="1" t="s">
        <v>5</v>
      </c>
      <c r="B4" s="1" t="s">
        <v>6</v>
      </c>
      <c r="C4" s="1">
        <v>0.0</v>
      </c>
      <c r="E4" s="1" t="s">
        <v>5</v>
      </c>
      <c r="F4" s="1">
        <v>2.0</v>
      </c>
      <c r="G4" s="1">
        <v>1.0</v>
      </c>
      <c r="L4" s="1"/>
    </row>
    <row r="5">
      <c r="A5" s="1"/>
      <c r="L5" s="1"/>
    </row>
    <row r="6">
      <c r="L6" s="1"/>
    </row>
    <row r="7">
      <c r="A7" s="1" t="s">
        <v>8</v>
      </c>
      <c r="B7" s="1" t="s">
        <v>41</v>
      </c>
      <c r="C7" s="1"/>
      <c r="D7" s="1" t="s">
        <v>9</v>
      </c>
      <c r="E7" s="1"/>
      <c r="F7" s="1"/>
      <c r="G7" s="1"/>
      <c r="H7" s="1" t="s">
        <v>10</v>
      </c>
      <c r="I7" s="1"/>
      <c r="J7" s="1"/>
      <c r="K7" s="1" t="s">
        <v>11</v>
      </c>
      <c r="L7" s="1"/>
      <c r="N7" s="1" t="s">
        <v>12</v>
      </c>
    </row>
    <row r="8">
      <c r="B8" s="1"/>
      <c r="C8" s="1"/>
      <c r="D8" s="1" t="s">
        <v>3</v>
      </c>
      <c r="E8" s="1" t="s">
        <v>5</v>
      </c>
      <c r="F8" s="1" t="s">
        <v>45</v>
      </c>
      <c r="G8" s="1"/>
      <c r="H8" s="1" t="s">
        <v>3</v>
      </c>
      <c r="I8" s="1" t="s">
        <v>5</v>
      </c>
      <c r="J8" s="1"/>
      <c r="K8" s="1" t="s">
        <v>3</v>
      </c>
      <c r="L8" s="1" t="s">
        <v>5</v>
      </c>
      <c r="N8" s="1" t="s">
        <v>3</v>
      </c>
      <c r="O8" s="1" t="s">
        <v>5</v>
      </c>
      <c r="P8" s="1"/>
    </row>
    <row r="9">
      <c r="A9" s="1" t="s">
        <v>197</v>
      </c>
      <c r="B9" s="1">
        <v>515441.0</v>
      </c>
      <c r="C9" s="1"/>
      <c r="D9" s="1">
        <v>58.46</v>
      </c>
      <c r="E9" s="1">
        <v>32.51</v>
      </c>
      <c r="F9">
        <f t="shared" ref="F9:F10" si="1">D9+E9</f>
        <v>90.97</v>
      </c>
      <c r="H9" s="6">
        <f t="shared" ref="H9:H10" si="2">B9*D9/100</f>
        <v>301326.8086</v>
      </c>
      <c r="I9" s="6">
        <f t="shared" ref="I9:I10" si="3">B9*E9/100</f>
        <v>167569.8691</v>
      </c>
      <c r="K9">
        <f t="shared" ref="K9:K10" si="4">100*D9/F9</f>
        <v>64.26294383</v>
      </c>
      <c r="L9">
        <f t="shared" ref="L9:L10" si="5">100*E9/F9</f>
        <v>35.73705617</v>
      </c>
      <c r="N9" s="33">
        <f t="shared" ref="N9:N10" si="6">K9+L9*0.5</f>
        <v>82.13147191</v>
      </c>
      <c r="O9" s="1">
        <f t="shared" ref="O9:O10" si="7">K9*0.5+L9</f>
        <v>67.86852809</v>
      </c>
      <c r="P9" s="1"/>
    </row>
    <row r="10">
      <c r="A10" s="1" t="s">
        <v>198</v>
      </c>
      <c r="B10" s="1">
        <v>545336.0</v>
      </c>
      <c r="C10" s="1"/>
      <c r="D10" s="6">
        <v>48.42</v>
      </c>
      <c r="E10" s="6">
        <v>40.55</v>
      </c>
      <c r="F10">
        <f t="shared" si="1"/>
        <v>88.97</v>
      </c>
      <c r="G10" s="6"/>
      <c r="H10" s="6">
        <f t="shared" si="2"/>
        <v>264051.6912</v>
      </c>
      <c r="I10" s="6">
        <f t="shared" si="3"/>
        <v>221133.748</v>
      </c>
      <c r="K10">
        <f t="shared" si="4"/>
        <v>54.42283916</v>
      </c>
      <c r="L10">
        <f t="shared" si="5"/>
        <v>45.57716084</v>
      </c>
      <c r="N10" s="33">
        <f t="shared" si="6"/>
        <v>77.21141958</v>
      </c>
      <c r="O10" s="1">
        <f t="shared" si="7"/>
        <v>72.78858042</v>
      </c>
      <c r="P10" s="1"/>
    </row>
    <row r="11">
      <c r="A11" s="14"/>
      <c r="B11" s="1"/>
      <c r="C11" s="1"/>
      <c r="D11" s="6"/>
      <c r="E11" s="1"/>
      <c r="G11" s="6"/>
      <c r="H11" s="6"/>
      <c r="I11" s="6"/>
    </row>
    <row r="12">
      <c r="A12" s="1"/>
      <c r="B12" s="1"/>
      <c r="D12" s="6"/>
      <c r="E12" s="1" t="s">
        <v>199</v>
      </c>
      <c r="F12" s="1" t="s">
        <v>200</v>
      </c>
      <c r="G12" s="1" t="s">
        <v>201</v>
      </c>
      <c r="H12" s="6" t="s">
        <v>14</v>
      </c>
      <c r="I12" s="1" t="s">
        <v>199</v>
      </c>
      <c r="J12" s="1" t="s">
        <v>200</v>
      </c>
      <c r="K12" s="1" t="s">
        <v>201</v>
      </c>
    </row>
    <row r="13">
      <c r="A13" s="1"/>
      <c r="B13" s="1"/>
      <c r="D13" s="6" t="s">
        <v>3</v>
      </c>
      <c r="E13" s="6">
        <f>76.06/2</f>
        <v>38.03</v>
      </c>
      <c r="F13" s="1">
        <v>0.0</v>
      </c>
      <c r="G13" s="6">
        <v>0.0</v>
      </c>
      <c r="H13" s="6">
        <v>38.03</v>
      </c>
      <c r="I13" s="6">
        <f>53.34/2</f>
        <v>26.67</v>
      </c>
      <c r="J13" s="1">
        <v>0.0</v>
      </c>
      <c r="K13" s="1">
        <v>0.0</v>
      </c>
      <c r="L13" s="1">
        <v>26.67</v>
      </c>
    </row>
    <row r="14">
      <c r="A14" s="14"/>
      <c r="B14" s="1"/>
      <c r="D14" s="6" t="s">
        <v>5</v>
      </c>
      <c r="E14" s="6">
        <v>38.03</v>
      </c>
      <c r="F14" s="1">
        <v>8.2</v>
      </c>
      <c r="G14" s="1">
        <v>3.5</v>
      </c>
      <c r="H14" s="6">
        <v>50.0</v>
      </c>
      <c r="I14" s="6">
        <v>26.67</v>
      </c>
      <c r="J14" s="1">
        <v>18.1</v>
      </c>
      <c r="K14" s="1">
        <v>4.96</v>
      </c>
      <c r="L14">
        <f t="shared" ref="L14:L15" si="8">sum(I14,J14,K14)</f>
        <v>49.73</v>
      </c>
    </row>
    <row r="15">
      <c r="A15" s="1"/>
      <c r="B15" s="1"/>
      <c r="D15" s="6" t="s">
        <v>202</v>
      </c>
      <c r="E15" s="6">
        <v>0.0</v>
      </c>
      <c r="F15" s="1">
        <v>8.2</v>
      </c>
      <c r="G15" s="6">
        <v>3.5</v>
      </c>
      <c r="H15" s="6">
        <v>11.7</v>
      </c>
      <c r="I15" s="6">
        <v>0.0</v>
      </c>
      <c r="J15" s="1">
        <v>18.1</v>
      </c>
      <c r="K15" s="1">
        <v>4.96</v>
      </c>
      <c r="L15">
        <f t="shared" si="8"/>
        <v>23.06</v>
      </c>
    </row>
    <row r="16">
      <c r="A16" s="14"/>
      <c r="B16" s="1"/>
      <c r="D16" s="6"/>
      <c r="E16" s="6"/>
      <c r="G16" s="1"/>
      <c r="H16" s="6"/>
      <c r="I16" s="6"/>
      <c r="L16">
        <f>sum(L13,L14,L15)</f>
        <v>99.46</v>
      </c>
    </row>
    <row r="17">
      <c r="A17" s="1"/>
      <c r="B17" s="1"/>
      <c r="D17" s="6"/>
      <c r="E17" s="6"/>
      <c r="G17" s="6"/>
      <c r="H17" s="6"/>
      <c r="I17" s="6"/>
    </row>
    <row r="18">
      <c r="A18" s="14"/>
      <c r="B18" s="1"/>
      <c r="D18" s="6"/>
      <c r="E18" s="6"/>
      <c r="G18" s="6"/>
      <c r="H18" s="6"/>
      <c r="I18" s="6"/>
    </row>
    <row r="19">
      <c r="A19" s="1"/>
      <c r="B19" s="1"/>
      <c r="D19" s="6"/>
      <c r="E19" s="6"/>
      <c r="F19" s="1"/>
      <c r="G19" s="6"/>
      <c r="H19" s="6"/>
      <c r="I19" s="6"/>
    </row>
    <row r="20">
      <c r="A20" s="14"/>
      <c r="B20" s="1"/>
      <c r="D20" s="6"/>
      <c r="E20" s="6"/>
      <c r="G20" s="6"/>
      <c r="H20" s="6"/>
      <c r="I20" s="6"/>
    </row>
    <row r="21">
      <c r="A21" s="14"/>
      <c r="B21" s="1"/>
      <c r="D21" s="6"/>
      <c r="E21" s="6"/>
      <c r="F21" s="1"/>
      <c r="G21" s="6"/>
      <c r="H21" s="6"/>
      <c r="I21" s="6"/>
    </row>
    <row r="22">
      <c r="A22" s="1"/>
      <c r="B22" s="1"/>
      <c r="D22" s="6"/>
      <c r="E22" s="6"/>
      <c r="G22" s="6"/>
      <c r="H22" s="6"/>
      <c r="I22" s="6"/>
    </row>
    <row r="23">
      <c r="A23" s="1"/>
      <c r="B23" s="1"/>
      <c r="D23" s="1"/>
      <c r="E23" s="1"/>
      <c r="F23" s="1"/>
      <c r="G23" s="1"/>
      <c r="H23" s="6"/>
      <c r="I23" s="6"/>
    </row>
    <row r="24">
      <c r="A24" s="1"/>
      <c r="B24" s="1"/>
      <c r="D24" s="1"/>
      <c r="E24" s="1"/>
      <c r="F24" s="1"/>
      <c r="H24" s="6"/>
      <c r="I24" s="6"/>
    </row>
    <row r="25">
      <c r="A25" s="1"/>
      <c r="B25" s="1"/>
      <c r="D25" s="1"/>
      <c r="E25" s="1"/>
      <c r="F25" s="1"/>
      <c r="H25" s="6"/>
      <c r="I25" s="6"/>
    </row>
    <row r="26">
      <c r="A26" s="1"/>
      <c r="B26" s="1"/>
      <c r="D26" s="1"/>
      <c r="E26" s="1"/>
      <c r="H26" s="6"/>
      <c r="I26" s="6"/>
    </row>
    <row r="27">
      <c r="A27" s="1"/>
      <c r="B27" s="1"/>
      <c r="D27" s="1"/>
      <c r="E27" s="1"/>
      <c r="H27" s="6"/>
      <c r="I27" s="6"/>
    </row>
    <row r="28">
      <c r="A28" s="1"/>
      <c r="B28" s="1"/>
      <c r="D28" s="1"/>
      <c r="E28" s="1"/>
      <c r="H28" s="6"/>
      <c r="I28" s="6"/>
    </row>
    <row r="29">
      <c r="A29" s="1"/>
      <c r="B29" s="1"/>
      <c r="D29" s="1"/>
      <c r="E29" s="1"/>
      <c r="H29" s="6"/>
      <c r="I29" s="6"/>
    </row>
    <row r="30">
      <c r="A30" s="1"/>
      <c r="B30" s="1"/>
      <c r="D30" s="1"/>
      <c r="E30" s="1"/>
      <c r="H30" s="6"/>
      <c r="I30" s="6"/>
    </row>
    <row r="31">
      <c r="A31" s="1"/>
      <c r="B31" s="1"/>
      <c r="D31" s="1"/>
      <c r="E31" s="1"/>
      <c r="H31" s="6"/>
      <c r="I31" s="6"/>
    </row>
    <row r="32">
      <c r="A32" s="1"/>
      <c r="B32" s="1"/>
      <c r="D32" s="1"/>
      <c r="E32" s="1"/>
      <c r="H32" s="6"/>
      <c r="I32" s="6"/>
    </row>
    <row r="33">
      <c r="A33" s="1"/>
      <c r="B33" s="1"/>
      <c r="D33" s="1"/>
      <c r="E33" s="1"/>
      <c r="H33" s="6"/>
      <c r="I33" s="6"/>
    </row>
    <row r="34">
      <c r="A34" s="1"/>
      <c r="B34" s="1"/>
      <c r="D34" s="1"/>
      <c r="E34" s="1"/>
      <c r="H34" s="6"/>
      <c r="I34" s="6"/>
    </row>
    <row r="35">
      <c r="A35" s="1"/>
      <c r="B35" s="1"/>
      <c r="D35" s="1"/>
      <c r="E35" s="1"/>
      <c r="H35" s="6"/>
      <c r="I35" s="6"/>
    </row>
    <row r="36">
      <c r="A36" s="1"/>
      <c r="B36" s="1"/>
      <c r="D36" s="1"/>
      <c r="E36" s="1"/>
      <c r="H36" s="6"/>
      <c r="I36" s="6"/>
    </row>
    <row r="37">
      <c r="A37" s="1"/>
      <c r="B37" s="1"/>
      <c r="D37" s="1"/>
      <c r="E37" s="1"/>
      <c r="I37" s="6"/>
    </row>
    <row r="38">
      <c r="A38" s="1"/>
      <c r="B38" s="1"/>
      <c r="D38" s="1"/>
      <c r="E38" s="1"/>
      <c r="I38" s="6"/>
    </row>
    <row r="39">
      <c r="A39" s="1"/>
      <c r="B39" s="1"/>
      <c r="D39" s="1"/>
      <c r="E39" s="1"/>
      <c r="I39" s="6"/>
    </row>
    <row r="40">
      <c r="A40" s="1"/>
      <c r="B40" s="1"/>
      <c r="D40" s="1"/>
      <c r="E40" s="1"/>
      <c r="I40" s="6"/>
    </row>
    <row r="41">
      <c r="A41" s="1"/>
      <c r="B41" s="1"/>
      <c r="D41" s="1"/>
      <c r="E41" s="1"/>
      <c r="I41" s="6"/>
    </row>
    <row r="42">
      <c r="A42" s="1"/>
      <c r="B42" s="1"/>
      <c r="D42" s="1"/>
      <c r="E42" s="1"/>
      <c r="I42" s="6"/>
    </row>
    <row r="43">
      <c r="A43" s="1"/>
      <c r="B43" s="1"/>
      <c r="D43" s="1"/>
      <c r="E43" s="1"/>
      <c r="I43" s="6"/>
    </row>
    <row r="44">
      <c r="A44" s="1"/>
      <c r="B44" s="1"/>
      <c r="D44" s="1"/>
      <c r="E44" s="1"/>
      <c r="I44" s="6"/>
    </row>
    <row r="45">
      <c r="A45" s="1"/>
      <c r="B45" s="1"/>
      <c r="D45" s="1"/>
      <c r="E45" s="1"/>
      <c r="I45" s="6"/>
    </row>
    <row r="46">
      <c r="A46" s="1"/>
      <c r="B46" s="1"/>
      <c r="D46" s="1"/>
      <c r="E46" s="1"/>
      <c r="I46" s="6"/>
    </row>
    <row r="47">
      <c r="A47" s="1"/>
      <c r="B47" s="1"/>
      <c r="D47" s="1"/>
      <c r="E47" s="1"/>
      <c r="I47" s="6"/>
    </row>
    <row r="48">
      <c r="A48" s="1"/>
      <c r="B48" s="1"/>
      <c r="D48" s="1"/>
      <c r="E48" s="1"/>
      <c r="I48" s="6"/>
    </row>
    <row r="49">
      <c r="A49" s="1"/>
      <c r="B49" s="1"/>
      <c r="D49" s="1"/>
      <c r="E49" s="1"/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  <row r="55">
      <c r="I55" s="6"/>
    </row>
  </sheetData>
  <mergeCells count="1">
    <mergeCell ref="L4:P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F2" s="1" t="s">
        <v>3</v>
      </c>
      <c r="G2" s="1" t="s">
        <v>203</v>
      </c>
      <c r="P2" s="1" t="s">
        <v>67</v>
      </c>
    </row>
    <row r="3">
      <c r="A3" s="1" t="s">
        <v>3</v>
      </c>
      <c r="B3" s="1" t="s">
        <v>4</v>
      </c>
      <c r="C3" s="1">
        <v>26.0</v>
      </c>
      <c r="E3" s="1" t="s">
        <v>3</v>
      </c>
      <c r="F3" s="1">
        <v>1.0</v>
      </c>
      <c r="G3" s="1">
        <v>2.0</v>
      </c>
    </row>
    <row r="4">
      <c r="A4" s="1" t="s">
        <v>203</v>
      </c>
      <c r="B4" s="1" t="s">
        <v>6</v>
      </c>
      <c r="C4" s="1">
        <v>0.0</v>
      </c>
      <c r="E4" s="1" t="s">
        <v>203</v>
      </c>
      <c r="F4" s="1">
        <v>2.0</v>
      </c>
      <c r="G4" s="1">
        <v>1.0</v>
      </c>
    </row>
    <row r="5">
      <c r="A5" s="1" t="s">
        <v>126</v>
      </c>
      <c r="C5" s="1">
        <v>0.0</v>
      </c>
    </row>
    <row r="6">
      <c r="A6" s="1"/>
    </row>
    <row r="8">
      <c r="A8" s="1" t="s">
        <v>8</v>
      </c>
      <c r="B8" s="1" t="s">
        <v>41</v>
      </c>
      <c r="C8" s="1"/>
      <c r="D8" s="1" t="s">
        <v>9</v>
      </c>
      <c r="E8" s="1"/>
      <c r="F8" s="1"/>
      <c r="G8" s="1"/>
      <c r="H8" s="1"/>
      <c r="I8" s="1" t="s">
        <v>10</v>
      </c>
      <c r="J8" s="1"/>
      <c r="K8" s="1"/>
      <c r="L8" s="1"/>
      <c r="M8" s="1" t="s">
        <v>11</v>
      </c>
      <c r="N8" s="1"/>
      <c r="O8" s="1"/>
      <c r="Q8" s="1" t="s">
        <v>12</v>
      </c>
    </row>
    <row r="9">
      <c r="B9" s="1"/>
      <c r="C9" s="1"/>
      <c r="D9" s="1" t="s">
        <v>3</v>
      </c>
      <c r="E9" s="1" t="s">
        <v>203</v>
      </c>
      <c r="F9" s="1" t="s">
        <v>126</v>
      </c>
      <c r="G9" s="1" t="s">
        <v>45</v>
      </c>
      <c r="H9" s="1"/>
      <c r="I9" s="1" t="s">
        <v>3</v>
      </c>
      <c r="J9" s="1" t="s">
        <v>203</v>
      </c>
      <c r="K9" s="1" t="s">
        <v>126</v>
      </c>
      <c r="L9" s="1"/>
      <c r="M9" s="1" t="s">
        <v>3</v>
      </c>
      <c r="N9" s="1" t="s">
        <v>203</v>
      </c>
      <c r="O9" s="1" t="s">
        <v>126</v>
      </c>
      <c r="Q9" s="1" t="s">
        <v>3</v>
      </c>
      <c r="R9" s="1" t="s">
        <v>203</v>
      </c>
      <c r="S9" s="1" t="s">
        <v>126</v>
      </c>
    </row>
    <row r="10">
      <c r="A10" s="1" t="s">
        <v>204</v>
      </c>
      <c r="B10" s="1">
        <v>1533782.0</v>
      </c>
      <c r="C10" s="1"/>
      <c r="D10" s="1">
        <v>59.4</v>
      </c>
      <c r="E10" s="1">
        <v>32.55</v>
      </c>
      <c r="F10" s="1">
        <v>0.0</v>
      </c>
      <c r="G10">
        <f t="shared" ref="G10:G35" si="1">D10+E10+F10</f>
        <v>91.95</v>
      </c>
      <c r="I10" s="6">
        <f t="shared" ref="I10:I35" si="2">B10*D10/100</f>
        <v>911066.508</v>
      </c>
      <c r="J10" s="6">
        <f t="shared" ref="J10:J35" si="3">B10*E10/100</f>
        <v>499246.041</v>
      </c>
      <c r="K10" s="6">
        <f t="shared" ref="K10:K35" si="4">B10*F10/100</f>
        <v>0</v>
      </c>
      <c r="M10">
        <f t="shared" ref="M10:M35" si="5">100*D10/G10</f>
        <v>64.60032626</v>
      </c>
      <c r="N10">
        <f t="shared" ref="N10:N35" si="6">100*E10/G10</f>
        <v>35.39967374</v>
      </c>
      <c r="O10">
        <f t="shared" ref="O10:O35" si="7">100*F10/G10</f>
        <v>0</v>
      </c>
      <c r="Q10" s="5">
        <f t="shared" ref="Q10:Q35" si="8">M10+N10*0.5</f>
        <v>82.30016313</v>
      </c>
      <c r="R10">
        <f t="shared" ref="R10:R35" si="9">N10+M10*0.5</f>
        <v>67.69983687</v>
      </c>
      <c r="S10" s="1">
        <v>0.0</v>
      </c>
    </row>
    <row r="11">
      <c r="A11" s="1" t="s">
        <v>205</v>
      </c>
      <c r="B11" s="1">
        <v>1515711.0</v>
      </c>
      <c r="C11" s="1"/>
      <c r="D11" s="6">
        <v>57.23</v>
      </c>
      <c r="E11" s="6">
        <v>34.43</v>
      </c>
      <c r="F11" s="6">
        <v>0.0</v>
      </c>
      <c r="G11">
        <f t="shared" si="1"/>
        <v>91.66</v>
      </c>
      <c r="H11" s="6"/>
      <c r="I11" s="6">
        <f t="shared" si="2"/>
        <v>867441.4053</v>
      </c>
      <c r="J11" s="6">
        <f t="shared" si="3"/>
        <v>521859.2973</v>
      </c>
      <c r="K11" s="6">
        <f t="shared" si="4"/>
        <v>0</v>
      </c>
      <c r="M11">
        <f t="shared" si="5"/>
        <v>62.43726816</v>
      </c>
      <c r="N11">
        <f t="shared" si="6"/>
        <v>37.56273184</v>
      </c>
      <c r="O11">
        <f t="shared" si="7"/>
        <v>0</v>
      </c>
      <c r="Q11" s="5">
        <f t="shared" si="8"/>
        <v>81.21863408</v>
      </c>
      <c r="R11">
        <f t="shared" si="9"/>
        <v>68.78136592</v>
      </c>
      <c r="S11" s="1">
        <v>0.0</v>
      </c>
    </row>
    <row r="12">
      <c r="A12" s="14" t="s">
        <v>206</v>
      </c>
      <c r="B12" s="1">
        <v>1628641.0</v>
      </c>
      <c r="C12" s="1"/>
      <c r="D12" s="6">
        <v>54.21</v>
      </c>
      <c r="E12" s="1">
        <v>39.7</v>
      </c>
      <c r="F12" s="1">
        <v>0.0</v>
      </c>
      <c r="G12">
        <f t="shared" si="1"/>
        <v>93.91</v>
      </c>
      <c r="H12" s="6"/>
      <c r="I12" s="6">
        <f t="shared" si="2"/>
        <v>882886.2861</v>
      </c>
      <c r="J12" s="6">
        <f t="shared" si="3"/>
        <v>646570.477</v>
      </c>
      <c r="K12" s="6">
        <f t="shared" si="4"/>
        <v>0</v>
      </c>
      <c r="M12">
        <f t="shared" si="5"/>
        <v>57.72548184</v>
      </c>
      <c r="N12">
        <f t="shared" si="6"/>
        <v>42.27451816</v>
      </c>
      <c r="O12">
        <f t="shared" si="7"/>
        <v>0</v>
      </c>
      <c r="Q12" s="5">
        <f t="shared" si="8"/>
        <v>78.86274092</v>
      </c>
      <c r="R12">
        <f t="shared" si="9"/>
        <v>71.13725908</v>
      </c>
      <c r="S12" s="1">
        <v>0.0</v>
      </c>
    </row>
    <row r="13">
      <c r="A13" s="1" t="s">
        <v>207</v>
      </c>
      <c r="B13" s="1">
        <v>1498219.0</v>
      </c>
      <c r="D13" s="6">
        <v>57.78</v>
      </c>
      <c r="E13" s="6">
        <v>36.98</v>
      </c>
      <c r="F13" s="6">
        <v>0.0</v>
      </c>
      <c r="G13">
        <f t="shared" si="1"/>
        <v>94.76</v>
      </c>
      <c r="H13" s="6"/>
      <c r="I13" s="6">
        <f t="shared" si="2"/>
        <v>865670.9382</v>
      </c>
      <c r="J13" s="6">
        <f t="shared" si="3"/>
        <v>554041.3862</v>
      </c>
      <c r="K13" s="6">
        <f t="shared" si="4"/>
        <v>0</v>
      </c>
      <c r="M13">
        <f t="shared" si="5"/>
        <v>60.97509498</v>
      </c>
      <c r="N13">
        <f t="shared" si="6"/>
        <v>39.02490502</v>
      </c>
      <c r="O13">
        <f t="shared" si="7"/>
        <v>0</v>
      </c>
      <c r="Q13" s="5">
        <f t="shared" si="8"/>
        <v>80.48754749</v>
      </c>
      <c r="R13">
        <f t="shared" si="9"/>
        <v>69.51245251</v>
      </c>
      <c r="S13" s="1">
        <v>0.0</v>
      </c>
    </row>
    <row r="14">
      <c r="A14" s="1" t="s">
        <v>208</v>
      </c>
      <c r="B14" s="1">
        <v>1615840.0</v>
      </c>
      <c r="D14" s="6">
        <v>50.39</v>
      </c>
      <c r="E14" s="6">
        <v>42.68</v>
      </c>
      <c r="F14" s="6">
        <v>0.0</v>
      </c>
      <c r="G14">
        <f t="shared" si="1"/>
        <v>93.07</v>
      </c>
      <c r="H14" s="6"/>
      <c r="I14" s="6">
        <f t="shared" si="2"/>
        <v>814221.776</v>
      </c>
      <c r="J14" s="6">
        <f t="shared" si="3"/>
        <v>689640.512</v>
      </c>
      <c r="K14" s="6">
        <f t="shared" si="4"/>
        <v>0</v>
      </c>
      <c r="M14">
        <f t="shared" si="5"/>
        <v>54.14204362</v>
      </c>
      <c r="N14">
        <f t="shared" si="6"/>
        <v>45.85795638</v>
      </c>
      <c r="O14">
        <f t="shared" si="7"/>
        <v>0</v>
      </c>
      <c r="Q14" s="5">
        <f t="shared" si="8"/>
        <v>77.07102181</v>
      </c>
      <c r="R14">
        <f t="shared" si="9"/>
        <v>72.92897819</v>
      </c>
      <c r="S14" s="1">
        <v>0.0</v>
      </c>
    </row>
    <row r="15">
      <c r="A15" s="14" t="s">
        <v>209</v>
      </c>
      <c r="B15" s="1">
        <v>1733972.0</v>
      </c>
      <c r="D15" s="6">
        <v>68.03</v>
      </c>
      <c r="E15" s="6">
        <v>25.54</v>
      </c>
      <c r="F15" s="6">
        <v>0.0</v>
      </c>
      <c r="G15">
        <f t="shared" si="1"/>
        <v>93.57</v>
      </c>
      <c r="H15" s="1"/>
      <c r="I15" s="6">
        <f t="shared" si="2"/>
        <v>1179621.152</v>
      </c>
      <c r="J15" s="6">
        <f t="shared" si="3"/>
        <v>442856.4488</v>
      </c>
      <c r="K15" s="6">
        <f t="shared" si="4"/>
        <v>0</v>
      </c>
      <c r="M15">
        <f t="shared" si="5"/>
        <v>72.70492679</v>
      </c>
      <c r="N15">
        <f t="shared" si="6"/>
        <v>27.29507321</v>
      </c>
      <c r="O15">
        <f t="shared" si="7"/>
        <v>0</v>
      </c>
      <c r="Q15" s="5">
        <f t="shared" si="8"/>
        <v>86.3524634</v>
      </c>
      <c r="R15">
        <f t="shared" si="9"/>
        <v>63.6475366</v>
      </c>
      <c r="S15" s="1">
        <v>0.0</v>
      </c>
    </row>
    <row r="16">
      <c r="A16" s="1" t="s">
        <v>210</v>
      </c>
      <c r="B16" s="1">
        <v>1601832.0</v>
      </c>
      <c r="D16" s="6">
        <v>64.22</v>
      </c>
      <c r="E16" s="6">
        <v>31.11</v>
      </c>
      <c r="F16" s="6">
        <v>0.0</v>
      </c>
      <c r="G16">
        <f t="shared" si="1"/>
        <v>95.33</v>
      </c>
      <c r="H16" s="6"/>
      <c r="I16" s="6">
        <f t="shared" si="2"/>
        <v>1028696.51</v>
      </c>
      <c r="J16" s="6">
        <f t="shared" si="3"/>
        <v>498329.9352</v>
      </c>
      <c r="K16" s="6">
        <f t="shared" si="4"/>
        <v>0</v>
      </c>
      <c r="M16">
        <f t="shared" si="5"/>
        <v>67.36599182</v>
      </c>
      <c r="N16">
        <f t="shared" si="6"/>
        <v>32.63400818</v>
      </c>
      <c r="O16">
        <f t="shared" si="7"/>
        <v>0</v>
      </c>
      <c r="Q16" s="5">
        <f t="shared" si="8"/>
        <v>83.68299591</v>
      </c>
      <c r="R16">
        <f t="shared" si="9"/>
        <v>66.31700409</v>
      </c>
      <c r="S16" s="1">
        <v>0.0</v>
      </c>
    </row>
    <row r="17">
      <c r="A17" s="14" t="s">
        <v>211</v>
      </c>
      <c r="B17" s="1">
        <v>1534400.0</v>
      </c>
      <c r="D17" s="6">
        <v>63.91</v>
      </c>
      <c r="E17" s="6">
        <v>30.74</v>
      </c>
      <c r="F17" s="6">
        <v>0.0</v>
      </c>
      <c r="G17">
        <f t="shared" si="1"/>
        <v>94.65</v>
      </c>
      <c r="H17" s="1"/>
      <c r="I17" s="6">
        <f t="shared" si="2"/>
        <v>980635.04</v>
      </c>
      <c r="J17" s="6">
        <f t="shared" si="3"/>
        <v>471674.56</v>
      </c>
      <c r="K17" s="6">
        <f t="shared" si="4"/>
        <v>0</v>
      </c>
      <c r="M17">
        <f t="shared" si="5"/>
        <v>67.52245114</v>
      </c>
      <c r="N17">
        <f t="shared" si="6"/>
        <v>32.47754886</v>
      </c>
      <c r="O17">
        <f t="shared" si="7"/>
        <v>0</v>
      </c>
      <c r="Q17" s="5">
        <f t="shared" si="8"/>
        <v>83.76122557</v>
      </c>
      <c r="R17">
        <f t="shared" si="9"/>
        <v>66.23877443</v>
      </c>
      <c r="S17" s="1">
        <v>0.0</v>
      </c>
    </row>
    <row r="18">
      <c r="A18" s="1" t="s">
        <v>212</v>
      </c>
      <c r="B18" s="1">
        <v>1656657.0</v>
      </c>
      <c r="D18" s="6">
        <v>55.95</v>
      </c>
      <c r="E18" s="6">
        <v>34.49</v>
      </c>
      <c r="F18" s="6">
        <v>0.0</v>
      </c>
      <c r="G18">
        <f t="shared" si="1"/>
        <v>90.44</v>
      </c>
      <c r="H18" s="6"/>
      <c r="I18" s="6">
        <f t="shared" si="2"/>
        <v>926899.5915</v>
      </c>
      <c r="J18" s="6">
        <f t="shared" si="3"/>
        <v>571380.9993</v>
      </c>
      <c r="K18" s="6">
        <f t="shared" si="4"/>
        <v>0</v>
      </c>
      <c r="M18">
        <f t="shared" si="5"/>
        <v>61.86421937</v>
      </c>
      <c r="N18">
        <f t="shared" si="6"/>
        <v>38.13578063</v>
      </c>
      <c r="O18">
        <f t="shared" si="7"/>
        <v>0</v>
      </c>
      <c r="Q18" s="5">
        <f t="shared" si="8"/>
        <v>80.93210969</v>
      </c>
      <c r="R18">
        <f t="shared" si="9"/>
        <v>69.06789031</v>
      </c>
      <c r="S18" s="1">
        <v>0.0</v>
      </c>
    </row>
    <row r="19">
      <c r="A19" s="14" t="s">
        <v>213</v>
      </c>
      <c r="B19" s="1">
        <v>1655717.0</v>
      </c>
      <c r="D19" s="6">
        <v>58.76</v>
      </c>
      <c r="E19" s="6">
        <v>35.46</v>
      </c>
      <c r="F19" s="6">
        <v>0.0</v>
      </c>
      <c r="G19">
        <f t="shared" si="1"/>
        <v>94.22</v>
      </c>
      <c r="H19" s="6"/>
      <c r="I19" s="6">
        <f t="shared" si="2"/>
        <v>972899.3092</v>
      </c>
      <c r="J19" s="6">
        <f t="shared" si="3"/>
        <v>587117.2482</v>
      </c>
      <c r="K19" s="6">
        <f t="shared" si="4"/>
        <v>0</v>
      </c>
      <c r="M19">
        <f t="shared" si="5"/>
        <v>62.36467841</v>
      </c>
      <c r="N19">
        <f t="shared" si="6"/>
        <v>37.63532159</v>
      </c>
      <c r="O19">
        <f t="shared" si="7"/>
        <v>0</v>
      </c>
      <c r="Q19" s="5">
        <f t="shared" si="8"/>
        <v>81.18233921</v>
      </c>
      <c r="R19">
        <f t="shared" si="9"/>
        <v>68.81766079</v>
      </c>
      <c r="S19" s="1">
        <v>0.0</v>
      </c>
    </row>
    <row r="20">
      <c r="A20" s="1" t="s">
        <v>214</v>
      </c>
      <c r="B20" s="1">
        <v>1539223.0</v>
      </c>
      <c r="D20" s="6">
        <v>62.77</v>
      </c>
      <c r="E20" s="6">
        <v>26.69</v>
      </c>
      <c r="F20" s="6">
        <v>0.0</v>
      </c>
      <c r="G20">
        <f t="shared" si="1"/>
        <v>89.46</v>
      </c>
      <c r="H20" s="6"/>
      <c r="I20" s="6">
        <f t="shared" si="2"/>
        <v>966170.2771</v>
      </c>
      <c r="J20" s="6">
        <f t="shared" si="3"/>
        <v>410818.6187</v>
      </c>
      <c r="K20" s="6">
        <f t="shared" si="4"/>
        <v>0</v>
      </c>
      <c r="M20">
        <f t="shared" si="5"/>
        <v>70.16543707</v>
      </c>
      <c r="N20">
        <f t="shared" si="6"/>
        <v>29.83456293</v>
      </c>
      <c r="O20">
        <f t="shared" si="7"/>
        <v>0</v>
      </c>
      <c r="Q20" s="5">
        <f t="shared" si="8"/>
        <v>85.08271853</v>
      </c>
      <c r="R20">
        <f t="shared" si="9"/>
        <v>64.91728147</v>
      </c>
      <c r="S20" s="1">
        <v>0.0</v>
      </c>
    </row>
    <row r="21">
      <c r="A21" s="14" t="s">
        <v>215</v>
      </c>
      <c r="B21" s="1">
        <v>1470952.0</v>
      </c>
      <c r="D21" s="6">
        <v>56.79</v>
      </c>
      <c r="E21" s="6">
        <v>36.24</v>
      </c>
      <c r="F21" s="6">
        <v>0.0</v>
      </c>
      <c r="G21">
        <f t="shared" si="1"/>
        <v>93.03</v>
      </c>
      <c r="H21" s="6"/>
      <c r="I21" s="6">
        <f t="shared" si="2"/>
        <v>835353.6408</v>
      </c>
      <c r="J21" s="6">
        <f t="shared" si="3"/>
        <v>533073.0048</v>
      </c>
      <c r="K21" s="6">
        <f t="shared" si="4"/>
        <v>0</v>
      </c>
      <c r="M21">
        <f t="shared" si="5"/>
        <v>61.04482425</v>
      </c>
      <c r="N21">
        <f t="shared" si="6"/>
        <v>38.95517575</v>
      </c>
      <c r="O21">
        <f t="shared" si="7"/>
        <v>0</v>
      </c>
      <c r="Q21" s="5">
        <f t="shared" si="8"/>
        <v>80.52241213</v>
      </c>
      <c r="R21">
        <f t="shared" si="9"/>
        <v>69.47758787</v>
      </c>
      <c r="S21" s="1">
        <v>0.0</v>
      </c>
    </row>
    <row r="22">
      <c r="A22" s="14" t="s">
        <v>216</v>
      </c>
      <c r="B22" s="1">
        <v>1485543.0</v>
      </c>
      <c r="D22" s="6">
        <v>54.46</v>
      </c>
      <c r="E22" s="6">
        <v>40.05</v>
      </c>
      <c r="F22" s="6">
        <v>0.0</v>
      </c>
      <c r="G22">
        <f t="shared" si="1"/>
        <v>94.51</v>
      </c>
      <c r="H22" s="6"/>
      <c r="I22" s="6">
        <f t="shared" si="2"/>
        <v>809026.7178</v>
      </c>
      <c r="J22" s="6">
        <f t="shared" si="3"/>
        <v>594959.9715</v>
      </c>
      <c r="K22" s="6">
        <f t="shared" si="4"/>
        <v>0</v>
      </c>
      <c r="M22">
        <f t="shared" si="5"/>
        <v>57.6235319</v>
      </c>
      <c r="N22">
        <f t="shared" si="6"/>
        <v>42.3764681</v>
      </c>
      <c r="O22">
        <f t="shared" si="7"/>
        <v>0</v>
      </c>
      <c r="Q22" s="5">
        <f t="shared" si="8"/>
        <v>78.81176595</v>
      </c>
      <c r="R22">
        <f t="shared" si="9"/>
        <v>71.18823405</v>
      </c>
      <c r="S22" s="1">
        <v>0.0</v>
      </c>
    </row>
    <row r="23">
      <c r="A23" s="1" t="s">
        <v>219</v>
      </c>
      <c r="B23" s="1">
        <v>1486286.0</v>
      </c>
      <c r="D23" s="6">
        <v>53.94</v>
      </c>
      <c r="E23" s="6">
        <v>34.64</v>
      </c>
      <c r="F23" s="6">
        <v>0.0</v>
      </c>
      <c r="G23">
        <f t="shared" si="1"/>
        <v>88.58</v>
      </c>
      <c r="H23" s="6"/>
      <c r="I23" s="6">
        <f t="shared" si="2"/>
        <v>801702.6684</v>
      </c>
      <c r="J23" s="6">
        <f t="shared" si="3"/>
        <v>514849.4704</v>
      </c>
      <c r="K23" s="6">
        <f t="shared" si="4"/>
        <v>0</v>
      </c>
      <c r="M23">
        <f t="shared" si="5"/>
        <v>60.89410702</v>
      </c>
      <c r="N23">
        <f t="shared" si="6"/>
        <v>39.10589298</v>
      </c>
      <c r="O23">
        <f t="shared" si="7"/>
        <v>0</v>
      </c>
      <c r="Q23" s="5">
        <f t="shared" si="8"/>
        <v>80.44705351</v>
      </c>
      <c r="R23">
        <f t="shared" si="9"/>
        <v>69.55294649</v>
      </c>
      <c r="S23" s="1">
        <v>0.0</v>
      </c>
    </row>
    <row r="24">
      <c r="A24" s="1" t="s">
        <v>220</v>
      </c>
      <c r="B24" s="1">
        <v>1594531.0</v>
      </c>
      <c r="D24" s="1">
        <v>59.85</v>
      </c>
      <c r="E24" s="1">
        <v>27.67</v>
      </c>
      <c r="F24" s="6">
        <v>5.4</v>
      </c>
      <c r="G24">
        <f t="shared" si="1"/>
        <v>92.92</v>
      </c>
      <c r="I24" s="6">
        <f t="shared" si="2"/>
        <v>954326.8035</v>
      </c>
      <c r="J24" s="6">
        <f t="shared" si="3"/>
        <v>441206.7277</v>
      </c>
      <c r="K24" s="6">
        <f t="shared" si="4"/>
        <v>86104.674</v>
      </c>
      <c r="M24">
        <f t="shared" si="5"/>
        <v>64.41024537</v>
      </c>
      <c r="N24">
        <f t="shared" si="6"/>
        <v>29.77830392</v>
      </c>
      <c r="O24">
        <f t="shared" si="7"/>
        <v>5.81145071</v>
      </c>
      <c r="Q24" s="5">
        <f t="shared" si="8"/>
        <v>79.29939733</v>
      </c>
      <c r="R24">
        <f t="shared" si="9"/>
        <v>61.9834266</v>
      </c>
      <c r="S24" s="1">
        <v>0.0</v>
      </c>
    </row>
    <row r="25">
      <c r="A25" s="1" t="s">
        <v>221</v>
      </c>
      <c r="B25" s="1">
        <v>1496859.0</v>
      </c>
      <c r="D25" s="1">
        <v>50.54</v>
      </c>
      <c r="E25" s="1">
        <v>44.0</v>
      </c>
      <c r="F25" s="6">
        <v>0.0</v>
      </c>
      <c r="G25">
        <f t="shared" si="1"/>
        <v>94.54</v>
      </c>
      <c r="I25" s="6">
        <f t="shared" si="2"/>
        <v>756512.5386</v>
      </c>
      <c r="J25" s="6">
        <f t="shared" si="3"/>
        <v>658617.96</v>
      </c>
      <c r="K25" s="6">
        <f t="shared" si="4"/>
        <v>0</v>
      </c>
      <c r="M25">
        <f t="shared" si="5"/>
        <v>53.4588534</v>
      </c>
      <c r="N25">
        <f t="shared" si="6"/>
        <v>46.5411466</v>
      </c>
      <c r="O25">
        <f t="shared" si="7"/>
        <v>0</v>
      </c>
      <c r="Q25" s="5">
        <f t="shared" si="8"/>
        <v>76.7294267</v>
      </c>
      <c r="R25">
        <f t="shared" si="9"/>
        <v>73.2705733</v>
      </c>
      <c r="S25" s="1">
        <v>0.0</v>
      </c>
    </row>
    <row r="26">
      <c r="A26" s="1" t="s">
        <v>223</v>
      </c>
      <c r="B26" s="1">
        <v>1599476.0</v>
      </c>
      <c r="D26" s="1">
        <v>59.35</v>
      </c>
      <c r="E26" s="1">
        <v>35.02</v>
      </c>
      <c r="F26" s="6">
        <v>0.0</v>
      </c>
      <c r="G26">
        <f t="shared" si="1"/>
        <v>94.37</v>
      </c>
      <c r="I26" s="6">
        <f t="shared" si="2"/>
        <v>949289.006</v>
      </c>
      <c r="J26" s="6">
        <f t="shared" si="3"/>
        <v>560136.4952</v>
      </c>
      <c r="K26" s="6">
        <f t="shared" si="4"/>
        <v>0</v>
      </c>
      <c r="M26">
        <f t="shared" si="5"/>
        <v>62.89074918</v>
      </c>
      <c r="N26">
        <f t="shared" si="6"/>
        <v>37.10925082</v>
      </c>
      <c r="O26">
        <f t="shared" si="7"/>
        <v>0</v>
      </c>
      <c r="Q26" s="5">
        <f t="shared" si="8"/>
        <v>81.44537459</v>
      </c>
      <c r="R26">
        <f t="shared" si="9"/>
        <v>68.55462541</v>
      </c>
      <c r="S26" s="1">
        <v>0.0</v>
      </c>
    </row>
    <row r="27">
      <c r="A27" s="1" t="s">
        <v>225</v>
      </c>
      <c r="B27" s="1">
        <v>1576667.0</v>
      </c>
      <c r="D27" s="1">
        <v>54.36</v>
      </c>
      <c r="E27" s="1">
        <v>36.11</v>
      </c>
      <c r="F27" s="6">
        <v>0.0</v>
      </c>
      <c r="G27">
        <f t="shared" si="1"/>
        <v>90.47</v>
      </c>
      <c r="I27" s="6">
        <f t="shared" si="2"/>
        <v>857076.1812</v>
      </c>
      <c r="J27" s="6">
        <f t="shared" si="3"/>
        <v>569334.4537</v>
      </c>
      <c r="K27" s="6">
        <f t="shared" si="4"/>
        <v>0</v>
      </c>
      <c r="M27">
        <f t="shared" si="5"/>
        <v>60.08621643</v>
      </c>
      <c r="N27">
        <f t="shared" si="6"/>
        <v>39.91378357</v>
      </c>
      <c r="O27">
        <f t="shared" si="7"/>
        <v>0</v>
      </c>
      <c r="Q27" s="5">
        <f t="shared" si="8"/>
        <v>80.04310821</v>
      </c>
      <c r="R27">
        <f t="shared" si="9"/>
        <v>69.95689179</v>
      </c>
      <c r="S27" s="1">
        <v>0.0</v>
      </c>
    </row>
    <row r="28">
      <c r="A28" s="1" t="s">
        <v>227</v>
      </c>
      <c r="B28" s="1">
        <v>1411765.0</v>
      </c>
      <c r="D28" s="1">
        <v>56.7</v>
      </c>
      <c r="E28" s="1">
        <v>31.15</v>
      </c>
      <c r="F28" s="6">
        <v>0.0</v>
      </c>
      <c r="G28">
        <f t="shared" si="1"/>
        <v>87.85</v>
      </c>
      <c r="I28" s="6">
        <f t="shared" si="2"/>
        <v>800470.755</v>
      </c>
      <c r="J28" s="6">
        <f t="shared" si="3"/>
        <v>439764.7975</v>
      </c>
      <c r="K28" s="6">
        <f t="shared" si="4"/>
        <v>0</v>
      </c>
      <c r="M28">
        <f t="shared" si="5"/>
        <v>64.54183267</v>
      </c>
      <c r="N28">
        <f t="shared" si="6"/>
        <v>35.45816733</v>
      </c>
      <c r="O28">
        <f t="shared" si="7"/>
        <v>0</v>
      </c>
      <c r="Q28" s="5">
        <f t="shared" si="8"/>
        <v>82.27091633</v>
      </c>
      <c r="R28">
        <f t="shared" si="9"/>
        <v>67.72908367</v>
      </c>
      <c r="S28" s="1">
        <v>0.0</v>
      </c>
    </row>
    <row r="29">
      <c r="A29" s="1" t="s">
        <v>229</v>
      </c>
      <c r="B29" s="1">
        <v>1638321.0</v>
      </c>
      <c r="D29" s="1">
        <v>72.75</v>
      </c>
      <c r="E29" s="1">
        <v>23.69</v>
      </c>
      <c r="F29" s="6">
        <v>0.0</v>
      </c>
      <c r="G29">
        <f t="shared" si="1"/>
        <v>96.44</v>
      </c>
      <c r="I29" s="6">
        <f t="shared" si="2"/>
        <v>1191878.528</v>
      </c>
      <c r="J29" s="6">
        <f t="shared" si="3"/>
        <v>388118.2449</v>
      </c>
      <c r="K29" s="6">
        <f t="shared" si="4"/>
        <v>0</v>
      </c>
      <c r="M29">
        <f t="shared" si="5"/>
        <v>75.43550394</v>
      </c>
      <c r="N29">
        <f t="shared" si="6"/>
        <v>24.56449606</v>
      </c>
      <c r="O29">
        <f t="shared" si="7"/>
        <v>0</v>
      </c>
      <c r="Q29" s="5">
        <f t="shared" si="8"/>
        <v>87.71775197</v>
      </c>
      <c r="R29">
        <f t="shared" si="9"/>
        <v>62.28224803</v>
      </c>
      <c r="S29" s="1">
        <v>0.0</v>
      </c>
    </row>
    <row r="30">
      <c r="A30" s="1" t="s">
        <v>230</v>
      </c>
      <c r="B30" s="1">
        <v>1536305.0</v>
      </c>
      <c r="D30" s="1">
        <v>55.18</v>
      </c>
      <c r="E30" s="1">
        <v>38.87</v>
      </c>
      <c r="F30" s="6">
        <v>0.0</v>
      </c>
      <c r="G30">
        <f t="shared" si="1"/>
        <v>94.05</v>
      </c>
      <c r="I30" s="6">
        <f t="shared" si="2"/>
        <v>847733.099</v>
      </c>
      <c r="J30" s="6">
        <f t="shared" si="3"/>
        <v>597161.7535</v>
      </c>
      <c r="K30" s="6">
        <f t="shared" si="4"/>
        <v>0</v>
      </c>
      <c r="M30">
        <f t="shared" si="5"/>
        <v>58.67091972</v>
      </c>
      <c r="N30">
        <f t="shared" si="6"/>
        <v>41.32908028</v>
      </c>
      <c r="O30">
        <f t="shared" si="7"/>
        <v>0</v>
      </c>
      <c r="Q30" s="5">
        <f t="shared" si="8"/>
        <v>79.33545986</v>
      </c>
      <c r="R30">
        <f t="shared" si="9"/>
        <v>70.66454014</v>
      </c>
      <c r="S30" s="1">
        <v>0.0</v>
      </c>
    </row>
    <row r="31">
      <c r="A31" s="1" t="s">
        <v>231</v>
      </c>
      <c r="B31" s="1">
        <v>1417548.0</v>
      </c>
      <c r="D31" s="1">
        <v>51.73</v>
      </c>
      <c r="E31" s="1">
        <v>37.29</v>
      </c>
      <c r="F31" s="6">
        <v>0.0</v>
      </c>
      <c r="G31">
        <f t="shared" si="1"/>
        <v>89.02</v>
      </c>
      <c r="I31" s="6">
        <f t="shared" si="2"/>
        <v>733297.5804</v>
      </c>
      <c r="J31" s="6">
        <f t="shared" si="3"/>
        <v>528603.6492</v>
      </c>
      <c r="K31" s="6">
        <f t="shared" si="4"/>
        <v>0</v>
      </c>
      <c r="M31">
        <f t="shared" si="5"/>
        <v>58.11053696</v>
      </c>
      <c r="N31">
        <f t="shared" si="6"/>
        <v>41.88946304</v>
      </c>
      <c r="O31">
        <f t="shared" si="7"/>
        <v>0</v>
      </c>
      <c r="Q31" s="5">
        <f t="shared" si="8"/>
        <v>79.05526848</v>
      </c>
      <c r="R31">
        <f t="shared" si="9"/>
        <v>70.94473152</v>
      </c>
      <c r="S31" s="1">
        <v>0.0</v>
      </c>
    </row>
    <row r="32">
      <c r="A32" s="1" t="s">
        <v>233</v>
      </c>
      <c r="B32" s="1">
        <v>1614106.0</v>
      </c>
      <c r="D32" s="1">
        <v>51.49</v>
      </c>
      <c r="E32" s="1">
        <v>41.24</v>
      </c>
      <c r="F32" s="6">
        <v>0.0</v>
      </c>
      <c r="G32">
        <f t="shared" si="1"/>
        <v>92.73</v>
      </c>
      <c r="I32" s="6">
        <f t="shared" si="2"/>
        <v>831103.1794</v>
      </c>
      <c r="J32" s="6">
        <f t="shared" si="3"/>
        <v>665657.3144</v>
      </c>
      <c r="K32" s="6">
        <f t="shared" si="4"/>
        <v>0</v>
      </c>
      <c r="M32">
        <f t="shared" si="5"/>
        <v>55.52679823</v>
      </c>
      <c r="N32">
        <f t="shared" si="6"/>
        <v>44.47320177</v>
      </c>
      <c r="O32">
        <f t="shared" si="7"/>
        <v>0</v>
      </c>
      <c r="Q32" s="5">
        <f t="shared" si="8"/>
        <v>77.76339912</v>
      </c>
      <c r="R32">
        <f t="shared" si="9"/>
        <v>72.23660088</v>
      </c>
      <c r="S32" s="1">
        <v>0.0</v>
      </c>
    </row>
    <row r="33">
      <c r="A33" s="1" t="s">
        <v>235</v>
      </c>
      <c r="B33" s="1">
        <v>1484068.0</v>
      </c>
      <c r="D33" s="1">
        <v>75.75</v>
      </c>
      <c r="E33" s="1">
        <v>19.53</v>
      </c>
      <c r="F33" s="6">
        <v>0.0</v>
      </c>
      <c r="G33">
        <f t="shared" si="1"/>
        <v>95.28</v>
      </c>
      <c r="I33" s="6">
        <f t="shared" si="2"/>
        <v>1124181.51</v>
      </c>
      <c r="J33" s="6">
        <f t="shared" si="3"/>
        <v>289838.4804</v>
      </c>
      <c r="K33" s="6">
        <f t="shared" si="4"/>
        <v>0</v>
      </c>
      <c r="M33">
        <f t="shared" si="5"/>
        <v>79.50251889</v>
      </c>
      <c r="N33">
        <f t="shared" si="6"/>
        <v>20.49748111</v>
      </c>
      <c r="O33">
        <f t="shared" si="7"/>
        <v>0</v>
      </c>
      <c r="Q33" s="5">
        <f t="shared" si="8"/>
        <v>89.75125945</v>
      </c>
      <c r="R33">
        <f t="shared" si="9"/>
        <v>60.24874055</v>
      </c>
      <c r="S33" s="1">
        <v>0.0</v>
      </c>
    </row>
    <row r="34">
      <c r="A34" s="1" t="s">
        <v>237</v>
      </c>
      <c r="B34" s="1">
        <v>1764622.0</v>
      </c>
      <c r="D34" s="1">
        <v>70.67</v>
      </c>
      <c r="E34" s="1">
        <v>22.62</v>
      </c>
      <c r="F34" s="1">
        <v>0.0</v>
      </c>
      <c r="G34">
        <f t="shared" si="1"/>
        <v>93.29</v>
      </c>
      <c r="I34" s="6">
        <f t="shared" si="2"/>
        <v>1247058.367</v>
      </c>
      <c r="J34" s="6">
        <f t="shared" si="3"/>
        <v>399157.4964</v>
      </c>
      <c r="K34" s="6">
        <f t="shared" si="4"/>
        <v>0</v>
      </c>
      <c r="M34">
        <f t="shared" si="5"/>
        <v>75.75302819</v>
      </c>
      <c r="N34">
        <f t="shared" si="6"/>
        <v>24.24697181</v>
      </c>
      <c r="O34">
        <f t="shared" si="7"/>
        <v>0</v>
      </c>
      <c r="Q34" s="5">
        <f t="shared" si="8"/>
        <v>87.8765141</v>
      </c>
      <c r="R34">
        <f t="shared" si="9"/>
        <v>62.1234859</v>
      </c>
      <c r="S34" s="1">
        <v>0.0</v>
      </c>
    </row>
    <row r="35">
      <c r="A35" s="1" t="s">
        <v>239</v>
      </c>
      <c r="B35" s="1">
        <v>1512061.0</v>
      </c>
      <c r="D35" s="1">
        <v>55.0</v>
      </c>
      <c r="E35" s="1">
        <v>36.48</v>
      </c>
      <c r="F35" s="1">
        <v>0.0</v>
      </c>
      <c r="G35">
        <f t="shared" si="1"/>
        <v>91.48</v>
      </c>
      <c r="I35" s="6">
        <f t="shared" si="2"/>
        <v>831633.55</v>
      </c>
      <c r="J35" s="6">
        <f t="shared" si="3"/>
        <v>551599.8528</v>
      </c>
      <c r="K35" s="6">
        <f t="shared" si="4"/>
        <v>0</v>
      </c>
      <c r="M35">
        <f t="shared" si="5"/>
        <v>60.12243113</v>
      </c>
      <c r="N35">
        <f t="shared" si="6"/>
        <v>39.87756887</v>
      </c>
      <c r="O35">
        <f t="shared" si="7"/>
        <v>0</v>
      </c>
      <c r="Q35" s="5">
        <f t="shared" si="8"/>
        <v>80.06121557</v>
      </c>
      <c r="R35">
        <f t="shared" si="9"/>
        <v>69.93878443</v>
      </c>
      <c r="S35" s="1">
        <v>0.0</v>
      </c>
    </row>
    <row r="36">
      <c r="A36" s="1"/>
      <c r="B36" s="1"/>
      <c r="D36" s="1"/>
      <c r="E36" s="1"/>
      <c r="F36" s="1"/>
      <c r="I36" s="6"/>
      <c r="J36" s="6"/>
      <c r="K36" s="6"/>
    </row>
    <row r="37">
      <c r="A37" s="1"/>
      <c r="B37" s="1"/>
      <c r="D37" s="1"/>
      <c r="E37" s="1"/>
      <c r="F37" s="1"/>
      <c r="I37" s="6"/>
      <c r="J37" s="6"/>
      <c r="K37" s="6"/>
    </row>
    <row r="38">
      <c r="A38" s="1"/>
      <c r="B38" s="1"/>
      <c r="D38" s="1"/>
      <c r="E38" s="1"/>
      <c r="F38" s="1"/>
      <c r="I38" s="6"/>
      <c r="J38" s="6"/>
      <c r="K38" s="6"/>
    </row>
    <row r="39">
      <c r="A39" s="1"/>
      <c r="B39" s="1"/>
      <c r="D39" s="1"/>
      <c r="E39" s="1"/>
      <c r="F39" s="1"/>
      <c r="I39" s="6"/>
      <c r="J39" s="6"/>
      <c r="K39" s="6"/>
    </row>
    <row r="40">
      <c r="A40" s="1"/>
      <c r="B40" s="1"/>
      <c r="D40" s="1"/>
      <c r="E40" s="1"/>
      <c r="F40" s="1"/>
      <c r="I40" s="6"/>
      <c r="J40" s="6"/>
      <c r="K40" s="6"/>
    </row>
    <row r="41">
      <c r="A41" s="1"/>
      <c r="B41" s="1"/>
      <c r="D41" s="1"/>
      <c r="E41" s="1"/>
      <c r="F41" s="1"/>
      <c r="I41" s="6"/>
      <c r="J41" s="6"/>
      <c r="K41" s="6"/>
    </row>
    <row r="42">
      <c r="A42" s="1"/>
      <c r="B42" s="1"/>
      <c r="D42" s="1"/>
      <c r="E42" s="1"/>
      <c r="F42" s="1"/>
      <c r="I42" s="6"/>
      <c r="J42" s="6"/>
      <c r="K42" s="6"/>
    </row>
    <row r="43">
      <c r="A43" s="1"/>
      <c r="B43" s="1"/>
      <c r="D43" s="1"/>
      <c r="E43" s="1"/>
      <c r="F43" s="1"/>
      <c r="I43" s="6"/>
      <c r="J43" s="6"/>
      <c r="K43" s="6"/>
    </row>
    <row r="44">
      <c r="A44" s="1"/>
      <c r="B44" s="1"/>
      <c r="D44" s="1"/>
      <c r="E44" s="1"/>
      <c r="F44" s="1"/>
      <c r="I44" s="6"/>
      <c r="J44" s="6"/>
      <c r="K44" s="6"/>
    </row>
    <row r="45">
      <c r="A45" s="1"/>
      <c r="B45" s="1"/>
      <c r="D45" s="1"/>
      <c r="E45" s="1"/>
      <c r="F45" s="1"/>
      <c r="I45" s="6"/>
      <c r="J45" s="6"/>
      <c r="K45" s="6"/>
    </row>
    <row r="46">
      <c r="A46" s="1"/>
      <c r="B46" s="1"/>
      <c r="D46" s="1"/>
      <c r="E46" s="1"/>
      <c r="F46" s="1"/>
      <c r="I46" s="6"/>
      <c r="J46" s="6"/>
      <c r="K46" s="6"/>
    </row>
    <row r="47">
      <c r="A47" s="1"/>
      <c r="B47" s="1"/>
      <c r="D47" s="1"/>
      <c r="E47" s="1"/>
      <c r="F47" s="1"/>
      <c r="I47" s="6"/>
      <c r="J47" s="6"/>
      <c r="K47" s="6"/>
    </row>
    <row r="48">
      <c r="A48" s="1"/>
      <c r="B48" s="1"/>
      <c r="D48" s="1"/>
      <c r="E48" s="1"/>
      <c r="F48" s="1"/>
      <c r="I48" s="6"/>
      <c r="J48" s="6"/>
      <c r="K48" s="6"/>
    </row>
    <row r="49">
      <c r="A49" s="1"/>
      <c r="B49" s="1"/>
      <c r="D49" s="1"/>
      <c r="E49" s="1"/>
      <c r="F49" s="1"/>
      <c r="I49" s="6"/>
      <c r="J49" s="6"/>
      <c r="K49" s="6"/>
    </row>
    <row r="50">
      <c r="A50" s="1"/>
      <c r="B50" s="1"/>
      <c r="D50" s="1"/>
      <c r="E50" s="1"/>
      <c r="F50" s="1"/>
      <c r="I50" s="6"/>
      <c r="J50" s="6"/>
      <c r="K50" s="6"/>
    </row>
    <row r="51">
      <c r="F51" s="1"/>
      <c r="I51" s="6"/>
      <c r="J51" s="6"/>
      <c r="K51" s="6"/>
    </row>
    <row r="52">
      <c r="F52" s="1"/>
      <c r="I52" s="6"/>
      <c r="J52" s="6"/>
      <c r="K52" s="6"/>
    </row>
    <row r="53">
      <c r="I53" s="6"/>
      <c r="J53" s="6"/>
      <c r="K53" s="6"/>
    </row>
    <row r="54">
      <c r="I54" s="6"/>
      <c r="J54" s="6"/>
      <c r="K54" s="6"/>
    </row>
    <row r="55">
      <c r="J55" s="6"/>
      <c r="K55" s="6"/>
    </row>
    <row r="56">
      <c r="J56" s="6"/>
      <c r="K56" s="6"/>
    </row>
    <row r="57">
      <c r="K57" s="6"/>
    </row>
  </sheetData>
  <mergeCells count="1">
    <mergeCell ref="P2:T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1</v>
      </c>
      <c r="C1" s="4" t="s">
        <v>17</v>
      </c>
      <c r="D1" s="4" t="s">
        <v>18</v>
      </c>
      <c r="E1" s="12"/>
      <c r="F1" s="12"/>
      <c r="G1" s="12"/>
      <c r="H1" s="12"/>
      <c r="I1" s="12"/>
      <c r="J1" s="12"/>
      <c r="K1" s="12"/>
      <c r="L1" s="12"/>
      <c r="M1" s="12"/>
      <c r="N1" s="12"/>
    </row>
    <row r="2">
      <c r="A2" s="13"/>
      <c r="B2" s="13"/>
      <c r="C2" s="12"/>
      <c r="D2" s="12"/>
      <c r="E2" s="12"/>
      <c r="F2" s="12"/>
      <c r="G2" s="13" t="s">
        <v>217</v>
      </c>
      <c r="H2" s="13" t="s">
        <v>13</v>
      </c>
      <c r="I2" s="13" t="s">
        <v>218</v>
      </c>
      <c r="K2" s="12"/>
      <c r="L2" s="12"/>
      <c r="M2" s="12"/>
      <c r="N2" s="12"/>
    </row>
    <row r="3">
      <c r="A3" s="15" t="s">
        <v>3</v>
      </c>
      <c r="B3" s="15" t="s">
        <v>4</v>
      </c>
      <c r="C3" s="17">
        <v>7.0</v>
      </c>
      <c r="D3" s="19">
        <v>4.0</v>
      </c>
      <c r="E3" s="12"/>
      <c r="F3" s="13" t="s">
        <v>217</v>
      </c>
      <c r="G3" s="20">
        <v>1.0</v>
      </c>
      <c r="H3" s="20">
        <v>3.0</v>
      </c>
      <c r="I3" s="20">
        <v>2.0</v>
      </c>
      <c r="J3" s="12"/>
      <c r="K3" s="12"/>
      <c r="L3" s="12"/>
      <c r="M3" s="12"/>
      <c r="N3" s="12"/>
    </row>
    <row r="4">
      <c r="A4" s="15" t="s">
        <v>5</v>
      </c>
      <c r="B4" s="15" t="s">
        <v>6</v>
      </c>
      <c r="C4" s="17">
        <v>1.0</v>
      </c>
      <c r="D4" s="19">
        <v>0.0</v>
      </c>
      <c r="E4" s="12"/>
      <c r="F4" s="13" t="s">
        <v>13</v>
      </c>
      <c r="G4" s="20">
        <v>3.0</v>
      </c>
      <c r="H4" s="20">
        <v>1.0</v>
      </c>
      <c r="I4" s="20">
        <v>2.0</v>
      </c>
      <c r="J4" s="12"/>
      <c r="K4" s="12"/>
      <c r="L4" s="12"/>
      <c r="M4" s="12"/>
      <c r="N4" s="12"/>
    </row>
    <row r="5">
      <c r="A5" s="15" t="s">
        <v>164</v>
      </c>
      <c r="B5" s="12"/>
      <c r="C5" s="17">
        <v>0.0</v>
      </c>
      <c r="D5" s="21">
        <v>0.0</v>
      </c>
      <c r="E5" s="12"/>
      <c r="F5" s="13" t="s">
        <v>218</v>
      </c>
      <c r="G5" s="20">
        <v>2.0</v>
      </c>
      <c r="H5" s="20">
        <v>3.0</v>
      </c>
      <c r="I5" s="20">
        <v>1.0</v>
      </c>
      <c r="J5" s="12"/>
      <c r="K5" s="12"/>
      <c r="L5" s="12"/>
      <c r="M5" s="12"/>
      <c r="N5" s="12"/>
    </row>
    <row r="6">
      <c r="A6" s="15" t="s">
        <v>143</v>
      </c>
      <c r="B6" s="12"/>
      <c r="C6" s="21">
        <v>0.0</v>
      </c>
      <c r="D6" s="21">
        <v>0.0</v>
      </c>
      <c r="E6" s="12"/>
      <c r="G6" s="12"/>
      <c r="H6" s="12"/>
      <c r="I6" s="12"/>
      <c r="J6" s="20"/>
      <c r="K6" s="12"/>
      <c r="L6" s="12"/>
      <c r="M6" s="12"/>
      <c r="N6" s="12"/>
    </row>
    <row r="7">
      <c r="A7" s="15" t="s">
        <v>218</v>
      </c>
      <c r="B7" s="12"/>
      <c r="C7" s="21">
        <v>2.0</v>
      </c>
      <c r="D7" s="19">
        <v>6.0</v>
      </c>
      <c r="E7" s="12"/>
      <c r="F7" s="12"/>
      <c r="G7" s="12"/>
      <c r="H7" s="12"/>
      <c r="I7" s="12"/>
      <c r="J7" s="12"/>
      <c r="K7" s="12"/>
      <c r="L7" s="12"/>
      <c r="M7" s="12"/>
      <c r="N7" s="12"/>
    </row>
    <row r="8">
      <c r="A8" s="15" t="s">
        <v>222</v>
      </c>
      <c r="B8" s="10" t="s">
        <v>4</v>
      </c>
      <c r="C8" s="21">
        <v>0.0</v>
      </c>
      <c r="D8" s="21">
        <v>0.0</v>
      </c>
      <c r="E8" s="12"/>
      <c r="F8" s="12"/>
      <c r="G8" s="12"/>
      <c r="H8" s="12"/>
      <c r="I8" s="12"/>
      <c r="J8" s="12"/>
      <c r="K8" s="12"/>
      <c r="L8" s="12"/>
      <c r="M8" s="12"/>
      <c r="N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>
      <c r="A10" s="15" t="s">
        <v>8</v>
      </c>
      <c r="B10" s="15" t="s">
        <v>224</v>
      </c>
      <c r="C10" s="13"/>
      <c r="D10" s="13" t="s">
        <v>9</v>
      </c>
      <c r="E10" s="13"/>
      <c r="F10" s="13"/>
      <c r="G10" s="13"/>
      <c r="H10" s="13"/>
      <c r="I10" s="13"/>
      <c r="J10" s="13" t="s">
        <v>11</v>
      </c>
      <c r="K10" s="13"/>
      <c r="L10" s="13"/>
      <c r="M10" s="13"/>
      <c r="N10" s="13"/>
      <c r="O10" s="1" t="s">
        <v>12</v>
      </c>
      <c r="R10" s="1"/>
      <c r="V10" s="1"/>
    </row>
    <row r="11">
      <c r="A11" s="12"/>
      <c r="B11" s="13"/>
      <c r="C11" s="13"/>
      <c r="D11" s="13" t="s">
        <v>217</v>
      </c>
      <c r="E11" s="13" t="s">
        <v>13</v>
      </c>
      <c r="F11" s="13" t="s">
        <v>226</v>
      </c>
      <c r="G11" s="13" t="s">
        <v>218</v>
      </c>
      <c r="H11" s="13" t="s">
        <v>45</v>
      </c>
      <c r="I11" s="13"/>
      <c r="J11" s="13" t="s">
        <v>3</v>
      </c>
      <c r="K11" s="13" t="s">
        <v>5</v>
      </c>
      <c r="L11" s="13" t="s">
        <v>226</v>
      </c>
      <c r="M11" s="13" t="s">
        <v>218</v>
      </c>
      <c r="N11" s="13"/>
      <c r="O11" s="13" t="s">
        <v>3</v>
      </c>
      <c r="P11" s="13" t="s">
        <v>5</v>
      </c>
      <c r="Q11" s="13" t="s">
        <v>218</v>
      </c>
      <c r="R11" s="13"/>
      <c r="S11" s="1"/>
      <c r="T11" s="1"/>
      <c r="V11" s="1"/>
      <c r="W11" s="1"/>
      <c r="X11" s="1"/>
      <c r="Y11" s="1"/>
    </row>
    <row r="12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Q12" s="1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2"/>
      <c r="K13" s="13"/>
      <c r="L13" s="13"/>
      <c r="M13" s="13"/>
      <c r="N13" s="13"/>
      <c r="Q13" s="1"/>
      <c r="V13" s="1"/>
      <c r="W13" s="1"/>
      <c r="X13" s="1"/>
      <c r="Y13" s="1"/>
    </row>
    <row r="14">
      <c r="A14" s="15" t="s">
        <v>228</v>
      </c>
      <c r="B14" s="17">
        <v>1498459.0</v>
      </c>
      <c r="C14" s="13"/>
      <c r="D14" s="31">
        <v>36.8</v>
      </c>
      <c r="E14" s="31">
        <v>25.32</v>
      </c>
      <c r="F14" s="31">
        <v>6.07</v>
      </c>
      <c r="G14" s="31">
        <v>25.38</v>
      </c>
      <c r="H14" s="31">
        <v>93.57</v>
      </c>
      <c r="I14" s="13"/>
      <c r="J14" s="40">
        <v>39.32884471518649</v>
      </c>
      <c r="K14" s="31">
        <v>27.059955113818532</v>
      </c>
      <c r="L14" s="41">
        <v>0.0</v>
      </c>
      <c r="M14" s="31">
        <v>27.124078230201988</v>
      </c>
      <c r="N14" s="13"/>
      <c r="O14">
        <f t="shared" ref="O14:O23" si="1">J14+0.33*K14+M14*0.66</f>
        <v>66.16052153</v>
      </c>
      <c r="P14">
        <f t="shared" ref="P14:P23" si="2">K14+0.33*J14+0.33*M14</f>
        <v>48.98941969</v>
      </c>
      <c r="Q14" s="5">
        <f t="shared" ref="Q14:Q23" si="3">0.66*J14+0.66*K14+M14</f>
        <v>70.94068612</v>
      </c>
      <c r="V14" s="1"/>
      <c r="W14" s="1"/>
      <c r="X14" s="1"/>
      <c r="Y14" s="1"/>
    </row>
    <row r="15">
      <c r="A15" s="15" t="s">
        <v>232</v>
      </c>
      <c r="B15" s="17">
        <v>1660557.0</v>
      </c>
      <c r="C15" s="12"/>
      <c r="D15" s="31">
        <v>18.84</v>
      </c>
      <c r="E15" s="31">
        <v>30.54</v>
      </c>
      <c r="F15" s="31">
        <v>5.23</v>
      </c>
      <c r="G15" s="31">
        <v>39.58</v>
      </c>
      <c r="H15" s="31">
        <v>94.19</v>
      </c>
      <c r="I15" s="13"/>
      <c r="J15" s="40">
        <v>20.00212336766111</v>
      </c>
      <c r="K15" s="31">
        <v>32.42382418515766</v>
      </c>
      <c r="L15" s="41">
        <v>0.0</v>
      </c>
      <c r="M15" s="31">
        <v>42.021446013377215</v>
      </c>
      <c r="N15" s="13"/>
      <c r="O15">
        <f t="shared" si="1"/>
        <v>58.43613972</v>
      </c>
      <c r="P15">
        <f t="shared" si="2"/>
        <v>52.89160208</v>
      </c>
      <c r="Q15" s="5">
        <f t="shared" si="3"/>
        <v>76.6225714</v>
      </c>
      <c r="V15" s="1"/>
      <c r="W15" s="1"/>
      <c r="X15" s="1"/>
      <c r="Y15" s="1"/>
    </row>
    <row r="16">
      <c r="A16" s="15" t="s">
        <v>234</v>
      </c>
      <c r="B16" s="17">
        <v>1517606.0</v>
      </c>
      <c r="C16" s="12"/>
      <c r="D16" s="31">
        <v>39.99</v>
      </c>
      <c r="E16" s="31">
        <v>8.86</v>
      </c>
      <c r="F16" s="31">
        <v>2.63</v>
      </c>
      <c r="G16" s="31">
        <v>42.75</v>
      </c>
      <c r="H16" s="31">
        <v>94.23</v>
      </c>
      <c r="I16" s="13"/>
      <c r="J16" s="40">
        <v>42.438713785418656</v>
      </c>
      <c r="K16" s="31">
        <v>9.402525734903959</v>
      </c>
      <c r="L16" s="41">
        <v>0.0</v>
      </c>
      <c r="M16" s="31">
        <v>45.36771728748806</v>
      </c>
      <c r="N16" s="13"/>
      <c r="O16">
        <f t="shared" si="1"/>
        <v>75.48424069</v>
      </c>
      <c r="P16">
        <f t="shared" si="2"/>
        <v>38.37864799</v>
      </c>
      <c r="Q16" s="5">
        <f t="shared" si="3"/>
        <v>79.58293537</v>
      </c>
      <c r="V16" s="1"/>
      <c r="W16" s="1"/>
      <c r="X16" s="1"/>
      <c r="Y16" s="1"/>
    </row>
    <row r="17">
      <c r="A17" s="15" t="s">
        <v>236</v>
      </c>
      <c r="B17" s="17">
        <v>1417188.0</v>
      </c>
      <c r="C17" s="12"/>
      <c r="D17" s="31">
        <v>35.19</v>
      </c>
      <c r="E17" s="31">
        <v>27.35</v>
      </c>
      <c r="F17" s="31">
        <v>4.93</v>
      </c>
      <c r="G17" s="31">
        <v>26.8</v>
      </c>
      <c r="H17" s="31">
        <v>94.27</v>
      </c>
      <c r="I17" s="12"/>
      <c r="J17" s="40">
        <v>37.32894876418797</v>
      </c>
      <c r="K17" s="40">
        <v>29.012411159435665</v>
      </c>
      <c r="L17" s="41">
        <v>0.0</v>
      </c>
      <c r="M17" s="31">
        <v>28.428980587673703</v>
      </c>
      <c r="N17" s="13"/>
      <c r="O17">
        <f t="shared" si="1"/>
        <v>65.66617163</v>
      </c>
      <c r="P17">
        <f t="shared" si="2"/>
        <v>50.71252785</v>
      </c>
      <c r="Q17" s="5">
        <f t="shared" si="3"/>
        <v>72.21427814</v>
      </c>
      <c r="V17" s="1"/>
      <c r="W17" s="1"/>
      <c r="X17" s="1"/>
      <c r="Y17" s="1"/>
    </row>
    <row r="18">
      <c r="A18" s="15" t="s">
        <v>238</v>
      </c>
      <c r="B18" s="17">
        <v>1473912.0</v>
      </c>
      <c r="C18" s="12"/>
      <c r="D18" s="31">
        <v>39.22</v>
      </c>
      <c r="E18" s="31">
        <v>26.0</v>
      </c>
      <c r="F18" s="31">
        <v>2.7</v>
      </c>
      <c r="G18" s="31">
        <v>26.68</v>
      </c>
      <c r="H18" s="31">
        <v>94.6</v>
      </c>
      <c r="I18" s="12"/>
      <c r="J18" s="40">
        <v>41.45877378435518</v>
      </c>
      <c r="K18" s="40">
        <v>27.48414376321353</v>
      </c>
      <c r="L18" s="41">
        <v>0.0</v>
      </c>
      <c r="M18" s="31">
        <v>28.20295983086681</v>
      </c>
      <c r="N18" s="13"/>
      <c r="O18">
        <f t="shared" si="1"/>
        <v>69.14249471</v>
      </c>
      <c r="P18">
        <f t="shared" si="2"/>
        <v>50.47251586</v>
      </c>
      <c r="Q18" s="5">
        <f t="shared" si="3"/>
        <v>73.70528541</v>
      </c>
      <c r="V18" s="1"/>
      <c r="W18" s="1"/>
      <c r="X18" s="1"/>
      <c r="Y18" s="1"/>
    </row>
    <row r="19">
      <c r="A19" s="15" t="s">
        <v>240</v>
      </c>
      <c r="B19" s="17">
        <v>1567508.0</v>
      </c>
      <c r="C19" s="12"/>
      <c r="D19" s="31">
        <v>30.55</v>
      </c>
      <c r="E19" s="31">
        <v>46.86</v>
      </c>
      <c r="F19" s="40">
        <v>4.47</v>
      </c>
      <c r="G19" s="31">
        <v>14.45</v>
      </c>
      <c r="H19" s="31">
        <v>96.33</v>
      </c>
      <c r="I19" s="12"/>
      <c r="J19" s="40">
        <v>31.713900134952766</v>
      </c>
      <c r="K19" s="40">
        <v>48.64528184366241</v>
      </c>
      <c r="L19" s="41">
        <v>0.0</v>
      </c>
      <c r="M19" s="31">
        <v>15.000519049102046</v>
      </c>
      <c r="N19" s="12"/>
      <c r="O19">
        <f t="shared" si="1"/>
        <v>57.66718572</v>
      </c>
      <c r="P19">
        <f t="shared" si="2"/>
        <v>64.06104017</v>
      </c>
      <c r="Q19" s="5">
        <f t="shared" si="3"/>
        <v>68.03757915</v>
      </c>
      <c r="V19" s="1"/>
      <c r="W19" s="1"/>
      <c r="X19" s="1"/>
      <c r="Y19" s="1"/>
    </row>
    <row r="20">
      <c r="A20" s="15" t="s">
        <v>241</v>
      </c>
      <c r="B20" s="17">
        <v>1844906.0</v>
      </c>
      <c r="C20" s="12"/>
      <c r="D20" s="31">
        <v>48.82</v>
      </c>
      <c r="E20" s="31">
        <v>10.12</v>
      </c>
      <c r="F20" s="31">
        <v>6.02</v>
      </c>
      <c r="G20" s="31">
        <v>28.02</v>
      </c>
      <c r="H20" s="31">
        <v>92.97999999999999</v>
      </c>
      <c r="I20" s="12"/>
      <c r="J20" s="40">
        <v>52.50591525059153</v>
      </c>
      <c r="K20" s="40">
        <v>10.884061088406108</v>
      </c>
      <c r="L20" s="41">
        <v>0.0</v>
      </c>
      <c r="M20" s="31">
        <v>30.135513013551304</v>
      </c>
      <c r="N20" s="13"/>
      <c r="O20" s="5">
        <f t="shared" si="1"/>
        <v>75.987094</v>
      </c>
      <c r="P20">
        <f t="shared" si="2"/>
        <v>38.15573242</v>
      </c>
      <c r="Q20">
        <f t="shared" si="3"/>
        <v>71.9728974</v>
      </c>
      <c r="V20" s="1"/>
      <c r="W20" s="1"/>
      <c r="X20" s="1"/>
      <c r="Y20" s="1"/>
    </row>
    <row r="21">
      <c r="A21" s="15" t="s">
        <v>242</v>
      </c>
      <c r="B21" s="17">
        <v>1740352.0</v>
      </c>
      <c r="C21" s="12"/>
      <c r="D21" s="31">
        <v>57.7</v>
      </c>
      <c r="E21" s="31">
        <v>16.42</v>
      </c>
      <c r="F21" s="31">
        <v>5.96</v>
      </c>
      <c r="G21" s="31">
        <v>11.71</v>
      </c>
      <c r="H21" s="31">
        <v>91.78999999999999</v>
      </c>
      <c r="I21" s="12"/>
      <c r="J21" s="40">
        <v>62.860878091295355</v>
      </c>
      <c r="K21" s="40">
        <v>17.888658895304502</v>
      </c>
      <c r="L21" s="41">
        <v>0.0</v>
      </c>
      <c r="M21" s="31">
        <v>12.757380978320079</v>
      </c>
      <c r="N21" s="13"/>
      <c r="O21" s="5">
        <f t="shared" si="1"/>
        <v>77.18400697</v>
      </c>
      <c r="P21">
        <f t="shared" si="2"/>
        <v>42.84268439</v>
      </c>
      <c r="Q21">
        <f t="shared" si="3"/>
        <v>66.05207539</v>
      </c>
      <c r="V21" s="1"/>
      <c r="W21" s="1"/>
      <c r="X21" s="1"/>
      <c r="Y21" s="1"/>
    </row>
    <row r="22">
      <c r="A22" s="15" t="s">
        <v>243</v>
      </c>
      <c r="B22" s="17">
        <v>1684321.0</v>
      </c>
      <c r="C22" s="12"/>
      <c r="D22" s="31">
        <v>49.83</v>
      </c>
      <c r="E22" s="31">
        <v>19.66</v>
      </c>
      <c r="F22" s="31">
        <v>8.6</v>
      </c>
      <c r="G22" s="31">
        <v>15.74</v>
      </c>
      <c r="H22" s="31">
        <v>93.82999999999998</v>
      </c>
      <c r="I22" s="12"/>
      <c r="J22" s="40">
        <v>53.10668229777258</v>
      </c>
      <c r="K22" s="40">
        <v>20.952786955131625</v>
      </c>
      <c r="L22" s="41">
        <v>0.0</v>
      </c>
      <c r="M22" s="31">
        <v>16.775018650751363</v>
      </c>
      <c r="N22" s="13"/>
      <c r="O22" s="5">
        <f t="shared" si="1"/>
        <v>71.0926143</v>
      </c>
      <c r="P22">
        <f t="shared" si="2"/>
        <v>44.01374827</v>
      </c>
      <c r="Q22">
        <f t="shared" si="3"/>
        <v>65.65426836</v>
      </c>
      <c r="V22" s="1"/>
      <c r="W22" s="1"/>
      <c r="X22" s="1"/>
      <c r="Y22" s="1"/>
    </row>
    <row r="23">
      <c r="A23" s="10" t="s">
        <v>244</v>
      </c>
      <c r="B23" s="21">
        <v>1692424.0</v>
      </c>
      <c r="C23" s="12"/>
      <c r="D23" s="40">
        <v>50.17</v>
      </c>
      <c r="E23" s="40">
        <v>22.3</v>
      </c>
      <c r="F23" s="40">
        <v>8.41</v>
      </c>
      <c r="G23" s="40">
        <v>10.62</v>
      </c>
      <c r="H23" s="40">
        <v>91.5</v>
      </c>
      <c r="I23" s="12"/>
      <c r="J23" s="40">
        <v>54.830601092896174</v>
      </c>
      <c r="K23" s="40">
        <v>24.371584699453553</v>
      </c>
      <c r="L23" s="41">
        <v>0.0</v>
      </c>
      <c r="M23" s="40">
        <v>11.60655737704918</v>
      </c>
      <c r="N23" s="12"/>
      <c r="O23" s="5">
        <f t="shared" si="1"/>
        <v>70.53355191</v>
      </c>
      <c r="P23">
        <f t="shared" si="2"/>
        <v>46.29584699</v>
      </c>
      <c r="Q23">
        <f t="shared" si="3"/>
        <v>63.88</v>
      </c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mergeCells count="2">
    <mergeCell ref="R10:T10"/>
    <mergeCell ref="V10:Z1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F2" s="1" t="s">
        <v>3</v>
      </c>
      <c r="G2" s="1" t="s">
        <v>5</v>
      </c>
      <c r="M2" s="1" t="s">
        <v>67</v>
      </c>
    </row>
    <row r="3">
      <c r="A3" s="1" t="s">
        <v>105</v>
      </c>
      <c r="B3" s="1" t="s">
        <v>4</v>
      </c>
      <c r="C3" s="1">
        <v>4.0</v>
      </c>
      <c r="E3" s="1" t="s">
        <v>3</v>
      </c>
      <c r="F3" s="1">
        <v>1.0</v>
      </c>
      <c r="G3" s="1">
        <v>2.0</v>
      </c>
    </row>
    <row r="4">
      <c r="A4" s="1" t="s">
        <v>5</v>
      </c>
      <c r="B4" s="1" t="s">
        <v>6</v>
      </c>
      <c r="C4" s="1">
        <v>0.0</v>
      </c>
      <c r="E4" s="1" t="s">
        <v>5</v>
      </c>
      <c r="F4" s="1">
        <v>2.0</v>
      </c>
      <c r="G4" s="1">
        <v>1.0</v>
      </c>
    </row>
    <row r="5">
      <c r="A5" s="1"/>
    </row>
    <row r="7">
      <c r="A7" s="1" t="s">
        <v>8</v>
      </c>
      <c r="B7" s="1" t="s">
        <v>41</v>
      </c>
      <c r="C7" s="1"/>
      <c r="D7" s="1" t="s">
        <v>9</v>
      </c>
      <c r="E7" s="1"/>
      <c r="F7" s="1"/>
      <c r="G7" s="1"/>
      <c r="H7" s="1" t="s">
        <v>10</v>
      </c>
      <c r="I7" s="1"/>
      <c r="J7" s="1"/>
      <c r="K7" s="1" t="s">
        <v>11</v>
      </c>
      <c r="L7" s="1"/>
      <c r="N7" s="1" t="s">
        <v>12</v>
      </c>
    </row>
    <row r="8">
      <c r="B8" s="1"/>
      <c r="C8" s="1"/>
      <c r="D8" s="1" t="s">
        <v>3</v>
      </c>
      <c r="E8" s="1" t="s">
        <v>5</v>
      </c>
      <c r="F8" s="1" t="s">
        <v>45</v>
      </c>
      <c r="G8" s="1"/>
      <c r="H8" s="1" t="s">
        <v>3</v>
      </c>
      <c r="I8" s="1" t="s">
        <v>5</v>
      </c>
      <c r="J8" s="1"/>
      <c r="K8" s="1" t="s">
        <v>3</v>
      </c>
      <c r="L8" s="1" t="s">
        <v>5</v>
      </c>
      <c r="N8" s="1" t="s">
        <v>3</v>
      </c>
      <c r="O8" s="1" t="s">
        <v>5</v>
      </c>
    </row>
    <row r="9">
      <c r="A9" s="1" t="s">
        <v>245</v>
      </c>
      <c r="B9" s="1">
        <v>1258601.0</v>
      </c>
      <c r="C9" s="1"/>
      <c r="D9" s="1">
        <v>57.03</v>
      </c>
      <c r="E9" s="1">
        <v>35.76</v>
      </c>
      <c r="F9">
        <f t="shared" ref="F9:F12" si="1">D9+E9</f>
        <v>92.79</v>
      </c>
      <c r="H9" s="6">
        <f t="shared" ref="H9:H12" si="2">B9*D9/100</f>
        <v>717780.1503</v>
      </c>
      <c r="I9" s="6">
        <f t="shared" ref="I9:I12" si="3">B9*E9/100</f>
        <v>450075.7176</v>
      </c>
      <c r="K9">
        <f t="shared" ref="K9:K12" si="4">100*D9/F9</f>
        <v>61.46136437</v>
      </c>
      <c r="L9">
        <f t="shared" ref="L9:L12" si="5">100*E9/F9</f>
        <v>38.53863563</v>
      </c>
      <c r="N9" s="5">
        <f t="shared" ref="N9:N12" si="6">K9+L9*0.5</f>
        <v>80.73068219</v>
      </c>
      <c r="O9">
        <f t="shared" ref="O9:O12" si="7">L9+K9*0.5</f>
        <v>69.26931781</v>
      </c>
    </row>
    <row r="10">
      <c r="A10" s="1" t="s">
        <v>246</v>
      </c>
      <c r="B10" s="1">
        <v>1150408.0</v>
      </c>
      <c r="C10" s="1"/>
      <c r="D10" s="6">
        <v>49.94</v>
      </c>
      <c r="E10" s="6">
        <v>44.46</v>
      </c>
      <c r="F10">
        <f t="shared" si="1"/>
        <v>94.4</v>
      </c>
      <c r="G10" s="6"/>
      <c r="H10" s="6">
        <f t="shared" si="2"/>
        <v>574513.7552</v>
      </c>
      <c r="I10" s="6">
        <f t="shared" si="3"/>
        <v>511471.3968</v>
      </c>
      <c r="K10">
        <f t="shared" si="4"/>
        <v>52.90254237</v>
      </c>
      <c r="L10">
        <f t="shared" si="5"/>
        <v>47.09745763</v>
      </c>
      <c r="N10" s="5">
        <f t="shared" si="6"/>
        <v>76.45127119</v>
      </c>
      <c r="O10">
        <f t="shared" si="7"/>
        <v>73.54872881</v>
      </c>
    </row>
    <row r="11">
      <c r="A11" s="14" t="s">
        <v>247</v>
      </c>
      <c r="B11" s="1">
        <v>1247699.0</v>
      </c>
      <c r="C11" s="1"/>
      <c r="D11" s="6">
        <v>53.61</v>
      </c>
      <c r="E11" s="1">
        <v>41.83</v>
      </c>
      <c r="F11">
        <f t="shared" si="1"/>
        <v>95.44</v>
      </c>
      <c r="G11" s="6"/>
      <c r="H11" s="6">
        <f t="shared" si="2"/>
        <v>668891.4339</v>
      </c>
      <c r="I11" s="6">
        <f t="shared" si="3"/>
        <v>521912.4917</v>
      </c>
      <c r="K11">
        <f t="shared" si="4"/>
        <v>56.1714166</v>
      </c>
      <c r="L11">
        <f t="shared" si="5"/>
        <v>43.8285834</v>
      </c>
      <c r="N11" s="5">
        <f t="shared" si="6"/>
        <v>78.0857083</v>
      </c>
      <c r="O11">
        <f t="shared" si="7"/>
        <v>71.9142917</v>
      </c>
    </row>
    <row r="12">
      <c r="A12" s="1" t="s">
        <v>248</v>
      </c>
      <c r="B12" s="1">
        <v>1153363.0</v>
      </c>
      <c r="D12" s="6">
        <v>52.3</v>
      </c>
      <c r="E12" s="6">
        <v>40.89</v>
      </c>
      <c r="F12">
        <f t="shared" si="1"/>
        <v>93.19</v>
      </c>
      <c r="G12" s="6"/>
      <c r="H12" s="6">
        <f t="shared" si="2"/>
        <v>603208.849</v>
      </c>
      <c r="I12" s="6">
        <f t="shared" si="3"/>
        <v>471610.1307</v>
      </c>
      <c r="K12">
        <f t="shared" si="4"/>
        <v>56.12190149</v>
      </c>
      <c r="L12">
        <f t="shared" si="5"/>
        <v>43.87809851</v>
      </c>
      <c r="N12" s="5">
        <f t="shared" si="6"/>
        <v>78.06095075</v>
      </c>
      <c r="O12">
        <f t="shared" si="7"/>
        <v>71.93904925</v>
      </c>
    </row>
    <row r="13">
      <c r="A13" s="1"/>
      <c r="B13" s="1"/>
      <c r="D13" s="6"/>
      <c r="E13" s="6"/>
      <c r="G13" s="6"/>
      <c r="H13" s="6"/>
      <c r="I13" s="6"/>
    </row>
    <row r="14">
      <c r="A14" s="14"/>
      <c r="B14" s="1"/>
      <c r="D14" s="6"/>
      <c r="E14" s="6"/>
      <c r="G14" s="1"/>
      <c r="H14" s="6"/>
      <c r="I14" s="6"/>
    </row>
    <row r="15">
      <c r="A15" s="1"/>
      <c r="B15" s="1"/>
      <c r="D15" s="6"/>
      <c r="E15" s="6"/>
      <c r="G15" s="6"/>
      <c r="H15" s="6"/>
      <c r="I15" s="6"/>
    </row>
    <row r="16">
      <c r="A16" s="14"/>
      <c r="B16" s="1"/>
      <c r="D16" s="6"/>
      <c r="E16" s="6"/>
      <c r="G16" s="1"/>
      <c r="H16" s="6"/>
      <c r="I16" s="6"/>
    </row>
    <row r="17">
      <c r="A17" s="1"/>
      <c r="B17" s="1"/>
      <c r="D17" s="6"/>
      <c r="E17" s="6"/>
      <c r="G17" s="6"/>
      <c r="H17" s="6"/>
      <c r="I17" s="6"/>
    </row>
    <row r="18">
      <c r="A18" s="14"/>
      <c r="B18" s="1"/>
      <c r="D18" s="6"/>
      <c r="E18" s="6"/>
      <c r="G18" s="6"/>
      <c r="H18" s="6"/>
      <c r="I18" s="6"/>
    </row>
    <row r="19">
      <c r="A19" s="1"/>
      <c r="B19" s="1"/>
      <c r="D19" s="6"/>
      <c r="E19" s="6"/>
      <c r="G19" s="6"/>
      <c r="H19" s="6"/>
      <c r="I19" s="6"/>
    </row>
    <row r="20">
      <c r="A20" s="14"/>
      <c r="B20" s="1"/>
      <c r="D20" s="6"/>
      <c r="E20" s="6"/>
      <c r="G20" s="6"/>
      <c r="H20" s="6"/>
      <c r="I20" s="6"/>
    </row>
    <row r="21">
      <c r="A21" s="14"/>
      <c r="B21" s="1"/>
      <c r="D21" s="6"/>
      <c r="E21" s="6"/>
      <c r="G21" s="6"/>
      <c r="H21" s="6"/>
      <c r="I21" s="6"/>
    </row>
    <row r="22">
      <c r="A22" s="1"/>
      <c r="B22" s="1"/>
      <c r="D22" s="6"/>
      <c r="E22" s="6"/>
      <c r="G22" s="6"/>
      <c r="H22" s="6"/>
      <c r="I22" s="6"/>
    </row>
    <row r="23">
      <c r="A23" s="1"/>
      <c r="B23" s="1"/>
      <c r="D23" s="1"/>
      <c r="E23" s="1"/>
      <c r="H23" s="6"/>
      <c r="I23" s="6"/>
    </row>
    <row r="24">
      <c r="A24" s="1"/>
      <c r="B24" s="1"/>
      <c r="D24" s="1"/>
      <c r="E24" s="1"/>
      <c r="H24" s="6"/>
      <c r="I24" s="6"/>
    </row>
    <row r="25">
      <c r="A25" s="1"/>
      <c r="B25" s="1"/>
      <c r="D25" s="1"/>
      <c r="E25" s="1"/>
      <c r="H25" s="6"/>
      <c r="I25" s="6"/>
    </row>
    <row r="26">
      <c r="A26" s="1"/>
      <c r="B26" s="1"/>
      <c r="D26" s="1"/>
      <c r="E26" s="1"/>
      <c r="H26" s="6"/>
      <c r="I26" s="6"/>
    </row>
    <row r="27">
      <c r="A27" s="1"/>
      <c r="B27" s="1"/>
      <c r="D27" s="1"/>
      <c r="E27" s="1"/>
      <c r="H27" s="6"/>
      <c r="I27" s="6"/>
    </row>
    <row r="28">
      <c r="A28" s="1"/>
      <c r="B28" s="1"/>
      <c r="D28" s="1"/>
      <c r="E28" s="1"/>
      <c r="H28" s="6"/>
      <c r="I28" s="6"/>
    </row>
    <row r="29">
      <c r="A29" s="1"/>
      <c r="B29" s="1"/>
      <c r="D29" s="1"/>
      <c r="E29" s="1"/>
      <c r="H29" s="6"/>
      <c r="I29" s="6"/>
    </row>
    <row r="30">
      <c r="A30" s="1"/>
      <c r="B30" s="1"/>
      <c r="D30" s="1"/>
      <c r="E30" s="1"/>
      <c r="H30" s="6"/>
      <c r="I30" s="6"/>
    </row>
    <row r="31">
      <c r="A31" s="1"/>
      <c r="B31" s="1"/>
      <c r="D31" s="1"/>
      <c r="E31" s="1"/>
      <c r="H31" s="6"/>
      <c r="I31" s="6"/>
    </row>
    <row r="32">
      <c r="A32" s="1"/>
      <c r="B32" s="1"/>
      <c r="D32" s="1"/>
      <c r="E32" s="1"/>
      <c r="H32" s="6"/>
      <c r="I32" s="6"/>
    </row>
    <row r="33">
      <c r="A33" s="1"/>
      <c r="B33" s="1"/>
      <c r="D33" s="1"/>
      <c r="E33" s="1"/>
      <c r="H33" s="6"/>
      <c r="I33" s="6"/>
    </row>
    <row r="34">
      <c r="A34" s="1"/>
      <c r="B34" s="1"/>
      <c r="D34" s="1"/>
      <c r="E34" s="1"/>
      <c r="H34" s="6"/>
      <c r="I34" s="6"/>
    </row>
    <row r="35">
      <c r="A35" s="1"/>
      <c r="B35" s="1"/>
      <c r="D35" s="1"/>
      <c r="E35" s="1"/>
      <c r="H35" s="6"/>
      <c r="I35" s="6"/>
    </row>
    <row r="36">
      <c r="A36" s="1"/>
      <c r="B36" s="1"/>
      <c r="D36" s="1"/>
      <c r="E36" s="1"/>
      <c r="H36" s="6"/>
      <c r="I36" s="6"/>
    </row>
    <row r="37">
      <c r="A37" s="1"/>
      <c r="B37" s="1"/>
      <c r="D37" s="1"/>
      <c r="E37" s="1"/>
      <c r="I37" s="6"/>
    </row>
    <row r="38">
      <c r="A38" s="1"/>
      <c r="B38" s="1"/>
      <c r="D38" s="1"/>
      <c r="E38" s="1"/>
      <c r="I38" s="6"/>
    </row>
    <row r="39">
      <c r="A39" s="1"/>
      <c r="B39" s="1"/>
      <c r="D39" s="1"/>
      <c r="E39" s="1"/>
      <c r="I39" s="6"/>
    </row>
    <row r="40">
      <c r="A40" s="1"/>
      <c r="B40" s="1"/>
      <c r="D40" s="1"/>
      <c r="E40" s="1"/>
      <c r="I40" s="6"/>
    </row>
    <row r="41">
      <c r="A41" s="1"/>
      <c r="B41" s="1"/>
      <c r="D41" s="1"/>
      <c r="E41" s="1"/>
      <c r="I41" s="6"/>
    </row>
    <row r="42">
      <c r="A42" s="1"/>
      <c r="B42" s="1"/>
      <c r="D42" s="1"/>
      <c r="E42" s="1"/>
      <c r="I42" s="6"/>
    </row>
    <row r="43">
      <c r="A43" s="1"/>
      <c r="B43" s="1"/>
      <c r="D43" s="1"/>
      <c r="E43" s="1"/>
      <c r="I43" s="6"/>
    </row>
    <row r="44">
      <c r="A44" s="1"/>
      <c r="B44" s="1"/>
      <c r="D44" s="1"/>
      <c r="E44" s="1"/>
      <c r="I44" s="6"/>
    </row>
    <row r="45">
      <c r="A45" s="1"/>
      <c r="B45" s="1"/>
      <c r="D45" s="1"/>
      <c r="E45" s="1"/>
      <c r="I45" s="6"/>
    </row>
    <row r="46">
      <c r="A46" s="1"/>
      <c r="B46" s="1"/>
      <c r="D46" s="1"/>
      <c r="E46" s="1"/>
      <c r="I46" s="6"/>
    </row>
    <row r="47">
      <c r="A47" s="1"/>
      <c r="B47" s="1"/>
      <c r="D47" s="1"/>
      <c r="E47" s="1"/>
      <c r="I47" s="6"/>
    </row>
    <row r="48">
      <c r="A48" s="1"/>
      <c r="B48" s="1"/>
      <c r="D48" s="1"/>
      <c r="E48" s="1"/>
      <c r="I48" s="6"/>
    </row>
    <row r="49">
      <c r="A49" s="1"/>
      <c r="B49" s="1"/>
      <c r="D49" s="1"/>
      <c r="E49" s="1"/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  <row r="55">
      <c r="I55" s="6"/>
    </row>
  </sheetData>
  <mergeCells count="1">
    <mergeCell ref="M2:Q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P2" s="1" t="s">
        <v>249</v>
      </c>
      <c r="Q2" s="1" t="s">
        <v>3</v>
      </c>
      <c r="R2" s="1" t="s">
        <v>250</v>
      </c>
      <c r="S2" s="1" t="s">
        <v>251</v>
      </c>
    </row>
    <row r="3">
      <c r="A3" s="1" t="s">
        <v>249</v>
      </c>
      <c r="B3" s="1"/>
      <c r="C3" s="1">
        <v>3.0</v>
      </c>
      <c r="O3" s="1" t="s">
        <v>249</v>
      </c>
      <c r="P3" s="1">
        <v>1.0</v>
      </c>
      <c r="Q3" s="1">
        <v>4.0</v>
      </c>
      <c r="R3" s="1">
        <v>3.0</v>
      </c>
      <c r="S3" s="1">
        <v>2.0</v>
      </c>
    </row>
    <row r="4">
      <c r="A4" s="1" t="s">
        <v>250</v>
      </c>
      <c r="B4" s="1" t="s">
        <v>6</v>
      </c>
      <c r="C4" s="1">
        <v>2.0</v>
      </c>
      <c r="O4" s="1" t="s">
        <v>3</v>
      </c>
      <c r="P4" s="1">
        <v>4.0</v>
      </c>
      <c r="Q4" s="1">
        <v>1.0</v>
      </c>
      <c r="R4" s="1">
        <v>2.0</v>
      </c>
      <c r="S4" s="1">
        <v>3.0</v>
      </c>
    </row>
    <row r="5">
      <c r="A5" s="1" t="s">
        <v>3</v>
      </c>
      <c r="B5" s="1" t="s">
        <v>4</v>
      </c>
      <c r="C5" s="1"/>
      <c r="O5" s="1" t="s">
        <v>250</v>
      </c>
      <c r="P5" s="1">
        <v>2.0</v>
      </c>
      <c r="Q5" s="1">
        <v>4.0</v>
      </c>
      <c r="R5" s="1">
        <v>1.0</v>
      </c>
      <c r="S5" s="1">
        <v>3.0</v>
      </c>
    </row>
    <row r="6">
      <c r="A6" s="1" t="s">
        <v>252</v>
      </c>
      <c r="C6" s="1">
        <v>1.0</v>
      </c>
      <c r="O6" s="1" t="s">
        <v>251</v>
      </c>
      <c r="P6" s="1">
        <v>2.0</v>
      </c>
      <c r="Q6" s="1">
        <v>4.0</v>
      </c>
      <c r="R6" s="1">
        <v>3.0</v>
      </c>
      <c r="S6" s="1">
        <v>1.0</v>
      </c>
    </row>
    <row r="7">
      <c r="E7" s="1"/>
      <c r="I7" s="1"/>
    </row>
    <row r="8">
      <c r="A8" s="1" t="s">
        <v>8</v>
      </c>
      <c r="B8" s="1" t="s">
        <v>41</v>
      </c>
      <c r="C8" s="1"/>
      <c r="D8" s="1" t="s">
        <v>9</v>
      </c>
      <c r="E8" s="1"/>
      <c r="F8" s="1"/>
      <c r="G8" s="1"/>
      <c r="H8" s="1"/>
      <c r="I8" s="1"/>
      <c r="J8" s="1" t="s">
        <v>11</v>
      </c>
      <c r="K8" s="1"/>
      <c r="L8" s="1"/>
      <c r="M8" s="1"/>
      <c r="N8" s="1"/>
      <c r="O8" s="1" t="s">
        <v>12</v>
      </c>
    </row>
    <row r="9">
      <c r="B9" s="1"/>
      <c r="C9" s="1"/>
      <c r="D9" s="1" t="s">
        <v>249</v>
      </c>
      <c r="E9" s="1" t="s">
        <v>3</v>
      </c>
      <c r="F9" s="1" t="s">
        <v>250</v>
      </c>
      <c r="G9" s="1" t="s">
        <v>252</v>
      </c>
      <c r="H9" s="1" t="s">
        <v>45</v>
      </c>
      <c r="I9" s="1"/>
      <c r="J9" s="1" t="s">
        <v>249</v>
      </c>
      <c r="K9" s="1" t="s">
        <v>3</v>
      </c>
      <c r="L9" s="1" t="s">
        <v>250</v>
      </c>
      <c r="M9" s="1" t="s">
        <v>252</v>
      </c>
      <c r="N9" s="1"/>
      <c r="O9" s="1" t="s">
        <v>249</v>
      </c>
      <c r="P9" s="1" t="s">
        <v>3</v>
      </c>
      <c r="Q9" s="1" t="s">
        <v>250</v>
      </c>
      <c r="R9" s="1" t="s">
        <v>252</v>
      </c>
    </row>
    <row r="10">
      <c r="A10" s="1" t="s">
        <v>253</v>
      </c>
      <c r="B10" s="1">
        <v>1190766.0</v>
      </c>
      <c r="C10" s="1"/>
      <c r="D10" s="1">
        <v>37.61</v>
      </c>
      <c r="E10" s="1">
        <v>1.41</v>
      </c>
      <c r="F10" s="1">
        <v>31.34</v>
      </c>
      <c r="G10" s="1">
        <v>15.27</v>
      </c>
      <c r="H10">
        <f t="shared" ref="H10:H15" si="1">D10+F10+G10+E10</f>
        <v>85.63</v>
      </c>
      <c r="J10">
        <f t="shared" ref="J10:J15" si="2">100*D10/H10</f>
        <v>43.92152283</v>
      </c>
      <c r="K10" s="1">
        <v>0.0</v>
      </c>
      <c r="L10">
        <f t="shared" ref="L10:L15" si="3">100*F10/H10</f>
        <v>36.59932267</v>
      </c>
      <c r="M10">
        <f>100*G10/H10</f>
        <v>17.83253533</v>
      </c>
      <c r="O10" s="33">
        <f t="shared" ref="O10:O15" si="4">J10+M10*0.75+L10*0.75+K10*0.25</f>
        <v>84.74541633</v>
      </c>
      <c r="P10" s="1">
        <f t="shared" ref="P10:P15" si="5">K10+L10*0.25+M10*0.25+J10*0.25</f>
        <v>24.58834521</v>
      </c>
      <c r="Q10">
        <f t="shared" ref="Q10:Q15" si="6">L10+J10*0.5+M10*0.5+K10*0.75</f>
        <v>67.47635175</v>
      </c>
      <c r="R10" s="6">
        <f t="shared" ref="R10:R15" si="7">M10+J10*0.75+L10*0.5+K10*0.5</f>
        <v>69.07333878</v>
      </c>
    </row>
    <row r="11">
      <c r="A11" s="14" t="s">
        <v>254</v>
      </c>
      <c r="B11" s="1">
        <v>1207230.0</v>
      </c>
      <c r="C11" s="1"/>
      <c r="D11" s="6">
        <v>50.58</v>
      </c>
      <c r="E11" s="6">
        <v>1.43</v>
      </c>
      <c r="F11" s="1">
        <v>37.04</v>
      </c>
      <c r="G11" s="1">
        <v>5.14</v>
      </c>
      <c r="H11">
        <f t="shared" si="1"/>
        <v>94.19</v>
      </c>
      <c r="I11" s="6"/>
      <c r="J11">
        <f t="shared" si="2"/>
        <v>53.69996815</v>
      </c>
      <c r="K11" s="1">
        <v>0.0</v>
      </c>
      <c r="L11">
        <f t="shared" si="3"/>
        <v>39.32476908</v>
      </c>
      <c r="M11" s="1">
        <v>0.0</v>
      </c>
      <c r="O11" s="33">
        <f t="shared" si="4"/>
        <v>83.19354496</v>
      </c>
      <c r="P11" s="1">
        <f t="shared" si="5"/>
        <v>23.25618431</v>
      </c>
      <c r="Q11">
        <f t="shared" si="6"/>
        <v>66.17475316</v>
      </c>
      <c r="R11" s="6">
        <f t="shared" si="7"/>
        <v>59.93736065</v>
      </c>
    </row>
    <row r="12">
      <c r="A12" s="1" t="s">
        <v>255</v>
      </c>
      <c r="B12" s="1">
        <v>1301143.0</v>
      </c>
      <c r="D12" s="6">
        <v>53.41</v>
      </c>
      <c r="E12" s="6">
        <v>1.26</v>
      </c>
      <c r="F12" s="6">
        <v>35.98</v>
      </c>
      <c r="G12" s="1">
        <v>0.0</v>
      </c>
      <c r="H12">
        <f t="shared" si="1"/>
        <v>90.65</v>
      </c>
      <c r="I12" s="6"/>
      <c r="J12">
        <f t="shared" si="2"/>
        <v>58.91891892</v>
      </c>
      <c r="K12" s="1">
        <v>0.0</v>
      </c>
      <c r="L12">
        <f t="shared" si="3"/>
        <v>39.69111969</v>
      </c>
      <c r="M12">
        <f t="shared" ref="M12:M15" si="8">100*G12/H12</f>
        <v>0</v>
      </c>
      <c r="O12" s="33">
        <f t="shared" si="4"/>
        <v>88.68725869</v>
      </c>
      <c r="P12" s="1">
        <f t="shared" si="5"/>
        <v>24.65250965</v>
      </c>
      <c r="Q12">
        <f t="shared" si="6"/>
        <v>69.15057915</v>
      </c>
      <c r="R12" s="6">
        <f t="shared" si="7"/>
        <v>64.03474903</v>
      </c>
    </row>
    <row r="13">
      <c r="A13" s="1" t="s">
        <v>256</v>
      </c>
      <c r="B13" s="1">
        <v>166763.0</v>
      </c>
      <c r="D13" s="6">
        <v>0.0</v>
      </c>
      <c r="E13" s="6">
        <v>26.13</v>
      </c>
      <c r="F13" s="6">
        <v>22.17</v>
      </c>
      <c r="G13" s="1">
        <f>100-26.13-22.17</f>
        <v>51.7</v>
      </c>
      <c r="H13">
        <f t="shared" si="1"/>
        <v>100</v>
      </c>
      <c r="I13" s="6"/>
      <c r="J13">
        <f t="shared" si="2"/>
        <v>0</v>
      </c>
      <c r="K13">
        <f t="shared" ref="K13:K15" si="9">100*E13/H13</f>
        <v>26.13</v>
      </c>
      <c r="L13">
        <f t="shared" si="3"/>
        <v>22.17</v>
      </c>
      <c r="M13">
        <f t="shared" si="8"/>
        <v>51.7</v>
      </c>
      <c r="O13" s="1">
        <f t="shared" si="4"/>
        <v>61.935</v>
      </c>
      <c r="P13" s="1">
        <f t="shared" si="5"/>
        <v>44.5975</v>
      </c>
      <c r="Q13">
        <f t="shared" si="6"/>
        <v>67.6175</v>
      </c>
      <c r="R13" s="42">
        <f t="shared" si="7"/>
        <v>75.85</v>
      </c>
    </row>
    <row r="14">
      <c r="A14" s="14" t="s">
        <v>257</v>
      </c>
      <c r="B14" s="1">
        <v>1469072.0</v>
      </c>
      <c r="D14" s="6">
        <v>2.92</v>
      </c>
      <c r="E14" s="6">
        <v>46.76</v>
      </c>
      <c r="F14" s="6">
        <v>40.91</v>
      </c>
      <c r="G14" s="1">
        <v>0.0</v>
      </c>
      <c r="H14">
        <f t="shared" si="1"/>
        <v>90.59</v>
      </c>
      <c r="I14" s="1"/>
      <c r="J14">
        <f t="shared" si="2"/>
        <v>3.223313832</v>
      </c>
      <c r="K14">
        <f t="shared" si="9"/>
        <v>51.61717629</v>
      </c>
      <c r="L14">
        <f t="shared" si="3"/>
        <v>45.15950988</v>
      </c>
      <c r="M14">
        <f t="shared" si="8"/>
        <v>0</v>
      </c>
      <c r="O14" s="1">
        <f t="shared" si="4"/>
        <v>49.99724031</v>
      </c>
      <c r="P14" s="1">
        <f t="shared" si="5"/>
        <v>63.71288222</v>
      </c>
      <c r="Q14" s="5">
        <f t="shared" si="6"/>
        <v>85.48404901</v>
      </c>
      <c r="R14" s="6">
        <f t="shared" si="7"/>
        <v>50.80582846</v>
      </c>
    </row>
    <row r="15">
      <c r="A15" s="1" t="s">
        <v>258</v>
      </c>
      <c r="B15" s="1">
        <v>1848155.0</v>
      </c>
      <c r="D15" s="1">
        <v>13.41</v>
      </c>
      <c r="E15" s="6">
        <v>49.34</v>
      </c>
      <c r="F15" s="6">
        <v>28.87</v>
      </c>
      <c r="G15" s="1">
        <v>0.0</v>
      </c>
      <c r="H15">
        <f t="shared" si="1"/>
        <v>91.62</v>
      </c>
      <c r="I15" s="6"/>
      <c r="J15">
        <f t="shared" si="2"/>
        <v>14.63654224</v>
      </c>
      <c r="K15">
        <f t="shared" si="9"/>
        <v>53.85287055</v>
      </c>
      <c r="L15">
        <f t="shared" si="3"/>
        <v>31.51058721</v>
      </c>
      <c r="M15">
        <f t="shared" si="8"/>
        <v>0</v>
      </c>
      <c r="O15" s="1">
        <f t="shared" si="4"/>
        <v>51.73270028</v>
      </c>
      <c r="P15" s="1">
        <f t="shared" si="5"/>
        <v>65.38965291</v>
      </c>
      <c r="Q15" s="5">
        <f t="shared" si="6"/>
        <v>79.21851124</v>
      </c>
      <c r="R15" s="6">
        <f t="shared" si="7"/>
        <v>53.65913556</v>
      </c>
    </row>
    <row r="16">
      <c r="A16" s="14"/>
      <c r="B16" s="1"/>
      <c r="D16" s="6"/>
      <c r="E16" s="6"/>
      <c r="F16" s="6"/>
    </row>
    <row r="17">
      <c r="A17" s="1"/>
      <c r="B17" s="1"/>
      <c r="D17" s="6"/>
      <c r="E17" s="6"/>
      <c r="F17" s="6"/>
      <c r="H17" s="1" t="s">
        <v>199</v>
      </c>
      <c r="I17" s="6" t="s">
        <v>259</v>
      </c>
    </row>
    <row r="18">
      <c r="A18" s="1" t="s">
        <v>253</v>
      </c>
      <c r="B18" s="1" t="s">
        <v>260</v>
      </c>
      <c r="C18" s="6" t="s">
        <v>261</v>
      </c>
      <c r="D18" s="6" t="s">
        <v>262</v>
      </c>
      <c r="H18" s="1">
        <v>4.3</v>
      </c>
      <c r="I18" s="1">
        <v>95.7</v>
      </c>
    </row>
    <row r="19">
      <c r="A19" s="14" t="s">
        <v>254</v>
      </c>
      <c r="B19" s="1" t="s">
        <v>263</v>
      </c>
      <c r="C19" s="1" t="s">
        <v>264</v>
      </c>
      <c r="D19" s="6" t="s">
        <v>265</v>
      </c>
      <c r="E19" s="6"/>
      <c r="F19" s="6"/>
      <c r="H19" s="1">
        <v>3.2</v>
      </c>
      <c r="I19" s="6">
        <v>96.8</v>
      </c>
    </row>
    <row r="20">
      <c r="A20" s="1" t="s">
        <v>255</v>
      </c>
      <c r="B20" s="1" t="s">
        <v>266</v>
      </c>
      <c r="C20" s="1" t="s">
        <v>267</v>
      </c>
      <c r="D20" s="6" t="s">
        <v>268</v>
      </c>
      <c r="E20" s="6" t="s">
        <v>269</v>
      </c>
      <c r="F20" s="6"/>
      <c r="H20" s="1">
        <v>2.4</v>
      </c>
      <c r="I20" s="6">
        <v>97.6</v>
      </c>
    </row>
    <row r="21">
      <c r="A21" s="1" t="s">
        <v>256</v>
      </c>
      <c r="B21" s="1" t="s">
        <v>270</v>
      </c>
      <c r="C21" s="1" t="s">
        <v>271</v>
      </c>
      <c r="D21" s="6"/>
      <c r="E21" s="6"/>
      <c r="F21" s="6"/>
      <c r="H21" s="1">
        <v>15.0</v>
      </c>
      <c r="I21" s="6">
        <v>40.0</v>
      </c>
    </row>
    <row r="22">
      <c r="A22" s="14" t="s">
        <v>257</v>
      </c>
      <c r="B22" s="1" t="s">
        <v>272</v>
      </c>
      <c r="C22" s="1" t="s">
        <v>273</v>
      </c>
      <c r="D22" s="6" t="s">
        <v>274</v>
      </c>
      <c r="E22" s="6" t="s">
        <v>275</v>
      </c>
      <c r="F22" s="6" t="s">
        <v>276</v>
      </c>
      <c r="G22" s="1" t="s">
        <v>277</v>
      </c>
      <c r="H22" s="1">
        <v>51.0</v>
      </c>
      <c r="I22" s="6">
        <v>49.0</v>
      </c>
    </row>
    <row r="23">
      <c r="A23" s="1" t="s">
        <v>258</v>
      </c>
      <c r="B23" s="1" t="s">
        <v>278</v>
      </c>
      <c r="C23" s="1" t="s">
        <v>279</v>
      </c>
      <c r="D23" s="1" t="s">
        <v>280</v>
      </c>
      <c r="E23" s="1" t="s">
        <v>281</v>
      </c>
      <c r="F23" s="1"/>
      <c r="H23" s="1">
        <v>53.0</v>
      </c>
      <c r="I23" s="1">
        <v>42.0</v>
      </c>
    </row>
    <row r="24">
      <c r="A24" s="1"/>
      <c r="B24" s="1"/>
      <c r="D24" s="1"/>
      <c r="E24" s="1"/>
      <c r="F24" s="1"/>
    </row>
    <row r="25">
      <c r="A25" s="1"/>
      <c r="B25" s="1"/>
      <c r="D25" s="1"/>
      <c r="E25" s="1"/>
      <c r="F25" s="1"/>
    </row>
    <row r="26">
      <c r="A26" s="1"/>
      <c r="B26" s="1"/>
      <c r="D26" s="1"/>
      <c r="E26" s="1"/>
      <c r="F26" s="1"/>
    </row>
    <row r="27">
      <c r="A27" s="1"/>
      <c r="B27" s="1"/>
      <c r="D27" s="1"/>
      <c r="E27" s="1"/>
      <c r="F27" s="1"/>
    </row>
    <row r="28">
      <c r="A28" s="1"/>
      <c r="B28" s="1"/>
      <c r="D28" s="1"/>
      <c r="E28" s="1"/>
      <c r="F28" s="1"/>
    </row>
    <row r="29">
      <c r="A29" s="1"/>
      <c r="B29" s="1"/>
      <c r="D29" s="1"/>
      <c r="E29" s="1"/>
      <c r="F29" s="1"/>
    </row>
    <row r="30">
      <c r="A30" s="1"/>
      <c r="B30" s="1"/>
      <c r="D30" s="1"/>
      <c r="E30" s="1"/>
      <c r="F30" s="1"/>
    </row>
    <row r="31">
      <c r="A31" s="1"/>
      <c r="B31" s="1"/>
      <c r="D31" s="1"/>
      <c r="E31" s="1"/>
      <c r="F31" s="1"/>
    </row>
    <row r="32">
      <c r="A32" s="1"/>
      <c r="B32" s="1"/>
      <c r="D32" s="1"/>
      <c r="E32" s="1"/>
      <c r="F32" s="1"/>
    </row>
    <row r="33">
      <c r="A33" s="1"/>
      <c r="B33" s="1"/>
      <c r="D33" s="1"/>
      <c r="E33" s="1"/>
      <c r="F33" s="1"/>
    </row>
    <row r="34">
      <c r="A34" s="1"/>
      <c r="B34" s="1"/>
      <c r="D34" s="1"/>
      <c r="E34" s="1"/>
      <c r="F34" s="1"/>
    </row>
    <row r="35">
      <c r="A35" s="1"/>
      <c r="B35" s="1"/>
      <c r="D35" s="1"/>
      <c r="E35" s="1"/>
      <c r="F35" s="1"/>
    </row>
    <row r="36">
      <c r="A36" s="1"/>
      <c r="B36" s="1"/>
      <c r="D36" s="1"/>
      <c r="E36" s="1"/>
      <c r="F36" s="1"/>
    </row>
    <row r="37">
      <c r="A37" s="1"/>
      <c r="B37" s="1"/>
      <c r="D37" s="1"/>
      <c r="E37" s="1"/>
      <c r="F37" s="1"/>
    </row>
    <row r="38">
      <c r="A38" s="1"/>
      <c r="B38" s="1"/>
      <c r="D38" s="1"/>
      <c r="E38" s="1"/>
      <c r="F38" s="1"/>
    </row>
    <row r="39">
      <c r="A39" s="1"/>
      <c r="B39" s="1"/>
      <c r="D39" s="1"/>
      <c r="E39" s="1"/>
      <c r="F39" s="1"/>
    </row>
    <row r="40">
      <c r="A40" s="1"/>
      <c r="B40" s="1"/>
      <c r="D40" s="1"/>
      <c r="E40" s="1"/>
      <c r="F40" s="1"/>
    </row>
    <row r="41">
      <c r="A41" s="1"/>
      <c r="B41" s="1"/>
      <c r="D41" s="1"/>
      <c r="E41" s="1"/>
      <c r="F41" s="1"/>
    </row>
    <row r="42">
      <c r="A42" s="1"/>
      <c r="B42" s="1"/>
      <c r="D42" s="1"/>
      <c r="E42" s="1"/>
      <c r="F42" s="1"/>
    </row>
    <row r="43">
      <c r="A43" s="1"/>
      <c r="B43" s="1"/>
      <c r="D43" s="1"/>
      <c r="E43" s="1"/>
      <c r="F43" s="1"/>
    </row>
    <row r="44">
      <c r="A44" s="1"/>
      <c r="B44" s="1"/>
      <c r="D44" s="1"/>
      <c r="E44" s="1"/>
      <c r="F44" s="1"/>
    </row>
    <row r="45">
      <c r="A45" s="1"/>
      <c r="B45" s="1"/>
      <c r="D45" s="1"/>
      <c r="E45" s="1"/>
      <c r="F45" s="1"/>
    </row>
    <row r="46">
      <c r="A46" s="1"/>
      <c r="B46" s="1"/>
      <c r="D46" s="1"/>
      <c r="E46" s="1"/>
      <c r="F46" s="1"/>
    </row>
    <row r="47">
      <c r="A47" s="1"/>
      <c r="B47" s="1"/>
      <c r="D47" s="1"/>
      <c r="E47" s="1"/>
      <c r="F47" s="1"/>
    </row>
    <row r="48">
      <c r="A48" s="1"/>
      <c r="B48" s="1"/>
      <c r="D48" s="1"/>
      <c r="E48" s="1"/>
      <c r="F48" s="1"/>
    </row>
    <row r="49">
      <c r="A49" s="1"/>
      <c r="B49" s="1"/>
      <c r="D49" s="1"/>
      <c r="E49" s="1"/>
      <c r="F49" s="1"/>
    </row>
  </sheetData>
  <mergeCells count="1">
    <mergeCell ref="I4:M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1</v>
      </c>
      <c r="C1" s="43" t="s">
        <v>17</v>
      </c>
      <c r="D1" s="43" t="s">
        <v>18</v>
      </c>
      <c r="E1" s="12"/>
      <c r="F1" s="12"/>
      <c r="G1" s="12"/>
      <c r="H1" s="12"/>
      <c r="I1" s="12"/>
      <c r="J1" s="12"/>
      <c r="K1" s="12"/>
      <c r="L1" s="12"/>
      <c r="M1" s="12"/>
    </row>
    <row r="2">
      <c r="A2" s="13"/>
      <c r="B2" s="13"/>
      <c r="C2" s="12"/>
      <c r="D2" s="12"/>
      <c r="E2" s="12"/>
      <c r="F2" s="12"/>
      <c r="G2" s="15" t="s">
        <v>282</v>
      </c>
      <c r="H2" s="15" t="s">
        <v>283</v>
      </c>
      <c r="I2" s="15" t="s">
        <v>3</v>
      </c>
      <c r="J2" s="15" t="s">
        <v>202</v>
      </c>
      <c r="K2" s="12"/>
      <c r="L2" s="12"/>
      <c r="M2" s="12"/>
    </row>
    <row r="3">
      <c r="A3" s="15" t="s">
        <v>284</v>
      </c>
      <c r="B3" s="15" t="s">
        <v>6</v>
      </c>
      <c r="C3" s="17">
        <v>2.0</v>
      </c>
      <c r="D3" s="21">
        <v>0.0</v>
      </c>
      <c r="E3" s="12"/>
      <c r="F3" s="20" t="s">
        <v>282</v>
      </c>
      <c r="G3" s="20">
        <v>1.0</v>
      </c>
      <c r="H3" s="20">
        <v>4.0</v>
      </c>
      <c r="I3" s="20">
        <v>2.0</v>
      </c>
      <c r="J3" s="20">
        <v>3.0</v>
      </c>
      <c r="K3" s="12"/>
      <c r="L3" s="12"/>
      <c r="M3" s="12"/>
    </row>
    <row r="4">
      <c r="A4" s="15" t="s">
        <v>282</v>
      </c>
      <c r="B4" s="13"/>
      <c r="C4" s="17">
        <v>0.0</v>
      </c>
      <c r="D4" s="19">
        <v>6.0</v>
      </c>
      <c r="E4" s="12"/>
      <c r="F4" s="15" t="s">
        <v>283</v>
      </c>
      <c r="G4" s="20">
        <v>2.0</v>
      </c>
      <c r="H4" s="20">
        <v>1.0</v>
      </c>
      <c r="I4" s="20">
        <v>4.0</v>
      </c>
      <c r="J4" s="20">
        <v>3.0</v>
      </c>
      <c r="K4" s="12"/>
      <c r="L4" s="12"/>
      <c r="M4" s="12"/>
    </row>
    <row r="5">
      <c r="A5" s="15" t="s">
        <v>5</v>
      </c>
      <c r="B5" s="15" t="s">
        <v>6</v>
      </c>
      <c r="C5" s="17">
        <v>0.0</v>
      </c>
      <c r="D5" s="21">
        <v>0.0</v>
      </c>
      <c r="E5" s="12"/>
      <c r="F5" s="15" t="s">
        <v>3</v>
      </c>
      <c r="G5" s="20">
        <v>2.0</v>
      </c>
      <c r="H5" s="20">
        <v>4.0</v>
      </c>
      <c r="I5" s="20">
        <v>1.0</v>
      </c>
      <c r="J5" s="20">
        <v>3.0</v>
      </c>
      <c r="K5" s="12"/>
      <c r="L5" s="12"/>
      <c r="M5" s="12"/>
    </row>
    <row r="6">
      <c r="A6" s="15" t="s">
        <v>3</v>
      </c>
      <c r="B6" s="15" t="s">
        <v>4</v>
      </c>
      <c r="C6" s="17">
        <v>12.0</v>
      </c>
      <c r="D6" s="19">
        <v>9.0</v>
      </c>
      <c r="E6" s="12"/>
      <c r="F6" s="15" t="s">
        <v>202</v>
      </c>
      <c r="G6" s="20">
        <v>4.0</v>
      </c>
      <c r="H6" s="20">
        <v>3.0</v>
      </c>
      <c r="I6" s="20">
        <v>2.0</v>
      </c>
      <c r="J6" s="20">
        <v>1.0</v>
      </c>
      <c r="K6" s="12"/>
      <c r="L6" s="12"/>
      <c r="M6" s="12"/>
    </row>
    <row r="7">
      <c r="A7" s="15" t="s">
        <v>285</v>
      </c>
      <c r="B7" s="10" t="s">
        <v>6</v>
      </c>
      <c r="C7" s="17">
        <v>0.0</v>
      </c>
      <c r="D7" s="21">
        <v>0.0</v>
      </c>
      <c r="E7" s="12"/>
      <c r="F7" s="12"/>
      <c r="G7" s="12"/>
      <c r="H7" s="12"/>
      <c r="I7" s="12"/>
      <c r="J7" s="12"/>
      <c r="K7" s="12"/>
      <c r="L7" s="12"/>
      <c r="M7" s="12"/>
    </row>
    <row r="8">
      <c r="A8" s="15" t="s">
        <v>286</v>
      </c>
      <c r="B8" s="12"/>
      <c r="C8" s="21">
        <v>0.0</v>
      </c>
      <c r="D8" s="21">
        <v>0.0</v>
      </c>
      <c r="E8" s="12"/>
      <c r="F8" s="12"/>
      <c r="G8" s="12"/>
      <c r="H8" s="12"/>
      <c r="I8" s="12"/>
      <c r="J8" s="12"/>
      <c r="K8" s="12"/>
      <c r="L8" s="12"/>
      <c r="M8" s="12"/>
    </row>
    <row r="9">
      <c r="A9" s="1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>
      <c r="A10" s="13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>
      <c r="A11" s="13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>
      <c r="A12" s="15" t="s">
        <v>8</v>
      </c>
      <c r="B12" s="13"/>
      <c r="C12" s="13"/>
      <c r="D12" s="15" t="s">
        <v>9</v>
      </c>
      <c r="E12" s="13"/>
      <c r="F12" s="13"/>
      <c r="G12" s="13"/>
      <c r="H12" s="13"/>
      <c r="I12" s="13"/>
      <c r="J12" s="15" t="s">
        <v>11</v>
      </c>
      <c r="M12" s="13"/>
      <c r="N12" s="1"/>
      <c r="O12" s="1" t="s">
        <v>12</v>
      </c>
      <c r="R12" s="13"/>
      <c r="S12" s="1"/>
      <c r="T12" s="1"/>
      <c r="U12" s="1"/>
      <c r="V12" s="1"/>
      <c r="W12" s="1"/>
      <c r="X12" s="1"/>
      <c r="Y12" s="1"/>
      <c r="Z12" s="1"/>
      <c r="AD12" s="1"/>
    </row>
    <row r="13">
      <c r="A13" s="12"/>
      <c r="B13" s="13"/>
      <c r="C13" s="13"/>
      <c r="D13" s="15" t="s">
        <v>282</v>
      </c>
      <c r="E13" s="15" t="s">
        <v>283</v>
      </c>
      <c r="F13" s="15" t="s">
        <v>3</v>
      </c>
      <c r="G13" s="15" t="s">
        <v>202</v>
      </c>
      <c r="H13" s="15" t="s">
        <v>14</v>
      </c>
      <c r="I13" s="13"/>
      <c r="J13" s="15" t="s">
        <v>282</v>
      </c>
      <c r="K13" s="15" t="s">
        <v>283</v>
      </c>
      <c r="L13" s="15" t="s">
        <v>3</v>
      </c>
      <c r="M13" s="15" t="s">
        <v>202</v>
      </c>
      <c r="N13" s="1"/>
      <c r="O13" s="15" t="s">
        <v>282</v>
      </c>
      <c r="P13" s="15" t="s">
        <v>283</v>
      </c>
      <c r="Q13" s="15" t="s">
        <v>3</v>
      </c>
      <c r="R13" s="15" t="s">
        <v>202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O14" s="21"/>
      <c r="P14" s="21"/>
      <c r="Q14" s="21"/>
      <c r="R14" s="21"/>
    </row>
    <row r="15">
      <c r="A15" s="15" t="s">
        <v>287</v>
      </c>
      <c r="B15" s="13"/>
      <c r="C15" s="13"/>
      <c r="D15" s="17">
        <v>15.67</v>
      </c>
      <c r="E15" s="17">
        <v>5.89</v>
      </c>
      <c r="F15" s="17">
        <v>35.65</v>
      </c>
      <c r="G15" s="17">
        <v>26.03</v>
      </c>
      <c r="H15" s="17">
        <f t="shared" ref="H15:H28" si="1">SUM(D15:G15)</f>
        <v>83.24</v>
      </c>
      <c r="I15" s="13"/>
      <c r="J15" s="17">
        <f t="shared" ref="J15:J28" si="2">DIVIDE(100*D15,H15)</f>
        <v>18.82508409</v>
      </c>
      <c r="K15" s="17">
        <f t="shared" ref="K15:K28" si="3">DIVIDE(100*E15,H15)</f>
        <v>7.075925036</v>
      </c>
      <c r="L15" s="17">
        <f t="shared" ref="L15:L28" si="4">DIVIDE(100*F15,H15)</f>
        <v>42.82796732</v>
      </c>
      <c r="M15" s="17">
        <f>DIVIDE(100*G15,H15)</f>
        <v>31.27102355</v>
      </c>
      <c r="N15" s="6"/>
      <c r="O15" s="21">
        <f t="shared" ref="O15:O28" si="5">J15+L15*0.75+K15*0.75+M15*0.5</f>
        <v>71.88851514</v>
      </c>
      <c r="P15" s="21">
        <f t="shared" ref="P15:P28" si="6">K15+M15*0.5+J15*0.25+L15*0.25</f>
        <v>38.12469966</v>
      </c>
      <c r="Q15" s="28">
        <f t="shared" ref="Q15:Q28" si="7">L15+K15*0.25+J15*0.75+M15*0.75</f>
        <v>82.16902931</v>
      </c>
      <c r="R15" s="21">
        <f>M15+K15*0.5+L15*0.5+J15*0.5</f>
        <v>65.63551177</v>
      </c>
      <c r="S15" s="6"/>
      <c r="T15" s="6"/>
      <c r="U15" s="6"/>
      <c r="AB15" s="8"/>
    </row>
    <row r="16">
      <c r="A16" s="15" t="s">
        <v>288</v>
      </c>
      <c r="B16" s="13"/>
      <c r="C16" s="13"/>
      <c r="D16" s="17">
        <v>5.91</v>
      </c>
      <c r="E16" s="17">
        <v>36.2</v>
      </c>
      <c r="F16" s="17">
        <v>40.35</v>
      </c>
      <c r="G16" s="17">
        <v>5.72</v>
      </c>
      <c r="H16" s="17">
        <f t="shared" si="1"/>
        <v>88.18</v>
      </c>
      <c r="I16" s="13"/>
      <c r="J16" s="17">
        <f t="shared" si="2"/>
        <v>6.702200045</v>
      </c>
      <c r="K16" s="17">
        <f t="shared" si="3"/>
        <v>41.05239283</v>
      </c>
      <c r="L16" s="17">
        <f t="shared" si="4"/>
        <v>45.75867544</v>
      </c>
      <c r="M16" s="19">
        <v>0.0</v>
      </c>
      <c r="N16" s="6"/>
      <c r="O16" s="28">
        <f t="shared" si="5"/>
        <v>71.81050125</v>
      </c>
      <c r="P16" s="21">
        <f t="shared" si="6"/>
        <v>54.1676117</v>
      </c>
      <c r="Q16" s="21">
        <f t="shared" si="7"/>
        <v>61.04842368</v>
      </c>
      <c r="R16" s="21"/>
      <c r="S16" s="6"/>
      <c r="T16" s="6"/>
      <c r="U16" s="6"/>
      <c r="AB16" s="8"/>
    </row>
    <row r="17">
      <c r="A17" s="15" t="s">
        <v>289</v>
      </c>
      <c r="B17" s="13"/>
      <c r="C17" s="12"/>
      <c r="D17" s="17">
        <v>4.49</v>
      </c>
      <c r="E17" s="17">
        <v>14.06</v>
      </c>
      <c r="F17" s="17">
        <v>38.11</v>
      </c>
      <c r="G17" s="17">
        <v>27.11</v>
      </c>
      <c r="H17" s="17">
        <f t="shared" si="1"/>
        <v>83.77</v>
      </c>
      <c r="I17" s="13"/>
      <c r="J17" s="17">
        <f t="shared" si="2"/>
        <v>5.35991405</v>
      </c>
      <c r="K17" s="17">
        <f t="shared" si="3"/>
        <v>16.78405157</v>
      </c>
      <c r="L17" s="17">
        <f t="shared" si="4"/>
        <v>45.49361347</v>
      </c>
      <c r="M17" s="17">
        <f t="shared" ref="M17:M28" si="8">DIVIDE(100*G17,H17)</f>
        <v>32.36242091</v>
      </c>
      <c r="N17" s="6"/>
      <c r="O17" s="21">
        <f t="shared" si="5"/>
        <v>68.24937328</v>
      </c>
      <c r="P17" s="21">
        <f t="shared" si="6"/>
        <v>45.67864391</v>
      </c>
      <c r="Q17" s="28">
        <f t="shared" si="7"/>
        <v>77.98137758</v>
      </c>
      <c r="R17" s="21">
        <f t="shared" ref="R17:R19" si="9">M17+K17*0.5+L17*0.5+J17*0.5</f>
        <v>66.18121046</v>
      </c>
      <c r="S17" s="6"/>
      <c r="T17" s="6"/>
      <c r="U17" s="6"/>
      <c r="AB17" s="8"/>
    </row>
    <row r="18">
      <c r="A18" s="15" t="s">
        <v>290</v>
      </c>
      <c r="B18" s="13"/>
      <c r="C18" s="12"/>
      <c r="D18" s="17">
        <v>3.32</v>
      </c>
      <c r="E18" s="17">
        <v>19.93</v>
      </c>
      <c r="F18" s="17">
        <v>36.49</v>
      </c>
      <c r="G18" s="21">
        <v>23.99</v>
      </c>
      <c r="H18" s="21">
        <f t="shared" si="1"/>
        <v>83.73</v>
      </c>
      <c r="I18" s="12"/>
      <c r="J18" s="21">
        <f t="shared" si="2"/>
        <v>3.965126</v>
      </c>
      <c r="K18" s="21">
        <f t="shared" si="3"/>
        <v>23.80269915</v>
      </c>
      <c r="L18" s="21">
        <f t="shared" si="4"/>
        <v>43.58055655</v>
      </c>
      <c r="M18" s="21">
        <f t="shared" si="8"/>
        <v>28.6516183</v>
      </c>
      <c r="O18" s="21">
        <f t="shared" si="5"/>
        <v>68.82837693</v>
      </c>
      <c r="P18" s="21">
        <f t="shared" si="6"/>
        <v>50.01492894</v>
      </c>
      <c r="Q18" s="28">
        <f t="shared" si="7"/>
        <v>73.99378956</v>
      </c>
      <c r="R18" s="21">
        <f t="shared" si="9"/>
        <v>64.32580915</v>
      </c>
    </row>
    <row r="19">
      <c r="A19" s="15" t="s">
        <v>291</v>
      </c>
      <c r="B19" s="12"/>
      <c r="C19" s="12"/>
      <c r="D19" s="17">
        <v>4.01</v>
      </c>
      <c r="E19" s="17">
        <v>33.79</v>
      </c>
      <c r="F19" s="17">
        <v>34.78</v>
      </c>
      <c r="G19" s="17">
        <v>18.16</v>
      </c>
      <c r="H19" s="17">
        <f t="shared" si="1"/>
        <v>90.74</v>
      </c>
      <c r="I19" s="12"/>
      <c r="J19" s="21">
        <f t="shared" si="2"/>
        <v>4.419219749</v>
      </c>
      <c r="K19" s="21">
        <f t="shared" si="3"/>
        <v>37.23826317</v>
      </c>
      <c r="L19" s="21">
        <f t="shared" si="4"/>
        <v>38.32929248</v>
      </c>
      <c r="M19" s="21">
        <f t="shared" si="8"/>
        <v>20.0132246</v>
      </c>
      <c r="O19" s="28">
        <f t="shared" si="5"/>
        <v>71.10149879</v>
      </c>
      <c r="P19" s="21">
        <f t="shared" si="6"/>
        <v>57.93200353</v>
      </c>
      <c r="Q19" s="21">
        <f t="shared" si="7"/>
        <v>65.96319154</v>
      </c>
      <c r="R19" s="21">
        <f t="shared" si="9"/>
        <v>60.0066123</v>
      </c>
      <c r="S19" s="1"/>
      <c r="T19" s="1"/>
    </row>
    <row r="20">
      <c r="A20" s="44" t="s">
        <v>292</v>
      </c>
      <c r="B20" s="12"/>
      <c r="C20" s="12"/>
      <c r="D20" s="32">
        <v>17.51</v>
      </c>
      <c r="E20" s="32">
        <v>37.19</v>
      </c>
      <c r="F20" s="32">
        <v>32.86</v>
      </c>
      <c r="G20" s="17">
        <v>0.0</v>
      </c>
      <c r="H20" s="21">
        <f t="shared" si="1"/>
        <v>87.56</v>
      </c>
      <c r="I20" s="12"/>
      <c r="J20" s="21">
        <f t="shared" si="2"/>
        <v>19.99771585</v>
      </c>
      <c r="K20" s="21">
        <f t="shared" si="3"/>
        <v>42.4737323</v>
      </c>
      <c r="L20" s="21">
        <f t="shared" si="4"/>
        <v>37.52855185</v>
      </c>
      <c r="M20" s="21">
        <f t="shared" si="8"/>
        <v>0</v>
      </c>
      <c r="O20" s="28">
        <f t="shared" si="5"/>
        <v>79.99942896</v>
      </c>
      <c r="P20" s="21">
        <f t="shared" si="6"/>
        <v>56.85529922</v>
      </c>
      <c r="Q20" s="21">
        <f t="shared" si="7"/>
        <v>63.14527181</v>
      </c>
      <c r="R20" s="21"/>
    </row>
    <row r="21">
      <c r="A21" s="15" t="s">
        <v>293</v>
      </c>
      <c r="B21" s="12"/>
      <c r="C21" s="12"/>
      <c r="D21" s="32">
        <v>18.44</v>
      </c>
      <c r="E21" s="32">
        <v>30.47</v>
      </c>
      <c r="F21" s="32">
        <v>36.25</v>
      </c>
      <c r="G21" s="21">
        <v>0.0</v>
      </c>
      <c r="H21" s="21">
        <f t="shared" si="1"/>
        <v>85.16</v>
      </c>
      <c r="I21" s="13"/>
      <c r="J21" s="17">
        <f t="shared" si="2"/>
        <v>21.65335838</v>
      </c>
      <c r="K21" s="17">
        <f t="shared" si="3"/>
        <v>35.77970878</v>
      </c>
      <c r="L21" s="17">
        <f t="shared" si="4"/>
        <v>42.56693283</v>
      </c>
      <c r="M21" s="21">
        <f t="shared" si="8"/>
        <v>0</v>
      </c>
      <c r="O21" s="28">
        <f t="shared" si="5"/>
        <v>80.4133396</v>
      </c>
      <c r="P21" s="21">
        <f t="shared" si="6"/>
        <v>51.83478159</v>
      </c>
      <c r="Q21" s="21">
        <f t="shared" si="7"/>
        <v>67.75187882</v>
      </c>
      <c r="R21" s="21"/>
      <c r="S21" s="1"/>
    </row>
    <row r="22">
      <c r="A22" s="15" t="s">
        <v>294</v>
      </c>
      <c r="B22" s="12"/>
      <c r="C22" s="12"/>
      <c r="D22" s="17">
        <v>7.95</v>
      </c>
      <c r="E22" s="17">
        <v>21.9</v>
      </c>
      <c r="F22" s="17">
        <v>28.76</v>
      </c>
      <c r="G22" s="17">
        <v>9.63</v>
      </c>
      <c r="H22" s="21">
        <f t="shared" si="1"/>
        <v>68.24</v>
      </c>
      <c r="I22" s="12"/>
      <c r="J22" s="21">
        <f t="shared" si="2"/>
        <v>11.65005862</v>
      </c>
      <c r="K22" s="21">
        <f t="shared" si="3"/>
        <v>32.0926143</v>
      </c>
      <c r="L22" s="21">
        <f t="shared" si="4"/>
        <v>42.14536928</v>
      </c>
      <c r="M22" s="21">
        <f t="shared" si="8"/>
        <v>14.1119578</v>
      </c>
      <c r="O22" s="28">
        <f t="shared" si="5"/>
        <v>74.38452521</v>
      </c>
      <c r="P22" s="21">
        <f t="shared" si="6"/>
        <v>52.59745018</v>
      </c>
      <c r="Q22" s="21">
        <f t="shared" si="7"/>
        <v>69.49003517</v>
      </c>
      <c r="R22" s="21">
        <f t="shared" ref="R22:R23" si="10">M22+K22*0.5+L22*0.5+J22*0.5</f>
        <v>57.0559789</v>
      </c>
    </row>
    <row r="23">
      <c r="A23" s="15" t="s">
        <v>295</v>
      </c>
      <c r="B23" s="12"/>
      <c r="C23" s="12"/>
      <c r="D23" s="17">
        <v>6.45</v>
      </c>
      <c r="E23" s="17">
        <v>23.76</v>
      </c>
      <c r="F23" s="17">
        <v>42.74</v>
      </c>
      <c r="G23" s="21">
        <v>13.58</v>
      </c>
      <c r="H23" s="21">
        <f t="shared" si="1"/>
        <v>86.53</v>
      </c>
      <c r="I23" s="12"/>
      <c r="J23" s="21">
        <f t="shared" si="2"/>
        <v>7.454062175</v>
      </c>
      <c r="K23" s="21">
        <f t="shared" si="3"/>
        <v>27.45868485</v>
      </c>
      <c r="L23" s="21">
        <f t="shared" si="4"/>
        <v>49.39327401</v>
      </c>
      <c r="M23" s="21">
        <f t="shared" si="8"/>
        <v>15.69397897</v>
      </c>
      <c r="O23" s="21">
        <f t="shared" si="5"/>
        <v>72.9400208</v>
      </c>
      <c r="P23" s="21">
        <f t="shared" si="6"/>
        <v>49.51750838</v>
      </c>
      <c r="Q23" s="28">
        <f t="shared" si="7"/>
        <v>73.61897608</v>
      </c>
      <c r="R23" s="21">
        <f t="shared" si="10"/>
        <v>57.84698948</v>
      </c>
    </row>
    <row r="24">
      <c r="A24" s="15" t="s">
        <v>296</v>
      </c>
      <c r="B24" s="12"/>
      <c r="C24" s="12"/>
      <c r="D24" s="17">
        <v>34.72</v>
      </c>
      <c r="E24" s="17">
        <v>13.16</v>
      </c>
      <c r="F24" s="17">
        <v>44.24</v>
      </c>
      <c r="G24" s="21">
        <v>0.0</v>
      </c>
      <c r="H24" s="21">
        <f t="shared" si="1"/>
        <v>92.12</v>
      </c>
      <c r="I24" s="12"/>
      <c r="J24" s="17">
        <f t="shared" si="2"/>
        <v>37.6899696</v>
      </c>
      <c r="K24" s="17">
        <f t="shared" si="3"/>
        <v>14.28571429</v>
      </c>
      <c r="L24" s="17">
        <f t="shared" si="4"/>
        <v>48.02431611</v>
      </c>
      <c r="M24" s="21">
        <f t="shared" si="8"/>
        <v>0</v>
      </c>
      <c r="O24" s="28">
        <f t="shared" si="5"/>
        <v>84.4224924</v>
      </c>
      <c r="P24" s="21">
        <f t="shared" si="6"/>
        <v>35.71428571</v>
      </c>
      <c r="Q24" s="21">
        <f t="shared" si="7"/>
        <v>79.86322188</v>
      </c>
      <c r="R24" s="21"/>
      <c r="U24" s="1"/>
    </row>
    <row r="25">
      <c r="A25" s="15" t="s">
        <v>297</v>
      </c>
      <c r="B25" s="12"/>
      <c r="C25" s="12"/>
      <c r="D25" s="17">
        <v>3.14</v>
      </c>
      <c r="E25" s="17">
        <v>25.62</v>
      </c>
      <c r="F25" s="17">
        <v>42.07</v>
      </c>
      <c r="G25" s="17">
        <v>16.15</v>
      </c>
      <c r="H25" s="21">
        <f t="shared" si="1"/>
        <v>86.98</v>
      </c>
      <c r="I25" s="12"/>
      <c r="J25" s="21">
        <f t="shared" si="2"/>
        <v>3.610025293</v>
      </c>
      <c r="K25" s="17">
        <f t="shared" si="3"/>
        <v>29.45504714</v>
      </c>
      <c r="L25" s="17">
        <f t="shared" si="4"/>
        <v>48.36744079</v>
      </c>
      <c r="M25" s="21">
        <f t="shared" si="8"/>
        <v>18.56748678</v>
      </c>
      <c r="O25" s="21">
        <f t="shared" si="5"/>
        <v>71.26063463</v>
      </c>
      <c r="P25" s="21">
        <f t="shared" si="6"/>
        <v>51.73315705</v>
      </c>
      <c r="Q25" s="28">
        <f t="shared" si="7"/>
        <v>72.36433663</v>
      </c>
      <c r="R25" s="21">
        <f>M25+K25*0.5+L25*0.5+J25*0.5</f>
        <v>59.28374339</v>
      </c>
      <c r="V25" s="1"/>
      <c r="W25" s="1"/>
      <c r="X25" s="1"/>
    </row>
    <row r="26">
      <c r="A26" s="45" t="s">
        <v>298</v>
      </c>
      <c r="B26" s="12"/>
      <c r="C26" s="12"/>
      <c r="D26" s="32">
        <v>10.23</v>
      </c>
      <c r="E26" s="32">
        <v>39.87</v>
      </c>
      <c r="F26" s="32">
        <v>35.53</v>
      </c>
      <c r="G26" s="21">
        <v>0.0</v>
      </c>
      <c r="H26" s="21">
        <f t="shared" si="1"/>
        <v>85.63</v>
      </c>
      <c r="I26" s="12"/>
      <c r="J26" s="21">
        <f t="shared" si="2"/>
        <v>11.94674764</v>
      </c>
      <c r="K26" s="21">
        <f t="shared" si="3"/>
        <v>46.56078477</v>
      </c>
      <c r="L26" s="17">
        <f t="shared" si="4"/>
        <v>41.49246759</v>
      </c>
      <c r="M26" s="21">
        <f t="shared" si="8"/>
        <v>0</v>
      </c>
      <c r="O26" s="28">
        <f t="shared" si="5"/>
        <v>77.98668691</v>
      </c>
      <c r="P26" s="21">
        <f t="shared" si="6"/>
        <v>59.92058858</v>
      </c>
      <c r="Q26" s="21">
        <f t="shared" si="7"/>
        <v>62.09272451</v>
      </c>
      <c r="R26" s="21"/>
      <c r="W26" s="1"/>
      <c r="X26" s="1"/>
    </row>
    <row r="27">
      <c r="A27" s="15" t="s">
        <v>299</v>
      </c>
      <c r="B27" s="12"/>
      <c r="C27" s="12"/>
      <c r="D27" s="17">
        <v>16.03</v>
      </c>
      <c r="E27" s="21">
        <v>21.73</v>
      </c>
      <c r="F27" s="17">
        <v>48.72</v>
      </c>
      <c r="G27" s="21">
        <v>0.0</v>
      </c>
      <c r="H27" s="21">
        <f t="shared" si="1"/>
        <v>86.48</v>
      </c>
      <c r="I27" s="12"/>
      <c r="J27" s="21">
        <f t="shared" si="2"/>
        <v>18.53607771</v>
      </c>
      <c r="K27" s="21">
        <f t="shared" si="3"/>
        <v>25.12719704</v>
      </c>
      <c r="L27" s="17">
        <f t="shared" si="4"/>
        <v>56.33672525</v>
      </c>
      <c r="M27" s="17">
        <f t="shared" si="8"/>
        <v>0</v>
      </c>
      <c r="O27" s="28">
        <f t="shared" si="5"/>
        <v>79.63401943</v>
      </c>
      <c r="P27" s="21">
        <f t="shared" si="6"/>
        <v>43.84539778</v>
      </c>
      <c r="Q27" s="21">
        <f t="shared" si="7"/>
        <v>76.52058279</v>
      </c>
      <c r="R27" s="21"/>
      <c r="W27" s="1"/>
      <c r="X27" s="1"/>
    </row>
    <row r="28">
      <c r="A28" s="15" t="s">
        <v>300</v>
      </c>
      <c r="B28" s="12"/>
      <c r="C28" s="12"/>
      <c r="D28" s="17">
        <v>14.61</v>
      </c>
      <c r="E28" s="17">
        <v>16.53</v>
      </c>
      <c r="F28" s="17">
        <v>41.5</v>
      </c>
      <c r="G28" s="17">
        <v>0.0</v>
      </c>
      <c r="H28" s="17">
        <f t="shared" si="1"/>
        <v>72.64</v>
      </c>
      <c r="I28" s="12"/>
      <c r="J28" s="21">
        <f t="shared" si="2"/>
        <v>20.11288546</v>
      </c>
      <c r="K28" s="21">
        <f t="shared" si="3"/>
        <v>22.75605727</v>
      </c>
      <c r="L28" s="21">
        <f t="shared" si="4"/>
        <v>57.13105727</v>
      </c>
      <c r="M28" s="21">
        <f t="shared" si="8"/>
        <v>0</v>
      </c>
      <c r="O28" s="28">
        <f t="shared" si="5"/>
        <v>80.02822137</v>
      </c>
      <c r="P28" s="21">
        <f t="shared" si="6"/>
        <v>42.06704295</v>
      </c>
      <c r="Q28" s="21">
        <f t="shared" si="7"/>
        <v>77.90473568</v>
      </c>
      <c r="R28" s="21"/>
      <c r="T28" s="1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O29" s="21"/>
      <c r="P29" s="21"/>
      <c r="Q29" s="21"/>
      <c r="R29" s="21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O30" s="21"/>
      <c r="P30" s="21"/>
      <c r="Q30" s="21"/>
      <c r="R30" s="21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O31" s="21"/>
      <c r="P31" s="21"/>
      <c r="Q31" s="21"/>
      <c r="R31" s="21"/>
    </row>
    <row r="32">
      <c r="O32" s="21"/>
      <c r="P32" s="21"/>
      <c r="Q32" s="21"/>
      <c r="R32" s="21"/>
    </row>
    <row r="33">
      <c r="O33" s="21"/>
      <c r="P33" s="21"/>
      <c r="Q33" s="21"/>
      <c r="R33" s="21"/>
    </row>
    <row r="34">
      <c r="O34" s="21"/>
      <c r="P34" s="21"/>
      <c r="Q34" s="21"/>
      <c r="R34" s="21"/>
    </row>
    <row r="35">
      <c r="O35" s="21"/>
      <c r="P35" s="21"/>
      <c r="Q35" s="21"/>
      <c r="R35" s="21"/>
    </row>
    <row r="36">
      <c r="O36" s="21"/>
      <c r="P36" s="21"/>
      <c r="Q36" s="21"/>
      <c r="R36" s="21"/>
    </row>
  </sheetData>
  <mergeCells count="3">
    <mergeCell ref="Z12:AB12"/>
    <mergeCell ref="AD12:AH12"/>
    <mergeCell ref="J12:L1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1</v>
      </c>
      <c r="C1" s="4" t="s">
        <v>17</v>
      </c>
      <c r="D1" s="4" t="s">
        <v>18</v>
      </c>
      <c r="E1" s="12"/>
      <c r="F1" s="12"/>
      <c r="G1" s="12"/>
      <c r="H1" s="12"/>
      <c r="I1" s="12"/>
      <c r="J1" s="12"/>
      <c r="K1" s="12"/>
    </row>
    <row r="2">
      <c r="A2" s="13"/>
      <c r="B2" s="13"/>
      <c r="C2" s="12"/>
      <c r="D2" s="12"/>
      <c r="E2" s="12"/>
      <c r="F2" s="12"/>
      <c r="G2" s="15" t="s">
        <v>5</v>
      </c>
      <c r="H2" s="15" t="s">
        <v>3</v>
      </c>
      <c r="I2" s="15" t="s">
        <v>301</v>
      </c>
      <c r="J2" s="12"/>
      <c r="K2" s="12"/>
    </row>
    <row r="3">
      <c r="A3" s="15" t="s">
        <v>5</v>
      </c>
      <c r="B3" s="15" t="s">
        <v>6</v>
      </c>
      <c r="C3" s="17">
        <v>9.0</v>
      </c>
      <c r="D3" s="21">
        <v>4.0</v>
      </c>
      <c r="E3" s="12"/>
      <c r="F3" s="15" t="s">
        <v>5</v>
      </c>
      <c r="G3" s="20">
        <v>1.0</v>
      </c>
      <c r="H3" s="20">
        <v>3.0</v>
      </c>
      <c r="I3" s="20">
        <v>2.0</v>
      </c>
      <c r="J3" s="12"/>
      <c r="K3" s="12"/>
    </row>
    <row r="4">
      <c r="A4" s="15" t="s">
        <v>3</v>
      </c>
      <c r="B4" s="15" t="s">
        <v>4</v>
      </c>
      <c r="C4" s="17">
        <v>17.0</v>
      </c>
      <c r="D4" s="19">
        <v>16.0</v>
      </c>
      <c r="E4" s="12"/>
      <c r="F4" s="15" t="s">
        <v>3</v>
      </c>
      <c r="G4" s="20">
        <v>3.0</v>
      </c>
      <c r="H4" s="20">
        <v>1.0</v>
      </c>
      <c r="I4" s="20">
        <v>2.0</v>
      </c>
      <c r="J4" s="12"/>
      <c r="K4" s="12"/>
    </row>
    <row r="5">
      <c r="A5" s="15" t="s">
        <v>301</v>
      </c>
      <c r="B5" s="13"/>
      <c r="C5" s="17">
        <v>2.0</v>
      </c>
      <c r="D5" s="19">
        <v>8.0</v>
      </c>
      <c r="E5" s="12"/>
      <c r="F5" s="15" t="s">
        <v>301</v>
      </c>
      <c r="G5" s="20">
        <v>3.0</v>
      </c>
      <c r="H5" s="20">
        <v>2.0</v>
      </c>
      <c r="I5" s="20">
        <v>1.0</v>
      </c>
      <c r="J5" s="12"/>
      <c r="K5" s="12"/>
    </row>
    <row r="6">
      <c r="A6" s="13"/>
      <c r="B6" s="12"/>
      <c r="C6" s="13"/>
      <c r="D6" s="12"/>
      <c r="E6" s="12"/>
      <c r="F6" s="12"/>
      <c r="G6" s="12"/>
      <c r="H6" s="12"/>
      <c r="I6" s="12"/>
      <c r="J6" s="12"/>
      <c r="K6" s="12"/>
    </row>
    <row r="7">
      <c r="A7" s="13"/>
      <c r="B7" s="12"/>
      <c r="C7" s="12"/>
      <c r="D7" s="12"/>
      <c r="E7" s="12"/>
      <c r="F7" s="12"/>
      <c r="G7" s="12"/>
      <c r="H7" s="12"/>
      <c r="I7" s="12"/>
      <c r="J7" s="12"/>
      <c r="K7" s="12"/>
    </row>
    <row r="8">
      <c r="A8" s="15" t="s">
        <v>8</v>
      </c>
      <c r="B8" s="13"/>
      <c r="C8" s="13"/>
      <c r="D8" s="15" t="s">
        <v>9</v>
      </c>
      <c r="E8" s="13"/>
      <c r="F8" s="13"/>
      <c r="G8" s="13"/>
      <c r="H8" s="13"/>
      <c r="I8" s="15" t="s">
        <v>11</v>
      </c>
      <c r="L8" s="1"/>
      <c r="M8" s="22" t="s">
        <v>12</v>
      </c>
      <c r="Q8" s="1"/>
      <c r="R8" s="1"/>
      <c r="S8" s="1"/>
      <c r="T8" s="1"/>
      <c r="U8" s="1"/>
    </row>
    <row r="9">
      <c r="A9" s="12"/>
      <c r="B9" s="13"/>
      <c r="C9" s="13"/>
      <c r="D9" s="15" t="s">
        <v>5</v>
      </c>
      <c r="E9" s="15" t="s">
        <v>3</v>
      </c>
      <c r="F9" s="15" t="s">
        <v>301</v>
      </c>
      <c r="G9" s="15" t="s">
        <v>14</v>
      </c>
      <c r="H9" s="13"/>
      <c r="I9" s="15" t="s">
        <v>5</v>
      </c>
      <c r="J9" s="15" t="s">
        <v>3</v>
      </c>
      <c r="K9" s="15" t="s">
        <v>301</v>
      </c>
      <c r="L9" s="1"/>
      <c r="M9" s="15" t="s">
        <v>5</v>
      </c>
      <c r="N9" s="15" t="s">
        <v>3</v>
      </c>
      <c r="O9" s="15" t="s">
        <v>301</v>
      </c>
    </row>
    <row r="10">
      <c r="A10" s="12"/>
      <c r="B10" s="13"/>
      <c r="C10" s="13"/>
      <c r="D10" s="12"/>
      <c r="E10" s="12"/>
      <c r="F10" s="12"/>
      <c r="G10" s="12"/>
      <c r="H10" s="12"/>
      <c r="I10" s="12"/>
      <c r="J10" s="12"/>
      <c r="K10" s="12"/>
    </row>
    <row r="11">
      <c r="A11" s="45" t="s">
        <v>302</v>
      </c>
      <c r="B11" s="13"/>
      <c r="C11" s="13"/>
      <c r="D11" s="32">
        <v>44.27</v>
      </c>
      <c r="E11" s="32">
        <v>43.99</v>
      </c>
      <c r="F11" s="32">
        <v>3.73</v>
      </c>
      <c r="G11" s="32">
        <f t="shared" ref="G11:G38" si="1">SUM(F11,D11,E11)</f>
        <v>91.99</v>
      </c>
      <c r="H11" s="13"/>
      <c r="I11" s="17">
        <f t="shared" ref="I11:I38" si="2">DIVIDE(100*D11,G11)</f>
        <v>48.12479617</v>
      </c>
      <c r="J11" s="46">
        <f t="shared" ref="J11:J38" si="3">DIVIDE(100*E11,G11)</f>
        <v>47.82041526</v>
      </c>
      <c r="K11" s="47">
        <v>0.0</v>
      </c>
      <c r="M11" s="5">
        <f t="shared" ref="M11:M13" si="4">1*I11+0.5*J11</f>
        <v>72.0350038</v>
      </c>
      <c r="N11" s="48">
        <f t="shared" ref="N11:N13" si="5">0.5*I11+1*J11</f>
        <v>71.88281335</v>
      </c>
      <c r="O11" s="49">
        <v>0.0</v>
      </c>
    </row>
    <row r="12">
      <c r="A12" s="15" t="s">
        <v>303</v>
      </c>
      <c r="B12" s="13"/>
      <c r="C12" s="13"/>
      <c r="D12" s="17">
        <v>45.78</v>
      </c>
      <c r="E12" s="17">
        <v>45.63</v>
      </c>
      <c r="F12" s="17">
        <v>2.24</v>
      </c>
      <c r="G12" s="32">
        <f t="shared" si="1"/>
        <v>93.65</v>
      </c>
      <c r="H12" s="13"/>
      <c r="I12" s="17">
        <f t="shared" si="2"/>
        <v>48.88414309</v>
      </c>
      <c r="J12" s="46">
        <f t="shared" si="3"/>
        <v>48.72397224</v>
      </c>
      <c r="K12" s="47">
        <v>0.0</v>
      </c>
      <c r="M12" s="5">
        <f t="shared" si="4"/>
        <v>73.2461292</v>
      </c>
      <c r="N12" s="48">
        <f t="shared" si="5"/>
        <v>73.16604378</v>
      </c>
      <c r="O12" s="49">
        <v>0.0</v>
      </c>
    </row>
    <row r="13">
      <c r="A13" s="15" t="s">
        <v>304</v>
      </c>
      <c r="B13" s="13"/>
      <c r="C13" s="12"/>
      <c r="D13" s="17">
        <v>44.95</v>
      </c>
      <c r="E13" s="17">
        <v>46.53</v>
      </c>
      <c r="F13" s="17">
        <v>4.21</v>
      </c>
      <c r="G13" s="32">
        <f t="shared" si="1"/>
        <v>95.69</v>
      </c>
      <c r="H13" s="13"/>
      <c r="I13" s="17">
        <f t="shared" si="2"/>
        <v>46.9746055</v>
      </c>
      <c r="J13" s="46">
        <f t="shared" si="3"/>
        <v>48.62577072</v>
      </c>
      <c r="K13" s="47">
        <v>0.0</v>
      </c>
      <c r="M13">
        <f t="shared" si="4"/>
        <v>71.28749086</v>
      </c>
      <c r="N13" s="50">
        <f t="shared" si="5"/>
        <v>72.11307347</v>
      </c>
      <c r="O13" s="49">
        <v>0.0</v>
      </c>
    </row>
    <row r="14">
      <c r="A14" s="15" t="s">
        <v>305</v>
      </c>
      <c r="B14" s="12"/>
      <c r="C14" s="12"/>
      <c r="D14" s="17">
        <v>35.67</v>
      </c>
      <c r="E14" s="17">
        <v>14.44</v>
      </c>
      <c r="F14" s="17">
        <v>44.43</v>
      </c>
      <c r="G14" s="32">
        <f t="shared" si="1"/>
        <v>94.54</v>
      </c>
      <c r="H14" s="12"/>
      <c r="I14" s="17">
        <f t="shared" si="2"/>
        <v>37.73006135</v>
      </c>
      <c r="J14" s="46">
        <f t="shared" si="3"/>
        <v>15.27395811</v>
      </c>
      <c r="K14" s="46">
        <f t="shared" ref="K14:K21" si="6">DIVIDE(100*F14,G14)</f>
        <v>46.99598054</v>
      </c>
      <c r="M14">
        <f t="shared" ref="M14:M21" si="7">1*I14+0.33*J14+0.33*K14</f>
        <v>58.2791411</v>
      </c>
      <c r="N14" s="48">
        <f t="shared" ref="N14:N21" si="8">0.33*I14+1*J14+0.66*K14</f>
        <v>58.74222551</v>
      </c>
      <c r="O14" s="50">
        <f t="shared" ref="O14:O21" si="9">0.66*I14+0.66*J14+1*K14</f>
        <v>81.97863338</v>
      </c>
    </row>
    <row r="15">
      <c r="A15" s="15" t="s">
        <v>306</v>
      </c>
      <c r="B15" s="12"/>
      <c r="C15" s="12"/>
      <c r="D15" s="17">
        <v>42.59</v>
      </c>
      <c r="E15" s="17">
        <v>33.36</v>
      </c>
      <c r="F15" s="17">
        <v>18.41</v>
      </c>
      <c r="G15" s="32">
        <f t="shared" si="1"/>
        <v>94.36</v>
      </c>
      <c r="H15" s="12"/>
      <c r="I15" s="17">
        <f t="shared" si="2"/>
        <v>45.1356507</v>
      </c>
      <c r="J15" s="46">
        <f t="shared" si="3"/>
        <v>35.35396354</v>
      </c>
      <c r="K15" s="46">
        <f t="shared" si="6"/>
        <v>19.51038576</v>
      </c>
      <c r="M15">
        <f t="shared" si="7"/>
        <v>63.24088597</v>
      </c>
      <c r="N15" s="48">
        <f t="shared" si="8"/>
        <v>63.12558287</v>
      </c>
      <c r="O15" s="50">
        <f t="shared" si="9"/>
        <v>72.63353116</v>
      </c>
    </row>
    <row r="16">
      <c r="A16" s="15" t="s">
        <v>307</v>
      </c>
      <c r="B16" s="12"/>
      <c r="C16" s="12"/>
      <c r="D16" s="17">
        <v>39.01</v>
      </c>
      <c r="E16" s="17">
        <v>32.29</v>
      </c>
      <c r="F16" s="17">
        <v>23.47</v>
      </c>
      <c r="G16" s="32">
        <f t="shared" si="1"/>
        <v>94.77</v>
      </c>
      <c r="H16" s="12"/>
      <c r="I16" s="17">
        <f t="shared" si="2"/>
        <v>41.16281524</v>
      </c>
      <c r="J16" s="46">
        <f t="shared" si="3"/>
        <v>34.0719637</v>
      </c>
      <c r="K16" s="46">
        <f t="shared" si="6"/>
        <v>24.76522106</v>
      </c>
      <c r="M16">
        <f t="shared" si="7"/>
        <v>60.57908621</v>
      </c>
      <c r="N16" s="48">
        <f t="shared" si="8"/>
        <v>64.00073863</v>
      </c>
      <c r="O16" s="50">
        <f t="shared" si="9"/>
        <v>74.42017516</v>
      </c>
    </row>
    <row r="17">
      <c r="A17" s="15" t="s">
        <v>308</v>
      </c>
      <c r="B17" s="12"/>
      <c r="C17" s="12"/>
      <c r="D17" s="17">
        <v>43.49</v>
      </c>
      <c r="E17" s="17">
        <v>7.29</v>
      </c>
      <c r="F17" s="17">
        <v>43.95</v>
      </c>
      <c r="G17" s="32">
        <f t="shared" si="1"/>
        <v>94.73</v>
      </c>
      <c r="H17" s="12"/>
      <c r="I17" s="17">
        <f t="shared" si="2"/>
        <v>45.90942679</v>
      </c>
      <c r="J17" s="46">
        <f t="shared" si="3"/>
        <v>7.69555579</v>
      </c>
      <c r="K17" s="46">
        <f t="shared" si="6"/>
        <v>46.39501742</v>
      </c>
      <c r="M17">
        <f t="shared" si="7"/>
        <v>63.75931595</v>
      </c>
      <c r="N17" s="48">
        <f t="shared" si="8"/>
        <v>53.46637813</v>
      </c>
      <c r="O17" s="50">
        <f t="shared" si="9"/>
        <v>81.77430592</v>
      </c>
    </row>
    <row r="18">
      <c r="A18" s="15" t="s">
        <v>309</v>
      </c>
      <c r="B18" s="12"/>
      <c r="C18" s="12"/>
      <c r="D18" s="17">
        <v>40.73</v>
      </c>
      <c r="E18" s="17">
        <v>43.45</v>
      </c>
      <c r="F18" s="17">
        <v>11.95</v>
      </c>
      <c r="G18" s="32">
        <f t="shared" si="1"/>
        <v>96.13</v>
      </c>
      <c r="H18" s="12"/>
      <c r="I18" s="17">
        <f t="shared" si="2"/>
        <v>42.36970769</v>
      </c>
      <c r="J18" s="46">
        <f t="shared" si="3"/>
        <v>45.1992094</v>
      </c>
      <c r="K18" s="51">
        <f t="shared" si="6"/>
        <v>12.43108291</v>
      </c>
      <c r="M18">
        <f t="shared" si="7"/>
        <v>61.38770415</v>
      </c>
      <c r="N18" s="48">
        <f t="shared" si="8"/>
        <v>67.38572766</v>
      </c>
      <c r="O18" s="50">
        <f t="shared" si="9"/>
        <v>70.22656819</v>
      </c>
    </row>
    <row r="19">
      <c r="A19" s="15" t="s">
        <v>310</v>
      </c>
      <c r="B19" s="12"/>
      <c r="C19" s="12"/>
      <c r="D19" s="17">
        <v>44.84</v>
      </c>
      <c r="E19" s="17">
        <v>28.94</v>
      </c>
      <c r="F19" s="17">
        <v>21.84</v>
      </c>
      <c r="G19" s="32">
        <f t="shared" si="1"/>
        <v>95.62</v>
      </c>
      <c r="H19" s="12"/>
      <c r="I19" s="17">
        <f t="shared" si="2"/>
        <v>46.89395524</v>
      </c>
      <c r="J19" s="46">
        <f t="shared" si="3"/>
        <v>30.2656348</v>
      </c>
      <c r="K19" s="46">
        <f t="shared" si="6"/>
        <v>22.84040996</v>
      </c>
      <c r="M19">
        <f t="shared" si="7"/>
        <v>64.41895001</v>
      </c>
      <c r="N19" s="48">
        <f t="shared" si="8"/>
        <v>60.8153106</v>
      </c>
      <c r="O19" s="50">
        <f t="shared" si="9"/>
        <v>73.76573939</v>
      </c>
    </row>
    <row r="20">
      <c r="A20" s="15" t="s">
        <v>311</v>
      </c>
      <c r="B20" s="12"/>
      <c r="C20" s="12"/>
      <c r="D20" s="17">
        <v>33.61</v>
      </c>
      <c r="E20" s="17">
        <v>32.86</v>
      </c>
      <c r="F20" s="17">
        <v>27.4</v>
      </c>
      <c r="G20" s="32">
        <f t="shared" si="1"/>
        <v>93.87</v>
      </c>
      <c r="H20" s="12"/>
      <c r="I20" s="17">
        <f t="shared" si="2"/>
        <v>35.80483648</v>
      </c>
      <c r="J20" s="46">
        <f t="shared" si="3"/>
        <v>35.00585917</v>
      </c>
      <c r="K20" s="51">
        <f t="shared" si="6"/>
        <v>29.18930436</v>
      </c>
      <c r="M20">
        <f t="shared" si="7"/>
        <v>56.98924044</v>
      </c>
      <c r="N20" s="48">
        <f t="shared" si="8"/>
        <v>66.08639608</v>
      </c>
      <c r="O20" s="50">
        <f t="shared" si="9"/>
        <v>75.92436348</v>
      </c>
    </row>
    <row r="21">
      <c r="A21" s="15" t="s">
        <v>312</v>
      </c>
      <c r="B21" s="12"/>
      <c r="C21" s="12"/>
      <c r="D21" s="17">
        <v>37.16</v>
      </c>
      <c r="E21" s="17">
        <v>23.71</v>
      </c>
      <c r="F21" s="17">
        <v>32.92</v>
      </c>
      <c r="G21" s="32">
        <f t="shared" si="1"/>
        <v>93.79</v>
      </c>
      <c r="H21" s="12"/>
      <c r="I21" s="17">
        <f t="shared" si="2"/>
        <v>39.62042862</v>
      </c>
      <c r="J21" s="46">
        <f t="shared" si="3"/>
        <v>25.27988058</v>
      </c>
      <c r="K21" s="46">
        <f t="shared" si="6"/>
        <v>35.0996908</v>
      </c>
      <c r="M21">
        <f t="shared" si="7"/>
        <v>59.54568717</v>
      </c>
      <c r="N21" s="48">
        <f t="shared" si="8"/>
        <v>61.52041796</v>
      </c>
      <c r="O21" s="50">
        <f t="shared" si="9"/>
        <v>77.93389487</v>
      </c>
    </row>
    <row r="22">
      <c r="A22" s="44" t="s">
        <v>313</v>
      </c>
      <c r="B22" s="12"/>
      <c r="C22" s="12"/>
      <c r="D22" s="32">
        <v>44.35</v>
      </c>
      <c r="E22" s="32">
        <v>51.38</v>
      </c>
      <c r="F22" s="32">
        <v>0.53</v>
      </c>
      <c r="G22" s="32">
        <f t="shared" si="1"/>
        <v>96.26</v>
      </c>
      <c r="H22" s="12"/>
      <c r="I22" s="17">
        <f t="shared" si="2"/>
        <v>46.07313526</v>
      </c>
      <c r="J22" s="52">
        <f t="shared" si="3"/>
        <v>53.3762726</v>
      </c>
      <c r="K22" s="47">
        <v>0.0</v>
      </c>
      <c r="M22">
        <f t="shared" ref="M22:M23" si="10">1*I22+0.5*J22</f>
        <v>72.76127156</v>
      </c>
      <c r="N22" s="50">
        <f t="shared" ref="N22:N23" si="11">0.5*I22+1*J22</f>
        <v>76.41284022</v>
      </c>
      <c r="O22" s="49">
        <v>0.0</v>
      </c>
    </row>
    <row r="23">
      <c r="A23" s="15" t="s">
        <v>314</v>
      </c>
      <c r="B23" s="12"/>
      <c r="C23" s="12"/>
      <c r="D23" s="32">
        <v>42.15</v>
      </c>
      <c r="E23" s="32">
        <v>52.95</v>
      </c>
      <c r="F23" s="32">
        <v>0.67</v>
      </c>
      <c r="G23" s="32">
        <f t="shared" si="1"/>
        <v>95.77</v>
      </c>
      <c r="H23" s="12"/>
      <c r="I23" s="17">
        <f t="shared" si="2"/>
        <v>44.01169469</v>
      </c>
      <c r="J23" s="52">
        <f t="shared" si="3"/>
        <v>55.28871254</v>
      </c>
      <c r="K23" s="47">
        <v>0.0</v>
      </c>
      <c r="M23">
        <f t="shared" si="10"/>
        <v>71.65605096</v>
      </c>
      <c r="N23" s="50">
        <f t="shared" si="11"/>
        <v>77.29455988</v>
      </c>
      <c r="O23" s="49">
        <v>0.0</v>
      </c>
    </row>
    <row r="24">
      <c r="A24" s="15" t="s">
        <v>315</v>
      </c>
      <c r="B24" s="12"/>
      <c r="C24" s="12"/>
      <c r="D24" s="17">
        <v>41.57</v>
      </c>
      <c r="E24" s="17">
        <v>48.8</v>
      </c>
      <c r="F24" s="17">
        <v>5.95</v>
      </c>
      <c r="G24" s="32">
        <f t="shared" si="1"/>
        <v>96.32</v>
      </c>
      <c r="H24" s="12"/>
      <c r="I24" s="17">
        <f t="shared" si="2"/>
        <v>43.15822259</v>
      </c>
      <c r="J24" s="52">
        <f t="shared" si="3"/>
        <v>50.66445183</v>
      </c>
      <c r="K24" s="46">
        <f>DIVIDE(100*F24,G24)</f>
        <v>6.177325581</v>
      </c>
      <c r="M24">
        <f>1*I24+0.33*J24+0.33*K24</f>
        <v>61.91600914</v>
      </c>
      <c r="N24" s="50">
        <f>0.33*I24+1*J24+0.66*K24</f>
        <v>68.98370017</v>
      </c>
      <c r="O24" s="48">
        <f>0.66*I24+0.66*J24+1*K24</f>
        <v>68.1002907</v>
      </c>
    </row>
    <row r="25">
      <c r="A25" s="15" t="s">
        <v>316</v>
      </c>
      <c r="B25" s="12"/>
      <c r="C25" s="12"/>
      <c r="D25" s="17">
        <v>50.82</v>
      </c>
      <c r="E25" s="17">
        <v>43.33</v>
      </c>
      <c r="F25" s="17">
        <v>1.57</v>
      </c>
      <c r="G25" s="32">
        <f t="shared" si="1"/>
        <v>95.72</v>
      </c>
      <c r="H25" s="12"/>
      <c r="I25" s="24">
        <f t="shared" si="2"/>
        <v>53.0923527</v>
      </c>
      <c r="J25" s="46">
        <f t="shared" si="3"/>
        <v>45.26744672</v>
      </c>
      <c r="K25" s="47">
        <v>0.0</v>
      </c>
      <c r="M25" s="5">
        <f>1*I25+0.5*J25</f>
        <v>75.72607606</v>
      </c>
      <c r="N25" s="48">
        <f>0.5*I25+1*J25</f>
        <v>71.81362307</v>
      </c>
      <c r="O25" s="49">
        <v>0.0</v>
      </c>
    </row>
    <row r="26">
      <c r="A26" s="15" t="s">
        <v>317</v>
      </c>
      <c r="B26" s="12"/>
      <c r="C26" s="12"/>
      <c r="D26" s="17">
        <v>38.11</v>
      </c>
      <c r="E26" s="17">
        <v>47.68</v>
      </c>
      <c r="F26" s="17">
        <v>6.1</v>
      </c>
      <c r="G26" s="32">
        <f t="shared" si="1"/>
        <v>91.89</v>
      </c>
      <c r="H26" s="12"/>
      <c r="I26" s="17">
        <f t="shared" si="2"/>
        <v>41.47350093</v>
      </c>
      <c r="J26" s="52">
        <f t="shared" si="3"/>
        <v>51.88812711</v>
      </c>
      <c r="K26" s="46">
        <f t="shared" ref="K26:K27" si="12">DIVIDE(100*F26,G26)</f>
        <v>6.638371966</v>
      </c>
      <c r="M26">
        <f>1*I26+0.33*J26+0.33*K26</f>
        <v>60.78724562</v>
      </c>
      <c r="N26" s="50">
        <f>0.33*I26+1*J26+0.66*K26</f>
        <v>69.95570791</v>
      </c>
      <c r="O26" s="48">
        <f>0.66*I26+0.66*J26+1*K26</f>
        <v>68.25704647</v>
      </c>
    </row>
    <row r="27">
      <c r="A27" s="15" t="s">
        <v>318</v>
      </c>
      <c r="B27" s="12"/>
      <c r="C27" s="12"/>
      <c r="D27" s="17">
        <v>45.06</v>
      </c>
      <c r="E27" s="17">
        <v>48.28</v>
      </c>
      <c r="F27" s="17">
        <v>0.0</v>
      </c>
      <c r="G27" s="32">
        <f t="shared" si="1"/>
        <v>93.34</v>
      </c>
      <c r="H27" s="12"/>
      <c r="I27" s="17">
        <f t="shared" si="2"/>
        <v>48.27512321</v>
      </c>
      <c r="J27" s="52">
        <f t="shared" si="3"/>
        <v>51.72487679</v>
      </c>
      <c r="K27" s="51">
        <f t="shared" si="12"/>
        <v>0</v>
      </c>
      <c r="M27">
        <f t="shared" ref="M27:M31" si="13">1*I27+0.5*J27</f>
        <v>74.1375616</v>
      </c>
      <c r="N27" s="50">
        <f t="shared" ref="N27:N31" si="14">0.5*I27+1*J27</f>
        <v>75.8624384</v>
      </c>
      <c r="O27" s="49">
        <v>0.0</v>
      </c>
    </row>
    <row r="28">
      <c r="A28" s="15" t="s">
        <v>319</v>
      </c>
      <c r="B28" s="12"/>
      <c r="C28" s="12"/>
      <c r="D28" s="17">
        <v>42.95</v>
      </c>
      <c r="E28" s="17">
        <v>51.09</v>
      </c>
      <c r="F28" s="17">
        <v>1.21</v>
      </c>
      <c r="G28" s="32">
        <f t="shared" si="1"/>
        <v>95.25</v>
      </c>
      <c r="H28" s="12"/>
      <c r="I28" s="17">
        <f t="shared" si="2"/>
        <v>45.09186352</v>
      </c>
      <c r="J28" s="52">
        <f t="shared" si="3"/>
        <v>53.63779528</v>
      </c>
      <c r="K28" s="47">
        <v>0.0</v>
      </c>
      <c r="M28">
        <f t="shared" si="13"/>
        <v>71.91076115</v>
      </c>
      <c r="N28" s="50">
        <f t="shared" si="14"/>
        <v>76.18372703</v>
      </c>
      <c r="O28" s="49">
        <v>0.0</v>
      </c>
    </row>
    <row r="29">
      <c r="A29" s="15" t="s">
        <v>320</v>
      </c>
      <c r="B29" s="12"/>
      <c r="C29" s="12"/>
      <c r="D29" s="17">
        <v>42.93</v>
      </c>
      <c r="E29" s="17">
        <v>50.77</v>
      </c>
      <c r="F29" s="17">
        <v>0.88</v>
      </c>
      <c r="G29" s="32">
        <f t="shared" si="1"/>
        <v>94.58</v>
      </c>
      <c r="H29" s="12"/>
      <c r="I29" s="17">
        <f t="shared" si="2"/>
        <v>45.39014591</v>
      </c>
      <c r="J29" s="52">
        <f t="shared" si="3"/>
        <v>53.67942483</v>
      </c>
      <c r="K29" s="47">
        <v>0.0</v>
      </c>
      <c r="M29">
        <f t="shared" si="13"/>
        <v>72.22985832</v>
      </c>
      <c r="N29" s="50">
        <f t="shared" si="14"/>
        <v>76.37449778</v>
      </c>
      <c r="O29" s="49">
        <v>0.0</v>
      </c>
    </row>
    <row r="30">
      <c r="A30" s="15" t="s">
        <v>321</v>
      </c>
      <c r="B30" s="12"/>
      <c r="C30" s="12"/>
      <c r="D30" s="17">
        <v>41.45</v>
      </c>
      <c r="E30" s="17">
        <v>52.37</v>
      </c>
      <c r="F30" s="17">
        <v>0.85</v>
      </c>
      <c r="G30" s="32">
        <f t="shared" si="1"/>
        <v>94.67</v>
      </c>
      <c r="H30" s="12"/>
      <c r="I30" s="17">
        <f t="shared" si="2"/>
        <v>43.78366959</v>
      </c>
      <c r="J30" s="52">
        <f t="shared" si="3"/>
        <v>55.3184747</v>
      </c>
      <c r="K30" s="47">
        <v>0.0</v>
      </c>
      <c r="M30">
        <f t="shared" si="13"/>
        <v>71.44290694</v>
      </c>
      <c r="N30" s="50">
        <f t="shared" si="14"/>
        <v>77.2103095</v>
      </c>
      <c r="O30" s="49">
        <v>0.0</v>
      </c>
    </row>
    <row r="31">
      <c r="A31" s="15" t="s">
        <v>322</v>
      </c>
      <c r="B31" s="12"/>
      <c r="C31" s="12"/>
      <c r="D31" s="17">
        <v>40.56</v>
      </c>
      <c r="E31" s="17">
        <v>54.61</v>
      </c>
      <c r="F31" s="17">
        <v>0.0</v>
      </c>
      <c r="G31" s="32">
        <f t="shared" si="1"/>
        <v>95.17</v>
      </c>
      <c r="H31" s="12"/>
      <c r="I31" s="17">
        <f t="shared" si="2"/>
        <v>42.61847221</v>
      </c>
      <c r="J31" s="52">
        <f t="shared" si="3"/>
        <v>57.38152779</v>
      </c>
      <c r="K31" s="46">
        <f t="shared" ref="K31:K32" si="15">DIVIDE(100*F31,G31)</f>
        <v>0</v>
      </c>
      <c r="M31">
        <f t="shared" si="13"/>
        <v>71.3092361</v>
      </c>
      <c r="N31" s="50">
        <f t="shared" si="14"/>
        <v>78.6907639</v>
      </c>
      <c r="O31" s="49">
        <v>0.0</v>
      </c>
    </row>
    <row r="32">
      <c r="A32" s="15" t="s">
        <v>323</v>
      </c>
      <c r="B32" s="12"/>
      <c r="C32" s="12"/>
      <c r="D32" s="17">
        <v>21.49</v>
      </c>
      <c r="E32" s="17">
        <v>53.63</v>
      </c>
      <c r="F32" s="17">
        <v>21.29</v>
      </c>
      <c r="G32" s="32">
        <f t="shared" si="1"/>
        <v>96.41</v>
      </c>
      <c r="H32" s="12"/>
      <c r="I32" s="17">
        <f t="shared" si="2"/>
        <v>22.29021886</v>
      </c>
      <c r="J32" s="52">
        <f t="shared" si="3"/>
        <v>55.62700965</v>
      </c>
      <c r="K32" s="46">
        <f t="shared" si="15"/>
        <v>22.0827715</v>
      </c>
      <c r="M32">
        <f>1*I32+0.33*J32+0.33*K32</f>
        <v>47.93444663</v>
      </c>
      <c r="N32" s="50">
        <f>0.33*I32+1*J32+0.66*K32</f>
        <v>77.55741106</v>
      </c>
      <c r="O32" s="48">
        <f>0.66*I32+0.66*J32+1*K32</f>
        <v>73.50814231</v>
      </c>
    </row>
    <row r="33">
      <c r="A33" s="15" t="s">
        <v>324</v>
      </c>
      <c r="B33" s="12"/>
      <c r="C33" s="12"/>
      <c r="D33" s="17">
        <v>38.63</v>
      </c>
      <c r="E33" s="17">
        <v>56.19</v>
      </c>
      <c r="F33" s="17">
        <v>1.44</v>
      </c>
      <c r="G33" s="32">
        <f t="shared" si="1"/>
        <v>96.26</v>
      </c>
      <c r="H33" s="12"/>
      <c r="I33" s="17">
        <f t="shared" si="2"/>
        <v>40.13089549</v>
      </c>
      <c r="J33" s="52">
        <f t="shared" si="3"/>
        <v>58.37315604</v>
      </c>
      <c r="K33" s="47">
        <v>0.0</v>
      </c>
      <c r="M33">
        <f t="shared" ref="M33:M34" si="16">1*I33+0.5*J33</f>
        <v>69.31747351</v>
      </c>
      <c r="N33" s="50">
        <f t="shared" ref="N33:N34" si="17">0.5*I33+1*J33</f>
        <v>78.43860378</v>
      </c>
      <c r="O33" s="49">
        <v>0.0</v>
      </c>
    </row>
    <row r="34">
      <c r="A34" s="15" t="s">
        <v>325</v>
      </c>
      <c r="B34" s="12"/>
      <c r="C34" s="12"/>
      <c r="D34" s="17">
        <v>41.32</v>
      </c>
      <c r="E34" s="17">
        <v>53.23</v>
      </c>
      <c r="F34" s="17">
        <v>0.0</v>
      </c>
      <c r="G34" s="32">
        <f t="shared" si="1"/>
        <v>94.55</v>
      </c>
      <c r="H34" s="12"/>
      <c r="I34" s="17">
        <f t="shared" si="2"/>
        <v>43.70174511</v>
      </c>
      <c r="J34" s="52">
        <f t="shared" si="3"/>
        <v>56.29825489</v>
      </c>
      <c r="K34" s="46">
        <f t="shared" ref="K34:K36" si="18">DIVIDE(100*F34,G34)</f>
        <v>0</v>
      </c>
      <c r="M34">
        <f t="shared" si="16"/>
        <v>71.85087255</v>
      </c>
      <c r="N34" s="50">
        <f t="shared" si="17"/>
        <v>78.14912745</v>
      </c>
      <c r="O34" s="49">
        <v>0.0</v>
      </c>
    </row>
    <row r="35">
      <c r="A35" s="15" t="s">
        <v>326</v>
      </c>
      <c r="B35" s="12"/>
      <c r="C35" s="12"/>
      <c r="D35" s="17">
        <v>50.1</v>
      </c>
      <c r="E35" s="17">
        <v>37.64</v>
      </c>
      <c r="F35" s="17">
        <v>5.18</v>
      </c>
      <c r="G35" s="32">
        <f t="shared" si="1"/>
        <v>92.92</v>
      </c>
      <c r="H35" s="12"/>
      <c r="I35" s="24">
        <f t="shared" si="2"/>
        <v>53.91734826</v>
      </c>
      <c r="J35" s="46">
        <f t="shared" si="3"/>
        <v>40.50796384</v>
      </c>
      <c r="K35" s="46">
        <f t="shared" si="18"/>
        <v>5.574687904</v>
      </c>
      <c r="M35" s="5">
        <f t="shared" ref="M35:M36" si="19">1*I35+0.33*J35+0.33*K35</f>
        <v>69.12462333</v>
      </c>
      <c r="N35" s="48">
        <f t="shared" ref="N35:N36" si="20">0.33*I35+1*J35+0.66*K35</f>
        <v>61.97998278</v>
      </c>
      <c r="O35" s="48">
        <f t="shared" ref="O35:O36" si="21">0.66*I35+0.66*J35+1*K35</f>
        <v>67.89539389</v>
      </c>
    </row>
    <row r="36">
      <c r="A36" s="15" t="s">
        <v>327</v>
      </c>
      <c r="B36" s="12"/>
      <c r="C36" s="12"/>
      <c r="D36" s="17">
        <v>35.99</v>
      </c>
      <c r="E36" s="17">
        <v>52.91</v>
      </c>
      <c r="F36" s="17">
        <v>6.83</v>
      </c>
      <c r="G36" s="32">
        <f t="shared" si="1"/>
        <v>95.73</v>
      </c>
      <c r="H36" s="12"/>
      <c r="I36" s="17">
        <f t="shared" si="2"/>
        <v>37.59532017</v>
      </c>
      <c r="J36" s="52">
        <f t="shared" si="3"/>
        <v>55.27003029</v>
      </c>
      <c r="K36" s="46">
        <f t="shared" si="18"/>
        <v>7.134649535</v>
      </c>
      <c r="M36">
        <f t="shared" si="19"/>
        <v>58.18886451</v>
      </c>
      <c r="N36" s="50">
        <f t="shared" si="20"/>
        <v>72.38535464</v>
      </c>
      <c r="O36" s="48">
        <f t="shared" si="21"/>
        <v>68.42578084</v>
      </c>
    </row>
    <row r="37">
      <c r="A37" s="15" t="s">
        <v>328</v>
      </c>
      <c r="B37" s="12"/>
      <c r="C37" s="12"/>
      <c r="D37" s="17">
        <v>39.05</v>
      </c>
      <c r="E37" s="17">
        <v>51.85</v>
      </c>
      <c r="F37" s="17">
        <v>1.9</v>
      </c>
      <c r="G37" s="32">
        <f t="shared" si="1"/>
        <v>92.8</v>
      </c>
      <c r="H37" s="12"/>
      <c r="I37" s="17">
        <f t="shared" si="2"/>
        <v>42.07974138</v>
      </c>
      <c r="J37" s="52">
        <f t="shared" si="3"/>
        <v>55.87284483</v>
      </c>
      <c r="K37" s="47">
        <v>0.0</v>
      </c>
      <c r="M37">
        <f t="shared" ref="M37:M38" si="22">1*I37+0.5*J37</f>
        <v>70.01616379</v>
      </c>
      <c r="N37" s="50">
        <f t="shared" ref="N37:N38" si="23">0.5*I37+1*J37</f>
        <v>76.91271552</v>
      </c>
      <c r="O37" s="49">
        <v>0.0</v>
      </c>
    </row>
    <row r="38">
      <c r="A38" s="15" t="s">
        <v>329</v>
      </c>
      <c r="B38" s="12"/>
      <c r="C38" s="12"/>
      <c r="D38" s="17">
        <v>36.37</v>
      </c>
      <c r="E38" s="17">
        <v>56.88</v>
      </c>
      <c r="F38" s="17">
        <v>2.3</v>
      </c>
      <c r="G38" s="32">
        <f t="shared" si="1"/>
        <v>95.55</v>
      </c>
      <c r="H38" s="12"/>
      <c r="I38" s="17">
        <f t="shared" si="2"/>
        <v>38.06384092</v>
      </c>
      <c r="J38" s="52">
        <f t="shared" si="3"/>
        <v>59.52904239</v>
      </c>
      <c r="K38" s="47">
        <v>0.0</v>
      </c>
      <c r="M38">
        <f t="shared" si="22"/>
        <v>67.82836211</v>
      </c>
      <c r="N38" s="50">
        <f t="shared" si="23"/>
        <v>78.56096285</v>
      </c>
      <c r="O38" s="49">
        <v>0.0</v>
      </c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</row>
  </sheetData>
  <mergeCells count="2">
    <mergeCell ref="I8:K8"/>
    <mergeCell ref="M8:O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1</v>
      </c>
      <c r="C1" s="4" t="s">
        <v>17</v>
      </c>
      <c r="D1" s="4" t="s">
        <v>18</v>
      </c>
      <c r="E1" s="12"/>
      <c r="F1" s="12"/>
      <c r="G1" s="12"/>
      <c r="H1" s="12"/>
      <c r="I1" s="12"/>
      <c r="J1" s="12"/>
      <c r="K1" s="12"/>
      <c r="L1" s="12"/>
    </row>
    <row r="2">
      <c r="A2" s="13"/>
      <c r="B2" s="13"/>
      <c r="C2" s="12"/>
      <c r="D2" s="12"/>
      <c r="E2" s="12"/>
      <c r="F2" s="13"/>
      <c r="G2" s="13"/>
      <c r="H2" s="13"/>
      <c r="I2" s="13"/>
      <c r="J2" s="12"/>
      <c r="K2" s="12"/>
      <c r="L2" s="12"/>
    </row>
    <row r="3">
      <c r="A3" s="15" t="s">
        <v>330</v>
      </c>
      <c r="B3" s="15" t="s">
        <v>331</v>
      </c>
      <c r="C3" s="17">
        <v>5.0</v>
      </c>
      <c r="D3" s="19">
        <v>1.0</v>
      </c>
      <c r="E3" s="13"/>
      <c r="F3" s="12"/>
      <c r="G3" s="12"/>
      <c r="H3" s="12"/>
      <c r="I3" s="12"/>
      <c r="J3" s="12"/>
      <c r="K3" s="12"/>
      <c r="L3" s="12"/>
    </row>
    <row r="4">
      <c r="A4" s="15" t="s">
        <v>3</v>
      </c>
      <c r="B4" s="15" t="s">
        <v>4</v>
      </c>
      <c r="C4" s="17">
        <v>0.0</v>
      </c>
      <c r="D4" s="21">
        <v>0.0</v>
      </c>
      <c r="E4" s="13"/>
      <c r="F4" s="12"/>
      <c r="G4" s="12"/>
      <c r="H4" s="10" t="s">
        <v>332</v>
      </c>
      <c r="I4" s="10" t="s">
        <v>333</v>
      </c>
      <c r="J4" s="10" t="s">
        <v>334</v>
      </c>
      <c r="K4" s="12"/>
      <c r="L4" s="12"/>
    </row>
    <row r="5">
      <c r="A5" s="15" t="s">
        <v>5</v>
      </c>
      <c r="B5" s="15" t="s">
        <v>335</v>
      </c>
      <c r="C5" s="17">
        <v>8.0</v>
      </c>
      <c r="D5" s="19">
        <v>19.0</v>
      </c>
      <c r="E5" s="13"/>
      <c r="F5" s="12"/>
      <c r="G5" s="10" t="s">
        <v>332</v>
      </c>
      <c r="H5" s="20">
        <v>1.0</v>
      </c>
      <c r="I5" s="20">
        <v>3.0</v>
      </c>
      <c r="J5" s="20">
        <v>2.0</v>
      </c>
      <c r="K5" s="12"/>
      <c r="L5" s="12"/>
    </row>
    <row r="6">
      <c r="A6" s="15" t="s">
        <v>336</v>
      </c>
      <c r="B6" s="15" t="s">
        <v>335</v>
      </c>
      <c r="C6" s="17">
        <v>2.0</v>
      </c>
      <c r="D6" s="19">
        <v>0.0</v>
      </c>
      <c r="E6" s="13"/>
      <c r="F6" s="12"/>
      <c r="G6" s="10" t="s">
        <v>333</v>
      </c>
      <c r="H6" s="20">
        <v>2.0</v>
      </c>
      <c r="I6" s="20">
        <v>1.0</v>
      </c>
      <c r="J6" s="20">
        <v>3.0</v>
      </c>
      <c r="K6" s="12"/>
      <c r="L6" s="12"/>
    </row>
    <row r="7">
      <c r="A7" s="10" t="s">
        <v>337</v>
      </c>
      <c r="B7" s="10" t="s">
        <v>335</v>
      </c>
      <c r="C7" s="21">
        <v>1.0</v>
      </c>
      <c r="D7" s="19">
        <v>0.0</v>
      </c>
      <c r="E7" s="13"/>
      <c r="F7" s="12"/>
      <c r="G7" s="10" t="s">
        <v>334</v>
      </c>
      <c r="H7" s="20">
        <v>2.0</v>
      </c>
      <c r="I7" s="20">
        <v>3.0</v>
      </c>
      <c r="J7" s="20">
        <v>1.0</v>
      </c>
      <c r="K7" s="12"/>
      <c r="L7" s="12"/>
    </row>
    <row r="8">
      <c r="A8" s="15" t="s">
        <v>338</v>
      </c>
      <c r="B8" s="15" t="s">
        <v>335</v>
      </c>
      <c r="C8" s="17">
        <v>0.0</v>
      </c>
      <c r="D8" s="17">
        <v>0.0</v>
      </c>
      <c r="E8" s="13"/>
      <c r="F8" s="13"/>
      <c r="G8" s="13"/>
      <c r="H8" s="13"/>
      <c r="I8" s="13"/>
      <c r="J8" s="13"/>
      <c r="K8" s="13"/>
      <c r="L8" s="13"/>
    </row>
    <row r="9">
      <c r="A9" s="10" t="s">
        <v>339</v>
      </c>
      <c r="B9" s="15" t="s">
        <v>335</v>
      </c>
      <c r="C9" s="17">
        <v>1.0</v>
      </c>
      <c r="D9" s="19">
        <v>0.0</v>
      </c>
      <c r="E9" s="13"/>
      <c r="F9" s="13"/>
      <c r="G9" s="13"/>
      <c r="H9" s="13"/>
      <c r="I9" s="13"/>
      <c r="J9" s="13"/>
      <c r="K9" s="13"/>
      <c r="L9" s="13"/>
      <c r="M9" s="1"/>
      <c r="N9" s="1"/>
    </row>
    <row r="10">
      <c r="A10" s="10" t="s">
        <v>340</v>
      </c>
      <c r="B10" s="15" t="s">
        <v>331</v>
      </c>
      <c r="C10" s="17">
        <v>1.0</v>
      </c>
      <c r="D10" s="19">
        <v>0.0</v>
      </c>
      <c r="E10" s="12"/>
      <c r="F10" s="12"/>
      <c r="G10" s="12"/>
      <c r="H10" s="12"/>
      <c r="I10" s="12"/>
      <c r="J10" s="13"/>
      <c r="K10" s="12"/>
      <c r="L10" s="12"/>
    </row>
    <row r="11">
      <c r="A11" s="15" t="s">
        <v>341</v>
      </c>
      <c r="B11" s="15" t="s">
        <v>331</v>
      </c>
      <c r="C11" s="17">
        <v>2.0</v>
      </c>
      <c r="D11" s="19">
        <v>0.0</v>
      </c>
      <c r="E11" s="13"/>
      <c r="F11" s="13"/>
      <c r="G11" s="13"/>
      <c r="H11" s="12"/>
      <c r="I11" s="12"/>
      <c r="J11" s="12"/>
      <c r="K11" s="12"/>
      <c r="L11" s="12"/>
    </row>
    <row r="12">
      <c r="A12" s="15" t="s">
        <v>301</v>
      </c>
      <c r="B12" s="15" t="s">
        <v>331</v>
      </c>
      <c r="C12" s="21">
        <v>0.0</v>
      </c>
      <c r="D12" s="17">
        <v>0.0</v>
      </c>
      <c r="E12" s="13"/>
      <c r="F12" s="13"/>
      <c r="G12" s="12"/>
      <c r="H12" s="12"/>
      <c r="I12" s="12"/>
      <c r="J12" s="12"/>
      <c r="K12" s="12"/>
      <c r="L12" s="12"/>
    </row>
    <row r="13">
      <c r="A13" s="15" t="s">
        <v>342</v>
      </c>
      <c r="B13" s="15" t="s">
        <v>4</v>
      </c>
      <c r="C13" s="21">
        <v>0.0</v>
      </c>
      <c r="D13" s="17">
        <v>0.0</v>
      </c>
      <c r="E13" s="13"/>
      <c r="F13" s="13"/>
      <c r="G13" s="12"/>
      <c r="H13" s="12"/>
      <c r="I13" s="12"/>
      <c r="J13" s="12"/>
      <c r="K13" s="12"/>
      <c r="L13" s="12"/>
    </row>
    <row r="14">
      <c r="A14" s="13"/>
      <c r="B14" s="13"/>
      <c r="C14" s="12"/>
      <c r="D14" s="13"/>
      <c r="E14" s="13"/>
      <c r="F14" s="13"/>
      <c r="G14" s="12"/>
      <c r="H14" s="12"/>
      <c r="I14" s="12"/>
      <c r="J14" s="12"/>
      <c r="K14" s="12"/>
      <c r="L14" s="12"/>
    </row>
    <row r="15">
      <c r="A15" s="15" t="s">
        <v>8</v>
      </c>
      <c r="B15" s="15" t="s">
        <v>41</v>
      </c>
      <c r="C15" s="12"/>
      <c r="D15" s="15" t="s">
        <v>9</v>
      </c>
      <c r="G15" s="12"/>
      <c r="H15" s="12"/>
      <c r="I15" s="10" t="s">
        <v>11</v>
      </c>
      <c r="L15" s="12"/>
      <c r="M15" s="1" t="s">
        <v>12</v>
      </c>
    </row>
    <row r="16">
      <c r="A16" s="13"/>
      <c r="B16" s="13"/>
      <c r="C16" s="12"/>
      <c r="D16" s="15" t="s">
        <v>332</v>
      </c>
      <c r="E16" s="15" t="s">
        <v>333</v>
      </c>
      <c r="F16" s="15" t="s">
        <v>334</v>
      </c>
      <c r="G16" s="10" t="s">
        <v>45</v>
      </c>
      <c r="H16" s="12"/>
      <c r="I16" s="10" t="s">
        <v>332</v>
      </c>
      <c r="J16" s="10" t="s">
        <v>333</v>
      </c>
      <c r="K16" s="10" t="s">
        <v>334</v>
      </c>
      <c r="L16" s="12"/>
      <c r="M16" s="1" t="s">
        <v>5</v>
      </c>
      <c r="N16" s="1" t="s">
        <v>3</v>
      </c>
      <c r="O16" s="1" t="s">
        <v>330</v>
      </c>
    </row>
    <row r="17">
      <c r="A17" s="13"/>
      <c r="B17" s="13"/>
      <c r="C17" s="12"/>
      <c r="D17" s="13"/>
      <c r="E17" s="13"/>
      <c r="F17" s="12"/>
      <c r="G17" s="13"/>
      <c r="H17" s="12"/>
      <c r="I17" s="12"/>
      <c r="J17" s="12"/>
      <c r="K17" s="12"/>
      <c r="L17" s="12"/>
    </row>
    <row r="18">
      <c r="A18" s="15" t="s">
        <v>343</v>
      </c>
      <c r="B18" s="17">
        <v>1243730.0</v>
      </c>
      <c r="C18" s="12"/>
      <c r="D18" s="32">
        <v>38.77</v>
      </c>
      <c r="E18" s="32">
        <v>17.72</v>
      </c>
      <c r="F18" s="32">
        <v>39.48</v>
      </c>
      <c r="G18" s="21">
        <f t="shared" ref="G18:G37" si="1">SUM(D18,E18,F18)</f>
        <v>95.97</v>
      </c>
      <c r="H18" s="12"/>
      <c r="I18" s="21">
        <f t="shared" ref="I18:I37" si="2">DIVIDE(100*D18,G18)</f>
        <v>40.39804105</v>
      </c>
      <c r="J18" s="21">
        <f t="shared" ref="J18:J37" si="3">DIVIDE(100*E18,G18)</f>
        <v>18.46410337</v>
      </c>
      <c r="K18" s="21">
        <f t="shared" ref="K18:K37" si="4">DIVIDE(100*F18,G18)</f>
        <v>41.13785558</v>
      </c>
      <c r="L18" s="12"/>
      <c r="M18" s="5">
        <f t="shared" ref="M18:M37" si="5">1*I18+0.66*J18+0.66*K18</f>
        <v>79.73533396</v>
      </c>
      <c r="N18">
        <f t="shared" ref="N18:N37" si="6">0.33*I18+1*J18+0.33*K18</f>
        <v>45.37094925</v>
      </c>
      <c r="O18">
        <f t="shared" ref="O18:O37" si="7">0.66*I18+0.33*J18+1*K18</f>
        <v>73.89371679</v>
      </c>
    </row>
    <row r="19">
      <c r="A19" s="15" t="s">
        <v>344</v>
      </c>
      <c r="B19" s="17">
        <v>1170266.0</v>
      </c>
      <c r="C19" s="12"/>
      <c r="D19" s="17">
        <v>44.39</v>
      </c>
      <c r="E19" s="17">
        <v>5.44</v>
      </c>
      <c r="F19" s="17">
        <v>45.08</v>
      </c>
      <c r="G19" s="21">
        <f t="shared" si="1"/>
        <v>94.91</v>
      </c>
      <c r="H19" s="12"/>
      <c r="I19" s="21">
        <f t="shared" si="2"/>
        <v>46.7706248</v>
      </c>
      <c r="J19" s="21">
        <f t="shared" si="3"/>
        <v>5.731745865</v>
      </c>
      <c r="K19" s="21">
        <f t="shared" si="4"/>
        <v>47.49762933</v>
      </c>
      <c r="L19" s="12"/>
      <c r="M19" s="5">
        <f t="shared" si="5"/>
        <v>81.90201243</v>
      </c>
      <c r="N19">
        <f t="shared" si="6"/>
        <v>36.84026973</v>
      </c>
      <c r="O19">
        <f t="shared" si="7"/>
        <v>80.25771784</v>
      </c>
    </row>
    <row r="20">
      <c r="A20" s="15" t="s">
        <v>345</v>
      </c>
      <c r="B20" s="17">
        <v>1182504.0</v>
      </c>
      <c r="C20" s="12"/>
      <c r="D20" s="17">
        <v>43.37</v>
      </c>
      <c r="E20" s="17">
        <v>7.95</v>
      </c>
      <c r="F20" s="17">
        <v>43.03</v>
      </c>
      <c r="G20" s="21">
        <f t="shared" si="1"/>
        <v>94.35</v>
      </c>
      <c r="H20" s="12"/>
      <c r="I20" s="21">
        <f t="shared" si="2"/>
        <v>45.96714361</v>
      </c>
      <c r="J20" s="21">
        <f t="shared" si="3"/>
        <v>8.426073132</v>
      </c>
      <c r="K20" s="21">
        <f t="shared" si="4"/>
        <v>45.60678325</v>
      </c>
      <c r="L20" s="12"/>
      <c r="M20" s="5">
        <f t="shared" si="5"/>
        <v>81.62882883</v>
      </c>
      <c r="N20">
        <f t="shared" si="6"/>
        <v>38.645469</v>
      </c>
      <c r="O20">
        <f t="shared" si="7"/>
        <v>78.72570217</v>
      </c>
    </row>
    <row r="21">
      <c r="A21" s="15" t="s">
        <v>346</v>
      </c>
      <c r="B21" s="17">
        <v>1249420.0</v>
      </c>
      <c r="C21" s="12"/>
      <c r="D21" s="17">
        <v>41.2</v>
      </c>
      <c r="E21" s="17">
        <v>8.82</v>
      </c>
      <c r="F21" s="17">
        <v>38.92</v>
      </c>
      <c r="G21" s="17">
        <f t="shared" si="1"/>
        <v>88.94</v>
      </c>
      <c r="H21" s="12"/>
      <c r="I21" s="21">
        <f t="shared" si="2"/>
        <v>46.32336407</v>
      </c>
      <c r="J21" s="21">
        <f t="shared" si="3"/>
        <v>9.916797841</v>
      </c>
      <c r="K21" s="21">
        <f t="shared" si="4"/>
        <v>43.75983809</v>
      </c>
      <c r="L21" s="12"/>
      <c r="M21" s="5">
        <f t="shared" si="5"/>
        <v>81.74994378</v>
      </c>
      <c r="N21">
        <f t="shared" si="6"/>
        <v>39.64425455</v>
      </c>
      <c r="O21">
        <f t="shared" si="7"/>
        <v>77.60580166</v>
      </c>
    </row>
    <row r="22">
      <c r="A22" s="15" t="s">
        <v>347</v>
      </c>
      <c r="B22" s="17">
        <v>1182484.0</v>
      </c>
      <c r="C22" s="12"/>
      <c r="D22" s="17">
        <v>42.15</v>
      </c>
      <c r="E22" s="17">
        <v>12.27</v>
      </c>
      <c r="F22" s="21">
        <v>40.36</v>
      </c>
      <c r="G22" s="17">
        <f t="shared" si="1"/>
        <v>94.78</v>
      </c>
      <c r="H22" s="12"/>
      <c r="I22" s="21">
        <f t="shared" si="2"/>
        <v>44.47140747</v>
      </c>
      <c r="J22" s="21">
        <f t="shared" si="3"/>
        <v>12.94576915</v>
      </c>
      <c r="K22" s="21">
        <f t="shared" si="4"/>
        <v>42.58282338</v>
      </c>
      <c r="L22" s="12"/>
      <c r="M22" s="5">
        <f t="shared" si="5"/>
        <v>81.12027854</v>
      </c>
      <c r="N22">
        <f t="shared" si="6"/>
        <v>41.67366533</v>
      </c>
      <c r="O22">
        <f t="shared" si="7"/>
        <v>76.20605613</v>
      </c>
    </row>
    <row r="23">
      <c r="A23" s="15" t="s">
        <v>348</v>
      </c>
      <c r="B23" s="17">
        <v>1180789.0</v>
      </c>
      <c r="C23" s="12"/>
      <c r="D23" s="17">
        <v>43.43</v>
      </c>
      <c r="E23" s="17">
        <v>8.63</v>
      </c>
      <c r="F23" s="21">
        <v>40.51</v>
      </c>
      <c r="G23" s="17">
        <f t="shared" si="1"/>
        <v>92.57</v>
      </c>
      <c r="H23" s="12"/>
      <c r="I23" s="21">
        <f t="shared" si="2"/>
        <v>46.91584747</v>
      </c>
      <c r="J23" s="21">
        <f t="shared" si="3"/>
        <v>9.322674733</v>
      </c>
      <c r="K23" s="21">
        <f t="shared" si="4"/>
        <v>43.7614778</v>
      </c>
      <c r="L23" s="12"/>
      <c r="M23" s="5">
        <f t="shared" si="5"/>
        <v>81.95138814</v>
      </c>
      <c r="N23">
        <f t="shared" si="6"/>
        <v>39.24619207</v>
      </c>
      <c r="O23">
        <f t="shared" si="7"/>
        <v>77.80241979</v>
      </c>
    </row>
    <row r="24">
      <c r="A24" s="15" t="s">
        <v>349</v>
      </c>
      <c r="B24" s="17">
        <v>1208726.0</v>
      </c>
      <c r="C24" s="12"/>
      <c r="D24" s="21">
        <v>33.78</v>
      </c>
      <c r="E24" s="21">
        <v>15.0</v>
      </c>
      <c r="F24" s="21">
        <v>45.35</v>
      </c>
      <c r="G24" s="21">
        <f t="shared" si="1"/>
        <v>94.13</v>
      </c>
      <c r="H24" s="12"/>
      <c r="I24" s="21">
        <f t="shared" si="2"/>
        <v>35.88653989</v>
      </c>
      <c r="J24" s="21">
        <f t="shared" si="3"/>
        <v>15.93540848</v>
      </c>
      <c r="K24" s="21">
        <f t="shared" si="4"/>
        <v>48.17805163</v>
      </c>
      <c r="L24" s="12"/>
      <c r="M24" s="5">
        <f t="shared" si="5"/>
        <v>78.20142356</v>
      </c>
      <c r="N24">
        <f t="shared" si="6"/>
        <v>43.67672368</v>
      </c>
      <c r="O24">
        <f t="shared" si="7"/>
        <v>77.12185276</v>
      </c>
    </row>
    <row r="25">
      <c r="A25" s="15" t="s">
        <v>350</v>
      </c>
      <c r="B25" s="17">
        <v>1216351.0</v>
      </c>
      <c r="C25" s="12"/>
      <c r="D25" s="17">
        <v>40.33</v>
      </c>
      <c r="E25" s="17">
        <v>9.45</v>
      </c>
      <c r="F25" s="17">
        <v>44.34</v>
      </c>
      <c r="G25" s="21">
        <f t="shared" si="1"/>
        <v>94.12</v>
      </c>
      <c r="H25" s="12"/>
      <c r="I25" s="21">
        <f t="shared" si="2"/>
        <v>42.84955376</v>
      </c>
      <c r="J25" s="21">
        <f t="shared" si="3"/>
        <v>10.04037399</v>
      </c>
      <c r="K25" s="21">
        <f t="shared" si="4"/>
        <v>47.11007225</v>
      </c>
      <c r="L25" s="12"/>
      <c r="M25" s="5">
        <f t="shared" si="5"/>
        <v>80.56884828</v>
      </c>
      <c r="N25">
        <f t="shared" si="6"/>
        <v>39.72705057</v>
      </c>
      <c r="O25">
        <f t="shared" si="7"/>
        <v>78.70410115</v>
      </c>
    </row>
    <row r="26">
      <c r="A26" s="15" t="s">
        <v>351</v>
      </c>
      <c r="B26" s="17">
        <v>1275288.0</v>
      </c>
      <c r="C26" s="12"/>
      <c r="D26" s="17">
        <v>38.12</v>
      </c>
      <c r="E26" s="17">
        <v>11.15</v>
      </c>
      <c r="F26" s="17">
        <v>42.27</v>
      </c>
      <c r="G26" s="21">
        <f t="shared" si="1"/>
        <v>91.54</v>
      </c>
      <c r="H26" s="12"/>
      <c r="I26" s="21">
        <f t="shared" si="2"/>
        <v>41.6429976</v>
      </c>
      <c r="J26" s="21">
        <f t="shared" si="3"/>
        <v>12.18046756</v>
      </c>
      <c r="K26" s="21">
        <f t="shared" si="4"/>
        <v>46.17653485</v>
      </c>
      <c r="L26" s="12"/>
      <c r="M26" s="5">
        <f t="shared" si="5"/>
        <v>80.15861918</v>
      </c>
      <c r="N26">
        <f t="shared" si="6"/>
        <v>41.16091326</v>
      </c>
      <c r="O26">
        <f t="shared" si="7"/>
        <v>77.68046756</v>
      </c>
    </row>
    <row r="27">
      <c r="A27" s="15" t="s">
        <v>352</v>
      </c>
      <c r="B27" s="17">
        <v>1150497.0</v>
      </c>
      <c r="C27" s="12"/>
      <c r="D27" s="17">
        <v>38.93</v>
      </c>
      <c r="E27" s="17">
        <v>10.49</v>
      </c>
      <c r="F27" s="21">
        <v>40.5</v>
      </c>
      <c r="G27" s="17">
        <f t="shared" si="1"/>
        <v>89.92</v>
      </c>
      <c r="H27" s="12"/>
      <c r="I27" s="21">
        <f t="shared" si="2"/>
        <v>43.29403915</v>
      </c>
      <c r="J27" s="21">
        <f t="shared" si="3"/>
        <v>11.66592527</v>
      </c>
      <c r="K27" s="21">
        <f t="shared" si="4"/>
        <v>45.04003559</v>
      </c>
      <c r="L27" s="12"/>
      <c r="M27" s="5">
        <f t="shared" si="5"/>
        <v>80.71997331</v>
      </c>
      <c r="N27">
        <f t="shared" si="6"/>
        <v>40.81616993</v>
      </c>
      <c r="O27">
        <f t="shared" si="7"/>
        <v>77.46385676</v>
      </c>
    </row>
    <row r="28">
      <c r="A28" s="15" t="s">
        <v>353</v>
      </c>
      <c r="B28" s="17">
        <v>1156492.0</v>
      </c>
      <c r="C28" s="12"/>
      <c r="D28" s="17">
        <v>41.58</v>
      </c>
      <c r="E28" s="17">
        <v>11.63</v>
      </c>
      <c r="F28" s="17">
        <v>31.35</v>
      </c>
      <c r="G28" s="21">
        <f t="shared" si="1"/>
        <v>84.56</v>
      </c>
      <c r="H28" s="12"/>
      <c r="I28" s="21">
        <f t="shared" si="2"/>
        <v>49.17218543</v>
      </c>
      <c r="J28" s="21">
        <f t="shared" si="3"/>
        <v>13.75354778</v>
      </c>
      <c r="K28" s="21">
        <f t="shared" si="4"/>
        <v>37.07426679</v>
      </c>
      <c r="L28" s="12"/>
      <c r="M28" s="5">
        <f t="shared" si="5"/>
        <v>82.71854305</v>
      </c>
      <c r="N28">
        <f t="shared" si="6"/>
        <v>42.21487701</v>
      </c>
      <c r="O28">
        <f t="shared" si="7"/>
        <v>74.06657994</v>
      </c>
    </row>
    <row r="29">
      <c r="A29" s="15" t="s">
        <v>354</v>
      </c>
      <c r="B29" s="17">
        <v>1271324.0</v>
      </c>
      <c r="C29" s="12"/>
      <c r="D29" s="17">
        <v>46.31</v>
      </c>
      <c r="E29" s="17">
        <v>4.9</v>
      </c>
      <c r="F29" s="17">
        <v>44.37</v>
      </c>
      <c r="G29" s="21">
        <f t="shared" si="1"/>
        <v>95.58</v>
      </c>
      <c r="H29" s="12"/>
      <c r="I29" s="21">
        <f t="shared" si="2"/>
        <v>48.4515589</v>
      </c>
      <c r="J29" s="21">
        <f t="shared" si="3"/>
        <v>5.126595522</v>
      </c>
      <c r="K29" s="21">
        <f t="shared" si="4"/>
        <v>46.42184557</v>
      </c>
      <c r="L29" s="12"/>
      <c r="M29" s="5">
        <f t="shared" si="5"/>
        <v>82.47353003</v>
      </c>
      <c r="N29">
        <f t="shared" si="6"/>
        <v>36.434819</v>
      </c>
      <c r="O29">
        <f t="shared" si="7"/>
        <v>80.09165097</v>
      </c>
    </row>
    <row r="30">
      <c r="A30" s="15" t="s">
        <v>355</v>
      </c>
      <c r="B30" s="17">
        <v>1252668.0</v>
      </c>
      <c r="C30" s="12"/>
      <c r="D30" s="17">
        <v>45.25</v>
      </c>
      <c r="E30" s="17">
        <v>8.97</v>
      </c>
      <c r="F30" s="17">
        <v>41.57</v>
      </c>
      <c r="G30" s="21">
        <f t="shared" si="1"/>
        <v>95.79</v>
      </c>
      <c r="H30" s="12"/>
      <c r="I30" s="21">
        <f t="shared" si="2"/>
        <v>47.23875144</v>
      </c>
      <c r="J30" s="21">
        <f t="shared" si="3"/>
        <v>9.364234262</v>
      </c>
      <c r="K30" s="21">
        <f t="shared" si="4"/>
        <v>43.3970143</v>
      </c>
      <c r="L30" s="12"/>
      <c r="M30" s="5">
        <f t="shared" si="5"/>
        <v>82.06117549</v>
      </c>
      <c r="N30">
        <f t="shared" si="6"/>
        <v>39.27403696</v>
      </c>
      <c r="O30">
        <f t="shared" si="7"/>
        <v>77.66478756</v>
      </c>
    </row>
    <row r="31">
      <c r="A31" s="10" t="s">
        <v>356</v>
      </c>
      <c r="B31" s="21">
        <v>1323906.0</v>
      </c>
      <c r="C31" s="12"/>
      <c r="D31" s="21">
        <v>41.19</v>
      </c>
      <c r="E31" s="21">
        <v>15.95</v>
      </c>
      <c r="F31" s="21">
        <v>34.74</v>
      </c>
      <c r="G31" s="21">
        <f t="shared" si="1"/>
        <v>91.88</v>
      </c>
      <c r="H31" s="12"/>
      <c r="I31" s="21">
        <f t="shared" si="2"/>
        <v>44.83021332</v>
      </c>
      <c r="J31" s="21">
        <f t="shared" si="3"/>
        <v>17.35959948</v>
      </c>
      <c r="K31" s="21">
        <f t="shared" si="4"/>
        <v>37.8101872</v>
      </c>
      <c r="L31" s="12"/>
      <c r="M31" s="5">
        <f t="shared" si="5"/>
        <v>81.24227253</v>
      </c>
      <c r="N31">
        <f t="shared" si="6"/>
        <v>44.63093165</v>
      </c>
      <c r="O31">
        <f t="shared" si="7"/>
        <v>73.12679582</v>
      </c>
    </row>
    <row r="32">
      <c r="A32" s="10" t="s">
        <v>357</v>
      </c>
      <c r="B32" s="21">
        <v>1219415.0</v>
      </c>
      <c r="C32" s="12"/>
      <c r="D32" s="21">
        <v>46.46</v>
      </c>
      <c r="E32" s="21">
        <v>6.67</v>
      </c>
      <c r="F32" s="21">
        <v>42.18</v>
      </c>
      <c r="G32" s="21">
        <f t="shared" si="1"/>
        <v>95.31</v>
      </c>
      <c r="H32" s="12"/>
      <c r="I32" s="21">
        <f t="shared" si="2"/>
        <v>48.74619662</v>
      </c>
      <c r="J32" s="21">
        <f t="shared" si="3"/>
        <v>6.998216347</v>
      </c>
      <c r="K32" s="21">
        <f t="shared" si="4"/>
        <v>44.25558703</v>
      </c>
      <c r="L32" s="12"/>
      <c r="M32" s="5">
        <f t="shared" si="5"/>
        <v>82.57370685</v>
      </c>
      <c r="N32">
        <f t="shared" si="6"/>
        <v>37.68880495</v>
      </c>
      <c r="O32">
        <f t="shared" si="7"/>
        <v>78.7374882</v>
      </c>
    </row>
    <row r="33">
      <c r="A33" s="10" t="s">
        <v>358</v>
      </c>
      <c r="B33" s="21">
        <v>1251398.0</v>
      </c>
      <c r="C33" s="12"/>
      <c r="D33" s="21">
        <v>37.6</v>
      </c>
      <c r="E33" s="21">
        <v>10.53</v>
      </c>
      <c r="F33" s="21">
        <v>45.67</v>
      </c>
      <c r="G33" s="21">
        <f t="shared" si="1"/>
        <v>93.8</v>
      </c>
      <c r="H33" s="12"/>
      <c r="I33" s="21">
        <f t="shared" si="2"/>
        <v>40.08528785</v>
      </c>
      <c r="J33" s="21">
        <f t="shared" si="3"/>
        <v>11.22601279</v>
      </c>
      <c r="K33" s="21">
        <f t="shared" si="4"/>
        <v>48.68869936</v>
      </c>
      <c r="L33" s="12"/>
      <c r="M33" s="5">
        <f t="shared" si="5"/>
        <v>79.62899787</v>
      </c>
      <c r="N33">
        <f t="shared" si="6"/>
        <v>40.52142857</v>
      </c>
      <c r="O33">
        <f t="shared" si="7"/>
        <v>78.84957356</v>
      </c>
    </row>
    <row r="34">
      <c r="A34" s="10" t="s">
        <v>359</v>
      </c>
      <c r="B34" s="21">
        <v>1272748.0</v>
      </c>
      <c r="C34" s="12"/>
      <c r="D34" s="21">
        <v>34.09</v>
      </c>
      <c r="E34" s="21">
        <v>32.32</v>
      </c>
      <c r="F34" s="21">
        <v>28.5</v>
      </c>
      <c r="G34" s="21">
        <f t="shared" si="1"/>
        <v>94.91</v>
      </c>
      <c r="H34" s="12"/>
      <c r="I34" s="21">
        <f t="shared" si="2"/>
        <v>35.91823833</v>
      </c>
      <c r="J34" s="21">
        <f t="shared" si="3"/>
        <v>34.05331367</v>
      </c>
      <c r="K34" s="21">
        <f t="shared" si="4"/>
        <v>30.028448</v>
      </c>
      <c r="L34" s="12"/>
      <c r="M34" s="5">
        <f t="shared" si="5"/>
        <v>78.21220103</v>
      </c>
      <c r="N34">
        <f t="shared" si="6"/>
        <v>55.81572016</v>
      </c>
      <c r="O34">
        <f t="shared" si="7"/>
        <v>64.97207881</v>
      </c>
    </row>
    <row r="35">
      <c r="A35" s="10" t="s">
        <v>360</v>
      </c>
      <c r="B35" s="21">
        <v>1198444.0</v>
      </c>
      <c r="C35" s="12"/>
      <c r="D35" s="21">
        <v>51.29</v>
      </c>
      <c r="E35" s="21">
        <v>7.58</v>
      </c>
      <c r="F35" s="21">
        <v>28.47</v>
      </c>
      <c r="G35" s="21">
        <f t="shared" si="1"/>
        <v>87.34</v>
      </c>
      <c r="H35" s="12"/>
      <c r="I35" s="28">
        <f t="shared" si="2"/>
        <v>58.72452485</v>
      </c>
      <c r="J35" s="21">
        <f t="shared" si="3"/>
        <v>8.678726815</v>
      </c>
      <c r="K35" s="21">
        <f t="shared" si="4"/>
        <v>32.59674834</v>
      </c>
      <c r="L35" s="12"/>
      <c r="M35" s="5">
        <f t="shared" si="5"/>
        <v>85.96633845</v>
      </c>
      <c r="N35">
        <f t="shared" si="6"/>
        <v>38.81474697</v>
      </c>
      <c r="O35">
        <f t="shared" si="7"/>
        <v>74.21891459</v>
      </c>
    </row>
    <row r="36">
      <c r="A36" s="10" t="s">
        <v>361</v>
      </c>
      <c r="B36" s="21">
        <v>1158735.0</v>
      </c>
      <c r="C36" s="12"/>
      <c r="D36" s="21">
        <v>40.41</v>
      </c>
      <c r="E36" s="21">
        <v>6.15</v>
      </c>
      <c r="F36" s="21">
        <v>46.57</v>
      </c>
      <c r="G36" s="21">
        <f t="shared" si="1"/>
        <v>93.13</v>
      </c>
      <c r="H36" s="12"/>
      <c r="I36" s="21">
        <f t="shared" si="2"/>
        <v>43.39095887</v>
      </c>
      <c r="J36" s="21">
        <f t="shared" si="3"/>
        <v>6.603672286</v>
      </c>
      <c r="K36" s="28">
        <f t="shared" si="4"/>
        <v>50.00536884</v>
      </c>
      <c r="L36" s="12"/>
      <c r="M36">
        <f t="shared" si="5"/>
        <v>80.75292602</v>
      </c>
      <c r="N36">
        <f t="shared" si="6"/>
        <v>37.42446043</v>
      </c>
      <c r="O36" s="5">
        <f t="shared" si="7"/>
        <v>80.82261355</v>
      </c>
    </row>
    <row r="37">
      <c r="A37" s="10" t="s">
        <v>362</v>
      </c>
      <c r="B37" s="21">
        <v>1161465.0</v>
      </c>
      <c r="C37" s="12"/>
      <c r="D37" s="21">
        <v>50.96</v>
      </c>
      <c r="E37" s="21">
        <v>0.43</v>
      </c>
      <c r="F37" s="21">
        <v>36.47</v>
      </c>
      <c r="G37" s="21">
        <f t="shared" si="1"/>
        <v>87.86</v>
      </c>
      <c r="H37" s="12"/>
      <c r="I37" s="53">
        <f t="shared" si="2"/>
        <v>58.00136581</v>
      </c>
      <c r="J37" s="54">
        <f t="shared" si="3"/>
        <v>0.4894149784</v>
      </c>
      <c r="K37" s="54">
        <f t="shared" si="4"/>
        <v>41.50921921</v>
      </c>
      <c r="L37" s="12"/>
      <c r="M37" s="5">
        <f t="shared" si="5"/>
        <v>85.72046438</v>
      </c>
      <c r="N37">
        <f t="shared" si="6"/>
        <v>33.32790804</v>
      </c>
      <c r="O37">
        <f t="shared" si="7"/>
        <v>79.95162759</v>
      </c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</sheetData>
  <mergeCells count="2">
    <mergeCell ref="D15:F15"/>
    <mergeCell ref="I15:K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>
        <v>1.0</v>
      </c>
    </row>
    <row r="2">
      <c r="A2" s="1" t="s">
        <v>0</v>
      </c>
      <c r="B2" s="1" t="s">
        <v>1</v>
      </c>
    </row>
    <row r="3">
      <c r="A3" s="1" t="s">
        <v>3</v>
      </c>
      <c r="B3" s="1" t="s">
        <v>4</v>
      </c>
      <c r="C3" s="1">
        <v>1.0</v>
      </c>
      <c r="F3" s="1" t="s">
        <v>3</v>
      </c>
      <c r="G3" s="1" t="s">
        <v>5</v>
      </c>
    </row>
    <row r="4">
      <c r="A4" s="1" t="s">
        <v>5</v>
      </c>
      <c r="B4" s="1" t="s">
        <v>6</v>
      </c>
      <c r="C4" s="1">
        <v>0.0</v>
      </c>
      <c r="E4" s="1" t="s">
        <v>3</v>
      </c>
      <c r="F4" s="1">
        <v>1.0</v>
      </c>
      <c r="G4" s="1">
        <v>2.0</v>
      </c>
    </row>
    <row r="5">
      <c r="A5" s="1" t="s">
        <v>7</v>
      </c>
      <c r="C5" s="1">
        <v>0.0</v>
      </c>
      <c r="E5" s="1" t="s">
        <v>5</v>
      </c>
      <c r="F5" s="1">
        <v>2.0</v>
      </c>
      <c r="G5" s="1">
        <v>1.0</v>
      </c>
    </row>
    <row r="6">
      <c r="A6" s="1"/>
    </row>
    <row r="8">
      <c r="A8" s="1" t="s">
        <v>8</v>
      </c>
      <c r="B8" s="1"/>
      <c r="C8" s="1"/>
      <c r="D8" s="1" t="s">
        <v>9</v>
      </c>
      <c r="F8" s="1"/>
      <c r="G8" s="1"/>
      <c r="H8" s="1"/>
      <c r="I8" s="1" t="s">
        <v>10</v>
      </c>
      <c r="L8" s="1"/>
      <c r="M8" s="1"/>
      <c r="N8" s="1" t="s">
        <v>11</v>
      </c>
      <c r="Q8" s="1" t="s">
        <v>12</v>
      </c>
      <c r="S8" s="1"/>
      <c r="T8" s="1"/>
      <c r="U8" s="1"/>
      <c r="V8" s="1"/>
    </row>
    <row r="9">
      <c r="B9" s="1"/>
      <c r="C9" s="1"/>
      <c r="D9" s="1" t="s">
        <v>3</v>
      </c>
      <c r="E9" s="1" t="s">
        <v>13</v>
      </c>
      <c r="G9" s="1" t="s">
        <v>14</v>
      </c>
      <c r="I9" s="1" t="s">
        <v>3</v>
      </c>
      <c r="J9" s="1" t="s">
        <v>5</v>
      </c>
      <c r="K9" s="1" t="s">
        <v>15</v>
      </c>
      <c r="M9" s="1"/>
      <c r="N9" s="1" t="s">
        <v>3</v>
      </c>
      <c r="O9" s="1" t="s">
        <v>5</v>
      </c>
      <c r="P9" s="1"/>
      <c r="Q9" s="1" t="s">
        <v>3</v>
      </c>
      <c r="R9" s="1" t="s">
        <v>5</v>
      </c>
    </row>
    <row r="10">
      <c r="A10" s="1" t="s">
        <v>16</v>
      </c>
      <c r="B10" s="1"/>
      <c r="C10" s="1"/>
      <c r="D10" s="1">
        <v>47.79</v>
      </c>
      <c r="E10" s="1">
        <v>43.69</v>
      </c>
      <c r="G10" s="1">
        <f>SUM(D10:E10)</f>
        <v>91.48</v>
      </c>
      <c r="I10" s="1">
        <v>90969.0</v>
      </c>
      <c r="J10" s="1">
        <v>83157.0</v>
      </c>
      <c r="K10">
        <f>190328-90969-83157</f>
        <v>16202</v>
      </c>
      <c r="N10">
        <f>DIVIDE(100*D10,G10)</f>
        <v>52.24092698</v>
      </c>
      <c r="O10">
        <f>DIVIDE(100*E10,G10)</f>
        <v>47.75907302</v>
      </c>
      <c r="Q10" s="5">
        <f>N10+O10*0.5</f>
        <v>76.12046349</v>
      </c>
      <c r="R10">
        <f>O10+N10*0.5</f>
        <v>73.87953651</v>
      </c>
    </row>
    <row r="11">
      <c r="A11" s="1"/>
      <c r="B11" s="1"/>
      <c r="C11" s="1"/>
      <c r="D11" s="6"/>
      <c r="E11" s="6"/>
      <c r="I11" s="6"/>
      <c r="J11" s="6"/>
      <c r="K11" s="6"/>
      <c r="N11" s="8"/>
    </row>
    <row r="12">
      <c r="A12" s="14"/>
      <c r="B12" s="1"/>
      <c r="C12" s="1"/>
      <c r="D12" s="6"/>
      <c r="E12" s="6"/>
      <c r="I12" s="6"/>
      <c r="J12" s="6"/>
      <c r="K12" s="1"/>
      <c r="N12" s="8"/>
    </row>
    <row r="13">
      <c r="A13" s="1"/>
      <c r="B13" s="1"/>
      <c r="D13" s="6"/>
      <c r="E13" s="6"/>
      <c r="H13" s="1"/>
      <c r="I13" s="6"/>
      <c r="J13" s="6"/>
      <c r="K13" s="6"/>
      <c r="N13" s="8"/>
    </row>
    <row r="14">
      <c r="A14" s="14"/>
      <c r="B14" s="1"/>
      <c r="D14" s="6"/>
      <c r="E14" s="6"/>
      <c r="I14" s="6"/>
      <c r="J14" s="6"/>
      <c r="K14" s="6"/>
      <c r="N14" s="8"/>
    </row>
    <row r="15">
      <c r="A15" s="1"/>
      <c r="B15" s="1"/>
      <c r="D15" s="6"/>
      <c r="E15" s="6"/>
      <c r="I15" s="6"/>
      <c r="J15" s="6"/>
      <c r="K15" s="6"/>
      <c r="N15" s="8"/>
    </row>
    <row r="16">
      <c r="A16" s="1"/>
      <c r="D16" s="6"/>
      <c r="E16" s="6"/>
      <c r="I16" s="6"/>
      <c r="J16" s="6"/>
      <c r="N16" s="8"/>
    </row>
    <row r="17">
      <c r="A17" s="1"/>
      <c r="D17" s="6"/>
      <c r="E17" s="6"/>
      <c r="I17" s="6"/>
      <c r="J17" s="6"/>
      <c r="N17" s="8"/>
    </row>
    <row r="18">
      <c r="A18" s="1"/>
      <c r="D18" s="6"/>
      <c r="E18" s="6"/>
      <c r="I18" s="6"/>
      <c r="J18" s="6"/>
      <c r="N18" s="8"/>
    </row>
    <row r="19">
      <c r="A19" s="14"/>
      <c r="D19" s="6"/>
      <c r="E19" s="6"/>
      <c r="I19" s="6"/>
      <c r="J19" s="6"/>
      <c r="N19" s="8"/>
    </row>
    <row r="20">
      <c r="A20" s="14"/>
      <c r="D20" s="6"/>
      <c r="E20" s="6"/>
      <c r="I20" s="6"/>
      <c r="J20" s="6"/>
      <c r="N20" s="8"/>
    </row>
    <row r="21">
      <c r="A21" s="14"/>
      <c r="D21" s="6"/>
      <c r="E21" s="6"/>
      <c r="F21" s="6"/>
      <c r="H21" s="1"/>
      <c r="I21" s="6"/>
      <c r="J21" s="6"/>
      <c r="K21" s="6"/>
      <c r="L21" s="6"/>
      <c r="N21" s="8"/>
    </row>
    <row r="22">
      <c r="A22" s="14"/>
      <c r="D22" s="6"/>
      <c r="E22" s="6"/>
      <c r="I22" s="6"/>
      <c r="J22" s="6"/>
      <c r="N22" s="8"/>
    </row>
    <row r="23">
      <c r="A23" s="1"/>
      <c r="D23" s="6"/>
      <c r="E23" s="6"/>
      <c r="I23" s="6"/>
      <c r="J23" s="6"/>
      <c r="N23" s="8"/>
    </row>
    <row r="24">
      <c r="A24" s="1"/>
      <c r="D24" s="6"/>
      <c r="E24" s="6"/>
      <c r="I24" s="6"/>
      <c r="J24" s="6"/>
      <c r="K24" s="6"/>
      <c r="N24" s="8"/>
    </row>
    <row r="25">
      <c r="A25" s="1"/>
      <c r="D25" s="6"/>
      <c r="E25" s="6"/>
      <c r="I25" s="6"/>
      <c r="J25" s="6"/>
      <c r="N25" s="8"/>
    </row>
    <row r="26">
      <c r="A26" s="14"/>
      <c r="D26" s="6"/>
      <c r="E26" s="6"/>
      <c r="I26" s="6"/>
      <c r="J26" s="6"/>
      <c r="K26" s="6"/>
      <c r="N26" s="8"/>
    </row>
    <row r="27">
      <c r="A27" s="1"/>
      <c r="D27" s="6"/>
      <c r="E27" s="6"/>
      <c r="I27" s="6"/>
      <c r="J27" s="6"/>
      <c r="K27" s="6"/>
      <c r="N27" s="8"/>
    </row>
    <row r="28">
      <c r="A28" s="1"/>
      <c r="D28" s="6"/>
      <c r="E28" s="6"/>
      <c r="I28" s="6"/>
      <c r="J28" s="6"/>
      <c r="K28" s="6"/>
      <c r="N28" s="8"/>
    </row>
    <row r="29">
      <c r="A29" s="1"/>
      <c r="D29" s="6"/>
      <c r="E29" s="6"/>
      <c r="I29" s="6"/>
      <c r="J29" s="6"/>
      <c r="N29" s="8"/>
    </row>
    <row r="30">
      <c r="A30" s="14"/>
      <c r="D30" s="6"/>
      <c r="E30" s="6"/>
      <c r="I30" s="6"/>
      <c r="J30" s="6"/>
      <c r="N30" s="8"/>
    </row>
    <row r="31">
      <c r="A31" s="14"/>
      <c r="D31" s="6"/>
      <c r="E31" s="6"/>
      <c r="I31" s="6"/>
      <c r="J31" s="6"/>
      <c r="N31" s="8"/>
    </row>
    <row r="32">
      <c r="A32" s="1"/>
      <c r="D32" s="6"/>
      <c r="E32" s="6"/>
      <c r="I32" s="6"/>
      <c r="J32" s="6"/>
      <c r="N32" s="8"/>
    </row>
    <row r="33">
      <c r="A33" s="1"/>
      <c r="D33" s="6"/>
      <c r="E33" s="6"/>
      <c r="I33" s="1"/>
      <c r="J33" s="6"/>
      <c r="N33" s="8"/>
    </row>
    <row r="34">
      <c r="A34" s="1"/>
      <c r="D34" s="6"/>
      <c r="E34" s="6"/>
      <c r="I34" s="6"/>
      <c r="J34" s="6"/>
      <c r="N34" s="8"/>
    </row>
    <row r="35">
      <c r="A35" s="14"/>
      <c r="D35" s="6"/>
      <c r="E35" s="6"/>
      <c r="I35" s="6"/>
      <c r="J35" s="6"/>
      <c r="N35" s="8"/>
    </row>
  </sheetData>
  <mergeCells count="3">
    <mergeCell ref="N8:P8"/>
    <mergeCell ref="I8:K8"/>
    <mergeCell ref="D8:E8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I2" s="1" t="s">
        <v>363</v>
      </c>
      <c r="J2" s="1" t="s">
        <v>5</v>
      </c>
    </row>
    <row r="3">
      <c r="A3" s="1" t="s">
        <v>363</v>
      </c>
      <c r="B3" s="1" t="s">
        <v>6</v>
      </c>
      <c r="C3" s="1">
        <v>1.0</v>
      </c>
      <c r="D3" s="1">
        <v>1.0</v>
      </c>
      <c r="H3" s="1" t="s">
        <v>363</v>
      </c>
      <c r="I3" s="1">
        <v>1.0</v>
      </c>
      <c r="J3" s="1">
        <v>2.0</v>
      </c>
    </row>
    <row r="4">
      <c r="A4" s="1" t="s">
        <v>3</v>
      </c>
      <c r="B4" s="1" t="s">
        <v>4</v>
      </c>
      <c r="C4" s="1">
        <v>0.0</v>
      </c>
      <c r="D4" s="1">
        <v>0.0</v>
      </c>
      <c r="H4" s="1" t="s">
        <v>5</v>
      </c>
      <c r="I4" s="1">
        <v>2.0</v>
      </c>
      <c r="J4" s="1">
        <v>1.0</v>
      </c>
    </row>
    <row r="5">
      <c r="A5" s="1" t="s">
        <v>5</v>
      </c>
      <c r="B5" s="1" t="s">
        <v>6</v>
      </c>
      <c r="C5" s="1">
        <v>0.0</v>
      </c>
      <c r="D5" s="1">
        <v>0.0</v>
      </c>
      <c r="E5" s="1"/>
    </row>
    <row r="7">
      <c r="A7" s="1" t="s">
        <v>8</v>
      </c>
      <c r="B7" s="1"/>
      <c r="C7" s="1"/>
      <c r="D7" s="1" t="s">
        <v>9</v>
      </c>
      <c r="G7" s="1"/>
      <c r="H7" s="1"/>
      <c r="I7" s="1" t="s">
        <v>11</v>
      </c>
      <c r="M7" s="1" t="s">
        <v>12</v>
      </c>
    </row>
    <row r="8">
      <c r="B8" s="1" t="s">
        <v>373</v>
      </c>
      <c r="C8" s="1"/>
      <c r="D8" s="1" t="s">
        <v>363</v>
      </c>
      <c r="E8" s="1" t="s">
        <v>3</v>
      </c>
      <c r="F8" s="1" t="s">
        <v>5</v>
      </c>
      <c r="G8" s="1" t="s">
        <v>45</v>
      </c>
      <c r="H8" s="1"/>
      <c r="I8" s="1" t="s">
        <v>363</v>
      </c>
      <c r="J8" s="1" t="s">
        <v>3</v>
      </c>
      <c r="K8" s="1" t="s">
        <v>5</v>
      </c>
      <c r="L8" s="1"/>
      <c r="M8" s="1" t="s">
        <v>363</v>
      </c>
      <c r="N8" s="1" t="s">
        <v>3</v>
      </c>
      <c r="O8" s="1" t="s">
        <v>5</v>
      </c>
    </row>
    <row r="9">
      <c r="B9" s="1"/>
      <c r="C9" s="1"/>
      <c r="D9" s="1"/>
      <c r="H9" s="1"/>
      <c r="I9" s="1"/>
    </row>
    <row r="10">
      <c r="A10" s="1" t="s">
        <v>63</v>
      </c>
      <c r="B10" s="1">
        <v>49922.0</v>
      </c>
      <c r="C10" s="1"/>
      <c r="D10" s="6">
        <v>50.1</v>
      </c>
      <c r="E10" s="6">
        <v>0.43</v>
      </c>
      <c r="F10" s="6">
        <v>46.55</v>
      </c>
      <c r="G10">
        <f>SUM(D10,E10,F10)</f>
        <v>97.08</v>
      </c>
      <c r="I10">
        <f>DIVIDE(100*D10,G10)</f>
        <v>51.60692213</v>
      </c>
      <c r="J10" s="1">
        <v>0.0</v>
      </c>
      <c r="K10">
        <f>DIVIDE(100*F10,G10)</f>
        <v>47.95014421</v>
      </c>
      <c r="M10" s="5">
        <f>1*I10+0.5*K10</f>
        <v>75.58199423</v>
      </c>
      <c r="N10" s="1">
        <v>0.0</v>
      </c>
      <c r="O10">
        <f>0.5*I10+1*K10</f>
        <v>73.75360527</v>
      </c>
    </row>
  </sheetData>
  <mergeCells count="3">
    <mergeCell ref="D7:F7"/>
    <mergeCell ref="I7:K7"/>
    <mergeCell ref="M7:Q7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J2" s="1" t="s">
        <v>5</v>
      </c>
      <c r="K2" s="1" t="s">
        <v>3</v>
      </c>
      <c r="L2" s="1" t="s">
        <v>364</v>
      </c>
    </row>
    <row r="3">
      <c r="A3" s="1" t="s">
        <v>3</v>
      </c>
      <c r="B3" s="1" t="s">
        <v>4</v>
      </c>
      <c r="C3" s="1">
        <v>1.0</v>
      </c>
      <c r="D3" s="1">
        <v>21.0</v>
      </c>
      <c r="I3" s="1" t="s">
        <v>5</v>
      </c>
      <c r="J3" s="1">
        <v>1.0</v>
      </c>
      <c r="K3" s="1">
        <v>3.0</v>
      </c>
      <c r="L3" s="1">
        <v>2.0</v>
      </c>
    </row>
    <row r="4">
      <c r="A4" s="1" t="s">
        <v>368</v>
      </c>
      <c r="C4" s="1">
        <v>0.0</v>
      </c>
      <c r="D4" s="1">
        <v>6.0</v>
      </c>
      <c r="I4" s="1" t="s">
        <v>3</v>
      </c>
      <c r="J4" s="1">
        <v>3.0</v>
      </c>
      <c r="K4" s="1">
        <v>1.0</v>
      </c>
      <c r="L4" s="1">
        <v>2.0</v>
      </c>
    </row>
    <row r="5">
      <c r="A5" s="1" t="s">
        <v>5</v>
      </c>
      <c r="B5" s="1" t="s">
        <v>6</v>
      </c>
      <c r="C5" s="1">
        <v>0.0</v>
      </c>
      <c r="D5" s="1">
        <v>2.0</v>
      </c>
      <c r="I5" s="1" t="s">
        <v>364</v>
      </c>
      <c r="J5" s="1">
        <v>2.0</v>
      </c>
      <c r="K5" s="1">
        <v>3.0</v>
      </c>
      <c r="L5" s="1">
        <v>1.0</v>
      </c>
    </row>
    <row r="7">
      <c r="A7" s="1" t="s">
        <v>8</v>
      </c>
      <c r="B7" s="1"/>
      <c r="C7" s="1"/>
      <c r="D7" s="1" t="s">
        <v>9</v>
      </c>
      <c r="G7" s="1"/>
      <c r="H7" s="1"/>
      <c r="I7" s="1"/>
      <c r="J7" s="1" t="s">
        <v>11</v>
      </c>
      <c r="N7" s="1" t="s">
        <v>12</v>
      </c>
      <c r="O7" s="1"/>
      <c r="P7" s="1"/>
      <c r="Q7" s="1"/>
      <c r="R7" s="1"/>
    </row>
    <row r="8">
      <c r="B8" s="1" t="s">
        <v>41</v>
      </c>
      <c r="C8" s="1"/>
      <c r="D8" s="1" t="s">
        <v>5</v>
      </c>
      <c r="E8" s="1" t="s">
        <v>3</v>
      </c>
      <c r="F8" s="1" t="s">
        <v>368</v>
      </c>
      <c r="G8" s="1" t="s">
        <v>372</v>
      </c>
      <c r="H8" s="1" t="s">
        <v>45</v>
      </c>
      <c r="I8" s="1"/>
      <c r="J8" s="1" t="s">
        <v>5</v>
      </c>
      <c r="K8" s="1" t="s">
        <v>3</v>
      </c>
      <c r="L8" s="1" t="s">
        <v>364</v>
      </c>
      <c r="M8" s="1"/>
      <c r="N8" s="1" t="s">
        <v>5</v>
      </c>
      <c r="O8" s="1" t="s">
        <v>3</v>
      </c>
      <c r="P8" s="1" t="s">
        <v>364</v>
      </c>
    </row>
    <row r="9">
      <c r="B9" s="1"/>
      <c r="C9" s="1"/>
      <c r="D9" s="1"/>
      <c r="I9" s="1"/>
      <c r="J9" s="1"/>
    </row>
    <row r="10">
      <c r="A10" s="1" t="s">
        <v>375</v>
      </c>
      <c r="B10" s="1">
        <v>1702457.0</v>
      </c>
      <c r="C10" s="1"/>
      <c r="D10" s="6">
        <v>21.57</v>
      </c>
      <c r="E10" s="6">
        <v>43.96</v>
      </c>
      <c r="F10" s="6">
        <v>28.4</v>
      </c>
      <c r="G10" s="6">
        <v>0.0</v>
      </c>
      <c r="H10">
        <f t="shared" ref="H10:H38" si="1">SUM(D10,E10,F10,G10)</f>
        <v>93.93</v>
      </c>
      <c r="J10">
        <f t="shared" ref="J10:J38" si="2">DIVIDE(100*D10,H10)</f>
        <v>22.96390929</v>
      </c>
      <c r="K10">
        <f t="shared" ref="K10:K38" si="3">DIVIDE(100*E10,H10)</f>
        <v>46.80080911</v>
      </c>
      <c r="L10">
        <f>DIVIDE(100*F10,H10)</f>
        <v>30.23528159</v>
      </c>
      <c r="N10">
        <f>1*J10 +0.33*K10+0.66*L10</f>
        <v>58.36346215</v>
      </c>
      <c r="O10">
        <f>0.33*J10+1*K10+0.33*L10</f>
        <v>64.35654211</v>
      </c>
      <c r="P10" s="5">
        <f>0.66*J10+0.66*K10+1*L10</f>
        <v>76.27999574</v>
      </c>
    </row>
    <row r="11">
      <c r="A11" s="1" t="s">
        <v>377</v>
      </c>
      <c r="B11" s="1">
        <v>1600137.0</v>
      </c>
      <c r="D11" s="1">
        <v>33.52</v>
      </c>
      <c r="E11" s="1">
        <v>55.46</v>
      </c>
      <c r="F11" s="1">
        <v>4.63</v>
      </c>
      <c r="H11">
        <f t="shared" si="1"/>
        <v>93.61</v>
      </c>
      <c r="J11">
        <f t="shared" si="2"/>
        <v>35.80814016</v>
      </c>
      <c r="K11">
        <f t="shared" si="3"/>
        <v>59.24580707</v>
      </c>
      <c r="L11" s="1">
        <v>0.0</v>
      </c>
      <c r="N11">
        <f>1*J11+0.5*K11</f>
        <v>65.43104369</v>
      </c>
      <c r="O11" s="5">
        <f>0.5*J11+1*K11</f>
        <v>77.14987715</v>
      </c>
      <c r="P11" s="1">
        <v>0.0</v>
      </c>
    </row>
    <row r="12">
      <c r="A12" s="1" t="s">
        <v>379</v>
      </c>
      <c r="B12" s="1">
        <v>1876965.0</v>
      </c>
      <c r="D12" s="1">
        <v>41.68</v>
      </c>
      <c r="E12" s="1">
        <v>44.68</v>
      </c>
      <c r="F12" s="1">
        <v>6.88</v>
      </c>
      <c r="H12">
        <f t="shared" si="1"/>
        <v>93.24</v>
      </c>
      <c r="J12">
        <f t="shared" si="2"/>
        <v>44.7018447</v>
      </c>
      <c r="K12">
        <f t="shared" si="3"/>
        <v>47.91934792</v>
      </c>
      <c r="L12">
        <f>DIVIDE(100*F12,H12)</f>
        <v>7.378807379</v>
      </c>
      <c r="N12">
        <f>1*J12 +0.33*K12+0.66*L12</f>
        <v>65.38524239</v>
      </c>
      <c r="O12">
        <f>0.33*J12+1*K12+0.33*L12</f>
        <v>65.10596311</v>
      </c>
      <c r="P12" s="5">
        <f>0.66*J12+0.66*K12+1*L12</f>
        <v>68.50879451</v>
      </c>
    </row>
    <row r="13">
      <c r="A13" s="1" t="s">
        <v>384</v>
      </c>
      <c r="B13" s="1">
        <v>1605613.0</v>
      </c>
      <c r="D13" s="1">
        <v>52.89</v>
      </c>
      <c r="E13" s="1">
        <v>40.53</v>
      </c>
      <c r="F13" s="1">
        <v>2.8</v>
      </c>
      <c r="H13">
        <f t="shared" si="1"/>
        <v>96.22</v>
      </c>
      <c r="J13">
        <f t="shared" si="2"/>
        <v>54.96778217</v>
      </c>
      <c r="K13">
        <f t="shared" si="3"/>
        <v>42.12221991</v>
      </c>
      <c r="L13" s="1">
        <v>0.0</v>
      </c>
      <c r="N13" s="5">
        <f t="shared" ref="N13:N16" si="4">1*J13+0.5*K13</f>
        <v>76.02889212</v>
      </c>
      <c r="O13">
        <f t="shared" ref="O13:O16" si="5">0.5*J13+1*K13</f>
        <v>69.606111</v>
      </c>
      <c r="P13" s="1">
        <v>0.0</v>
      </c>
    </row>
    <row r="14">
      <c r="A14" s="1" t="s">
        <v>386</v>
      </c>
      <c r="B14" s="1">
        <v>1520322.0</v>
      </c>
      <c r="D14" s="1">
        <v>40.57</v>
      </c>
      <c r="E14" s="1">
        <v>54.1</v>
      </c>
      <c r="F14" s="1">
        <v>2.23</v>
      </c>
      <c r="H14">
        <f t="shared" si="1"/>
        <v>96.9</v>
      </c>
      <c r="J14">
        <f t="shared" si="2"/>
        <v>41.86790506</v>
      </c>
      <c r="K14">
        <f t="shared" si="3"/>
        <v>55.83075335</v>
      </c>
      <c r="L14" s="1">
        <v>0.0</v>
      </c>
      <c r="N14">
        <f t="shared" si="4"/>
        <v>69.78328173</v>
      </c>
      <c r="O14" s="5">
        <f t="shared" si="5"/>
        <v>76.76470588</v>
      </c>
      <c r="P14" s="1">
        <v>0.0</v>
      </c>
    </row>
    <row r="15">
      <c r="A15" s="1" t="s">
        <v>388</v>
      </c>
      <c r="B15" s="1">
        <v>1528863.0</v>
      </c>
      <c r="D15" s="1">
        <v>27.94</v>
      </c>
      <c r="E15" s="1">
        <v>55.16</v>
      </c>
      <c r="F15" s="1">
        <v>3.13</v>
      </c>
      <c r="H15">
        <f t="shared" si="1"/>
        <v>86.23</v>
      </c>
      <c r="J15">
        <f t="shared" si="2"/>
        <v>32.40171634</v>
      </c>
      <c r="K15">
        <f t="shared" si="3"/>
        <v>63.96845645</v>
      </c>
      <c r="L15" s="1">
        <v>0.0</v>
      </c>
      <c r="N15">
        <f t="shared" si="4"/>
        <v>64.38594457</v>
      </c>
      <c r="O15" s="5">
        <f t="shared" si="5"/>
        <v>80.16931462</v>
      </c>
      <c r="P15" s="1">
        <v>0.0</v>
      </c>
    </row>
    <row r="16">
      <c r="A16" s="1" t="s">
        <v>389</v>
      </c>
      <c r="B16" s="1">
        <v>1651614.0</v>
      </c>
      <c r="D16" s="1">
        <v>32.8</v>
      </c>
      <c r="E16" s="1">
        <v>56.14</v>
      </c>
      <c r="F16" s="1">
        <v>3.45</v>
      </c>
      <c r="G16" s="1">
        <v>3.0</v>
      </c>
      <c r="H16">
        <f t="shared" si="1"/>
        <v>95.39</v>
      </c>
      <c r="J16">
        <f t="shared" si="2"/>
        <v>34.38515568</v>
      </c>
      <c r="K16">
        <f t="shared" si="3"/>
        <v>58.85312926</v>
      </c>
      <c r="L16" s="1">
        <v>0.0</v>
      </c>
      <c r="N16">
        <f t="shared" si="4"/>
        <v>63.81172031</v>
      </c>
      <c r="O16" s="5">
        <f t="shared" si="5"/>
        <v>76.0457071</v>
      </c>
      <c r="P16" s="1">
        <v>0.0</v>
      </c>
    </row>
    <row r="17">
      <c r="A17" s="1" t="s">
        <v>390</v>
      </c>
      <c r="B17" s="1">
        <v>1702833.0</v>
      </c>
      <c r="D17" s="1">
        <v>26.01</v>
      </c>
      <c r="E17" s="1">
        <v>54.31</v>
      </c>
      <c r="F17" s="1">
        <v>6.9</v>
      </c>
      <c r="H17">
        <f t="shared" si="1"/>
        <v>87.22</v>
      </c>
      <c r="J17">
        <f t="shared" si="2"/>
        <v>29.82114194</v>
      </c>
      <c r="K17">
        <f t="shared" si="3"/>
        <v>62.26782848</v>
      </c>
      <c r="L17">
        <f t="shared" ref="L17:L19" si="6">DIVIDE(100*F17,H17)</f>
        <v>7.91102958</v>
      </c>
      <c r="N17">
        <f t="shared" ref="N17:N19" si="7">1*J17 +0.33*K17+0.66*L17</f>
        <v>55.59080486</v>
      </c>
      <c r="O17" s="5">
        <f t="shared" ref="O17:O19" si="8">0.33*J17+1*K17+0.33*L17</f>
        <v>74.71944508</v>
      </c>
      <c r="P17">
        <f t="shared" ref="P17:P19" si="9">0.66*J17+0.66*K17+1*L17</f>
        <v>68.68975006</v>
      </c>
    </row>
    <row r="18">
      <c r="A18" s="1" t="s">
        <v>396</v>
      </c>
      <c r="B18" s="1">
        <v>1458381.0</v>
      </c>
      <c r="D18" s="1">
        <v>40.13</v>
      </c>
      <c r="E18" s="1">
        <v>41.08</v>
      </c>
      <c r="F18" s="1">
        <v>13.64</v>
      </c>
      <c r="H18">
        <f t="shared" si="1"/>
        <v>94.85</v>
      </c>
      <c r="J18">
        <f t="shared" si="2"/>
        <v>42.3089088</v>
      </c>
      <c r="K18">
        <f t="shared" si="3"/>
        <v>43.31049025</v>
      </c>
      <c r="L18">
        <f t="shared" si="6"/>
        <v>14.38060095</v>
      </c>
      <c r="N18">
        <f t="shared" si="7"/>
        <v>66.09256721</v>
      </c>
      <c r="O18">
        <f t="shared" si="8"/>
        <v>62.01802847</v>
      </c>
      <c r="P18" s="5">
        <f t="shared" si="9"/>
        <v>70.88940432</v>
      </c>
    </row>
    <row r="19">
      <c r="A19" s="1" t="s">
        <v>398</v>
      </c>
      <c r="B19" s="1">
        <v>1544719.0</v>
      </c>
      <c r="D19" s="1">
        <v>25.85</v>
      </c>
      <c r="E19" s="1">
        <v>46.17</v>
      </c>
      <c r="F19" s="1">
        <v>21.15</v>
      </c>
      <c r="H19">
        <f t="shared" si="1"/>
        <v>93.17</v>
      </c>
      <c r="J19">
        <f t="shared" si="2"/>
        <v>27.74498229</v>
      </c>
      <c r="K19">
        <f t="shared" si="3"/>
        <v>49.55457765</v>
      </c>
      <c r="L19">
        <f t="shared" si="6"/>
        <v>22.70044006</v>
      </c>
      <c r="N19">
        <f t="shared" si="7"/>
        <v>59.08028335</v>
      </c>
      <c r="O19">
        <f t="shared" si="8"/>
        <v>66.20156703</v>
      </c>
      <c r="P19" s="5">
        <f t="shared" si="9"/>
        <v>73.71814962</v>
      </c>
    </row>
    <row r="20">
      <c r="A20" s="1" t="s">
        <v>399</v>
      </c>
      <c r="B20" s="1">
        <v>1736048.0</v>
      </c>
      <c r="D20" s="1">
        <v>37.15</v>
      </c>
      <c r="E20" s="1">
        <v>48.07</v>
      </c>
      <c r="F20" s="1">
        <v>3.98</v>
      </c>
      <c r="H20">
        <f t="shared" si="1"/>
        <v>89.2</v>
      </c>
      <c r="J20">
        <f t="shared" si="2"/>
        <v>41.64798206</v>
      </c>
      <c r="K20">
        <f t="shared" si="3"/>
        <v>53.89013453</v>
      </c>
      <c r="L20" s="1">
        <v>0.0</v>
      </c>
      <c r="N20">
        <f t="shared" ref="N20:N22" si="10">1*J20+0.5*K20</f>
        <v>68.59304933</v>
      </c>
      <c r="O20" s="5">
        <f t="shared" ref="O20:O22" si="11">0.5*J20+1*K20</f>
        <v>74.71412556</v>
      </c>
      <c r="P20" s="1">
        <v>0.0</v>
      </c>
    </row>
    <row r="21">
      <c r="A21" s="1" t="s">
        <v>400</v>
      </c>
      <c r="B21" s="1">
        <v>1561016.0</v>
      </c>
      <c r="D21" s="1">
        <v>29.32</v>
      </c>
      <c r="E21" s="1">
        <v>54.22</v>
      </c>
      <c r="F21" s="1">
        <v>4.85</v>
      </c>
      <c r="H21">
        <f t="shared" si="1"/>
        <v>88.39</v>
      </c>
      <c r="J21">
        <f t="shared" si="2"/>
        <v>33.17117321</v>
      </c>
      <c r="K21">
        <f t="shared" si="3"/>
        <v>61.34178074</v>
      </c>
      <c r="L21" s="1">
        <v>0.0</v>
      </c>
      <c r="N21">
        <f t="shared" si="10"/>
        <v>63.84206358</v>
      </c>
      <c r="O21" s="5">
        <f t="shared" si="11"/>
        <v>77.92736735</v>
      </c>
      <c r="P21" s="1">
        <v>0.0</v>
      </c>
    </row>
    <row r="22">
      <c r="A22" s="1" t="s">
        <v>402</v>
      </c>
      <c r="B22" s="1">
        <v>1711621.0</v>
      </c>
      <c r="D22" s="1">
        <v>35.52</v>
      </c>
      <c r="E22" s="1">
        <v>56.34</v>
      </c>
      <c r="F22" s="1">
        <v>1.6</v>
      </c>
      <c r="H22">
        <f t="shared" si="1"/>
        <v>93.46</v>
      </c>
      <c r="J22">
        <f t="shared" si="2"/>
        <v>38.00556388</v>
      </c>
      <c r="K22">
        <f t="shared" si="3"/>
        <v>60.28247379</v>
      </c>
      <c r="L22" s="1">
        <v>0.0</v>
      </c>
      <c r="N22">
        <f t="shared" si="10"/>
        <v>68.14680077</v>
      </c>
      <c r="O22" s="5">
        <f t="shared" si="11"/>
        <v>79.28525572</v>
      </c>
      <c r="P22" s="1">
        <v>0.0</v>
      </c>
    </row>
    <row r="23">
      <c r="A23" s="1" t="s">
        <v>403</v>
      </c>
      <c r="B23" s="1">
        <v>1824702.0</v>
      </c>
      <c r="D23" s="1">
        <v>39.0</v>
      </c>
      <c r="E23" s="1">
        <v>48.06</v>
      </c>
      <c r="F23" s="1">
        <v>6.39</v>
      </c>
      <c r="H23">
        <f t="shared" si="1"/>
        <v>93.45</v>
      </c>
      <c r="J23">
        <f t="shared" si="2"/>
        <v>41.73354735</v>
      </c>
      <c r="K23">
        <f t="shared" si="3"/>
        <v>51.42857143</v>
      </c>
      <c r="L23">
        <f t="shared" ref="L23:L24" si="12">DIVIDE(100*F23,H23)</f>
        <v>6.83788122</v>
      </c>
      <c r="N23">
        <f t="shared" ref="N23:N24" si="13">1*J23 +0.33*K23+0.66*L23</f>
        <v>63.21797753</v>
      </c>
      <c r="O23">
        <f t="shared" ref="O23:O24" si="14">0.33*J23+1*K23+0.33*L23</f>
        <v>67.45714286</v>
      </c>
      <c r="P23" s="5">
        <f t="shared" ref="P23:P24" si="15">0.66*J23+0.66*K23+1*L23</f>
        <v>68.32487961</v>
      </c>
    </row>
    <row r="24">
      <c r="A24" s="1" t="s">
        <v>412</v>
      </c>
      <c r="B24" s="1">
        <v>1629741.0</v>
      </c>
      <c r="D24" s="1">
        <v>34.54</v>
      </c>
      <c r="E24" s="1">
        <v>43.17</v>
      </c>
      <c r="F24" s="1">
        <v>5.98</v>
      </c>
      <c r="H24">
        <f t="shared" si="1"/>
        <v>83.69</v>
      </c>
      <c r="J24">
        <f t="shared" si="2"/>
        <v>41.27135859</v>
      </c>
      <c r="K24">
        <f t="shared" si="3"/>
        <v>51.5832238</v>
      </c>
      <c r="L24">
        <f t="shared" si="12"/>
        <v>7.145417613</v>
      </c>
      <c r="N24">
        <f t="shared" si="13"/>
        <v>63.00979806</v>
      </c>
      <c r="O24">
        <f t="shared" si="14"/>
        <v>67.56075995</v>
      </c>
      <c r="P24" s="5">
        <f t="shared" si="15"/>
        <v>68.42944199</v>
      </c>
    </row>
    <row r="25">
      <c r="A25" s="1" t="s">
        <v>413</v>
      </c>
      <c r="B25" s="1">
        <v>1402038.0</v>
      </c>
      <c r="D25" s="1">
        <v>50.54</v>
      </c>
      <c r="E25" s="1">
        <v>40.01</v>
      </c>
      <c r="F25" s="1">
        <v>3.9</v>
      </c>
      <c r="H25">
        <f t="shared" si="1"/>
        <v>94.45</v>
      </c>
      <c r="J25">
        <f t="shared" si="2"/>
        <v>53.50979354</v>
      </c>
      <c r="K25">
        <f t="shared" si="3"/>
        <v>42.36103759</v>
      </c>
      <c r="L25" s="1">
        <v>0.0</v>
      </c>
      <c r="N25" s="5">
        <f t="shared" ref="N25:N38" si="16">1*J25+0.5*K25</f>
        <v>74.69031233</v>
      </c>
      <c r="O25">
        <f t="shared" ref="O25:O38" si="17">0.5*J25+1*K25</f>
        <v>69.11593436</v>
      </c>
      <c r="P25" s="1">
        <v>0.0</v>
      </c>
    </row>
    <row r="26">
      <c r="A26" s="1" t="s">
        <v>415</v>
      </c>
      <c r="B26" s="1">
        <v>1568206.0</v>
      </c>
      <c r="D26" s="1">
        <v>27.06</v>
      </c>
      <c r="E26" s="1">
        <v>64.85</v>
      </c>
      <c r="F26" s="1">
        <v>1.88</v>
      </c>
      <c r="H26">
        <f t="shared" si="1"/>
        <v>93.79</v>
      </c>
      <c r="J26">
        <f t="shared" si="2"/>
        <v>28.85168995</v>
      </c>
      <c r="K26">
        <f t="shared" si="3"/>
        <v>69.14383197</v>
      </c>
      <c r="L26" s="1">
        <v>0.0</v>
      </c>
      <c r="N26">
        <f t="shared" si="16"/>
        <v>63.42360593</v>
      </c>
      <c r="O26" s="5">
        <f t="shared" si="17"/>
        <v>83.56967694</v>
      </c>
      <c r="P26" s="1">
        <v>0.0</v>
      </c>
    </row>
    <row r="27">
      <c r="A27" s="1" t="s">
        <v>416</v>
      </c>
      <c r="B27" s="1">
        <v>1634039.0</v>
      </c>
      <c r="D27" s="1">
        <v>28.28</v>
      </c>
      <c r="E27" s="1">
        <v>66.53</v>
      </c>
      <c r="F27" s="1">
        <v>1.91</v>
      </c>
      <c r="H27">
        <f t="shared" si="1"/>
        <v>96.72</v>
      </c>
      <c r="J27">
        <f t="shared" si="2"/>
        <v>29.23904053</v>
      </c>
      <c r="K27">
        <f t="shared" si="3"/>
        <v>68.78618693</v>
      </c>
      <c r="L27" s="1">
        <v>0.0</v>
      </c>
      <c r="N27">
        <f t="shared" si="16"/>
        <v>63.632134</v>
      </c>
      <c r="O27" s="5">
        <f t="shared" si="17"/>
        <v>83.4057072</v>
      </c>
      <c r="P27" s="1">
        <v>0.0</v>
      </c>
    </row>
    <row r="28">
      <c r="A28" s="1" t="s">
        <v>417</v>
      </c>
      <c r="B28" s="1">
        <v>1957241.0</v>
      </c>
      <c r="D28" s="1">
        <v>30.39</v>
      </c>
      <c r="E28" s="1">
        <v>63.19</v>
      </c>
      <c r="F28" s="1">
        <v>1.58</v>
      </c>
      <c r="H28">
        <f t="shared" si="1"/>
        <v>95.16</v>
      </c>
      <c r="J28">
        <f t="shared" si="2"/>
        <v>31.93568726</v>
      </c>
      <c r="K28">
        <f t="shared" si="3"/>
        <v>66.40395124</v>
      </c>
      <c r="L28" s="1">
        <v>0.0</v>
      </c>
      <c r="N28">
        <f t="shared" si="16"/>
        <v>65.13766288</v>
      </c>
      <c r="O28" s="5">
        <f t="shared" si="17"/>
        <v>82.37179487</v>
      </c>
      <c r="P28" s="1">
        <v>0.0</v>
      </c>
    </row>
    <row r="29">
      <c r="A29" s="1" t="s">
        <v>419</v>
      </c>
      <c r="B29" s="1">
        <v>1578757.0</v>
      </c>
      <c r="D29" s="1">
        <v>36.41</v>
      </c>
      <c r="E29" s="1">
        <v>59.03</v>
      </c>
      <c r="F29" s="1">
        <v>1.37</v>
      </c>
      <c r="H29">
        <f t="shared" si="1"/>
        <v>96.81</v>
      </c>
      <c r="J29">
        <f t="shared" si="2"/>
        <v>37.60975106</v>
      </c>
      <c r="K29">
        <f t="shared" si="3"/>
        <v>60.97510588</v>
      </c>
      <c r="L29" s="1">
        <v>0.0</v>
      </c>
      <c r="N29">
        <f t="shared" si="16"/>
        <v>68.097304</v>
      </c>
      <c r="O29" s="5">
        <f t="shared" si="17"/>
        <v>79.77998141</v>
      </c>
      <c r="P29" s="1">
        <v>0.0</v>
      </c>
    </row>
    <row r="30">
      <c r="A30" s="1" t="s">
        <v>421</v>
      </c>
      <c r="B30" s="1">
        <v>1617111.0</v>
      </c>
      <c r="D30" s="1">
        <v>35.43</v>
      </c>
      <c r="E30" s="1">
        <v>58.18</v>
      </c>
      <c r="F30" s="1">
        <v>1.51</v>
      </c>
      <c r="H30">
        <f t="shared" si="1"/>
        <v>95.12</v>
      </c>
      <c r="J30">
        <f t="shared" si="2"/>
        <v>37.24768713</v>
      </c>
      <c r="K30">
        <f t="shared" si="3"/>
        <v>61.16484441</v>
      </c>
      <c r="L30" s="1">
        <v>0.0</v>
      </c>
      <c r="N30">
        <f t="shared" si="16"/>
        <v>67.83010934</v>
      </c>
      <c r="O30" s="5">
        <f t="shared" si="17"/>
        <v>79.78868797</v>
      </c>
      <c r="P30" s="1">
        <v>0.0</v>
      </c>
    </row>
    <row r="31">
      <c r="A31" s="1" t="s">
        <v>422</v>
      </c>
      <c r="B31" s="1">
        <v>1525481.0</v>
      </c>
      <c r="D31" s="1">
        <v>32.61</v>
      </c>
      <c r="E31" s="1">
        <v>63.07</v>
      </c>
      <c r="F31" s="1">
        <v>0.98</v>
      </c>
      <c r="H31">
        <f t="shared" si="1"/>
        <v>96.66</v>
      </c>
      <c r="J31">
        <f t="shared" si="2"/>
        <v>33.73680944</v>
      </c>
      <c r="K31">
        <f t="shared" si="3"/>
        <v>65.24932754</v>
      </c>
      <c r="L31" s="1">
        <v>0.0</v>
      </c>
      <c r="N31">
        <f t="shared" si="16"/>
        <v>66.36147321</v>
      </c>
      <c r="O31" s="5">
        <f t="shared" si="17"/>
        <v>82.11773226</v>
      </c>
      <c r="P31" s="1">
        <v>0.0</v>
      </c>
    </row>
    <row r="32">
      <c r="A32" s="1" t="s">
        <v>424</v>
      </c>
      <c r="B32" s="1">
        <v>1626556.0</v>
      </c>
      <c r="D32" s="1">
        <v>33.98</v>
      </c>
      <c r="E32" s="1">
        <v>60.12</v>
      </c>
      <c r="F32" s="1">
        <v>0.7</v>
      </c>
      <c r="H32">
        <f t="shared" si="1"/>
        <v>94.8</v>
      </c>
      <c r="J32">
        <f t="shared" si="2"/>
        <v>35.84388186</v>
      </c>
      <c r="K32">
        <f t="shared" si="3"/>
        <v>63.41772152</v>
      </c>
      <c r="L32" s="1">
        <v>0.0</v>
      </c>
      <c r="N32">
        <f t="shared" si="16"/>
        <v>67.55274262</v>
      </c>
      <c r="O32" s="5">
        <f t="shared" si="17"/>
        <v>81.33966245</v>
      </c>
      <c r="P32" s="1">
        <v>0.0</v>
      </c>
    </row>
    <row r="33">
      <c r="A33" s="1" t="s">
        <v>427</v>
      </c>
      <c r="B33" s="1">
        <v>1702576.0</v>
      </c>
      <c r="D33" s="1">
        <v>40.39</v>
      </c>
      <c r="E33" s="1">
        <v>50.41</v>
      </c>
      <c r="F33" s="1">
        <v>2.27</v>
      </c>
      <c r="H33">
        <f t="shared" si="1"/>
        <v>93.07</v>
      </c>
      <c r="J33">
        <f t="shared" si="2"/>
        <v>43.39744279</v>
      </c>
      <c r="K33">
        <f t="shared" si="3"/>
        <v>54.16353282</v>
      </c>
      <c r="L33" s="1">
        <v>0.0</v>
      </c>
      <c r="N33">
        <f t="shared" si="16"/>
        <v>70.4792092</v>
      </c>
      <c r="O33" s="5">
        <f t="shared" si="17"/>
        <v>75.86225422</v>
      </c>
      <c r="P33" s="1">
        <v>0.0</v>
      </c>
    </row>
    <row r="34">
      <c r="A34" s="1" t="s">
        <v>428</v>
      </c>
      <c r="B34" s="1">
        <v>1668441.0</v>
      </c>
      <c r="D34" s="1">
        <v>42.16</v>
      </c>
      <c r="E34" s="1">
        <v>51.84</v>
      </c>
      <c r="F34" s="1">
        <v>2.43</v>
      </c>
      <c r="H34">
        <f t="shared" si="1"/>
        <v>96.43</v>
      </c>
      <c r="J34">
        <f t="shared" si="2"/>
        <v>43.72083377</v>
      </c>
      <c r="K34">
        <f t="shared" si="3"/>
        <v>53.75920357</v>
      </c>
      <c r="L34" s="1">
        <v>0.0</v>
      </c>
      <c r="N34">
        <f t="shared" si="16"/>
        <v>70.60043555</v>
      </c>
      <c r="O34" s="5">
        <f t="shared" si="17"/>
        <v>75.61962045</v>
      </c>
      <c r="P34" s="1">
        <v>0.0</v>
      </c>
    </row>
    <row r="35">
      <c r="A35" s="1" t="s">
        <v>430</v>
      </c>
      <c r="B35" s="1">
        <v>2115303.0</v>
      </c>
      <c r="D35" s="1">
        <v>29.47</v>
      </c>
      <c r="E35" s="1">
        <v>64.92</v>
      </c>
      <c r="F35" s="1">
        <v>0.56</v>
      </c>
      <c r="H35">
        <f t="shared" si="1"/>
        <v>94.95</v>
      </c>
      <c r="J35">
        <f t="shared" si="2"/>
        <v>31.0373881</v>
      </c>
      <c r="K35">
        <f t="shared" si="3"/>
        <v>68.3728278</v>
      </c>
      <c r="L35" s="1">
        <v>0.0</v>
      </c>
      <c r="N35">
        <f t="shared" si="16"/>
        <v>65.223802</v>
      </c>
      <c r="O35" s="5">
        <f t="shared" si="17"/>
        <v>83.89152185</v>
      </c>
      <c r="P35" s="1">
        <v>0.0</v>
      </c>
    </row>
    <row r="36">
      <c r="A36" s="1" t="s">
        <v>432</v>
      </c>
      <c r="B36" s="1">
        <v>1703272.0</v>
      </c>
      <c r="D36" s="1">
        <v>33.96</v>
      </c>
      <c r="E36" s="1">
        <v>56.33</v>
      </c>
      <c r="F36" s="1">
        <v>2.97</v>
      </c>
      <c r="H36">
        <f t="shared" si="1"/>
        <v>93.26</v>
      </c>
      <c r="J36">
        <f t="shared" si="2"/>
        <v>36.41432554</v>
      </c>
      <c r="K36">
        <f t="shared" si="3"/>
        <v>60.40102938</v>
      </c>
      <c r="L36" s="1">
        <v>0.0</v>
      </c>
      <c r="N36">
        <f t="shared" si="16"/>
        <v>66.61484023</v>
      </c>
      <c r="O36" s="5">
        <f t="shared" si="17"/>
        <v>78.60819215</v>
      </c>
      <c r="P36" s="1">
        <v>0.0</v>
      </c>
    </row>
    <row r="37">
      <c r="A37" s="1" t="s">
        <v>433</v>
      </c>
      <c r="B37" s="1">
        <v>1759417.0</v>
      </c>
      <c r="D37" s="1">
        <v>36.39</v>
      </c>
      <c r="E37" s="1">
        <v>57.04</v>
      </c>
      <c r="F37" s="1">
        <v>1.09</v>
      </c>
      <c r="H37">
        <f t="shared" si="1"/>
        <v>94.52</v>
      </c>
      <c r="J37">
        <f t="shared" si="2"/>
        <v>38.4997884</v>
      </c>
      <c r="K37">
        <f t="shared" si="3"/>
        <v>60.3470165</v>
      </c>
      <c r="L37" s="1">
        <v>0.0</v>
      </c>
      <c r="N37">
        <f t="shared" si="16"/>
        <v>68.67329666</v>
      </c>
      <c r="O37" s="5">
        <f t="shared" si="17"/>
        <v>79.59691071</v>
      </c>
      <c r="P37" s="1">
        <v>0.0</v>
      </c>
    </row>
    <row r="38">
      <c r="A38" s="1" t="s">
        <v>434</v>
      </c>
      <c r="B38" s="1">
        <v>1607831.0</v>
      </c>
      <c r="D38" s="1">
        <v>30.07</v>
      </c>
      <c r="E38" s="1">
        <v>61.43</v>
      </c>
      <c r="F38" s="1">
        <v>1.57</v>
      </c>
      <c r="H38">
        <f t="shared" si="1"/>
        <v>93.07</v>
      </c>
      <c r="J38">
        <f t="shared" si="2"/>
        <v>32.30901472</v>
      </c>
      <c r="K38">
        <f t="shared" si="3"/>
        <v>66.00408295</v>
      </c>
      <c r="L38" s="1">
        <v>0.0</v>
      </c>
      <c r="N38">
        <f t="shared" si="16"/>
        <v>65.31105619</v>
      </c>
      <c r="O38" s="5">
        <f t="shared" si="17"/>
        <v>82.15859031</v>
      </c>
      <c r="P38" s="1">
        <v>0.0</v>
      </c>
    </row>
  </sheetData>
  <mergeCells count="2">
    <mergeCell ref="D7:F7"/>
    <mergeCell ref="J7:L7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1</v>
      </c>
      <c r="C1" s="4" t="s">
        <v>17</v>
      </c>
      <c r="D1" s="4" t="s">
        <v>18</v>
      </c>
      <c r="E1" s="12"/>
      <c r="F1" s="12"/>
      <c r="G1" s="12"/>
      <c r="H1" s="12"/>
      <c r="I1" s="12"/>
      <c r="J1" s="12"/>
      <c r="K1" s="12"/>
      <c r="L1" s="12"/>
      <c r="M1" s="12"/>
    </row>
    <row r="2">
      <c r="A2" s="13"/>
      <c r="B2" s="13"/>
      <c r="C2" s="12"/>
      <c r="D2" s="12"/>
      <c r="E2" s="12"/>
      <c r="I2" s="12"/>
      <c r="J2" s="10" t="s">
        <v>203</v>
      </c>
      <c r="K2" s="10" t="s">
        <v>365</v>
      </c>
      <c r="L2" s="10" t="s">
        <v>366</v>
      </c>
      <c r="M2" s="10" t="s">
        <v>367</v>
      </c>
    </row>
    <row r="3">
      <c r="A3" s="15" t="s">
        <v>3</v>
      </c>
      <c r="B3" s="15" t="s">
        <v>4</v>
      </c>
      <c r="C3" s="17">
        <v>23.0</v>
      </c>
      <c r="D3" s="19">
        <v>23.0</v>
      </c>
      <c r="E3" s="12"/>
      <c r="I3" s="10" t="s">
        <v>203</v>
      </c>
      <c r="J3" s="20">
        <v>1.0</v>
      </c>
      <c r="K3" s="20">
        <v>4.0</v>
      </c>
      <c r="L3" s="20">
        <v>3.0</v>
      </c>
      <c r="M3" s="20">
        <v>2.0</v>
      </c>
    </row>
    <row r="4">
      <c r="A4" s="15" t="s">
        <v>5</v>
      </c>
      <c r="B4" s="10" t="s">
        <v>6</v>
      </c>
      <c r="C4" s="17">
        <v>2.0</v>
      </c>
      <c r="D4" s="21">
        <v>2.0</v>
      </c>
      <c r="E4" s="12"/>
      <c r="I4" s="10" t="s">
        <v>365</v>
      </c>
      <c r="J4" s="20">
        <v>4.0</v>
      </c>
      <c r="K4" s="20">
        <v>1.0</v>
      </c>
      <c r="L4" s="20">
        <v>2.0</v>
      </c>
      <c r="M4" s="20">
        <v>3.0</v>
      </c>
    </row>
    <row r="5">
      <c r="A5" s="15" t="s">
        <v>369</v>
      </c>
      <c r="B5" s="15" t="s">
        <v>4</v>
      </c>
      <c r="C5" s="17">
        <v>18.0</v>
      </c>
      <c r="D5" s="21">
        <v>18.0</v>
      </c>
      <c r="E5" s="12"/>
      <c r="I5" s="10" t="s">
        <v>366</v>
      </c>
      <c r="J5" s="20">
        <v>4.0</v>
      </c>
      <c r="K5" s="20">
        <v>2.0</v>
      </c>
      <c r="L5" s="20">
        <v>1.0</v>
      </c>
      <c r="M5" s="20">
        <v>3.0</v>
      </c>
    </row>
    <row r="6">
      <c r="A6" s="15" t="s">
        <v>363</v>
      </c>
      <c r="B6" s="10" t="s">
        <v>6</v>
      </c>
      <c r="C6" s="17">
        <v>4.0</v>
      </c>
      <c r="D6" s="21">
        <v>4.0</v>
      </c>
      <c r="E6" s="12"/>
      <c r="I6" s="10" t="s">
        <v>367</v>
      </c>
      <c r="J6" s="20">
        <v>3.0</v>
      </c>
      <c r="K6" s="20">
        <v>2.0</v>
      </c>
      <c r="L6" s="20">
        <v>4.0</v>
      </c>
      <c r="M6" s="20">
        <v>1.0</v>
      </c>
    </row>
    <row r="7">
      <c r="A7" s="15" t="s">
        <v>370</v>
      </c>
      <c r="B7" s="15" t="s">
        <v>4</v>
      </c>
      <c r="C7" s="17">
        <v>1.0</v>
      </c>
      <c r="D7" s="21">
        <v>1.0</v>
      </c>
      <c r="E7" s="12"/>
      <c r="F7" s="12"/>
      <c r="G7" s="12"/>
      <c r="H7" s="12"/>
      <c r="I7" s="12"/>
      <c r="J7" s="12"/>
      <c r="K7" s="12"/>
      <c r="L7" s="12"/>
      <c r="M7" s="12"/>
    </row>
    <row r="8">
      <c r="A8" s="15" t="s">
        <v>371</v>
      </c>
      <c r="B8" s="15" t="s">
        <v>4</v>
      </c>
      <c r="C8" s="17">
        <v>0.0</v>
      </c>
      <c r="D8" s="21">
        <v>0.0</v>
      </c>
      <c r="E8" s="12"/>
      <c r="F8" s="12"/>
      <c r="G8" s="12"/>
      <c r="H8" s="12"/>
      <c r="I8" s="12"/>
      <c r="J8" s="12"/>
      <c r="K8" s="12"/>
      <c r="L8" s="12"/>
      <c r="M8" s="12"/>
    </row>
    <row r="9">
      <c r="A9" s="13"/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>
      <c r="A10" s="15" t="s">
        <v>8</v>
      </c>
      <c r="B10" s="12"/>
      <c r="C10" s="13"/>
      <c r="D10" s="10" t="s">
        <v>9</v>
      </c>
      <c r="F10" s="12"/>
      <c r="G10" s="12"/>
      <c r="H10" s="12"/>
      <c r="I10" s="12"/>
      <c r="J10" s="10" t="s">
        <v>11</v>
      </c>
      <c r="L10" s="12"/>
      <c r="M10" s="12"/>
      <c r="O10" s="1" t="s">
        <v>12</v>
      </c>
    </row>
    <row r="11">
      <c r="A11" s="12"/>
      <c r="B11" s="10" t="s">
        <v>41</v>
      </c>
      <c r="C11" s="12"/>
      <c r="D11" s="10" t="s">
        <v>203</v>
      </c>
      <c r="E11" s="10" t="s">
        <v>365</v>
      </c>
      <c r="F11" s="10" t="s">
        <v>366</v>
      </c>
      <c r="G11" s="10" t="s">
        <v>367</v>
      </c>
      <c r="H11" s="10" t="s">
        <v>45</v>
      </c>
      <c r="I11" s="12"/>
      <c r="J11" s="10" t="s">
        <v>203</v>
      </c>
      <c r="K11" s="10" t="s">
        <v>365</v>
      </c>
      <c r="L11" s="10" t="s">
        <v>366</v>
      </c>
      <c r="M11" s="10" t="s">
        <v>374</v>
      </c>
      <c r="O11" s="10" t="s">
        <v>203</v>
      </c>
      <c r="P11" s="10" t="s">
        <v>365</v>
      </c>
      <c r="Q11" s="10" t="s">
        <v>366</v>
      </c>
      <c r="R11" s="10" t="s">
        <v>374</v>
      </c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"/>
      <c r="O12" s="1"/>
      <c r="P12" s="1"/>
      <c r="Q12" s="1"/>
      <c r="S12" s="1"/>
      <c r="T12" s="1"/>
      <c r="U12" s="1"/>
      <c r="V12" s="1"/>
      <c r="W12" s="1"/>
    </row>
    <row r="13">
      <c r="A13" s="10" t="s">
        <v>376</v>
      </c>
      <c r="B13" s="17">
        <v>1672643.0</v>
      </c>
      <c r="C13" s="13"/>
      <c r="D13" s="17">
        <v>25.89</v>
      </c>
      <c r="E13" s="17">
        <v>46.64</v>
      </c>
      <c r="F13" s="13"/>
      <c r="G13" s="17">
        <v>24.4</v>
      </c>
      <c r="H13" s="17">
        <f t="shared" ref="H13:H60" si="1">SUM(D13,E13,F13,G13)</f>
        <v>96.93</v>
      </c>
      <c r="I13" s="13"/>
      <c r="J13" s="17">
        <f t="shared" ref="J13:J60" si="2">DIVIDE(100*D13,H13)</f>
        <v>26.7099969</v>
      </c>
      <c r="K13" s="17">
        <f t="shared" ref="K13:K60" si="3">DIVIDE(100*E13,H13)</f>
        <v>48.11719798</v>
      </c>
      <c r="L13" s="17">
        <f t="shared" ref="L13:L28" si="4">DIVIDE(100*F13,H13)</f>
        <v>0</v>
      </c>
      <c r="M13" s="17">
        <f>DIVIDE(100*G13,H13)</f>
        <v>25.17280512</v>
      </c>
      <c r="N13" s="1"/>
      <c r="O13" s="55">
        <f>1*J13+0.33*K13+0.66*M13</f>
        <v>59.20272361</v>
      </c>
      <c r="P13" s="56">
        <f>0.33*J13+1*K13+0.66*M13</f>
        <v>73.54554833</v>
      </c>
      <c r="Q13" s="56">
        <f>L13</f>
        <v>0</v>
      </c>
      <c r="R13" s="56">
        <f>0.66*J13+0.33*K13+1*M13</f>
        <v>58.68007841</v>
      </c>
      <c r="S13" s="1"/>
      <c r="T13" s="1"/>
      <c r="U13" s="1"/>
      <c r="V13" s="1"/>
      <c r="W13" s="1"/>
    </row>
    <row r="14">
      <c r="A14" s="10" t="s">
        <v>378</v>
      </c>
      <c r="B14" s="17">
        <v>1586194.0</v>
      </c>
      <c r="C14" s="13"/>
      <c r="D14" s="17">
        <v>44.45</v>
      </c>
      <c r="E14" s="21">
        <v>44.3</v>
      </c>
      <c r="F14" s="12"/>
      <c r="G14" s="21">
        <v>2.39</v>
      </c>
      <c r="H14" s="21">
        <f t="shared" si="1"/>
        <v>91.14</v>
      </c>
      <c r="I14" s="12"/>
      <c r="J14" s="21">
        <f t="shared" si="2"/>
        <v>48.77112135</v>
      </c>
      <c r="K14" s="21">
        <f t="shared" si="3"/>
        <v>48.60653939</v>
      </c>
      <c r="L14" s="21">
        <f t="shared" si="4"/>
        <v>0</v>
      </c>
      <c r="M14" s="19">
        <v>0.0</v>
      </c>
      <c r="O14" s="57">
        <f>1*J14+0.5*K14</f>
        <v>73.07439105</v>
      </c>
      <c r="P14" s="58">
        <f>0.5*J14+1*K14</f>
        <v>72.99210007</v>
      </c>
      <c r="Q14" s="57">
        <v>0.0</v>
      </c>
      <c r="R14" s="57">
        <v>0.0</v>
      </c>
    </row>
    <row r="15">
      <c r="A15" s="15" t="s">
        <v>381</v>
      </c>
      <c r="B15" s="17">
        <v>1532781.0</v>
      </c>
      <c r="C15" s="13"/>
      <c r="D15" s="17">
        <v>39.88</v>
      </c>
      <c r="E15" s="17">
        <v>40.09</v>
      </c>
      <c r="F15" s="13"/>
      <c r="G15" s="17">
        <v>13.13</v>
      </c>
      <c r="H15" s="17">
        <f t="shared" si="1"/>
        <v>93.1</v>
      </c>
      <c r="I15" s="13"/>
      <c r="J15" s="17">
        <f t="shared" si="2"/>
        <v>42.83566058</v>
      </c>
      <c r="K15" s="17">
        <f t="shared" si="3"/>
        <v>43.06122449</v>
      </c>
      <c r="L15" s="21">
        <f t="shared" si="4"/>
        <v>0</v>
      </c>
      <c r="M15" s="21">
        <f t="shared" ref="M15:M16" si="5">DIVIDE(100*G15,H15)</f>
        <v>14.10311493</v>
      </c>
      <c r="O15" s="55">
        <f t="shared" ref="O15:O16" si="6">1*J15+0.33*K15+0.66*M15</f>
        <v>66.35392052</v>
      </c>
      <c r="P15" s="56">
        <f t="shared" ref="P15:P16" si="7">0.33*J15+1*K15+0.66*M15</f>
        <v>66.50504834</v>
      </c>
      <c r="Q15" s="56">
        <f t="shared" ref="Q15:Q16" si="8">L15</f>
        <v>0</v>
      </c>
      <c r="R15" s="56">
        <f t="shared" ref="R15:R16" si="9">0.66*J15+0.33*K15+1*M15</f>
        <v>56.58485499</v>
      </c>
    </row>
    <row r="16">
      <c r="A16" s="15" t="s">
        <v>385</v>
      </c>
      <c r="B16" s="17">
        <v>1953741.0</v>
      </c>
      <c r="C16" s="12"/>
      <c r="D16" s="17">
        <v>15.52</v>
      </c>
      <c r="E16" s="17">
        <v>43.62</v>
      </c>
      <c r="F16" s="13"/>
      <c r="G16" s="21">
        <v>30.21</v>
      </c>
      <c r="H16" s="21">
        <f t="shared" si="1"/>
        <v>89.35</v>
      </c>
      <c r="I16" s="12"/>
      <c r="J16" s="21">
        <f t="shared" si="2"/>
        <v>17.36989368</v>
      </c>
      <c r="K16" s="21">
        <f t="shared" si="3"/>
        <v>48.81925014</v>
      </c>
      <c r="L16" s="21">
        <f t="shared" si="4"/>
        <v>0</v>
      </c>
      <c r="M16" s="21">
        <f t="shared" si="5"/>
        <v>33.81085618</v>
      </c>
      <c r="O16" s="55">
        <f t="shared" si="6"/>
        <v>55.7954113</v>
      </c>
      <c r="P16" s="56">
        <f t="shared" si="7"/>
        <v>76.86648013</v>
      </c>
      <c r="Q16" s="56">
        <f t="shared" si="8"/>
        <v>0</v>
      </c>
      <c r="R16" s="56">
        <f t="shared" si="9"/>
        <v>61.38533856</v>
      </c>
    </row>
    <row r="17">
      <c r="A17" s="15" t="s">
        <v>387</v>
      </c>
      <c r="B17" s="17">
        <v>1672943.0</v>
      </c>
      <c r="C17" s="12"/>
      <c r="D17" s="59">
        <v>42.31</v>
      </c>
      <c r="E17" s="32">
        <v>51.88</v>
      </c>
      <c r="F17" s="13"/>
      <c r="G17" s="59">
        <v>1.09</v>
      </c>
      <c r="H17" s="21">
        <f t="shared" si="1"/>
        <v>95.28</v>
      </c>
      <c r="I17" s="13"/>
      <c r="J17" s="17">
        <f t="shared" si="2"/>
        <v>44.40596138</v>
      </c>
      <c r="K17" s="24">
        <f t="shared" si="3"/>
        <v>54.45004198</v>
      </c>
      <c r="L17" s="21">
        <f t="shared" si="4"/>
        <v>0</v>
      </c>
      <c r="M17" s="19">
        <v>0.0</v>
      </c>
      <c r="O17" s="57">
        <f t="shared" ref="O17:O21" si="10">1*J17+0.5*K17</f>
        <v>71.63098237</v>
      </c>
      <c r="P17" s="58">
        <f t="shared" ref="P17:P21" si="11">0.5*J17+1*K17</f>
        <v>76.65302267</v>
      </c>
      <c r="Q17" s="57">
        <v>0.0</v>
      </c>
      <c r="R17" s="57">
        <v>0.0</v>
      </c>
    </row>
    <row r="18">
      <c r="A18" s="15" t="s">
        <v>391</v>
      </c>
      <c r="B18" s="17">
        <v>1675367.0</v>
      </c>
      <c r="C18" s="12"/>
      <c r="D18" s="21">
        <v>40.56</v>
      </c>
      <c r="E18" s="17">
        <v>53.85</v>
      </c>
      <c r="F18" s="13"/>
      <c r="G18" s="21">
        <v>1.01</v>
      </c>
      <c r="H18" s="21">
        <f t="shared" si="1"/>
        <v>95.42</v>
      </c>
      <c r="I18" s="13"/>
      <c r="J18" s="17">
        <f t="shared" si="2"/>
        <v>42.50681199</v>
      </c>
      <c r="K18" s="24">
        <f t="shared" si="3"/>
        <v>56.4347097</v>
      </c>
      <c r="L18" s="21">
        <f t="shared" si="4"/>
        <v>0</v>
      </c>
      <c r="M18" s="19">
        <v>0.0</v>
      </c>
      <c r="O18" s="57">
        <f t="shared" si="10"/>
        <v>70.72416684</v>
      </c>
      <c r="P18" s="58">
        <f t="shared" si="11"/>
        <v>77.6881157</v>
      </c>
      <c r="Q18" s="57">
        <v>0.0</v>
      </c>
      <c r="R18" s="57">
        <v>0.0</v>
      </c>
    </row>
    <row r="19">
      <c r="A19" s="15" t="s">
        <v>393</v>
      </c>
      <c r="B19" s="17">
        <v>1707969.0</v>
      </c>
      <c r="C19" s="12"/>
      <c r="D19" s="21">
        <v>26.68</v>
      </c>
      <c r="E19" s="21">
        <v>65.39</v>
      </c>
      <c r="F19" s="13"/>
      <c r="G19" s="21">
        <v>1.09</v>
      </c>
      <c r="H19" s="17">
        <f t="shared" si="1"/>
        <v>93.16</v>
      </c>
      <c r="I19" s="13"/>
      <c r="J19" s="17">
        <f t="shared" si="2"/>
        <v>28.63890082</v>
      </c>
      <c r="K19" s="24">
        <f t="shared" si="3"/>
        <v>70.19106913</v>
      </c>
      <c r="L19" s="21">
        <f t="shared" si="4"/>
        <v>0</v>
      </c>
      <c r="M19" s="19">
        <v>0.0</v>
      </c>
      <c r="O19" s="57">
        <f t="shared" si="10"/>
        <v>63.73443538</v>
      </c>
      <c r="P19" s="58">
        <f t="shared" si="11"/>
        <v>84.51051954</v>
      </c>
      <c r="Q19" s="57">
        <v>0.0</v>
      </c>
      <c r="R19" s="57">
        <v>0.0</v>
      </c>
    </row>
    <row r="20">
      <c r="A20" s="15" t="s">
        <v>394</v>
      </c>
      <c r="B20" s="17">
        <v>1593389.0</v>
      </c>
      <c r="C20" s="12"/>
      <c r="D20" s="17">
        <v>28.41</v>
      </c>
      <c r="E20" s="17">
        <v>59.86</v>
      </c>
      <c r="F20" s="13"/>
      <c r="G20" s="17">
        <v>2.94</v>
      </c>
      <c r="H20" s="21">
        <f t="shared" si="1"/>
        <v>91.21</v>
      </c>
      <c r="I20" s="12"/>
      <c r="J20" s="21">
        <f t="shared" si="2"/>
        <v>31.14790045</v>
      </c>
      <c r="K20" s="24">
        <f t="shared" si="3"/>
        <v>65.62876878</v>
      </c>
      <c r="L20" s="21">
        <f t="shared" si="4"/>
        <v>0</v>
      </c>
      <c r="M20" s="19">
        <v>0.0</v>
      </c>
      <c r="O20" s="57">
        <f t="shared" si="10"/>
        <v>63.96228484</v>
      </c>
      <c r="P20" s="58">
        <f t="shared" si="11"/>
        <v>81.202719</v>
      </c>
      <c r="Q20" s="57">
        <v>0.0</v>
      </c>
      <c r="R20" s="57">
        <v>0.0</v>
      </c>
    </row>
    <row r="21">
      <c r="A21" s="15" t="s">
        <v>395</v>
      </c>
      <c r="B21" s="17">
        <v>1595435.0</v>
      </c>
      <c r="C21" s="12"/>
      <c r="D21" s="21">
        <v>35.71</v>
      </c>
      <c r="E21" s="21">
        <v>52.01</v>
      </c>
      <c r="F21" s="13"/>
      <c r="G21" s="21">
        <v>3.45</v>
      </c>
      <c r="H21" s="17">
        <f t="shared" si="1"/>
        <v>91.17</v>
      </c>
      <c r="I21" s="13"/>
      <c r="J21" s="17">
        <f t="shared" si="2"/>
        <v>39.16858616</v>
      </c>
      <c r="K21" s="24">
        <f t="shared" si="3"/>
        <v>57.04727432</v>
      </c>
      <c r="L21" s="21">
        <f t="shared" si="4"/>
        <v>0</v>
      </c>
      <c r="M21" s="19">
        <v>0.0</v>
      </c>
      <c r="O21" s="57">
        <f t="shared" si="10"/>
        <v>67.69222332</v>
      </c>
      <c r="P21" s="58">
        <f t="shared" si="11"/>
        <v>76.6315674</v>
      </c>
      <c r="Q21" s="57">
        <v>0.0</v>
      </c>
      <c r="R21" s="57">
        <v>0.0</v>
      </c>
    </row>
    <row r="22">
      <c r="A22" s="15" t="s">
        <v>397</v>
      </c>
      <c r="B22" s="17">
        <v>1612739.0</v>
      </c>
      <c r="C22" s="12"/>
      <c r="D22" s="17">
        <v>32.78</v>
      </c>
      <c r="E22" s="17">
        <v>46.51</v>
      </c>
      <c r="F22" s="13"/>
      <c r="G22" s="21">
        <v>9.78</v>
      </c>
      <c r="H22" s="21">
        <f t="shared" si="1"/>
        <v>89.07</v>
      </c>
      <c r="I22" s="12"/>
      <c r="J22" s="21">
        <f t="shared" si="2"/>
        <v>36.80251488</v>
      </c>
      <c r="K22" s="28">
        <f t="shared" si="3"/>
        <v>52.21735713</v>
      </c>
      <c r="L22" s="21">
        <f t="shared" si="4"/>
        <v>0</v>
      </c>
      <c r="M22" s="21">
        <f t="shared" ref="M22:M25" si="12">DIVIDE(100*G22,H22)</f>
        <v>10.98012799</v>
      </c>
      <c r="O22" s="55">
        <f t="shared" ref="O22:O25" si="13">1*J22+0.33*K22+0.66*M22</f>
        <v>61.2811272</v>
      </c>
      <c r="P22" s="56">
        <f t="shared" ref="P22:P25" si="14">0.33*J22+1*K22+0.66*M22</f>
        <v>71.60907152</v>
      </c>
      <c r="Q22" s="56">
        <f t="shared" ref="Q22:Q25" si="15">L22</f>
        <v>0</v>
      </c>
      <c r="R22" s="56">
        <f t="shared" ref="R22:R25" si="16">0.66*J22+0.33*K22+1*M22</f>
        <v>52.50151566</v>
      </c>
    </row>
    <row r="23">
      <c r="A23" s="15" t="s">
        <v>401</v>
      </c>
      <c r="B23" s="17">
        <v>1564552.0</v>
      </c>
      <c r="C23" s="12"/>
      <c r="D23" s="17">
        <v>31.74</v>
      </c>
      <c r="E23" s="21">
        <v>53.03</v>
      </c>
      <c r="F23" s="13"/>
      <c r="G23" s="21">
        <v>8.96</v>
      </c>
      <c r="H23" s="17">
        <f t="shared" si="1"/>
        <v>93.73</v>
      </c>
      <c r="I23" s="12"/>
      <c r="J23" s="17">
        <f t="shared" si="2"/>
        <v>33.86322415</v>
      </c>
      <c r="K23" s="28">
        <f t="shared" si="3"/>
        <v>56.57740318</v>
      </c>
      <c r="L23" s="21">
        <f t="shared" si="4"/>
        <v>0</v>
      </c>
      <c r="M23" s="21">
        <f t="shared" si="12"/>
        <v>9.559372666</v>
      </c>
      <c r="O23" s="55">
        <f t="shared" si="13"/>
        <v>58.84295316</v>
      </c>
      <c r="P23" s="56">
        <f t="shared" si="14"/>
        <v>74.06145311</v>
      </c>
      <c r="Q23" s="56">
        <f t="shared" si="15"/>
        <v>0</v>
      </c>
      <c r="R23" s="56">
        <f t="shared" si="16"/>
        <v>50.57964366</v>
      </c>
    </row>
    <row r="24">
      <c r="A24" s="15" t="s">
        <v>404</v>
      </c>
      <c r="B24" s="17">
        <v>1677266.0</v>
      </c>
      <c r="C24" s="12"/>
      <c r="D24" s="17">
        <v>32.75</v>
      </c>
      <c r="E24" s="17">
        <v>49.48</v>
      </c>
      <c r="F24" s="13"/>
      <c r="G24" s="21">
        <v>9.05</v>
      </c>
      <c r="H24" s="21">
        <f t="shared" si="1"/>
        <v>91.28</v>
      </c>
      <c r="I24" s="12"/>
      <c r="J24" s="17">
        <f t="shared" si="2"/>
        <v>35.87861525</v>
      </c>
      <c r="K24" s="28">
        <f t="shared" si="3"/>
        <v>54.20683611</v>
      </c>
      <c r="L24" s="21">
        <f t="shared" si="4"/>
        <v>0</v>
      </c>
      <c r="M24" s="21">
        <f t="shared" si="12"/>
        <v>9.914548642</v>
      </c>
      <c r="O24" s="55">
        <f t="shared" si="13"/>
        <v>60.31047327</v>
      </c>
      <c r="P24" s="56">
        <f t="shared" si="14"/>
        <v>72.59038124</v>
      </c>
      <c r="Q24" s="56">
        <f t="shared" si="15"/>
        <v>0</v>
      </c>
      <c r="R24" s="56">
        <f t="shared" si="16"/>
        <v>51.48269062</v>
      </c>
    </row>
    <row r="25">
      <c r="A25" s="15" t="s">
        <v>407</v>
      </c>
      <c r="B25" s="17">
        <v>1900784.0</v>
      </c>
      <c r="C25" s="12"/>
      <c r="D25" s="21">
        <v>27.9</v>
      </c>
      <c r="E25" s="17">
        <v>54.13</v>
      </c>
      <c r="F25" s="13"/>
      <c r="G25" s="21">
        <v>8.88</v>
      </c>
      <c r="H25" s="21">
        <f t="shared" si="1"/>
        <v>90.91</v>
      </c>
      <c r="I25" s="13"/>
      <c r="J25" s="17">
        <f t="shared" si="2"/>
        <v>30.6896931</v>
      </c>
      <c r="K25" s="24">
        <f t="shared" si="3"/>
        <v>59.54240458</v>
      </c>
      <c r="L25" s="21">
        <f t="shared" si="4"/>
        <v>0</v>
      </c>
      <c r="M25" s="21">
        <f t="shared" si="12"/>
        <v>9.767902321</v>
      </c>
      <c r="O25" s="55">
        <f t="shared" si="13"/>
        <v>56.78550214</v>
      </c>
      <c r="P25" s="56">
        <f t="shared" si="14"/>
        <v>76.11681883</v>
      </c>
      <c r="Q25" s="56">
        <f t="shared" si="15"/>
        <v>0</v>
      </c>
      <c r="R25" s="56">
        <f t="shared" si="16"/>
        <v>49.67209328</v>
      </c>
    </row>
    <row r="26">
      <c r="A26" s="15" t="s">
        <v>410</v>
      </c>
      <c r="B26" s="17">
        <v>1655852.0</v>
      </c>
      <c r="C26" s="12"/>
      <c r="D26" s="17">
        <v>38.16</v>
      </c>
      <c r="E26" s="17">
        <v>50.62</v>
      </c>
      <c r="F26" s="13"/>
      <c r="G26" s="21">
        <v>4.26</v>
      </c>
      <c r="H26" s="21">
        <f t="shared" si="1"/>
        <v>93.04</v>
      </c>
      <c r="I26" s="12"/>
      <c r="J26" s="17">
        <f t="shared" si="2"/>
        <v>41.01461737</v>
      </c>
      <c r="K26" s="24">
        <f t="shared" si="3"/>
        <v>54.40670679</v>
      </c>
      <c r="L26" s="21">
        <f t="shared" si="4"/>
        <v>0</v>
      </c>
      <c r="M26" s="19">
        <v>0.0</v>
      </c>
      <c r="O26" s="57">
        <f>1*J26+0.5*K26</f>
        <v>68.21797077</v>
      </c>
      <c r="P26" s="58">
        <f>0.5*J26+1*K26</f>
        <v>74.91401548</v>
      </c>
      <c r="Q26" s="57">
        <v>0.0</v>
      </c>
      <c r="R26" s="57">
        <v>0.0</v>
      </c>
    </row>
    <row r="27">
      <c r="A27" s="15" t="s">
        <v>414</v>
      </c>
      <c r="B27" s="17">
        <v>1468437.0</v>
      </c>
      <c r="C27" s="12"/>
      <c r="D27" s="17">
        <v>29.08</v>
      </c>
      <c r="E27" s="17">
        <v>52.11</v>
      </c>
      <c r="F27" s="13"/>
      <c r="G27" s="21">
        <v>6.51</v>
      </c>
      <c r="H27" s="21">
        <f t="shared" si="1"/>
        <v>87.7</v>
      </c>
      <c r="I27" s="12"/>
      <c r="J27" s="17">
        <f t="shared" si="2"/>
        <v>33.15849487</v>
      </c>
      <c r="K27" s="24">
        <f t="shared" si="3"/>
        <v>59.41847206</v>
      </c>
      <c r="L27" s="21">
        <f t="shared" si="4"/>
        <v>0</v>
      </c>
      <c r="M27" s="21">
        <f t="shared" ref="M27:M28" si="17">DIVIDE(100*G27,H27)</f>
        <v>7.423033067</v>
      </c>
      <c r="O27" s="55">
        <f t="shared" ref="O27:O28" si="18">1*J27+0.33*K27+0.66*M27</f>
        <v>57.66579247</v>
      </c>
      <c r="P27" s="56">
        <f t="shared" ref="P27:P28" si="19">0.33*J27+1*K27+0.66*M27</f>
        <v>75.25997719</v>
      </c>
      <c r="Q27" s="56">
        <f t="shared" ref="Q27:Q28" si="20">L27</f>
        <v>0</v>
      </c>
      <c r="R27" s="56">
        <f t="shared" ref="R27:R28" si="21">0.66*J27+0.33*K27+1*M27</f>
        <v>48.91573546</v>
      </c>
    </row>
    <row r="28">
      <c r="A28" s="15" t="s">
        <v>418</v>
      </c>
      <c r="B28" s="17">
        <v>1753690.0</v>
      </c>
      <c r="C28" s="12"/>
      <c r="D28" s="17">
        <v>24.49</v>
      </c>
      <c r="E28" s="21">
        <v>45.77</v>
      </c>
      <c r="F28" s="13"/>
      <c r="G28" s="17">
        <v>18.42</v>
      </c>
      <c r="H28" s="17">
        <f t="shared" si="1"/>
        <v>88.68</v>
      </c>
      <c r="I28" s="12"/>
      <c r="J28" s="21">
        <f t="shared" si="2"/>
        <v>27.61614795</v>
      </c>
      <c r="K28" s="24">
        <f t="shared" si="3"/>
        <v>51.61253947</v>
      </c>
      <c r="L28" s="21">
        <f t="shared" si="4"/>
        <v>0</v>
      </c>
      <c r="M28" s="21">
        <f t="shared" si="17"/>
        <v>20.77131258</v>
      </c>
      <c r="O28" s="55">
        <f t="shared" si="18"/>
        <v>58.35735228</v>
      </c>
      <c r="P28" s="56">
        <f t="shared" si="19"/>
        <v>74.4349346</v>
      </c>
      <c r="Q28" s="56">
        <f t="shared" si="20"/>
        <v>0</v>
      </c>
      <c r="R28" s="56">
        <f t="shared" si="21"/>
        <v>56.03010825</v>
      </c>
    </row>
    <row r="29">
      <c r="A29" s="15" t="s">
        <v>420</v>
      </c>
      <c r="B29" s="17">
        <v>1755292.0</v>
      </c>
      <c r="C29" s="12"/>
      <c r="D29" s="17">
        <v>37.17</v>
      </c>
      <c r="E29" s="21">
        <v>46.25</v>
      </c>
      <c r="F29" s="17">
        <v>2.53</v>
      </c>
      <c r="G29" s="21">
        <v>4.74</v>
      </c>
      <c r="H29" s="17">
        <f t="shared" si="1"/>
        <v>90.69</v>
      </c>
      <c r="I29" s="12"/>
      <c r="J29" s="21">
        <f t="shared" si="2"/>
        <v>40.98577572</v>
      </c>
      <c r="K29" s="28">
        <f t="shared" si="3"/>
        <v>50.99790495</v>
      </c>
      <c r="L29" s="19">
        <v>0.0</v>
      </c>
      <c r="M29" s="19">
        <v>0.0</v>
      </c>
      <c r="O29" s="57">
        <f t="shared" ref="O29:O33" si="22">1*J29+0.5*K29</f>
        <v>66.48472819</v>
      </c>
      <c r="P29" s="58">
        <f t="shared" ref="P29:P33" si="23">0.5*J29+1*K29</f>
        <v>71.49079281</v>
      </c>
      <c r="Q29" s="57">
        <v>0.0</v>
      </c>
      <c r="R29" s="57">
        <v>0.0</v>
      </c>
    </row>
    <row r="30">
      <c r="A30" s="15" t="s">
        <v>423</v>
      </c>
      <c r="B30" s="17">
        <v>1687057.0</v>
      </c>
      <c r="C30" s="12"/>
      <c r="D30" s="17">
        <v>48.63</v>
      </c>
      <c r="E30" s="17">
        <v>40.59</v>
      </c>
      <c r="F30" s="13"/>
      <c r="G30" s="21">
        <v>2.25</v>
      </c>
      <c r="H30" s="21">
        <f t="shared" si="1"/>
        <v>91.47</v>
      </c>
      <c r="I30" s="12"/>
      <c r="J30" s="28">
        <f t="shared" si="2"/>
        <v>53.16497212</v>
      </c>
      <c r="K30" s="21">
        <f t="shared" si="3"/>
        <v>44.37520499</v>
      </c>
      <c r="L30" s="21">
        <f t="shared" ref="L30:L47" si="24">DIVIDE(100*F30,H30)</f>
        <v>0</v>
      </c>
      <c r="M30" s="19">
        <v>0.0</v>
      </c>
      <c r="O30" s="57">
        <f t="shared" si="22"/>
        <v>75.35257461</v>
      </c>
      <c r="P30" s="58">
        <f t="shared" si="23"/>
        <v>70.95769105</v>
      </c>
      <c r="Q30" s="57">
        <v>0.0</v>
      </c>
      <c r="R30" s="57">
        <v>0.0</v>
      </c>
    </row>
    <row r="31">
      <c r="A31" s="15" t="s">
        <v>426</v>
      </c>
      <c r="B31" s="17">
        <v>1803792.0</v>
      </c>
      <c r="C31" s="12"/>
      <c r="D31" s="21">
        <v>38.83</v>
      </c>
      <c r="E31" s="21">
        <v>49.77</v>
      </c>
      <c r="F31" s="13"/>
      <c r="G31" s="21">
        <v>2.9</v>
      </c>
      <c r="H31" s="17">
        <f t="shared" si="1"/>
        <v>91.5</v>
      </c>
      <c r="I31" s="13"/>
      <c r="J31" s="21">
        <f t="shared" si="2"/>
        <v>42.43715847</v>
      </c>
      <c r="K31" s="28">
        <f t="shared" si="3"/>
        <v>54.39344262</v>
      </c>
      <c r="L31" s="21">
        <f t="shared" si="24"/>
        <v>0</v>
      </c>
      <c r="M31" s="19">
        <v>0.0</v>
      </c>
      <c r="O31" s="57">
        <f t="shared" si="22"/>
        <v>69.63387978</v>
      </c>
      <c r="P31" s="58">
        <f t="shared" si="23"/>
        <v>75.61202186</v>
      </c>
      <c r="Q31" s="57">
        <v>0.0</v>
      </c>
      <c r="R31" s="57">
        <v>0.0</v>
      </c>
    </row>
    <row r="32">
      <c r="A32" s="15" t="s">
        <v>429</v>
      </c>
      <c r="B32" s="17">
        <v>1612056.0</v>
      </c>
      <c r="C32" s="12"/>
      <c r="D32" s="17">
        <v>36.07</v>
      </c>
      <c r="E32" s="17">
        <v>55.46</v>
      </c>
      <c r="F32" s="13"/>
      <c r="G32" s="21">
        <v>2.22</v>
      </c>
      <c r="H32" s="21">
        <f t="shared" si="1"/>
        <v>93.75</v>
      </c>
      <c r="I32" s="12"/>
      <c r="J32" s="21">
        <f t="shared" si="2"/>
        <v>38.47466667</v>
      </c>
      <c r="K32" s="28">
        <f t="shared" si="3"/>
        <v>59.15733333</v>
      </c>
      <c r="L32" s="21">
        <f t="shared" si="24"/>
        <v>0</v>
      </c>
      <c r="M32" s="19">
        <v>0.0</v>
      </c>
      <c r="O32" s="57">
        <f t="shared" si="22"/>
        <v>68.05333333</v>
      </c>
      <c r="P32" s="58">
        <f t="shared" si="23"/>
        <v>78.39466667</v>
      </c>
      <c r="Q32" s="57">
        <v>0.0</v>
      </c>
      <c r="R32" s="57">
        <v>0.0</v>
      </c>
    </row>
    <row r="33">
      <c r="A33" s="15" t="s">
        <v>183</v>
      </c>
      <c r="B33" s="17">
        <v>1589395.0</v>
      </c>
      <c r="C33" s="12"/>
      <c r="D33" s="17">
        <v>36.51</v>
      </c>
      <c r="E33" s="21">
        <v>52.99</v>
      </c>
      <c r="F33" s="13"/>
      <c r="G33" s="21">
        <v>3.81</v>
      </c>
      <c r="H33" s="17">
        <f t="shared" si="1"/>
        <v>93.31</v>
      </c>
      <c r="I33" s="12"/>
      <c r="J33" s="21">
        <f t="shared" si="2"/>
        <v>39.12763905</v>
      </c>
      <c r="K33" s="28">
        <f t="shared" si="3"/>
        <v>56.7891973</v>
      </c>
      <c r="L33" s="21">
        <f t="shared" si="24"/>
        <v>0</v>
      </c>
      <c r="M33" s="19">
        <v>0.0</v>
      </c>
      <c r="O33" s="57">
        <f t="shared" si="22"/>
        <v>67.5222377</v>
      </c>
      <c r="P33" s="58">
        <f t="shared" si="23"/>
        <v>76.35301683</v>
      </c>
      <c r="Q33" s="57">
        <v>0.0</v>
      </c>
      <c r="R33" s="57">
        <v>0.0</v>
      </c>
    </row>
    <row r="34">
      <c r="A34" s="15" t="s">
        <v>431</v>
      </c>
      <c r="B34" s="17">
        <v>1530208.0</v>
      </c>
      <c r="C34" s="12"/>
      <c r="D34" s="21">
        <v>30.42</v>
      </c>
      <c r="E34" s="17">
        <v>55.94</v>
      </c>
      <c r="F34" s="13"/>
      <c r="G34" s="21">
        <v>7.48</v>
      </c>
      <c r="H34" s="21">
        <f t="shared" si="1"/>
        <v>93.84</v>
      </c>
      <c r="I34" s="13"/>
      <c r="J34" s="21">
        <f t="shared" si="2"/>
        <v>32.4168798</v>
      </c>
      <c r="K34" s="24">
        <f t="shared" si="3"/>
        <v>59.61210571</v>
      </c>
      <c r="L34" s="21">
        <f t="shared" si="24"/>
        <v>0</v>
      </c>
      <c r="M34" s="21">
        <f>DIVIDE(100*G34,H34)</f>
        <v>7.971014493</v>
      </c>
      <c r="O34" s="55">
        <f>1*J34+0.33*K34+0.66*M34</f>
        <v>57.34974425</v>
      </c>
      <c r="P34" s="56">
        <f t="shared" ref="P34:P39" si="25">0.33*J34+1*K34+0.66*M34</f>
        <v>75.57054561</v>
      </c>
      <c r="Q34" s="56">
        <f>L34</f>
        <v>0</v>
      </c>
      <c r="R34" s="56">
        <f>0.66*J34+0.33*K34+1*M34</f>
        <v>49.03815004</v>
      </c>
    </row>
    <row r="35">
      <c r="A35" s="15" t="s">
        <v>435</v>
      </c>
      <c r="B35" s="17">
        <v>1593774.0</v>
      </c>
      <c r="C35" s="12"/>
      <c r="D35" s="21">
        <v>32.79</v>
      </c>
      <c r="E35" s="21">
        <v>52.77</v>
      </c>
      <c r="F35" s="17">
        <v>6.72</v>
      </c>
      <c r="G35" s="17">
        <v>2.23</v>
      </c>
      <c r="H35" s="17">
        <f t="shared" si="1"/>
        <v>94.51</v>
      </c>
      <c r="I35" s="13"/>
      <c r="J35" s="21">
        <f t="shared" si="2"/>
        <v>34.6947413</v>
      </c>
      <c r="K35" s="28">
        <f t="shared" si="3"/>
        <v>55.83536134</v>
      </c>
      <c r="L35" s="21">
        <f t="shared" si="24"/>
        <v>7.110358692</v>
      </c>
      <c r="M35" s="19">
        <v>0.0</v>
      </c>
      <c r="O35" s="56">
        <f>1*J35+0.66*K35+0.66*M35</f>
        <v>71.54607978</v>
      </c>
      <c r="P35" s="56">
        <f t="shared" si="25"/>
        <v>67.28462597</v>
      </c>
      <c r="Q35" s="56">
        <f>0.33*J35+0.66*K35+1*M35</f>
        <v>48.30060311</v>
      </c>
      <c r="R35" s="56">
        <f>M35</f>
        <v>0</v>
      </c>
    </row>
    <row r="36">
      <c r="A36" s="15" t="s">
        <v>436</v>
      </c>
      <c r="B36" s="17">
        <v>1578149.0</v>
      </c>
      <c r="C36" s="12"/>
      <c r="D36" s="17">
        <v>29.58</v>
      </c>
      <c r="E36" s="17">
        <v>53.71</v>
      </c>
      <c r="F36" s="12"/>
      <c r="G36" s="17">
        <v>7.74</v>
      </c>
      <c r="H36" s="21">
        <f t="shared" si="1"/>
        <v>91.03</v>
      </c>
      <c r="I36" s="13"/>
      <c r="J36" s="21">
        <f t="shared" si="2"/>
        <v>32.49478194</v>
      </c>
      <c r="K36" s="24">
        <f t="shared" si="3"/>
        <v>59.00252664</v>
      </c>
      <c r="L36" s="21">
        <f t="shared" si="24"/>
        <v>0</v>
      </c>
      <c r="M36" s="21">
        <f t="shared" ref="M36:M37" si="26">DIVIDE(100*G36,H36)</f>
        <v>8.50269142</v>
      </c>
      <c r="O36" s="55">
        <f>1*J36+0.33*K36+0.66*M36</f>
        <v>57.57739207</v>
      </c>
      <c r="P36" s="56">
        <f t="shared" si="25"/>
        <v>75.33758102</v>
      </c>
      <c r="Q36" s="56">
        <f>L36</f>
        <v>0</v>
      </c>
      <c r="R36" s="56">
        <f>0.66*J36+0.33*K36+1*M36</f>
        <v>49.42008129</v>
      </c>
    </row>
    <row r="37">
      <c r="A37" s="15" t="s">
        <v>437</v>
      </c>
      <c r="B37" s="17">
        <v>1696584.0</v>
      </c>
      <c r="C37" s="12"/>
      <c r="D37" s="17">
        <v>34.44</v>
      </c>
      <c r="E37" s="17">
        <v>46.94</v>
      </c>
      <c r="F37" s="21">
        <v>10.69</v>
      </c>
      <c r="G37" s="13"/>
      <c r="H37" s="21">
        <f t="shared" si="1"/>
        <v>92.07</v>
      </c>
      <c r="I37" s="13"/>
      <c r="J37" s="21">
        <f t="shared" si="2"/>
        <v>37.40632128</v>
      </c>
      <c r="K37" s="28">
        <f t="shared" si="3"/>
        <v>50.98294776</v>
      </c>
      <c r="L37" s="21">
        <f t="shared" si="24"/>
        <v>11.61073097</v>
      </c>
      <c r="M37" s="21">
        <f t="shared" si="26"/>
        <v>0</v>
      </c>
      <c r="O37" s="56">
        <f t="shared" ref="O37:O39" si="27">1*J37+0.66*K37+0.66*M37</f>
        <v>71.0550668</v>
      </c>
      <c r="P37" s="56">
        <f t="shared" si="25"/>
        <v>63.32703378</v>
      </c>
      <c r="Q37" s="56">
        <f t="shared" ref="Q37:Q39" si="28">0.33*J37+0.66*K37+1*M37</f>
        <v>45.99283154</v>
      </c>
      <c r="R37" s="56">
        <f t="shared" ref="R37:R39" si="29">M37</f>
        <v>0</v>
      </c>
    </row>
    <row r="38">
      <c r="A38" s="15" t="s">
        <v>438</v>
      </c>
      <c r="B38" s="17">
        <v>1922034.0</v>
      </c>
      <c r="C38" s="12"/>
      <c r="D38" s="21">
        <v>23.04</v>
      </c>
      <c r="E38" s="21">
        <v>53.41</v>
      </c>
      <c r="F38" s="17">
        <v>14.82</v>
      </c>
      <c r="G38" s="17">
        <v>2.47</v>
      </c>
      <c r="H38" s="17">
        <f t="shared" si="1"/>
        <v>93.74</v>
      </c>
      <c r="I38" s="13"/>
      <c r="J38" s="17">
        <f t="shared" si="2"/>
        <v>24.57862172</v>
      </c>
      <c r="K38" s="24">
        <f t="shared" si="3"/>
        <v>56.97674419</v>
      </c>
      <c r="L38" s="21">
        <f t="shared" si="24"/>
        <v>15.80968637</v>
      </c>
      <c r="M38" s="19">
        <v>0.0</v>
      </c>
      <c r="O38" s="56">
        <f t="shared" si="27"/>
        <v>62.18327288</v>
      </c>
      <c r="P38" s="56">
        <f t="shared" si="25"/>
        <v>65.08768935</v>
      </c>
      <c r="Q38" s="56">
        <f t="shared" si="28"/>
        <v>45.71559633</v>
      </c>
      <c r="R38" s="56">
        <f t="shared" si="29"/>
        <v>0</v>
      </c>
    </row>
    <row r="39">
      <c r="A39" s="15" t="s">
        <v>439</v>
      </c>
      <c r="B39" s="17">
        <v>2073251.0</v>
      </c>
      <c r="C39" s="12"/>
      <c r="D39" s="21">
        <v>29.78</v>
      </c>
      <c r="E39" s="21">
        <v>56.46</v>
      </c>
      <c r="F39" s="17">
        <v>4.63</v>
      </c>
      <c r="G39" s="17">
        <v>1.04</v>
      </c>
      <c r="H39" s="17">
        <f t="shared" si="1"/>
        <v>91.91</v>
      </c>
      <c r="I39" s="13"/>
      <c r="J39" s="21">
        <f t="shared" si="2"/>
        <v>32.4012621</v>
      </c>
      <c r="K39" s="28">
        <f t="shared" si="3"/>
        <v>61.42965945</v>
      </c>
      <c r="L39" s="21">
        <f t="shared" si="24"/>
        <v>5.037536721</v>
      </c>
      <c r="M39" s="19">
        <v>0.0</v>
      </c>
      <c r="O39" s="56">
        <f t="shared" si="27"/>
        <v>72.94483734</v>
      </c>
      <c r="P39" s="56">
        <f t="shared" si="25"/>
        <v>72.12207594</v>
      </c>
      <c r="Q39" s="56">
        <f t="shared" si="28"/>
        <v>51.23599173</v>
      </c>
      <c r="R39" s="56">
        <f t="shared" si="29"/>
        <v>0</v>
      </c>
    </row>
    <row r="40">
      <c r="A40" s="15" t="s">
        <v>442</v>
      </c>
      <c r="B40" s="17">
        <v>1783870.0</v>
      </c>
      <c r="C40" s="12"/>
      <c r="D40" s="17">
        <v>22.97</v>
      </c>
      <c r="E40" s="17">
        <v>70.14</v>
      </c>
      <c r="F40" s="12"/>
      <c r="G40" s="12"/>
      <c r="H40" s="21">
        <f t="shared" si="1"/>
        <v>93.11</v>
      </c>
      <c r="I40" s="12"/>
      <c r="J40" s="21">
        <f t="shared" si="2"/>
        <v>24.66974546</v>
      </c>
      <c r="K40" s="28">
        <f t="shared" si="3"/>
        <v>75.33025454</v>
      </c>
      <c r="L40" s="21">
        <f t="shared" si="24"/>
        <v>0</v>
      </c>
      <c r="M40" s="21">
        <f>DIVIDE(100*G40,H40)</f>
        <v>0</v>
      </c>
      <c r="O40" s="57">
        <f>1*J40+0.5*K40</f>
        <v>62.33487273</v>
      </c>
      <c r="P40" s="58">
        <f>0.5*J40+1*K40</f>
        <v>87.66512727</v>
      </c>
      <c r="Q40" s="57">
        <v>0.0</v>
      </c>
      <c r="R40" s="57">
        <v>0.0</v>
      </c>
    </row>
    <row r="41">
      <c r="A41" s="15" t="s">
        <v>444</v>
      </c>
      <c r="B41" s="17">
        <v>1775416.0</v>
      </c>
      <c r="C41" s="12"/>
      <c r="D41" s="17">
        <v>31.38</v>
      </c>
      <c r="E41" s="21">
        <v>51.77</v>
      </c>
      <c r="F41" s="17">
        <v>7.36</v>
      </c>
      <c r="G41" s="17">
        <v>5.78</v>
      </c>
      <c r="H41" s="17">
        <f t="shared" si="1"/>
        <v>96.29</v>
      </c>
      <c r="I41" s="12"/>
      <c r="J41" s="17">
        <f t="shared" si="2"/>
        <v>32.5890539</v>
      </c>
      <c r="K41" s="24">
        <f t="shared" si="3"/>
        <v>53.76466923</v>
      </c>
      <c r="L41" s="21">
        <f t="shared" si="24"/>
        <v>7.643576695</v>
      </c>
      <c r="M41" s="19">
        <v>0.0</v>
      </c>
      <c r="O41" s="56">
        <f>1*J41+0.66*K41+0.66*M41</f>
        <v>68.07373559</v>
      </c>
      <c r="P41" s="56">
        <f t="shared" ref="P41:P42" si="30">0.33*J41+1*K41+0.66*M41</f>
        <v>64.51905702</v>
      </c>
      <c r="Q41" s="56">
        <f>0.33*J41+0.66*K41+1*M41</f>
        <v>46.23906948</v>
      </c>
      <c r="R41" s="56">
        <f>M41</f>
        <v>0</v>
      </c>
    </row>
    <row r="42">
      <c r="A42" s="15" t="s">
        <v>448</v>
      </c>
      <c r="B42" s="17">
        <v>1668357.0</v>
      </c>
      <c r="C42" s="12"/>
      <c r="D42" s="21">
        <v>24.13</v>
      </c>
      <c r="E42" s="17">
        <v>60.9</v>
      </c>
      <c r="F42" s="13"/>
      <c r="G42" s="21">
        <v>8.86</v>
      </c>
      <c r="H42" s="21">
        <f t="shared" si="1"/>
        <v>93.89</v>
      </c>
      <c r="I42" s="13"/>
      <c r="J42" s="17">
        <f t="shared" si="2"/>
        <v>25.70028757</v>
      </c>
      <c r="K42" s="24">
        <f t="shared" si="3"/>
        <v>64.86313771</v>
      </c>
      <c r="L42" s="21">
        <f t="shared" si="24"/>
        <v>0</v>
      </c>
      <c r="M42" s="21">
        <f>DIVIDE(100*G42,H42)</f>
        <v>9.436574715</v>
      </c>
      <c r="O42" s="55">
        <f>1*J42+0.33*K42+0.66*M42</f>
        <v>53.33326233</v>
      </c>
      <c r="P42" s="56">
        <f t="shared" si="30"/>
        <v>79.57237192</v>
      </c>
      <c r="Q42" s="56">
        <f>L42</f>
        <v>0</v>
      </c>
      <c r="R42" s="56">
        <f>0.66*J42+0.33*K42+1*M42</f>
        <v>47.80359996</v>
      </c>
    </row>
    <row r="43">
      <c r="A43" s="15" t="s">
        <v>451</v>
      </c>
      <c r="B43" s="17">
        <v>1737084.0</v>
      </c>
      <c r="C43" s="12"/>
      <c r="D43" s="17">
        <v>34.51</v>
      </c>
      <c r="E43" s="17">
        <v>56.6</v>
      </c>
      <c r="F43" s="13"/>
      <c r="G43" s="21">
        <v>4.12</v>
      </c>
      <c r="H43" s="21">
        <f t="shared" si="1"/>
        <v>95.23</v>
      </c>
      <c r="I43" s="12"/>
      <c r="J43" s="17">
        <f t="shared" si="2"/>
        <v>36.23858028</v>
      </c>
      <c r="K43" s="24">
        <f t="shared" si="3"/>
        <v>59.43505198</v>
      </c>
      <c r="L43" s="21">
        <f t="shared" si="24"/>
        <v>0</v>
      </c>
      <c r="M43" s="19">
        <v>0.0</v>
      </c>
      <c r="O43" s="57">
        <f>1*J43+0.5*K43</f>
        <v>65.95610627</v>
      </c>
      <c r="P43" s="58">
        <f>0.5*J43+1*K43</f>
        <v>77.55434212</v>
      </c>
      <c r="Q43" s="57">
        <v>0.0</v>
      </c>
      <c r="R43" s="57">
        <v>0.0</v>
      </c>
    </row>
    <row r="44">
      <c r="A44" s="15" t="s">
        <v>453</v>
      </c>
      <c r="B44" s="17">
        <v>1447886.0</v>
      </c>
      <c r="C44" s="12"/>
      <c r="D44" s="17">
        <v>31.59</v>
      </c>
      <c r="E44" s="21">
        <v>49.56</v>
      </c>
      <c r="F44" s="17">
        <v>9.51</v>
      </c>
      <c r="G44" s="17">
        <v>3.6</v>
      </c>
      <c r="H44" s="17">
        <f t="shared" si="1"/>
        <v>94.26</v>
      </c>
      <c r="I44" s="13"/>
      <c r="J44" s="17">
        <f t="shared" si="2"/>
        <v>33.51368555</v>
      </c>
      <c r="K44" s="24">
        <f t="shared" si="3"/>
        <v>52.57797581</v>
      </c>
      <c r="L44" s="21">
        <f t="shared" si="24"/>
        <v>10.08911521</v>
      </c>
      <c r="M44" s="19">
        <v>0.0</v>
      </c>
      <c r="O44" s="56">
        <f t="shared" ref="O44:O46" si="31">1*J44+0.66*K44+0.66*M44</f>
        <v>68.21514959</v>
      </c>
      <c r="P44" s="56">
        <f t="shared" ref="P44:P46" si="32">0.33*J44+1*K44+0.66*M44</f>
        <v>63.63749204</v>
      </c>
      <c r="Q44" s="56">
        <f t="shared" ref="Q44:Q46" si="33">0.33*J44+0.66*K44+1*M44</f>
        <v>45.76098027</v>
      </c>
      <c r="R44" s="56">
        <f t="shared" ref="R44:R46" si="34">M44</f>
        <v>0</v>
      </c>
    </row>
    <row r="45">
      <c r="A45" s="15" t="s">
        <v>456</v>
      </c>
      <c r="B45" s="17">
        <v>1485844.0</v>
      </c>
      <c r="C45" s="12"/>
      <c r="D45" s="17">
        <v>31.55</v>
      </c>
      <c r="E45" s="21">
        <v>48.04</v>
      </c>
      <c r="F45" s="21">
        <v>10.87</v>
      </c>
      <c r="G45" s="17">
        <v>5.17</v>
      </c>
      <c r="H45" s="17">
        <f t="shared" si="1"/>
        <v>95.63</v>
      </c>
      <c r="I45" s="12"/>
      <c r="J45" s="17">
        <f t="shared" si="2"/>
        <v>32.99173899</v>
      </c>
      <c r="K45" s="24">
        <f t="shared" si="3"/>
        <v>50.23528182</v>
      </c>
      <c r="L45" s="21">
        <f t="shared" si="24"/>
        <v>11.36672592</v>
      </c>
      <c r="M45" s="19">
        <v>0.0</v>
      </c>
      <c r="O45" s="56">
        <f t="shared" si="31"/>
        <v>66.14702499</v>
      </c>
      <c r="P45" s="56">
        <f t="shared" si="32"/>
        <v>61.12255568</v>
      </c>
      <c r="Q45" s="56">
        <f t="shared" si="33"/>
        <v>44.04255987</v>
      </c>
      <c r="R45" s="56">
        <f t="shared" si="34"/>
        <v>0</v>
      </c>
    </row>
    <row r="46">
      <c r="A46" s="15" t="s">
        <v>458</v>
      </c>
      <c r="B46" s="17">
        <v>1835835.0</v>
      </c>
      <c r="C46" s="12"/>
      <c r="D46" s="21">
        <v>25.56</v>
      </c>
      <c r="E46" s="21">
        <v>57.33</v>
      </c>
      <c r="F46" s="17">
        <v>9.41</v>
      </c>
      <c r="G46" s="17">
        <v>2.88</v>
      </c>
      <c r="H46" s="17">
        <f t="shared" si="1"/>
        <v>95.18</v>
      </c>
      <c r="I46" s="13"/>
      <c r="J46" s="21">
        <f t="shared" si="2"/>
        <v>26.85438117</v>
      </c>
      <c r="K46" s="24">
        <f t="shared" si="3"/>
        <v>60.23324228</v>
      </c>
      <c r="L46" s="21">
        <f t="shared" si="24"/>
        <v>9.886530784</v>
      </c>
      <c r="M46" s="19">
        <v>0.0</v>
      </c>
      <c r="O46" s="56">
        <f t="shared" si="31"/>
        <v>66.60832108</v>
      </c>
      <c r="P46" s="56">
        <f t="shared" si="32"/>
        <v>69.09518806</v>
      </c>
      <c r="Q46" s="56">
        <f t="shared" si="33"/>
        <v>48.61588569</v>
      </c>
      <c r="R46" s="56">
        <f t="shared" si="34"/>
        <v>0</v>
      </c>
    </row>
    <row r="47">
      <c r="A47" s="15" t="s">
        <v>460</v>
      </c>
      <c r="B47" s="17">
        <v>1813553.0</v>
      </c>
      <c r="C47" s="12"/>
      <c r="D47" s="21">
        <v>48.88</v>
      </c>
      <c r="E47" s="21">
        <v>42.35</v>
      </c>
      <c r="F47" s="13"/>
      <c r="G47" s="21">
        <v>2.47</v>
      </c>
      <c r="H47" s="17">
        <f t="shared" si="1"/>
        <v>93.7</v>
      </c>
      <c r="I47" s="13"/>
      <c r="J47" s="24">
        <f t="shared" si="2"/>
        <v>52.16648879</v>
      </c>
      <c r="K47" s="17">
        <f t="shared" si="3"/>
        <v>45.19743863</v>
      </c>
      <c r="L47" s="21">
        <f t="shared" si="24"/>
        <v>0</v>
      </c>
      <c r="M47" s="19">
        <v>0.0</v>
      </c>
      <c r="O47" s="57">
        <f t="shared" ref="O47:O56" si="35">1*J47+0.5*K47</f>
        <v>74.76520811</v>
      </c>
      <c r="P47" s="58">
        <f t="shared" ref="P47:P56" si="36">0.5*J47+1*K47</f>
        <v>71.28068303</v>
      </c>
      <c r="Q47" s="57">
        <v>0.0</v>
      </c>
      <c r="R47" s="57">
        <v>0.0</v>
      </c>
    </row>
    <row r="48">
      <c r="A48" s="15" t="s">
        <v>464</v>
      </c>
      <c r="B48" s="17">
        <v>1824112.0</v>
      </c>
      <c r="C48" s="12"/>
      <c r="D48" s="17">
        <v>31.35</v>
      </c>
      <c r="E48" s="17">
        <v>59.05</v>
      </c>
      <c r="F48" s="17">
        <v>3.35</v>
      </c>
      <c r="G48" s="17">
        <v>1.82</v>
      </c>
      <c r="H48" s="21">
        <f t="shared" si="1"/>
        <v>95.57</v>
      </c>
      <c r="I48" s="12"/>
      <c r="J48" s="17">
        <f t="shared" si="2"/>
        <v>32.80318091</v>
      </c>
      <c r="K48" s="24">
        <f t="shared" si="3"/>
        <v>61.78717171</v>
      </c>
      <c r="L48" s="19">
        <v>0.0</v>
      </c>
      <c r="M48" s="19">
        <v>0.0</v>
      </c>
      <c r="O48" s="57">
        <f t="shared" si="35"/>
        <v>63.69676677</v>
      </c>
      <c r="P48" s="58">
        <f t="shared" si="36"/>
        <v>78.18876216</v>
      </c>
      <c r="Q48" s="57">
        <v>0.0</v>
      </c>
      <c r="R48" s="57">
        <v>0.0</v>
      </c>
    </row>
    <row r="49">
      <c r="A49" s="15" t="s">
        <v>467</v>
      </c>
      <c r="B49" s="17">
        <v>1705005.0</v>
      </c>
      <c r="C49" s="12"/>
      <c r="D49" s="21">
        <v>37.27</v>
      </c>
      <c r="E49" s="17">
        <v>56.94</v>
      </c>
      <c r="F49" s="13"/>
      <c r="G49" s="12"/>
      <c r="H49" s="21">
        <f t="shared" si="1"/>
        <v>94.21</v>
      </c>
      <c r="I49" s="13"/>
      <c r="J49" s="17">
        <f t="shared" si="2"/>
        <v>39.5605562</v>
      </c>
      <c r="K49" s="24">
        <f t="shared" si="3"/>
        <v>60.4394438</v>
      </c>
      <c r="L49" s="21">
        <f t="shared" ref="L49:L57" si="37">DIVIDE(100*F49,H49)</f>
        <v>0</v>
      </c>
      <c r="M49" s="21">
        <f t="shared" ref="M49:M51" si="38">DIVIDE(100*G49,H49)</f>
        <v>0</v>
      </c>
      <c r="O49" s="57">
        <f t="shared" si="35"/>
        <v>69.7802781</v>
      </c>
      <c r="P49" s="58">
        <f t="shared" si="36"/>
        <v>80.2197219</v>
      </c>
      <c r="Q49" s="57">
        <v>0.0</v>
      </c>
      <c r="R49" s="57">
        <v>0.0</v>
      </c>
    </row>
    <row r="50">
      <c r="A50" s="15" t="s">
        <v>472</v>
      </c>
      <c r="B50" s="17">
        <v>1462267.0</v>
      </c>
      <c r="C50" s="12"/>
      <c r="D50" s="21">
        <v>35.7</v>
      </c>
      <c r="E50" s="21">
        <v>57.13</v>
      </c>
      <c r="F50" s="13"/>
      <c r="G50" s="13"/>
      <c r="H50" s="17">
        <f t="shared" si="1"/>
        <v>92.83</v>
      </c>
      <c r="I50" s="13"/>
      <c r="J50" s="17">
        <f t="shared" si="2"/>
        <v>38.45739524</v>
      </c>
      <c r="K50" s="24">
        <f t="shared" si="3"/>
        <v>61.54260476</v>
      </c>
      <c r="L50" s="21">
        <f t="shared" si="37"/>
        <v>0</v>
      </c>
      <c r="M50" s="21">
        <f t="shared" si="38"/>
        <v>0</v>
      </c>
      <c r="O50" s="57">
        <f t="shared" si="35"/>
        <v>69.22869762</v>
      </c>
      <c r="P50" s="58">
        <f t="shared" si="36"/>
        <v>80.77130238</v>
      </c>
      <c r="Q50" s="57">
        <v>0.0</v>
      </c>
      <c r="R50" s="57">
        <v>0.0</v>
      </c>
    </row>
    <row r="51">
      <c r="A51" s="15" t="s">
        <v>473</v>
      </c>
      <c r="B51" s="17">
        <v>1792652.0</v>
      </c>
      <c r="C51" s="12"/>
      <c r="D51" s="21">
        <v>40.53</v>
      </c>
      <c r="E51" s="17">
        <v>51.61</v>
      </c>
      <c r="F51" s="12"/>
      <c r="G51" s="12"/>
      <c r="H51" s="21">
        <f t="shared" si="1"/>
        <v>92.14</v>
      </c>
      <c r="I51" s="13"/>
      <c r="J51" s="21">
        <f t="shared" si="2"/>
        <v>43.98741046</v>
      </c>
      <c r="K51" s="28">
        <f t="shared" si="3"/>
        <v>56.01258954</v>
      </c>
      <c r="L51" s="21">
        <f t="shared" si="37"/>
        <v>0</v>
      </c>
      <c r="M51" s="21">
        <f t="shared" si="38"/>
        <v>0</v>
      </c>
      <c r="O51" s="57">
        <f t="shared" si="35"/>
        <v>71.99370523</v>
      </c>
      <c r="P51" s="58">
        <f t="shared" si="36"/>
        <v>78.00629477</v>
      </c>
      <c r="Q51" s="57">
        <v>0.0</v>
      </c>
      <c r="R51" s="57">
        <v>0.0</v>
      </c>
    </row>
    <row r="52">
      <c r="A52" s="15" t="s">
        <v>475</v>
      </c>
      <c r="B52" s="17">
        <v>1759186.0</v>
      </c>
      <c r="C52" s="12"/>
      <c r="D52" s="17">
        <v>33.35</v>
      </c>
      <c r="E52" s="21">
        <v>54.27</v>
      </c>
      <c r="F52" s="12"/>
      <c r="G52" s="21">
        <v>2.53</v>
      </c>
      <c r="H52" s="17">
        <f t="shared" si="1"/>
        <v>90.15</v>
      </c>
      <c r="I52" s="12"/>
      <c r="J52" s="21">
        <f t="shared" si="2"/>
        <v>36.99389906</v>
      </c>
      <c r="K52" s="28">
        <f t="shared" si="3"/>
        <v>60.19966722</v>
      </c>
      <c r="L52" s="21">
        <f t="shared" si="37"/>
        <v>0</v>
      </c>
      <c r="M52" s="19">
        <v>0.0</v>
      </c>
      <c r="O52" s="57">
        <f t="shared" si="35"/>
        <v>67.09373267</v>
      </c>
      <c r="P52" s="58">
        <f t="shared" si="36"/>
        <v>78.69661675</v>
      </c>
      <c r="Q52" s="57">
        <v>0.0</v>
      </c>
      <c r="R52" s="57">
        <v>0.0</v>
      </c>
    </row>
    <row r="53">
      <c r="A53" s="15" t="s">
        <v>477</v>
      </c>
      <c r="B53" s="17">
        <v>1686957.0</v>
      </c>
      <c r="C53" s="12"/>
      <c r="D53" s="21">
        <v>34.33</v>
      </c>
      <c r="E53" s="17">
        <v>58.29</v>
      </c>
      <c r="F53" s="12"/>
      <c r="G53" s="21">
        <v>1.9</v>
      </c>
      <c r="H53" s="21">
        <f t="shared" si="1"/>
        <v>94.52</v>
      </c>
      <c r="I53" s="13"/>
      <c r="J53" s="21">
        <f t="shared" si="2"/>
        <v>36.32035548</v>
      </c>
      <c r="K53" s="28">
        <f t="shared" si="3"/>
        <v>61.66948794</v>
      </c>
      <c r="L53" s="21">
        <f t="shared" si="37"/>
        <v>0</v>
      </c>
      <c r="M53" s="19">
        <v>0.0</v>
      </c>
      <c r="O53" s="57">
        <f t="shared" si="35"/>
        <v>67.15509945</v>
      </c>
      <c r="P53" s="58">
        <f t="shared" si="36"/>
        <v>79.82966568</v>
      </c>
      <c r="Q53" s="57">
        <v>0.0</v>
      </c>
      <c r="R53" s="57">
        <v>0.0</v>
      </c>
    </row>
    <row r="54">
      <c r="A54" s="15" t="s">
        <v>478</v>
      </c>
      <c r="B54" s="17">
        <v>1702739.0</v>
      </c>
      <c r="C54" s="12"/>
      <c r="D54" s="21">
        <v>38.7</v>
      </c>
      <c r="E54" s="21">
        <v>54.43</v>
      </c>
      <c r="F54" s="13"/>
      <c r="G54" s="21">
        <v>2.0</v>
      </c>
      <c r="H54" s="17">
        <f t="shared" si="1"/>
        <v>95.13</v>
      </c>
      <c r="I54" s="13"/>
      <c r="J54" s="21">
        <f t="shared" si="2"/>
        <v>40.68117313</v>
      </c>
      <c r="K54" s="28">
        <f t="shared" si="3"/>
        <v>57.21644066</v>
      </c>
      <c r="L54" s="21">
        <f t="shared" si="37"/>
        <v>0</v>
      </c>
      <c r="M54" s="19">
        <v>0.0</v>
      </c>
      <c r="O54" s="57">
        <f t="shared" si="35"/>
        <v>69.28939346</v>
      </c>
      <c r="P54" s="58">
        <f t="shared" si="36"/>
        <v>77.55702723</v>
      </c>
      <c r="Q54" s="57">
        <v>0.0</v>
      </c>
      <c r="R54" s="57">
        <v>0.0</v>
      </c>
    </row>
    <row r="55">
      <c r="A55" s="15" t="s">
        <v>480</v>
      </c>
      <c r="B55" s="17">
        <v>1727322.0</v>
      </c>
      <c r="C55" s="12"/>
      <c r="D55" s="17">
        <v>45.36</v>
      </c>
      <c r="E55" s="17">
        <v>43.02</v>
      </c>
      <c r="F55" s="13"/>
      <c r="G55" s="21">
        <v>1.46</v>
      </c>
      <c r="H55" s="21">
        <f t="shared" si="1"/>
        <v>89.84</v>
      </c>
      <c r="I55" s="12"/>
      <c r="J55" s="28">
        <f t="shared" si="2"/>
        <v>50.48975957</v>
      </c>
      <c r="K55" s="21">
        <f t="shared" si="3"/>
        <v>47.88512912</v>
      </c>
      <c r="L55" s="21">
        <f t="shared" si="37"/>
        <v>0</v>
      </c>
      <c r="M55" s="19">
        <v>0.0</v>
      </c>
      <c r="O55" s="57">
        <f t="shared" si="35"/>
        <v>74.43232413</v>
      </c>
      <c r="P55" s="58">
        <f t="shared" si="36"/>
        <v>73.1300089</v>
      </c>
      <c r="Q55" s="57">
        <v>0.0</v>
      </c>
      <c r="R55" s="57">
        <v>0.0</v>
      </c>
    </row>
    <row r="56">
      <c r="A56" s="15" t="s">
        <v>483</v>
      </c>
      <c r="B56" s="17">
        <v>1649107.0</v>
      </c>
      <c r="C56" s="12"/>
      <c r="D56" s="17">
        <v>35.54</v>
      </c>
      <c r="E56" s="17">
        <v>58.68</v>
      </c>
      <c r="F56" s="13"/>
      <c r="G56" s="12"/>
      <c r="H56" s="21">
        <f t="shared" si="1"/>
        <v>94.22</v>
      </c>
      <c r="I56" s="12"/>
      <c r="J56" s="21">
        <f t="shared" si="2"/>
        <v>37.72022925</v>
      </c>
      <c r="K56" s="28">
        <f t="shared" si="3"/>
        <v>62.27977075</v>
      </c>
      <c r="L56" s="21">
        <f t="shared" si="37"/>
        <v>0</v>
      </c>
      <c r="M56" s="21">
        <f t="shared" ref="M56:M57" si="39">DIVIDE(100*G56,H56)</f>
        <v>0</v>
      </c>
      <c r="O56" s="57">
        <f t="shared" si="35"/>
        <v>68.86011463</v>
      </c>
      <c r="P56" s="58">
        <f t="shared" si="36"/>
        <v>81.13988537</v>
      </c>
      <c r="Q56" s="57">
        <v>0.0</v>
      </c>
      <c r="R56" s="57">
        <v>0.0</v>
      </c>
    </row>
    <row r="57">
      <c r="A57" s="15" t="s">
        <v>485</v>
      </c>
      <c r="B57" s="17">
        <v>1719998.0</v>
      </c>
      <c r="C57" s="12"/>
      <c r="D57" s="21">
        <v>53.5</v>
      </c>
      <c r="E57" s="17">
        <v>7.35</v>
      </c>
      <c r="F57" s="13"/>
      <c r="G57" s="21">
        <v>15.97</v>
      </c>
      <c r="H57" s="21">
        <f t="shared" si="1"/>
        <v>76.82</v>
      </c>
      <c r="I57" s="13"/>
      <c r="J57" s="28">
        <f t="shared" si="2"/>
        <v>69.64332205</v>
      </c>
      <c r="K57" s="21">
        <f t="shared" si="3"/>
        <v>9.56782088</v>
      </c>
      <c r="L57" s="21">
        <f t="shared" si="37"/>
        <v>0</v>
      </c>
      <c r="M57" s="21">
        <f t="shared" si="39"/>
        <v>20.78885707</v>
      </c>
      <c r="O57" s="55">
        <f>1*J57+0.33*K57+0.66*M57</f>
        <v>86.52134861</v>
      </c>
      <c r="P57" s="56">
        <f>0.33*J57+1*K57+0.66*M57</f>
        <v>46.27076282</v>
      </c>
      <c r="Q57" s="56">
        <f>L57</f>
        <v>0</v>
      </c>
      <c r="R57" s="56">
        <f>0.66*J57+0.33*K57+1*M57</f>
        <v>69.91083051</v>
      </c>
    </row>
    <row r="58">
      <c r="A58" s="15" t="s">
        <v>489</v>
      </c>
      <c r="B58" s="17">
        <v>1367362.0</v>
      </c>
      <c r="C58" s="12"/>
      <c r="D58" s="17">
        <v>38.27</v>
      </c>
      <c r="E58" s="17">
        <v>55.01</v>
      </c>
      <c r="F58" s="21">
        <v>1.46</v>
      </c>
      <c r="G58" s="21">
        <v>1.42</v>
      </c>
      <c r="H58" s="21">
        <f t="shared" si="1"/>
        <v>96.16</v>
      </c>
      <c r="I58" s="12"/>
      <c r="J58" s="21">
        <f t="shared" si="2"/>
        <v>39.79825291</v>
      </c>
      <c r="K58" s="28">
        <f t="shared" si="3"/>
        <v>57.20673877</v>
      </c>
      <c r="L58" s="19">
        <v>0.0</v>
      </c>
      <c r="M58" s="19">
        <v>0.0</v>
      </c>
      <c r="O58" s="57">
        <f t="shared" ref="O58:O60" si="40">1*J58+0.5*K58</f>
        <v>68.4016223</v>
      </c>
      <c r="P58" s="58">
        <f t="shared" ref="P58:P60" si="41">0.5*J58+1*K58</f>
        <v>77.10586522</v>
      </c>
      <c r="Q58" s="57">
        <v>0.0</v>
      </c>
      <c r="R58" s="57">
        <v>0.0</v>
      </c>
    </row>
    <row r="59">
      <c r="A59" s="15" t="s">
        <v>491</v>
      </c>
      <c r="B59" s="29">
        <v>1260289.0</v>
      </c>
      <c r="C59" s="12"/>
      <c r="D59" s="21">
        <v>48.19</v>
      </c>
      <c r="E59" s="21">
        <v>45.55</v>
      </c>
      <c r="F59" s="13"/>
      <c r="G59" s="13"/>
      <c r="H59" s="17">
        <f t="shared" si="1"/>
        <v>93.74</v>
      </c>
      <c r="I59" s="13"/>
      <c r="J59" s="24">
        <f t="shared" si="2"/>
        <v>51.4081502</v>
      </c>
      <c r="K59" s="17">
        <f t="shared" si="3"/>
        <v>48.5918498</v>
      </c>
      <c r="L59" s="20">
        <v>0.0</v>
      </c>
      <c r="M59" s="20">
        <v>0.0</v>
      </c>
      <c r="O59" s="57">
        <f t="shared" si="40"/>
        <v>75.7040751</v>
      </c>
      <c r="P59" s="58">
        <f t="shared" si="41"/>
        <v>74.2959249</v>
      </c>
      <c r="Q59" s="57">
        <v>0.0</v>
      </c>
      <c r="R59" s="57">
        <v>0.0</v>
      </c>
    </row>
    <row r="60">
      <c r="A60" s="15" t="s">
        <v>492</v>
      </c>
      <c r="B60" s="17">
        <v>1630604.0</v>
      </c>
      <c r="C60" s="12"/>
      <c r="D60" s="17">
        <v>38.86</v>
      </c>
      <c r="E60" s="21">
        <v>53.8</v>
      </c>
      <c r="F60" s="12"/>
      <c r="G60" s="13"/>
      <c r="H60" s="17">
        <f t="shared" si="1"/>
        <v>92.66</v>
      </c>
      <c r="I60" s="12"/>
      <c r="J60" s="17">
        <f t="shared" si="2"/>
        <v>41.93826894</v>
      </c>
      <c r="K60" s="24">
        <f t="shared" si="3"/>
        <v>58.06173106</v>
      </c>
      <c r="L60" s="21">
        <f>DIVIDE(100*F60,H60)</f>
        <v>0</v>
      </c>
      <c r="M60" s="21">
        <f>DIVIDE(100*G60,H60)</f>
        <v>0</v>
      </c>
      <c r="O60" s="57">
        <f t="shared" si="40"/>
        <v>70.96913447</v>
      </c>
      <c r="P60" s="58">
        <f t="shared" si="41"/>
        <v>79.03086553</v>
      </c>
      <c r="Q60" s="57">
        <v>0.0</v>
      </c>
      <c r="R60" s="57">
        <v>0.0</v>
      </c>
    </row>
    <row r="61">
      <c r="A61" s="1"/>
      <c r="B61" s="14"/>
      <c r="D61" s="1"/>
      <c r="E61" s="1"/>
      <c r="H61" s="1"/>
      <c r="I61" s="1"/>
    </row>
    <row r="62">
      <c r="A62" s="1"/>
      <c r="B62" s="1"/>
      <c r="D62" s="1"/>
      <c r="E62" s="1"/>
    </row>
  </sheetData>
  <mergeCells count="2">
    <mergeCell ref="D10:E10"/>
    <mergeCell ref="J10:K10"/>
  </mergeCells>
  <conditionalFormatting sqref="A13:X13 Z13 O15:R16 O22:R25 O27:R28 O34:R39 O41:R42 O44:R46 O57:R57">
    <cfRule type="notContainsBlanks" dxfId="0" priority="1">
      <formula>LEN(TRIM(A13))&gt;0</formula>
    </cfRule>
  </conditionalFormatting>
  <conditionalFormatting sqref="A13:X13 Z13 O15:R16 O22:R25 O27:R28 O34:R39 O41:R42 O44:R46 O57:R57">
    <cfRule type="notContainsBlanks" dxfId="0" priority="2">
      <formula>LEN(TRIM(A13))&gt;0</formula>
    </cfRule>
  </conditionalFormatting>
  <conditionalFormatting sqref="A13:X13 Z13 O15:R16 O22:R25 O27:R28 O34:R39 O41:R42 O44:R46 O57:R57">
    <cfRule type="notContainsBlanks" dxfId="0" priority="3">
      <formula>LEN(TRIM(A13))&gt;0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L2" s="1" t="s">
        <v>3</v>
      </c>
      <c r="M2" s="1" t="s">
        <v>340</v>
      </c>
      <c r="N2" s="1" t="s">
        <v>5</v>
      </c>
      <c r="O2" s="1" t="s">
        <v>363</v>
      </c>
      <c r="P2" s="1" t="s">
        <v>380</v>
      </c>
    </row>
    <row r="3">
      <c r="A3" s="1" t="s">
        <v>3</v>
      </c>
      <c r="B3" s="1" t="s">
        <v>4</v>
      </c>
      <c r="C3" s="1"/>
      <c r="D3" s="1">
        <v>0.0</v>
      </c>
      <c r="K3" s="1" t="s">
        <v>3</v>
      </c>
      <c r="L3" s="1">
        <v>1.0</v>
      </c>
      <c r="M3" s="1">
        <v>5.0</v>
      </c>
      <c r="N3" s="1">
        <v>3.0</v>
      </c>
      <c r="O3" s="1">
        <v>4.0</v>
      </c>
      <c r="P3" s="1">
        <v>2.0</v>
      </c>
    </row>
    <row r="4">
      <c r="A4" s="1" t="s">
        <v>340</v>
      </c>
      <c r="C4" s="1">
        <v>0.0</v>
      </c>
      <c r="D4" s="1">
        <v>0.0</v>
      </c>
      <c r="K4" s="1" t="s">
        <v>340</v>
      </c>
      <c r="L4" s="1">
        <v>5.0</v>
      </c>
      <c r="M4" s="1">
        <v>1.0</v>
      </c>
      <c r="N4" s="1">
        <v>2.0</v>
      </c>
      <c r="O4" s="1">
        <v>3.0</v>
      </c>
      <c r="P4" s="1">
        <v>4.0</v>
      </c>
    </row>
    <row r="5">
      <c r="A5" s="1" t="s">
        <v>5</v>
      </c>
      <c r="B5" s="1" t="s">
        <v>6</v>
      </c>
      <c r="C5" s="1">
        <v>0.0</v>
      </c>
      <c r="D5" s="1">
        <v>2.0</v>
      </c>
      <c r="K5" s="1" t="s">
        <v>5</v>
      </c>
      <c r="L5" s="1">
        <v>5.0</v>
      </c>
      <c r="M5" s="1">
        <v>3.0</v>
      </c>
      <c r="N5" s="1">
        <v>1.0</v>
      </c>
      <c r="O5" s="1">
        <v>2.0</v>
      </c>
      <c r="P5" s="1">
        <v>4.0</v>
      </c>
    </row>
    <row r="6">
      <c r="A6" s="1" t="s">
        <v>363</v>
      </c>
      <c r="B6" s="1" t="s">
        <v>6</v>
      </c>
      <c r="C6" s="1">
        <v>0.0</v>
      </c>
      <c r="D6" s="1">
        <v>0.0</v>
      </c>
      <c r="K6" s="1" t="s">
        <v>363</v>
      </c>
      <c r="L6" s="1">
        <v>5.0</v>
      </c>
      <c r="M6" s="1">
        <v>3.0</v>
      </c>
      <c r="N6" s="1">
        <v>2.0</v>
      </c>
      <c r="O6" s="1">
        <v>1.0</v>
      </c>
      <c r="P6" s="1">
        <v>4.0</v>
      </c>
    </row>
    <row r="7">
      <c r="A7" s="1" t="s">
        <v>380</v>
      </c>
      <c r="B7" s="1" t="s">
        <v>4</v>
      </c>
      <c r="D7" s="1">
        <v>0.0</v>
      </c>
      <c r="K7" s="1" t="s">
        <v>380</v>
      </c>
      <c r="L7" s="1">
        <v>2.0</v>
      </c>
      <c r="M7" s="1">
        <v>5.0</v>
      </c>
      <c r="N7" s="1">
        <v>4.0</v>
      </c>
      <c r="O7" s="1">
        <v>3.0</v>
      </c>
      <c r="P7" s="1">
        <v>1.0</v>
      </c>
    </row>
    <row r="9">
      <c r="A9" s="1" t="s">
        <v>8</v>
      </c>
      <c r="B9" s="1"/>
      <c r="C9" s="1"/>
      <c r="D9" s="1" t="s">
        <v>9</v>
      </c>
      <c r="G9" s="1"/>
      <c r="H9" s="1"/>
      <c r="I9" s="1"/>
      <c r="J9" s="1"/>
      <c r="K9" s="1"/>
      <c r="L9" s="1" t="s">
        <v>11</v>
      </c>
      <c r="R9" s="1" t="s">
        <v>12</v>
      </c>
    </row>
    <row r="10">
      <c r="B10" s="1"/>
      <c r="C10" s="1"/>
      <c r="D10" s="1" t="s">
        <v>3</v>
      </c>
      <c r="E10" s="1" t="s">
        <v>340</v>
      </c>
      <c r="F10" s="1" t="s">
        <v>5</v>
      </c>
      <c r="G10" s="1" t="s">
        <v>382</v>
      </c>
      <c r="H10" s="1" t="s">
        <v>380</v>
      </c>
      <c r="I10" s="1" t="s">
        <v>363</v>
      </c>
      <c r="J10" s="1" t="s">
        <v>45</v>
      </c>
      <c r="K10" s="1"/>
      <c r="L10" s="1" t="s">
        <v>3</v>
      </c>
      <c r="M10" s="1" t="s">
        <v>340</v>
      </c>
      <c r="N10" s="1" t="s">
        <v>5</v>
      </c>
      <c r="O10" s="1" t="s">
        <v>380</v>
      </c>
      <c r="P10" s="1" t="s">
        <v>363</v>
      </c>
      <c r="Q10" s="1"/>
      <c r="R10" s="1" t="s">
        <v>3</v>
      </c>
      <c r="S10" s="1" t="s">
        <v>340</v>
      </c>
      <c r="T10" s="1" t="s">
        <v>5</v>
      </c>
      <c r="U10" s="1" t="s">
        <v>380</v>
      </c>
      <c r="V10" s="1" t="s">
        <v>363</v>
      </c>
    </row>
    <row r="11">
      <c r="B11" s="1"/>
      <c r="C11" s="1"/>
      <c r="D11" s="1"/>
      <c r="L11" s="1"/>
    </row>
    <row r="12">
      <c r="A12" s="1" t="s">
        <v>383</v>
      </c>
      <c r="B12" s="1"/>
      <c r="C12" s="1"/>
      <c r="D12" s="6">
        <v>14.41</v>
      </c>
      <c r="E12" s="6">
        <v>30.78</v>
      </c>
      <c r="F12" s="6">
        <v>45.55</v>
      </c>
      <c r="G12" s="6">
        <v>0.0</v>
      </c>
      <c r="H12" s="6"/>
      <c r="I12" s="6"/>
      <c r="J12">
        <f t="shared" ref="J12:J13" si="1">SUM(D12,E12,F12,G12,H12,I12)</f>
        <v>90.74</v>
      </c>
      <c r="L12">
        <f t="shared" ref="L12:L13" si="2">DIVIDE(100*D12,J12)</f>
        <v>15.8805378</v>
      </c>
      <c r="M12">
        <f t="shared" ref="M12:M13" si="3">DIVIDE(100*E12,J12)</f>
        <v>33.92109323</v>
      </c>
      <c r="N12">
        <f t="shared" ref="N12:N13" si="4">DIVIDE(100*F12,J12)</f>
        <v>50.19836897</v>
      </c>
      <c r="O12">
        <f t="shared" ref="O12:O13" si="5">DIVIDE(100*H12,J12)</f>
        <v>0</v>
      </c>
      <c r="P12">
        <f t="shared" ref="P12:P13" si="6">DIVIDE(100*I12,J12)</f>
        <v>0</v>
      </c>
      <c r="R12">
        <f>L12+0.33*M12+0.33*N12+0.75*P12</f>
        <v>43.63996033</v>
      </c>
      <c r="S12" s="48">
        <f>M12+0.66*N12+0.33*L12</f>
        <v>72.29259423</v>
      </c>
      <c r="T12" s="50">
        <f>N12+0.66*M12+0.66*L12</f>
        <v>83.06744545</v>
      </c>
      <c r="U12" s="60">
        <v>0.0</v>
      </c>
      <c r="V12" s="1">
        <v>0.0</v>
      </c>
    </row>
    <row r="13">
      <c r="A13" s="1" t="s">
        <v>392</v>
      </c>
      <c r="D13" s="1">
        <v>9.8</v>
      </c>
      <c r="E13" s="1">
        <v>0.0</v>
      </c>
      <c r="F13" s="1">
        <v>38.35</v>
      </c>
      <c r="G13" s="1">
        <v>0.0</v>
      </c>
      <c r="H13" s="1">
        <v>36.33</v>
      </c>
      <c r="I13" s="1">
        <v>7.97</v>
      </c>
      <c r="J13">
        <f t="shared" si="1"/>
        <v>92.45</v>
      </c>
      <c r="L13">
        <f t="shared" si="2"/>
        <v>10.6003245</v>
      </c>
      <c r="M13">
        <f t="shared" si="3"/>
        <v>0</v>
      </c>
      <c r="N13">
        <f t="shared" si="4"/>
        <v>41.4818821</v>
      </c>
      <c r="O13">
        <f t="shared" si="5"/>
        <v>39.29691725</v>
      </c>
      <c r="P13">
        <f t="shared" si="6"/>
        <v>8.620876149</v>
      </c>
      <c r="R13">
        <f>L13+0.75*O13+0.25*N13+0.25*P13</f>
        <v>52.598702</v>
      </c>
      <c r="S13" s="1">
        <v>0.0</v>
      </c>
      <c r="T13" s="5">
        <f>N13+0.5*L13+0.75*P13+0.25*R13</f>
        <v>66.39737696</v>
      </c>
      <c r="U13">
        <f>O13+0.75*L13+0.25*N13+0.5*P13</f>
        <v>61.92806923</v>
      </c>
      <c r="V13">
        <f>P13+0.25*L13+0.5*O13+0.75*N13</f>
        <v>62.03082747</v>
      </c>
    </row>
  </sheetData>
  <mergeCells count="3">
    <mergeCell ref="D9:F9"/>
    <mergeCell ref="L9:N9"/>
    <mergeCell ref="R9:U9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K2" s="1" t="s">
        <v>405</v>
      </c>
      <c r="L2" s="1" t="s">
        <v>406</v>
      </c>
      <c r="M2" s="1" t="s">
        <v>5</v>
      </c>
      <c r="N2" s="1" t="s">
        <v>372</v>
      </c>
    </row>
    <row r="3">
      <c r="A3" s="1" t="s">
        <v>405</v>
      </c>
      <c r="B3" s="1" t="s">
        <v>4</v>
      </c>
      <c r="C3" s="1">
        <v>0.0</v>
      </c>
      <c r="D3" s="1">
        <v>0.0</v>
      </c>
      <c r="J3" s="1" t="s">
        <v>405</v>
      </c>
      <c r="K3" s="1">
        <v>1.0</v>
      </c>
      <c r="L3" s="1">
        <v>2.0</v>
      </c>
      <c r="M3" s="1">
        <v>4.0</v>
      </c>
      <c r="N3" s="1">
        <v>3.0</v>
      </c>
    </row>
    <row r="4">
      <c r="A4" s="1" t="s">
        <v>3</v>
      </c>
      <c r="B4" s="1" t="s">
        <v>4</v>
      </c>
      <c r="C4" s="1">
        <v>0.0</v>
      </c>
      <c r="D4" s="1">
        <v>0.0</v>
      </c>
      <c r="J4" s="1" t="s">
        <v>406</v>
      </c>
      <c r="K4" s="1">
        <v>2.0</v>
      </c>
      <c r="L4" s="1">
        <v>1.0</v>
      </c>
      <c r="M4" s="1">
        <v>4.0</v>
      </c>
      <c r="N4" s="1">
        <v>3.0</v>
      </c>
    </row>
    <row r="5">
      <c r="A5" s="1" t="s">
        <v>5</v>
      </c>
      <c r="B5" s="1" t="s">
        <v>6</v>
      </c>
      <c r="C5" s="1">
        <v>1.0</v>
      </c>
      <c r="D5" s="1">
        <v>0.0</v>
      </c>
      <c r="J5" s="1" t="s">
        <v>5</v>
      </c>
      <c r="K5" s="1">
        <v>3.0</v>
      </c>
      <c r="L5" s="1">
        <v>4.0</v>
      </c>
      <c r="M5" s="1">
        <v>1.0</v>
      </c>
      <c r="N5" s="1">
        <v>2.0</v>
      </c>
    </row>
    <row r="6">
      <c r="A6" s="1" t="s">
        <v>408</v>
      </c>
      <c r="B6" s="1" t="s">
        <v>4</v>
      </c>
      <c r="C6" s="1">
        <v>0.0</v>
      </c>
      <c r="D6" s="1">
        <v>1.0</v>
      </c>
      <c r="J6" s="1" t="s">
        <v>372</v>
      </c>
      <c r="K6" s="1">
        <v>2.0</v>
      </c>
      <c r="L6" s="1">
        <v>3.0</v>
      </c>
      <c r="M6" s="1">
        <v>4.0</v>
      </c>
      <c r="N6" s="1">
        <v>1.0</v>
      </c>
    </row>
    <row r="8">
      <c r="A8" s="1" t="s">
        <v>8</v>
      </c>
      <c r="B8" s="1"/>
      <c r="C8" s="1"/>
      <c r="D8" s="1" t="s">
        <v>9</v>
      </c>
      <c r="G8" s="1"/>
      <c r="H8" s="1"/>
      <c r="I8" s="1"/>
      <c r="J8" s="1"/>
      <c r="K8" s="1" t="s">
        <v>11</v>
      </c>
      <c r="Q8" s="1" t="s">
        <v>409</v>
      </c>
    </row>
    <row r="9">
      <c r="B9" s="1"/>
      <c r="C9" s="1"/>
      <c r="D9" s="1" t="s">
        <v>405</v>
      </c>
      <c r="E9" s="1" t="s">
        <v>3</v>
      </c>
      <c r="F9" s="1" t="s">
        <v>5</v>
      </c>
      <c r="G9" s="1" t="s">
        <v>408</v>
      </c>
      <c r="H9" s="1" t="s">
        <v>372</v>
      </c>
      <c r="I9" s="1" t="s">
        <v>45</v>
      </c>
      <c r="J9" s="1"/>
      <c r="K9" s="1" t="s">
        <v>405</v>
      </c>
      <c r="L9" s="1" t="s">
        <v>3</v>
      </c>
      <c r="M9" s="1" t="s">
        <v>5</v>
      </c>
      <c r="N9" s="1" t="s">
        <v>408</v>
      </c>
      <c r="O9" s="1" t="s">
        <v>372</v>
      </c>
      <c r="P9" s="1"/>
      <c r="Q9" s="1" t="s">
        <v>405</v>
      </c>
      <c r="R9" s="1" t="s">
        <v>3</v>
      </c>
      <c r="S9" s="1" t="s">
        <v>5</v>
      </c>
      <c r="T9" s="1" t="s">
        <v>408</v>
      </c>
      <c r="U9" s="1" t="s">
        <v>372</v>
      </c>
    </row>
    <row r="10">
      <c r="B10" s="1"/>
      <c r="C10" s="1"/>
      <c r="D10" s="1"/>
      <c r="K10" s="1"/>
    </row>
    <row r="11">
      <c r="A11" s="1" t="s">
        <v>411</v>
      </c>
      <c r="B11" s="1"/>
      <c r="C11" s="1"/>
      <c r="D11" s="6">
        <v>17.23</v>
      </c>
      <c r="E11" s="6">
        <v>15.48</v>
      </c>
      <c r="F11" s="6">
        <v>33.76</v>
      </c>
      <c r="G11" s="6">
        <v>0.0</v>
      </c>
      <c r="H11" s="6">
        <v>29.14</v>
      </c>
      <c r="I11">
        <f t="shared" ref="I11:I12" si="1">SUM(D11,E11,F11,G11,H11)</f>
        <v>95.61</v>
      </c>
      <c r="K11">
        <f t="shared" ref="K11:K12" si="2">DIVIDE(100*D11,I11)</f>
        <v>18.0211275</v>
      </c>
      <c r="L11">
        <f t="shared" ref="L11:L12" si="3">DIVIDE(100*E11,I11)</f>
        <v>16.19077502</v>
      </c>
      <c r="M11">
        <f t="shared" ref="M11:M12" si="4">DIVIDE(100*F11,I11)</f>
        <v>35.310114</v>
      </c>
      <c r="N11">
        <f t="shared" ref="N11:N12" si="5">DIVIDE(100*G11,I11)</f>
        <v>0</v>
      </c>
      <c r="O11">
        <f t="shared" ref="O11:O12" si="6">DIVIDE(100*H11,I11)</f>
        <v>30.47798347</v>
      </c>
      <c r="Q11">
        <f>1*K11+0.75*L11+0.5*M11+0.75*O11</f>
        <v>70.67775337</v>
      </c>
      <c r="R11" s="48">
        <f>0.75*K11+1*L11+0.25*M11+0.5*O11</f>
        <v>53.77314088</v>
      </c>
      <c r="S11" s="48">
        <f>0.25*K11+0.25*L11+1*M11+0.25*O11</f>
        <v>51.4825855</v>
      </c>
      <c r="T11" s="49">
        <v>0.0</v>
      </c>
      <c r="U11" s="50">
        <f>0.5*K11+0.5*L11+0.75*M11+1*O11</f>
        <v>74.06652024</v>
      </c>
    </row>
    <row r="12">
      <c r="A12" s="1" t="s">
        <v>425</v>
      </c>
      <c r="F12" s="1">
        <v>43.55</v>
      </c>
      <c r="G12" s="1">
        <v>52.22</v>
      </c>
      <c r="I12">
        <f t="shared" si="1"/>
        <v>95.77</v>
      </c>
      <c r="K12">
        <f t="shared" si="2"/>
        <v>0</v>
      </c>
      <c r="L12">
        <f t="shared" si="3"/>
        <v>0</v>
      </c>
      <c r="M12">
        <f t="shared" si="4"/>
        <v>45.47353033</v>
      </c>
      <c r="N12">
        <f t="shared" si="5"/>
        <v>54.52646967</v>
      </c>
      <c r="O12">
        <f t="shared" si="6"/>
        <v>0</v>
      </c>
      <c r="Q12" s="1">
        <v>0.0</v>
      </c>
      <c r="R12" s="1">
        <v>0.0</v>
      </c>
      <c r="S12">
        <f>1*M12+0.5*N12</f>
        <v>72.73676517</v>
      </c>
      <c r="T12" s="5">
        <f>0.5*M12+1*N12</f>
        <v>77.26323483</v>
      </c>
      <c r="U12" s="1">
        <v>0.0</v>
      </c>
    </row>
  </sheetData>
  <mergeCells count="3">
    <mergeCell ref="D8:F8"/>
    <mergeCell ref="K8:M8"/>
    <mergeCell ref="Q8:U8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  <c r="H1" s="1" t="s">
        <v>5</v>
      </c>
      <c r="I1" s="1" t="s">
        <v>372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G2" s="1" t="s">
        <v>5</v>
      </c>
      <c r="H2" s="1">
        <v>1.0</v>
      </c>
      <c r="I2" s="1">
        <v>2.0</v>
      </c>
    </row>
    <row r="3">
      <c r="A3" s="1" t="s">
        <v>5</v>
      </c>
      <c r="B3" s="1" t="s">
        <v>6</v>
      </c>
      <c r="C3" s="1">
        <v>1.0</v>
      </c>
      <c r="D3" s="1">
        <v>1.0</v>
      </c>
      <c r="G3" s="1" t="s">
        <v>372</v>
      </c>
      <c r="H3" s="1">
        <v>2.0</v>
      </c>
      <c r="I3" s="1">
        <v>1.0</v>
      </c>
    </row>
    <row r="5">
      <c r="A5" s="1" t="s">
        <v>8</v>
      </c>
      <c r="B5" s="1"/>
      <c r="C5" s="1"/>
      <c r="D5" s="1" t="s">
        <v>9</v>
      </c>
      <c r="F5" s="1"/>
      <c r="G5" s="1"/>
      <c r="H5" s="1" t="s">
        <v>11</v>
      </c>
      <c r="J5" s="1"/>
      <c r="K5" s="1" t="s">
        <v>12</v>
      </c>
    </row>
    <row r="6">
      <c r="B6" s="1"/>
      <c r="C6" s="1"/>
      <c r="D6" s="1" t="s">
        <v>5</v>
      </c>
      <c r="E6" s="1" t="s">
        <v>372</v>
      </c>
      <c r="F6" s="1" t="s">
        <v>45</v>
      </c>
      <c r="G6" s="1"/>
      <c r="H6" s="1" t="s">
        <v>5</v>
      </c>
      <c r="I6" s="1" t="s">
        <v>372</v>
      </c>
      <c r="K6" s="1" t="s">
        <v>5</v>
      </c>
      <c r="L6" s="1" t="s">
        <v>372</v>
      </c>
    </row>
    <row r="7">
      <c r="B7" s="1"/>
      <c r="C7" s="1"/>
      <c r="D7" s="1"/>
      <c r="G7" s="1"/>
      <c r="H7" s="1"/>
    </row>
    <row r="8">
      <c r="A8" s="1" t="s">
        <v>71</v>
      </c>
      <c r="B8" s="1"/>
      <c r="C8" s="1"/>
      <c r="D8" s="6">
        <v>48.39</v>
      </c>
      <c r="E8" s="6">
        <v>46.98</v>
      </c>
      <c r="F8">
        <f>SUM(D8,E8)</f>
        <v>95.37</v>
      </c>
      <c r="H8">
        <f>DIVIDE(100*D8,F8)</f>
        <v>50.73922617</v>
      </c>
      <c r="I8">
        <f>DIVIDE(100*E8,F8)</f>
        <v>49.26077383</v>
      </c>
      <c r="K8" s="5">
        <f>1*H8+0.5*I8</f>
        <v>75.36961309</v>
      </c>
      <c r="L8">
        <f>0.5*H8+1*I8</f>
        <v>74.63038691</v>
      </c>
    </row>
  </sheetData>
  <mergeCells count="3">
    <mergeCell ref="K5:O5"/>
    <mergeCell ref="D5:E5"/>
    <mergeCell ref="H5:I5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J2" s="1" t="s">
        <v>5</v>
      </c>
      <c r="K2" s="1" t="s">
        <v>380</v>
      </c>
    </row>
    <row r="3">
      <c r="A3" s="1" t="s">
        <v>380</v>
      </c>
      <c r="B3" s="1" t="s">
        <v>4</v>
      </c>
      <c r="C3" s="1">
        <v>1.0</v>
      </c>
      <c r="D3" s="1">
        <v>1.0</v>
      </c>
      <c r="I3" s="1" t="s">
        <v>5</v>
      </c>
      <c r="J3" s="1">
        <v>1.0</v>
      </c>
      <c r="K3" s="1">
        <v>2.0</v>
      </c>
    </row>
    <row r="4">
      <c r="A4" s="1" t="s">
        <v>5</v>
      </c>
      <c r="B4" s="1" t="s">
        <v>6</v>
      </c>
      <c r="C4" s="1">
        <v>0.0</v>
      </c>
      <c r="D4" s="1">
        <v>0.0</v>
      </c>
      <c r="I4" s="1" t="s">
        <v>380</v>
      </c>
      <c r="J4" s="1">
        <v>2.0</v>
      </c>
      <c r="K4" s="1">
        <v>1.0</v>
      </c>
    </row>
    <row r="6">
      <c r="A6" s="1" t="s">
        <v>8</v>
      </c>
      <c r="B6" s="1"/>
      <c r="C6" s="1"/>
      <c r="D6" s="1" t="s">
        <v>9</v>
      </c>
      <c r="F6" s="1"/>
      <c r="G6" s="1"/>
      <c r="H6" s="1" t="s">
        <v>11</v>
      </c>
      <c r="K6" s="1" t="s">
        <v>12</v>
      </c>
      <c r="L6" s="1"/>
      <c r="M6" s="1"/>
      <c r="N6" s="1"/>
      <c r="O6" s="1"/>
    </row>
    <row r="7">
      <c r="B7" s="1"/>
      <c r="C7" s="1"/>
      <c r="D7" s="1" t="s">
        <v>5</v>
      </c>
      <c r="E7" s="1" t="s">
        <v>380</v>
      </c>
      <c r="F7" s="1" t="s">
        <v>45</v>
      </c>
      <c r="G7" s="1"/>
      <c r="H7" s="1" t="s">
        <v>5</v>
      </c>
      <c r="I7" s="1" t="s">
        <v>380</v>
      </c>
      <c r="J7" s="1"/>
      <c r="K7" s="1" t="s">
        <v>5</v>
      </c>
      <c r="L7" s="1" t="s">
        <v>380</v>
      </c>
    </row>
    <row r="8">
      <c r="B8" s="1"/>
      <c r="C8" s="1"/>
      <c r="D8" s="1"/>
      <c r="G8" s="1"/>
      <c r="H8" s="1"/>
    </row>
    <row r="9">
      <c r="A9" s="1" t="s">
        <v>73</v>
      </c>
      <c r="B9" s="1"/>
      <c r="C9" s="1"/>
      <c r="D9" s="6">
        <v>30.11</v>
      </c>
      <c r="E9" s="6">
        <v>68.6</v>
      </c>
      <c r="F9">
        <f>SUM(D9,E9)</f>
        <v>98.71</v>
      </c>
      <c r="H9">
        <f>DIVIDE(100*D9,F9)</f>
        <v>30.50349509</v>
      </c>
      <c r="I9">
        <f>DIVIDE(100*E9,F9)</f>
        <v>69.49650491</v>
      </c>
      <c r="K9">
        <f>1*H9+0.5*I9</f>
        <v>65.25174754</v>
      </c>
      <c r="L9" s="5">
        <f>0.5*H9+1*I9</f>
        <v>84.74825246</v>
      </c>
    </row>
  </sheetData>
  <mergeCells count="2">
    <mergeCell ref="H6:J6"/>
    <mergeCell ref="D6:E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J2" s="1" t="s">
        <v>3</v>
      </c>
      <c r="K2" s="1" t="s">
        <v>440</v>
      </c>
      <c r="L2" s="1" t="s">
        <v>441</v>
      </c>
    </row>
    <row r="3">
      <c r="A3" s="1" t="s">
        <v>3</v>
      </c>
      <c r="B3" s="1" t="s">
        <v>4</v>
      </c>
      <c r="C3" s="1">
        <v>0.0</v>
      </c>
      <c r="D3" s="1">
        <v>16.0</v>
      </c>
      <c r="I3" s="1" t="s">
        <v>3</v>
      </c>
      <c r="J3" s="1">
        <v>1.0</v>
      </c>
      <c r="K3" s="1">
        <v>2.0</v>
      </c>
      <c r="L3" s="1">
        <v>3.0</v>
      </c>
    </row>
    <row r="4">
      <c r="A4" s="1" t="s">
        <v>440</v>
      </c>
      <c r="C4" s="1">
        <v>0.0</v>
      </c>
      <c r="D4" s="1">
        <v>4.0</v>
      </c>
      <c r="I4" s="1" t="s">
        <v>440</v>
      </c>
      <c r="J4" s="1">
        <v>2.0</v>
      </c>
      <c r="K4" s="1">
        <v>1.0</v>
      </c>
      <c r="L4" s="1">
        <v>3.0</v>
      </c>
    </row>
    <row r="5">
      <c r="A5" s="1" t="s">
        <v>441</v>
      </c>
      <c r="B5" s="1" t="s">
        <v>6</v>
      </c>
      <c r="C5" s="1">
        <v>0.0</v>
      </c>
      <c r="D5" s="1">
        <v>0.0</v>
      </c>
      <c r="I5" s="1" t="s">
        <v>441</v>
      </c>
      <c r="J5" s="1">
        <v>3.0</v>
      </c>
      <c r="K5" s="1">
        <v>2.0</v>
      </c>
      <c r="L5" s="1">
        <v>1.0</v>
      </c>
    </row>
    <row r="7">
      <c r="A7" s="1" t="s">
        <v>8</v>
      </c>
      <c r="B7" s="1"/>
      <c r="C7" s="1"/>
      <c r="D7" s="1" t="s">
        <v>9</v>
      </c>
      <c r="G7" s="1"/>
      <c r="H7" s="1"/>
      <c r="I7" s="1"/>
      <c r="J7" s="1" t="s">
        <v>11</v>
      </c>
      <c r="O7" s="1" t="s">
        <v>409</v>
      </c>
    </row>
    <row r="8">
      <c r="B8" s="1" t="s">
        <v>41</v>
      </c>
      <c r="C8" s="1"/>
      <c r="D8" s="1" t="s">
        <v>441</v>
      </c>
      <c r="E8" s="1" t="s">
        <v>3</v>
      </c>
      <c r="F8" s="1" t="s">
        <v>440</v>
      </c>
      <c r="G8" s="1" t="s">
        <v>372</v>
      </c>
      <c r="H8" s="1" t="s">
        <v>45</v>
      </c>
      <c r="I8" s="1"/>
      <c r="J8" s="1" t="s">
        <v>441</v>
      </c>
      <c r="K8" s="1" t="s">
        <v>3</v>
      </c>
      <c r="L8" s="1" t="s">
        <v>440</v>
      </c>
      <c r="M8" s="1" t="s">
        <v>372</v>
      </c>
      <c r="N8" s="1"/>
      <c r="O8" s="1" t="s">
        <v>441</v>
      </c>
      <c r="P8" s="1" t="s">
        <v>3</v>
      </c>
      <c r="Q8" s="1" t="s">
        <v>440</v>
      </c>
    </row>
    <row r="9">
      <c r="B9" s="1"/>
      <c r="C9" s="1"/>
      <c r="D9" s="1"/>
      <c r="J9" s="1"/>
    </row>
    <row r="10">
      <c r="A10" s="1" t="s">
        <v>443</v>
      </c>
      <c r="B10" s="1"/>
      <c r="C10" s="1"/>
      <c r="D10" s="6">
        <v>24.38</v>
      </c>
      <c r="E10" s="6">
        <v>33.04</v>
      </c>
      <c r="F10" s="6">
        <v>34.03</v>
      </c>
      <c r="G10" s="6">
        <v>0.0</v>
      </c>
      <c r="H10">
        <f t="shared" ref="H10:H29" si="1">SUM(D10,E10,F10,G10)</f>
        <v>91.45</v>
      </c>
      <c r="J10">
        <f t="shared" ref="J10:J29" si="2">DIVIDE(100*D10,H10)</f>
        <v>26.65937671</v>
      </c>
      <c r="K10">
        <f t="shared" ref="K10:K29" si="3">DIVIDE(100*E10,H10)</f>
        <v>36.12903226</v>
      </c>
      <c r="L10">
        <f t="shared" ref="L10:L29" si="4">DIVIDE(100*F10,H10)</f>
        <v>37.21159103</v>
      </c>
      <c r="M10">
        <f>DIVIDE(100*G10,H10)</f>
        <v>0</v>
      </c>
      <c r="O10">
        <f t="shared" ref="O10:O29" si="5">1*J10+0.66*K10+0.33*L10</f>
        <v>62.78436304</v>
      </c>
      <c r="P10" s="50">
        <f t="shared" ref="P10:P29" si="6">0.66*J10+1*K10+0.66*L10</f>
        <v>78.28387097</v>
      </c>
      <c r="Q10" s="48">
        <f t="shared" ref="Q10:Q29" si="7">0.33*J10+0.33*K10+1*L10</f>
        <v>57.93176599</v>
      </c>
    </row>
    <row r="11">
      <c r="A11" s="1" t="s">
        <v>449</v>
      </c>
      <c r="D11" s="1">
        <v>26.65</v>
      </c>
      <c r="E11" s="1">
        <v>33.69</v>
      </c>
      <c r="F11" s="1">
        <v>31.83</v>
      </c>
      <c r="G11" s="1">
        <v>2.0</v>
      </c>
      <c r="H11">
        <f t="shared" si="1"/>
        <v>94.17</v>
      </c>
      <c r="J11">
        <f t="shared" si="2"/>
        <v>28.29988319</v>
      </c>
      <c r="K11">
        <f t="shared" si="3"/>
        <v>35.77572475</v>
      </c>
      <c r="L11">
        <f t="shared" si="4"/>
        <v>33.80057343</v>
      </c>
      <c r="M11" s="1">
        <v>0.0</v>
      </c>
      <c r="O11">
        <f t="shared" si="5"/>
        <v>63.06605076</v>
      </c>
      <c r="P11" s="50">
        <f t="shared" si="6"/>
        <v>76.76202612</v>
      </c>
      <c r="Q11" s="48">
        <f t="shared" si="7"/>
        <v>54.94552405</v>
      </c>
    </row>
    <row r="12">
      <c r="A12" s="1" t="s">
        <v>450</v>
      </c>
      <c r="D12" s="1">
        <v>24.59</v>
      </c>
      <c r="E12" s="1">
        <v>33.31</v>
      </c>
      <c r="F12" s="1">
        <v>36.42</v>
      </c>
      <c r="H12">
        <f t="shared" si="1"/>
        <v>94.32</v>
      </c>
      <c r="J12">
        <f t="shared" si="2"/>
        <v>26.07082273</v>
      </c>
      <c r="K12">
        <f t="shared" si="3"/>
        <v>35.31594572</v>
      </c>
      <c r="L12">
        <f t="shared" si="4"/>
        <v>38.61323155</v>
      </c>
      <c r="M12">
        <f>DIVIDE(100*G12,H12)</f>
        <v>0</v>
      </c>
      <c r="O12">
        <f t="shared" si="5"/>
        <v>62.12171332</v>
      </c>
      <c r="P12" s="50">
        <f t="shared" si="6"/>
        <v>78.00742154</v>
      </c>
      <c r="Q12" s="48">
        <f t="shared" si="7"/>
        <v>58.87086514</v>
      </c>
    </row>
    <row r="13">
      <c r="A13" s="1" t="s">
        <v>452</v>
      </c>
      <c r="D13" s="1">
        <v>17.57</v>
      </c>
      <c r="E13" s="1">
        <v>25.55</v>
      </c>
      <c r="F13" s="1">
        <v>40.06</v>
      </c>
      <c r="G13" s="1">
        <v>10.91</v>
      </c>
      <c r="H13">
        <f t="shared" si="1"/>
        <v>94.09</v>
      </c>
      <c r="J13">
        <f t="shared" si="2"/>
        <v>18.67361037</v>
      </c>
      <c r="K13">
        <f t="shared" si="3"/>
        <v>27.15485174</v>
      </c>
      <c r="L13">
        <f t="shared" si="4"/>
        <v>42.57625678</v>
      </c>
      <c r="M13" s="1">
        <v>0.0</v>
      </c>
      <c r="O13">
        <f t="shared" si="5"/>
        <v>50.64597726</v>
      </c>
      <c r="P13" s="50">
        <f t="shared" si="6"/>
        <v>67.57976406</v>
      </c>
      <c r="Q13" s="48">
        <f t="shared" si="7"/>
        <v>57.69964927</v>
      </c>
    </row>
    <row r="14">
      <c r="A14" s="1" t="s">
        <v>454</v>
      </c>
      <c r="D14" s="1">
        <v>29.88</v>
      </c>
      <c r="E14" s="1">
        <v>25.69</v>
      </c>
      <c r="F14" s="1">
        <v>37.34</v>
      </c>
      <c r="H14">
        <f t="shared" si="1"/>
        <v>92.91</v>
      </c>
      <c r="J14">
        <f t="shared" si="2"/>
        <v>32.16015499</v>
      </c>
      <c r="K14">
        <f t="shared" si="3"/>
        <v>27.65041438</v>
      </c>
      <c r="L14">
        <f t="shared" si="4"/>
        <v>40.18943063</v>
      </c>
      <c r="M14">
        <f t="shared" ref="M14:M29" si="8">DIVIDE(100*G14,H14)</f>
        <v>0</v>
      </c>
      <c r="O14">
        <f t="shared" si="5"/>
        <v>63.67194059</v>
      </c>
      <c r="P14" s="50">
        <f t="shared" si="6"/>
        <v>75.40114089</v>
      </c>
      <c r="Q14" s="48">
        <f t="shared" si="7"/>
        <v>59.92691852</v>
      </c>
    </row>
    <row r="15">
      <c r="A15" s="1" t="s">
        <v>455</v>
      </c>
      <c r="D15" s="1">
        <v>26.43</v>
      </c>
      <c r="E15" s="1">
        <v>27.81</v>
      </c>
      <c r="F15" s="1">
        <v>41.32</v>
      </c>
      <c r="H15">
        <f t="shared" si="1"/>
        <v>95.56</v>
      </c>
      <c r="J15">
        <f t="shared" si="2"/>
        <v>27.65801591</v>
      </c>
      <c r="K15">
        <f t="shared" si="3"/>
        <v>29.10213478</v>
      </c>
      <c r="L15">
        <f t="shared" si="4"/>
        <v>43.23984931</v>
      </c>
      <c r="M15">
        <f t="shared" si="8"/>
        <v>0</v>
      </c>
      <c r="O15">
        <f t="shared" si="5"/>
        <v>61.13457514</v>
      </c>
      <c r="P15" s="50">
        <f t="shared" si="6"/>
        <v>75.89472583</v>
      </c>
      <c r="Q15" s="48">
        <f t="shared" si="7"/>
        <v>61.97069904</v>
      </c>
    </row>
    <row r="16">
      <c r="A16" s="1" t="s">
        <v>457</v>
      </c>
      <c r="D16" s="1">
        <v>29.85</v>
      </c>
      <c r="E16" s="1">
        <v>20.02</v>
      </c>
      <c r="F16" s="1">
        <v>46.43</v>
      </c>
      <c r="H16">
        <f t="shared" si="1"/>
        <v>96.3</v>
      </c>
      <c r="J16">
        <f t="shared" si="2"/>
        <v>30.99688474</v>
      </c>
      <c r="K16">
        <f t="shared" si="3"/>
        <v>20.78920042</v>
      </c>
      <c r="L16">
        <f t="shared" si="4"/>
        <v>48.21391485</v>
      </c>
      <c r="M16">
        <f t="shared" si="8"/>
        <v>0</v>
      </c>
      <c r="O16">
        <f t="shared" si="5"/>
        <v>60.62834891</v>
      </c>
      <c r="P16" s="50">
        <f t="shared" si="6"/>
        <v>73.06832814</v>
      </c>
      <c r="Q16" s="48">
        <f t="shared" si="7"/>
        <v>65.30332295</v>
      </c>
    </row>
    <row r="17">
      <c r="A17" s="1" t="s">
        <v>459</v>
      </c>
      <c r="D17" s="1">
        <v>22.52</v>
      </c>
      <c r="E17" s="1">
        <v>15.36</v>
      </c>
      <c r="F17" s="1">
        <v>55.14</v>
      </c>
      <c r="H17">
        <f t="shared" si="1"/>
        <v>93.02</v>
      </c>
      <c r="J17">
        <f t="shared" si="2"/>
        <v>24.20984734</v>
      </c>
      <c r="K17">
        <f t="shared" si="3"/>
        <v>16.51257794</v>
      </c>
      <c r="L17">
        <f t="shared" si="4"/>
        <v>59.27757472</v>
      </c>
      <c r="M17">
        <f t="shared" si="8"/>
        <v>0</v>
      </c>
      <c r="O17">
        <f t="shared" si="5"/>
        <v>54.66974844</v>
      </c>
      <c r="P17" s="48">
        <f t="shared" si="6"/>
        <v>71.6142765</v>
      </c>
      <c r="Q17" s="50">
        <f t="shared" si="7"/>
        <v>72.71597506</v>
      </c>
    </row>
    <row r="18">
      <c r="A18" s="1" t="s">
        <v>461</v>
      </c>
      <c r="D18" s="1">
        <v>20.52</v>
      </c>
      <c r="E18" s="1">
        <v>30.32</v>
      </c>
      <c r="F18" s="1">
        <v>43.5</v>
      </c>
      <c r="H18">
        <f t="shared" si="1"/>
        <v>94.34</v>
      </c>
      <c r="J18">
        <f t="shared" si="2"/>
        <v>21.751113</v>
      </c>
      <c r="K18">
        <f t="shared" si="3"/>
        <v>32.13907144</v>
      </c>
      <c r="L18">
        <f t="shared" si="4"/>
        <v>46.10981556</v>
      </c>
      <c r="M18">
        <f t="shared" si="8"/>
        <v>0</v>
      </c>
      <c r="O18">
        <f t="shared" si="5"/>
        <v>58.17913928</v>
      </c>
      <c r="P18" s="50">
        <f t="shared" si="6"/>
        <v>76.92728429</v>
      </c>
      <c r="Q18" s="48">
        <f t="shared" si="7"/>
        <v>63.89357643</v>
      </c>
    </row>
    <row r="19">
      <c r="A19" s="1" t="s">
        <v>465</v>
      </c>
      <c r="D19" s="1">
        <v>23.71</v>
      </c>
      <c r="E19" s="1">
        <v>29.82</v>
      </c>
      <c r="F19" s="1">
        <v>38.73</v>
      </c>
      <c r="H19">
        <f t="shared" si="1"/>
        <v>92.26</v>
      </c>
      <c r="J19">
        <f t="shared" si="2"/>
        <v>25.69911121</v>
      </c>
      <c r="K19">
        <f t="shared" si="3"/>
        <v>32.32169954</v>
      </c>
      <c r="L19">
        <f t="shared" si="4"/>
        <v>41.97918925</v>
      </c>
      <c r="M19">
        <f t="shared" si="8"/>
        <v>0</v>
      </c>
      <c r="O19">
        <f t="shared" si="5"/>
        <v>60.88456536</v>
      </c>
      <c r="P19" s="50">
        <f t="shared" si="6"/>
        <v>76.98937785</v>
      </c>
      <c r="Q19" s="48">
        <f t="shared" si="7"/>
        <v>61.1260568</v>
      </c>
    </row>
    <row r="20">
      <c r="A20" s="1" t="s">
        <v>469</v>
      </c>
      <c r="D20" s="1">
        <v>27.55</v>
      </c>
      <c r="E20" s="1">
        <v>28.14</v>
      </c>
      <c r="F20" s="1">
        <v>33.18</v>
      </c>
      <c r="H20">
        <f t="shared" si="1"/>
        <v>88.87</v>
      </c>
      <c r="J20">
        <f t="shared" si="2"/>
        <v>31.00033757</v>
      </c>
      <c r="K20">
        <f t="shared" si="3"/>
        <v>31.66422865</v>
      </c>
      <c r="L20">
        <f t="shared" si="4"/>
        <v>37.33543378</v>
      </c>
      <c r="M20">
        <f t="shared" si="8"/>
        <v>0</v>
      </c>
      <c r="O20">
        <f t="shared" si="5"/>
        <v>64.21942163</v>
      </c>
      <c r="P20" s="50">
        <f t="shared" si="6"/>
        <v>76.76583774</v>
      </c>
      <c r="Q20" s="48">
        <f t="shared" si="7"/>
        <v>58.01474063</v>
      </c>
    </row>
    <row r="21">
      <c r="A21" s="1" t="s">
        <v>471</v>
      </c>
      <c r="D21" s="1">
        <v>36.38</v>
      </c>
      <c r="E21" s="1">
        <v>13.54</v>
      </c>
      <c r="F21" s="1">
        <v>36.58</v>
      </c>
      <c r="H21">
        <f t="shared" si="1"/>
        <v>86.5</v>
      </c>
      <c r="J21">
        <f t="shared" si="2"/>
        <v>42.05780347</v>
      </c>
      <c r="K21">
        <f t="shared" si="3"/>
        <v>15.65317919</v>
      </c>
      <c r="L21">
        <f t="shared" si="4"/>
        <v>42.28901734</v>
      </c>
      <c r="M21">
        <f t="shared" si="8"/>
        <v>0</v>
      </c>
      <c r="O21">
        <f t="shared" si="5"/>
        <v>66.34427746</v>
      </c>
      <c r="P21" s="50">
        <f t="shared" si="6"/>
        <v>71.32208092</v>
      </c>
      <c r="Q21" s="48">
        <f t="shared" si="7"/>
        <v>61.33364162</v>
      </c>
    </row>
    <row r="22">
      <c r="A22" s="1" t="s">
        <v>474</v>
      </c>
      <c r="D22" s="1">
        <v>28.63</v>
      </c>
      <c r="E22" s="1">
        <v>12.95</v>
      </c>
      <c r="F22" s="1">
        <v>50.19</v>
      </c>
      <c r="H22">
        <f t="shared" si="1"/>
        <v>91.77</v>
      </c>
      <c r="J22">
        <f t="shared" si="2"/>
        <v>31.19755912</v>
      </c>
      <c r="K22">
        <f t="shared" si="3"/>
        <v>14.11136537</v>
      </c>
      <c r="L22">
        <f t="shared" si="4"/>
        <v>54.69107551</v>
      </c>
      <c r="M22">
        <f t="shared" si="8"/>
        <v>0</v>
      </c>
      <c r="O22">
        <f t="shared" si="5"/>
        <v>58.55911518</v>
      </c>
      <c r="P22" s="50">
        <f t="shared" si="6"/>
        <v>70.79786423</v>
      </c>
      <c r="Q22" s="48">
        <f t="shared" si="7"/>
        <v>69.64302059</v>
      </c>
    </row>
    <row r="23">
      <c r="A23" s="1" t="s">
        <v>476</v>
      </c>
      <c r="D23" s="1">
        <v>22.37</v>
      </c>
      <c r="E23" s="1">
        <v>14.9</v>
      </c>
      <c r="F23" s="1">
        <v>53.65</v>
      </c>
      <c r="H23">
        <f t="shared" si="1"/>
        <v>90.92</v>
      </c>
      <c r="J23">
        <f t="shared" si="2"/>
        <v>24.60404751</v>
      </c>
      <c r="K23">
        <f t="shared" si="3"/>
        <v>16.38803344</v>
      </c>
      <c r="L23">
        <f t="shared" si="4"/>
        <v>59.00791905</v>
      </c>
      <c r="M23">
        <f t="shared" si="8"/>
        <v>0</v>
      </c>
      <c r="O23">
        <f t="shared" si="5"/>
        <v>54.89276287</v>
      </c>
      <c r="P23" s="48">
        <f t="shared" si="6"/>
        <v>71.57193137</v>
      </c>
      <c r="Q23" s="50">
        <f t="shared" si="7"/>
        <v>72.53530576</v>
      </c>
    </row>
    <row r="24">
      <c r="A24" s="1" t="s">
        <v>479</v>
      </c>
      <c r="D24" s="1">
        <v>34.35</v>
      </c>
      <c r="E24" s="1">
        <v>10.43</v>
      </c>
      <c r="F24" s="1">
        <v>52.74</v>
      </c>
      <c r="H24">
        <f t="shared" si="1"/>
        <v>97.52</v>
      </c>
      <c r="J24">
        <f t="shared" si="2"/>
        <v>35.22354389</v>
      </c>
      <c r="K24">
        <f t="shared" si="3"/>
        <v>10.695242</v>
      </c>
      <c r="L24">
        <f t="shared" si="4"/>
        <v>54.08121411</v>
      </c>
      <c r="M24">
        <f t="shared" si="8"/>
        <v>0</v>
      </c>
      <c r="O24">
        <f t="shared" si="5"/>
        <v>60.12920427</v>
      </c>
      <c r="P24" s="50">
        <f t="shared" si="6"/>
        <v>69.63638228</v>
      </c>
      <c r="Q24" s="48">
        <f t="shared" si="7"/>
        <v>69.23441345</v>
      </c>
    </row>
    <row r="25">
      <c r="A25" s="1" t="s">
        <v>482</v>
      </c>
      <c r="D25" s="1">
        <v>30.73</v>
      </c>
      <c r="E25" s="1">
        <v>10.37</v>
      </c>
      <c r="F25" s="1">
        <v>55.12</v>
      </c>
      <c r="H25">
        <f t="shared" si="1"/>
        <v>96.22</v>
      </c>
      <c r="J25">
        <f t="shared" si="2"/>
        <v>31.93722719</v>
      </c>
      <c r="K25">
        <f t="shared" si="3"/>
        <v>10.77738516</v>
      </c>
      <c r="L25">
        <f t="shared" si="4"/>
        <v>57.28538765</v>
      </c>
      <c r="M25">
        <f t="shared" si="8"/>
        <v>0</v>
      </c>
      <c r="O25">
        <f t="shared" si="5"/>
        <v>57.95447932</v>
      </c>
      <c r="P25" s="48">
        <f t="shared" si="6"/>
        <v>69.66431095</v>
      </c>
      <c r="Q25" s="50">
        <f t="shared" si="7"/>
        <v>71.38120973</v>
      </c>
    </row>
    <row r="26">
      <c r="A26" s="1" t="s">
        <v>530</v>
      </c>
      <c r="D26" s="1">
        <v>24.99</v>
      </c>
      <c r="E26" s="1">
        <v>20.76</v>
      </c>
      <c r="F26" s="1">
        <v>50.33</v>
      </c>
      <c r="H26">
        <f t="shared" si="1"/>
        <v>96.08</v>
      </c>
      <c r="J26">
        <f t="shared" si="2"/>
        <v>26.00957535</v>
      </c>
      <c r="K26">
        <f t="shared" si="3"/>
        <v>21.60699417</v>
      </c>
      <c r="L26">
        <f t="shared" si="4"/>
        <v>52.38343047</v>
      </c>
      <c r="M26">
        <f t="shared" si="8"/>
        <v>0</v>
      </c>
      <c r="O26">
        <f t="shared" si="5"/>
        <v>57.55672356</v>
      </c>
      <c r="P26" s="50">
        <f t="shared" si="6"/>
        <v>73.34637802</v>
      </c>
      <c r="Q26" s="48">
        <f t="shared" si="7"/>
        <v>68.09689842</v>
      </c>
    </row>
    <row r="27">
      <c r="A27" s="1" t="s">
        <v>531</v>
      </c>
      <c r="D27" s="1">
        <v>16.34</v>
      </c>
      <c r="E27" s="1">
        <v>28.0</v>
      </c>
      <c r="F27" s="1">
        <v>49.25</v>
      </c>
      <c r="H27">
        <f t="shared" si="1"/>
        <v>93.59</v>
      </c>
      <c r="J27">
        <f t="shared" si="2"/>
        <v>17.45913025</v>
      </c>
      <c r="K27">
        <f t="shared" si="3"/>
        <v>29.91772625</v>
      </c>
      <c r="L27">
        <f t="shared" si="4"/>
        <v>52.6231435</v>
      </c>
      <c r="M27">
        <f t="shared" si="8"/>
        <v>0</v>
      </c>
      <c r="O27">
        <f t="shared" si="5"/>
        <v>54.57046693</v>
      </c>
      <c r="P27" s="50">
        <f t="shared" si="6"/>
        <v>76.17202693</v>
      </c>
      <c r="Q27" s="48">
        <f t="shared" si="7"/>
        <v>68.25750614</v>
      </c>
    </row>
    <row r="28">
      <c r="A28" s="1" t="s">
        <v>532</v>
      </c>
      <c r="D28" s="1">
        <v>25.6</v>
      </c>
      <c r="E28" s="1">
        <v>7.51</v>
      </c>
      <c r="F28" s="1">
        <v>60.4</v>
      </c>
      <c r="H28">
        <f t="shared" si="1"/>
        <v>93.51</v>
      </c>
      <c r="J28">
        <f t="shared" si="2"/>
        <v>27.37675115</v>
      </c>
      <c r="K28">
        <f t="shared" si="3"/>
        <v>8.031226607</v>
      </c>
      <c r="L28">
        <f t="shared" si="4"/>
        <v>64.59202224</v>
      </c>
      <c r="M28">
        <f t="shared" si="8"/>
        <v>0</v>
      </c>
      <c r="O28">
        <f t="shared" si="5"/>
        <v>53.99272805</v>
      </c>
      <c r="P28" s="48">
        <f t="shared" si="6"/>
        <v>68.73061705</v>
      </c>
      <c r="Q28" s="50">
        <f t="shared" si="7"/>
        <v>76.2766549</v>
      </c>
    </row>
    <row r="29">
      <c r="A29" s="1" t="s">
        <v>534</v>
      </c>
      <c r="D29" s="1">
        <v>29.85</v>
      </c>
      <c r="E29" s="1">
        <v>17.53</v>
      </c>
      <c r="F29" s="1">
        <v>43.94</v>
      </c>
      <c r="H29">
        <f t="shared" si="1"/>
        <v>91.32</v>
      </c>
      <c r="J29">
        <f t="shared" si="2"/>
        <v>32.68725361</v>
      </c>
      <c r="K29">
        <f t="shared" si="3"/>
        <v>19.19623303</v>
      </c>
      <c r="L29">
        <f t="shared" si="4"/>
        <v>48.11651336</v>
      </c>
      <c r="M29">
        <f t="shared" si="8"/>
        <v>0</v>
      </c>
      <c r="O29">
        <f t="shared" si="5"/>
        <v>61.23521682</v>
      </c>
      <c r="P29" s="50">
        <f t="shared" si="6"/>
        <v>72.52671923</v>
      </c>
      <c r="Q29" s="48">
        <f t="shared" si="7"/>
        <v>65.23806395</v>
      </c>
    </row>
  </sheetData>
  <mergeCells count="3">
    <mergeCell ref="D7:F7"/>
    <mergeCell ref="J7:L7"/>
    <mergeCell ref="O7:S7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L2" s="12"/>
      <c r="M2" s="20" t="s">
        <v>445</v>
      </c>
      <c r="N2" s="20" t="s">
        <v>446</v>
      </c>
      <c r="O2" s="20" t="s">
        <v>5</v>
      </c>
      <c r="P2" s="20" t="s">
        <v>447</v>
      </c>
    </row>
    <row r="3">
      <c r="A3" s="1" t="s">
        <v>445</v>
      </c>
      <c r="B3" s="1" t="s">
        <v>4</v>
      </c>
      <c r="C3" s="1">
        <v>1.0</v>
      </c>
      <c r="D3" s="1">
        <v>0.0</v>
      </c>
      <c r="L3" s="20" t="s">
        <v>445</v>
      </c>
      <c r="M3" s="41">
        <v>1.0</v>
      </c>
      <c r="N3" s="41">
        <v>2.0</v>
      </c>
      <c r="O3" s="41">
        <v>4.0</v>
      </c>
      <c r="P3" s="41">
        <v>3.0</v>
      </c>
    </row>
    <row r="4">
      <c r="A4" s="1" t="s">
        <v>446</v>
      </c>
      <c r="C4" s="1">
        <v>0.0</v>
      </c>
      <c r="D4" s="1">
        <v>1.0</v>
      </c>
      <c r="L4" s="20" t="s">
        <v>446</v>
      </c>
      <c r="M4" s="41">
        <v>2.0</v>
      </c>
      <c r="N4" s="41">
        <v>1.0</v>
      </c>
      <c r="O4" s="41">
        <v>3.0</v>
      </c>
      <c r="P4" s="41">
        <v>4.0</v>
      </c>
    </row>
    <row r="5">
      <c r="A5" s="1" t="s">
        <v>5</v>
      </c>
      <c r="B5" s="1" t="s">
        <v>6</v>
      </c>
      <c r="C5" s="1">
        <v>0.0</v>
      </c>
      <c r="D5" s="1">
        <v>0.0</v>
      </c>
      <c r="L5" s="20" t="s">
        <v>5</v>
      </c>
      <c r="M5" s="41">
        <v>4.0</v>
      </c>
      <c r="N5" s="41">
        <v>3.0</v>
      </c>
      <c r="O5" s="41">
        <v>1.0</v>
      </c>
      <c r="P5" s="41">
        <v>2.0</v>
      </c>
    </row>
    <row r="6">
      <c r="A6" s="1" t="s">
        <v>447</v>
      </c>
      <c r="C6" s="1">
        <v>0.0</v>
      </c>
      <c r="D6" s="1">
        <v>0.0</v>
      </c>
      <c r="L6" s="20" t="s">
        <v>447</v>
      </c>
      <c r="M6" s="20">
        <v>3.0</v>
      </c>
      <c r="N6" s="20">
        <v>4.0</v>
      </c>
      <c r="O6" s="20">
        <v>2.0</v>
      </c>
      <c r="P6" s="20">
        <v>1.0</v>
      </c>
    </row>
    <row r="8">
      <c r="A8" s="1" t="s">
        <v>8</v>
      </c>
      <c r="B8" s="1"/>
      <c r="C8" s="1"/>
      <c r="D8" s="1" t="s">
        <v>9</v>
      </c>
      <c r="G8" s="1"/>
      <c r="H8" s="1"/>
      <c r="I8" s="1"/>
      <c r="J8" s="1" t="s">
        <v>11</v>
      </c>
      <c r="O8" s="1" t="s">
        <v>409</v>
      </c>
      <c r="T8" s="1"/>
    </row>
    <row r="9">
      <c r="B9" s="1"/>
      <c r="C9" s="1"/>
      <c r="D9" s="1" t="s">
        <v>445</v>
      </c>
      <c r="E9" s="1" t="s">
        <v>446</v>
      </c>
      <c r="F9" s="1" t="s">
        <v>5</v>
      </c>
      <c r="G9" s="1" t="s">
        <v>447</v>
      </c>
      <c r="H9" s="1" t="s">
        <v>45</v>
      </c>
      <c r="I9" s="1"/>
      <c r="J9" s="1" t="s">
        <v>445</v>
      </c>
      <c r="K9" s="1" t="s">
        <v>446</v>
      </c>
      <c r="L9" s="1" t="s">
        <v>5</v>
      </c>
      <c r="M9" s="1" t="s">
        <v>447</v>
      </c>
      <c r="N9" s="1"/>
      <c r="O9" s="1" t="s">
        <v>445</v>
      </c>
      <c r="P9" s="1" t="s">
        <v>446</v>
      </c>
      <c r="Q9" s="1" t="s">
        <v>5</v>
      </c>
      <c r="R9" s="1" t="s">
        <v>447</v>
      </c>
      <c r="T9" s="1"/>
      <c r="U9" s="1"/>
      <c r="V9" s="1"/>
      <c r="W9" s="1"/>
    </row>
    <row r="10">
      <c r="B10" s="1"/>
      <c r="C10" s="1"/>
      <c r="D10" s="1"/>
      <c r="J10" s="1"/>
    </row>
    <row r="11">
      <c r="A11" s="1" t="s">
        <v>76</v>
      </c>
      <c r="B11" s="1"/>
      <c r="C11" s="1"/>
      <c r="D11" s="6">
        <v>34.57</v>
      </c>
      <c r="E11" s="6">
        <v>17.93</v>
      </c>
      <c r="F11" s="6">
        <v>26.35</v>
      </c>
      <c r="G11" s="6">
        <v>8.19</v>
      </c>
      <c r="H11">
        <f>SUM(D11,E11,F11,G11)</f>
        <v>87.04</v>
      </c>
      <c r="J11">
        <f>DIVIDE(100*D11,H11)</f>
        <v>39.71737132</v>
      </c>
      <c r="K11">
        <f>DIVIDE(100*E11,H11)</f>
        <v>20.59972426</v>
      </c>
      <c r="L11">
        <f>DIVIDE(100*F11,H11)</f>
        <v>30.2734375</v>
      </c>
      <c r="M11">
        <f>DIVIDE(100*G11,H11)</f>
        <v>9.409466912</v>
      </c>
      <c r="O11">
        <f>J11*1 + K11*0.75 + L11*0.25 + M11*0.5</f>
        <v>67.44025735</v>
      </c>
      <c r="P11" s="50">
        <f>J11*0.75 + K11*1 + L11*0.5 + M11*0.25</f>
        <v>67.87683824</v>
      </c>
      <c r="Q11" s="48">
        <f>J11*0.25 + K11*0.5 + L11*1 + M11*0.75</f>
        <v>57.55974265</v>
      </c>
      <c r="R11" s="48">
        <f>J11*0.5 + K11*0.25 + L11*0.75 + M11*1</f>
        <v>57.12316176</v>
      </c>
    </row>
    <row r="12">
      <c r="A12" s="1"/>
      <c r="B12" s="1"/>
      <c r="C12" s="1"/>
      <c r="D12" s="1"/>
      <c r="E12" s="1"/>
      <c r="F12" s="1"/>
    </row>
    <row r="13">
      <c r="A13" s="1"/>
      <c r="B13" s="1"/>
      <c r="D13" s="1"/>
      <c r="E13" s="1"/>
      <c r="F13" s="1"/>
    </row>
    <row r="14">
      <c r="A14" s="1"/>
      <c r="B14" s="1"/>
      <c r="D14" s="1"/>
      <c r="E14" s="1"/>
      <c r="F14" s="1"/>
    </row>
    <row r="15">
      <c r="A15" s="1"/>
      <c r="B15" s="1"/>
      <c r="D15" s="1"/>
      <c r="E15" s="1"/>
      <c r="F15" s="1"/>
    </row>
  </sheetData>
  <mergeCells count="3">
    <mergeCell ref="D8:F8"/>
    <mergeCell ref="J8:L8"/>
    <mergeCell ref="O8:S8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  <c r="O1" s="1"/>
      <c r="P1" s="1"/>
    </row>
    <row r="2">
      <c r="A2" s="1" t="s">
        <v>59</v>
      </c>
      <c r="B2" s="1" t="s">
        <v>1</v>
      </c>
      <c r="C2" s="1" t="s">
        <v>17</v>
      </c>
      <c r="D2" s="1" t="s">
        <v>18</v>
      </c>
      <c r="O2" s="1"/>
      <c r="P2" s="1"/>
    </row>
    <row r="3">
      <c r="A3" s="1" t="s">
        <v>462</v>
      </c>
      <c r="B3" s="1" t="s">
        <v>4</v>
      </c>
      <c r="C3" s="1">
        <v>4.0</v>
      </c>
      <c r="J3" s="1" t="s">
        <v>463</v>
      </c>
      <c r="K3" s="1" t="s">
        <v>13</v>
      </c>
      <c r="L3" s="1" t="s">
        <v>189</v>
      </c>
      <c r="M3" s="1" t="s">
        <v>372</v>
      </c>
      <c r="O3" s="1"/>
      <c r="P3" s="1"/>
    </row>
    <row r="4">
      <c r="A4" s="1" t="s">
        <v>3</v>
      </c>
      <c r="B4" s="1" t="s">
        <v>4</v>
      </c>
      <c r="C4" s="1">
        <v>2.0</v>
      </c>
      <c r="I4" s="1" t="s">
        <v>463</v>
      </c>
      <c r="J4" s="1">
        <v>1.0</v>
      </c>
      <c r="K4" s="1">
        <v>4.0</v>
      </c>
      <c r="L4" s="1">
        <v>3.0</v>
      </c>
      <c r="M4" s="1">
        <v>2.0</v>
      </c>
      <c r="O4" s="1"/>
      <c r="P4" s="1"/>
    </row>
    <row r="5">
      <c r="A5" s="1" t="s">
        <v>189</v>
      </c>
      <c r="C5" s="1">
        <v>4.0</v>
      </c>
      <c r="D5" s="1">
        <v>12.0</v>
      </c>
      <c r="I5" s="1" t="s">
        <v>13</v>
      </c>
      <c r="J5" s="1">
        <v>4.0</v>
      </c>
      <c r="K5" s="1">
        <v>1.0</v>
      </c>
      <c r="L5" s="1">
        <v>3.0</v>
      </c>
      <c r="M5" s="1">
        <v>2.0</v>
      </c>
    </row>
    <row r="6">
      <c r="A6" s="1" t="s">
        <v>5</v>
      </c>
      <c r="B6" s="1" t="s">
        <v>6</v>
      </c>
      <c r="C6" s="1">
        <v>3.0</v>
      </c>
      <c r="I6" s="1" t="s">
        <v>189</v>
      </c>
      <c r="J6" s="1">
        <v>3.0</v>
      </c>
      <c r="K6" s="1">
        <v>4.0</v>
      </c>
      <c r="L6" s="1">
        <v>1.0</v>
      </c>
      <c r="M6" s="1">
        <v>2.0</v>
      </c>
    </row>
    <row r="7">
      <c r="A7" s="1" t="s">
        <v>466</v>
      </c>
      <c r="C7" s="1">
        <v>0.0</v>
      </c>
      <c r="D7" s="1">
        <v>1.0</v>
      </c>
      <c r="I7" s="1" t="s">
        <v>372</v>
      </c>
      <c r="J7" s="1">
        <v>4.0</v>
      </c>
      <c r="K7" s="1">
        <v>2.0</v>
      </c>
      <c r="L7" s="1">
        <v>3.0</v>
      </c>
      <c r="M7" s="1">
        <v>1.0</v>
      </c>
    </row>
    <row r="10">
      <c r="A10" s="1" t="s">
        <v>8</v>
      </c>
      <c r="B10" s="1"/>
      <c r="C10" s="1"/>
      <c r="D10" s="1" t="s">
        <v>9</v>
      </c>
      <c r="G10" s="1"/>
      <c r="H10" s="1"/>
      <c r="I10" s="1"/>
      <c r="J10" s="1" t="s">
        <v>11</v>
      </c>
      <c r="O10" s="1" t="s">
        <v>409</v>
      </c>
      <c r="P10" s="1"/>
      <c r="Q10" s="1"/>
      <c r="R10" s="1"/>
      <c r="S10" s="1"/>
    </row>
    <row r="11">
      <c r="B11" s="1"/>
      <c r="C11" s="1"/>
      <c r="D11" s="1" t="s">
        <v>463</v>
      </c>
      <c r="E11" s="1" t="s">
        <v>13</v>
      </c>
      <c r="F11" s="1" t="s">
        <v>189</v>
      </c>
      <c r="G11" s="1" t="s">
        <v>468</v>
      </c>
      <c r="H11" s="1" t="s">
        <v>45</v>
      </c>
      <c r="I11" s="1"/>
      <c r="J11" s="1" t="s">
        <v>463</v>
      </c>
      <c r="K11" s="1" t="s">
        <v>5</v>
      </c>
      <c r="L11" s="1" t="s">
        <v>189</v>
      </c>
      <c r="O11" s="1" t="s">
        <v>463</v>
      </c>
      <c r="P11" s="1" t="s">
        <v>5</v>
      </c>
      <c r="Q11" s="1" t="s">
        <v>189</v>
      </c>
      <c r="R11" s="1" t="s">
        <v>372</v>
      </c>
    </row>
    <row r="12">
      <c r="B12" s="1"/>
      <c r="C12" s="1"/>
      <c r="D12" s="1"/>
    </row>
    <row r="13">
      <c r="A13" s="1" t="s">
        <v>470</v>
      </c>
      <c r="B13" s="1"/>
      <c r="C13" s="1"/>
      <c r="D13" s="6">
        <v>46.25</v>
      </c>
      <c r="E13" s="6">
        <v>33.2</v>
      </c>
      <c r="F13" s="6">
        <v>16.63</v>
      </c>
      <c r="H13" s="6">
        <f t="shared" ref="H13:H18" si="1">SUM(D13,E13,F13)</f>
        <v>96.08</v>
      </c>
      <c r="J13">
        <f t="shared" ref="J13:J25" si="2">DIVIDE(100*D13,H13)</f>
        <v>48.13696919</v>
      </c>
      <c r="K13">
        <f t="shared" ref="K13:K25" si="3">DIVIDE(100*E13,H13)</f>
        <v>34.55453789</v>
      </c>
      <c r="L13" s="8">
        <f t="shared" ref="L13:L25" si="4">DIVIDE(100*F13,H13)</f>
        <v>17.30849292</v>
      </c>
      <c r="O13">
        <f t="shared" ref="O13:O18" si="5">1*J13+0.33*K13+0.66*L13</f>
        <v>70.96357202</v>
      </c>
      <c r="P13" s="48">
        <f t="shared" ref="P13:P18" si="6">0.33*J13+1*K13+0.33*L13</f>
        <v>56.15154038</v>
      </c>
      <c r="Q13" s="50">
        <f t="shared" ref="Q13:Q18" si="7">0.66*J13+0.66*K13+1*L13</f>
        <v>71.88488759</v>
      </c>
      <c r="R13" s="1">
        <v>0.0</v>
      </c>
    </row>
    <row r="14">
      <c r="A14" s="14" t="s">
        <v>481</v>
      </c>
      <c r="B14" s="1"/>
      <c r="C14" s="1"/>
      <c r="D14" s="6">
        <v>37.74</v>
      </c>
      <c r="E14" s="6">
        <v>47.94</v>
      </c>
      <c r="F14" s="1">
        <v>8.2</v>
      </c>
      <c r="H14" s="6">
        <f t="shared" si="1"/>
        <v>93.88</v>
      </c>
      <c r="J14">
        <f t="shared" si="2"/>
        <v>40.20025565</v>
      </c>
      <c r="K14">
        <f t="shared" si="3"/>
        <v>51.0651896</v>
      </c>
      <c r="L14" s="8">
        <f t="shared" si="4"/>
        <v>8.734554751</v>
      </c>
      <c r="O14">
        <f t="shared" si="5"/>
        <v>62.81657435</v>
      </c>
      <c r="P14" s="48">
        <f t="shared" si="6"/>
        <v>67.21367703</v>
      </c>
      <c r="Q14" s="50">
        <f t="shared" si="7"/>
        <v>68.96974862</v>
      </c>
      <c r="R14" s="1">
        <v>0.0</v>
      </c>
    </row>
    <row r="15">
      <c r="A15" s="1" t="s">
        <v>484</v>
      </c>
      <c r="B15" s="1"/>
      <c r="D15" s="6">
        <v>44.91</v>
      </c>
      <c r="E15" s="6">
        <v>35.24</v>
      </c>
      <c r="F15" s="6">
        <v>13.89</v>
      </c>
      <c r="H15" s="6">
        <f t="shared" si="1"/>
        <v>94.04</v>
      </c>
      <c r="J15">
        <f t="shared" si="2"/>
        <v>47.75627393</v>
      </c>
      <c r="K15">
        <f t="shared" si="3"/>
        <v>37.47341557</v>
      </c>
      <c r="L15" s="8">
        <f t="shared" si="4"/>
        <v>14.77031051</v>
      </c>
      <c r="O15">
        <f t="shared" si="5"/>
        <v>69.870906</v>
      </c>
      <c r="P15" s="48">
        <f t="shared" si="6"/>
        <v>58.10718843</v>
      </c>
      <c r="Q15" s="50">
        <f t="shared" si="7"/>
        <v>71.02190557</v>
      </c>
      <c r="R15" s="1">
        <v>0.0</v>
      </c>
    </row>
    <row r="16">
      <c r="A16" s="1" t="s">
        <v>486</v>
      </c>
      <c r="B16" s="1"/>
      <c r="D16" s="6">
        <v>29.74</v>
      </c>
      <c r="E16" s="6">
        <v>36.56</v>
      </c>
      <c r="F16" s="6">
        <v>24.42</v>
      </c>
      <c r="H16" s="6">
        <f t="shared" si="1"/>
        <v>90.72</v>
      </c>
      <c r="J16">
        <f t="shared" si="2"/>
        <v>32.78218695</v>
      </c>
      <c r="K16">
        <f t="shared" si="3"/>
        <v>40.29982363</v>
      </c>
      <c r="L16" s="8">
        <f t="shared" si="4"/>
        <v>26.91798942</v>
      </c>
      <c r="O16">
        <f t="shared" si="5"/>
        <v>63.84700176</v>
      </c>
      <c r="P16" s="48">
        <f t="shared" si="6"/>
        <v>60.00088183</v>
      </c>
      <c r="Q16" s="50">
        <f t="shared" si="7"/>
        <v>75.1521164</v>
      </c>
      <c r="R16" s="1">
        <v>0.0</v>
      </c>
    </row>
    <row r="17">
      <c r="A17" s="14" t="s">
        <v>487</v>
      </c>
      <c r="B17" s="1"/>
      <c r="D17" s="6">
        <v>36.05</v>
      </c>
      <c r="E17" s="6">
        <v>34.64</v>
      </c>
      <c r="F17" s="6">
        <v>22.19</v>
      </c>
      <c r="H17" s="6">
        <f t="shared" si="1"/>
        <v>92.88</v>
      </c>
      <c r="J17">
        <f t="shared" si="2"/>
        <v>38.81352283</v>
      </c>
      <c r="K17">
        <f t="shared" si="3"/>
        <v>37.29543497</v>
      </c>
      <c r="L17" s="8">
        <f t="shared" si="4"/>
        <v>23.8910422</v>
      </c>
      <c r="O17">
        <f t="shared" si="5"/>
        <v>66.88910422</v>
      </c>
      <c r="P17" s="48">
        <f t="shared" si="6"/>
        <v>57.98794143</v>
      </c>
      <c r="Q17" s="50">
        <f t="shared" si="7"/>
        <v>74.12295435</v>
      </c>
      <c r="R17" s="1">
        <v>0.0</v>
      </c>
    </row>
    <row r="18">
      <c r="A18" s="1" t="s">
        <v>488</v>
      </c>
      <c r="D18" s="6">
        <v>31.94</v>
      </c>
      <c r="E18" s="6">
        <v>29.77</v>
      </c>
      <c r="F18" s="6">
        <v>28.14</v>
      </c>
      <c r="H18" s="6">
        <f t="shared" si="1"/>
        <v>89.85</v>
      </c>
      <c r="J18">
        <f t="shared" si="2"/>
        <v>35.54813578</v>
      </c>
      <c r="K18">
        <f t="shared" si="3"/>
        <v>33.13299944</v>
      </c>
      <c r="L18" s="8">
        <f t="shared" si="4"/>
        <v>31.31886477</v>
      </c>
      <c r="O18">
        <f t="shared" si="5"/>
        <v>67.15247635</v>
      </c>
      <c r="P18" s="48">
        <f t="shared" si="6"/>
        <v>55.19910963</v>
      </c>
      <c r="Q18" s="50">
        <f t="shared" si="7"/>
        <v>76.64841402</v>
      </c>
      <c r="R18" s="1">
        <v>0.0</v>
      </c>
    </row>
    <row r="19">
      <c r="A19" s="14" t="s">
        <v>490</v>
      </c>
      <c r="D19" s="6">
        <v>23.28</v>
      </c>
      <c r="E19" s="6">
        <v>27.27</v>
      </c>
      <c r="F19" s="6">
        <v>25.48</v>
      </c>
      <c r="G19" s="6">
        <v>19.14</v>
      </c>
      <c r="H19" s="6">
        <f>SUM(D19,E19,F19,G19)</f>
        <v>95.17</v>
      </c>
      <c r="J19">
        <f t="shared" si="2"/>
        <v>24.46148997</v>
      </c>
      <c r="K19">
        <f t="shared" si="3"/>
        <v>28.6539876</v>
      </c>
      <c r="L19" s="8">
        <f t="shared" si="4"/>
        <v>26.7731428</v>
      </c>
      <c r="M19">
        <f>DIVIDE(100*G19,H19)</f>
        <v>20.11137964</v>
      </c>
      <c r="O19">
        <f>1*J19+0.25*K19+0.5*L19+0.25*M19</f>
        <v>50.03940317</v>
      </c>
      <c r="P19" s="48">
        <f>0.25*J19+1*K19+0.25*L19+0.75*M19</f>
        <v>56.54618052</v>
      </c>
      <c r="Q19" s="48">
        <f>0.5*J19+0.5*K19+1*L19+0.5*M19</f>
        <v>63.3865714</v>
      </c>
      <c r="R19" s="61">
        <f>0.75*J19+0.75*K19+0.75*L19+1*M19</f>
        <v>80.02784491</v>
      </c>
    </row>
    <row r="20">
      <c r="A20" s="1" t="s">
        <v>493</v>
      </c>
      <c r="D20" s="6">
        <v>30.34</v>
      </c>
      <c r="E20" s="6">
        <v>30.37</v>
      </c>
      <c r="F20" s="6">
        <v>35.62</v>
      </c>
      <c r="H20" s="6">
        <f t="shared" ref="H20:H25" si="8">SUM(D20,E20,F20)</f>
        <v>96.33</v>
      </c>
      <c r="J20">
        <f t="shared" si="2"/>
        <v>31.49589951</v>
      </c>
      <c r="K20">
        <f t="shared" si="3"/>
        <v>31.52704246</v>
      </c>
      <c r="L20" s="8">
        <f t="shared" si="4"/>
        <v>36.97705803</v>
      </c>
      <c r="O20">
        <f t="shared" ref="O20:O25" si="9">1*J20+0.33*K20+0.66*L20</f>
        <v>66.30468182</v>
      </c>
      <c r="P20" s="48">
        <f t="shared" ref="P20:P25" si="10">0.33*J20+1*K20+0.33*L20</f>
        <v>54.12311845</v>
      </c>
      <c r="Q20" s="50">
        <f t="shared" ref="Q20:Q25" si="11">0.66*J20+0.66*K20+1*L20</f>
        <v>78.57219973</v>
      </c>
      <c r="R20" s="1">
        <v>0.0</v>
      </c>
    </row>
    <row r="21">
      <c r="A21" s="14" t="s">
        <v>494</v>
      </c>
      <c r="D21" s="6">
        <v>26.95</v>
      </c>
      <c r="E21" s="6">
        <v>24.34</v>
      </c>
      <c r="F21" s="6">
        <v>43.66</v>
      </c>
      <c r="H21" s="6">
        <f t="shared" si="8"/>
        <v>94.95</v>
      </c>
      <c r="J21">
        <f t="shared" si="2"/>
        <v>28.38335966</v>
      </c>
      <c r="K21">
        <f t="shared" si="3"/>
        <v>25.6345445</v>
      </c>
      <c r="L21" s="8">
        <f t="shared" si="4"/>
        <v>45.98209584</v>
      </c>
      <c r="O21">
        <f t="shared" si="9"/>
        <v>67.1909426</v>
      </c>
      <c r="P21" s="48">
        <f t="shared" si="10"/>
        <v>50.17514481</v>
      </c>
      <c r="Q21" s="50">
        <f t="shared" si="11"/>
        <v>81.63391259</v>
      </c>
      <c r="R21" s="1">
        <v>0.0</v>
      </c>
    </row>
    <row r="22">
      <c r="A22" s="1" t="s">
        <v>495</v>
      </c>
      <c r="D22" s="6">
        <v>44.13</v>
      </c>
      <c r="E22" s="6">
        <v>41.29</v>
      </c>
      <c r="F22" s="6">
        <v>10.26</v>
      </c>
      <c r="H22" s="6">
        <f t="shared" si="8"/>
        <v>95.68</v>
      </c>
      <c r="J22">
        <f t="shared" si="2"/>
        <v>46.12249164</v>
      </c>
      <c r="K22">
        <f t="shared" si="3"/>
        <v>43.15426421</v>
      </c>
      <c r="L22" s="8">
        <f t="shared" si="4"/>
        <v>10.72324415</v>
      </c>
      <c r="O22">
        <f t="shared" si="9"/>
        <v>67.44073997</v>
      </c>
      <c r="P22" s="48">
        <f t="shared" si="10"/>
        <v>61.91335702</v>
      </c>
      <c r="Q22" s="50">
        <f t="shared" si="11"/>
        <v>69.64590301</v>
      </c>
      <c r="R22" s="1">
        <v>0.0</v>
      </c>
    </row>
    <row r="23">
      <c r="A23" s="14" t="s">
        <v>498</v>
      </c>
      <c r="D23" s="6">
        <v>43.73</v>
      </c>
      <c r="E23" s="6">
        <v>42.09</v>
      </c>
      <c r="F23" s="6">
        <v>7.47</v>
      </c>
      <c r="H23" s="6">
        <f t="shared" si="8"/>
        <v>93.29</v>
      </c>
      <c r="J23">
        <f t="shared" si="2"/>
        <v>46.87533498</v>
      </c>
      <c r="K23">
        <f t="shared" si="3"/>
        <v>45.11737592</v>
      </c>
      <c r="L23" s="8">
        <f t="shared" si="4"/>
        <v>8.007289099</v>
      </c>
      <c r="O23">
        <f t="shared" si="9"/>
        <v>67.04887984</v>
      </c>
      <c r="P23" s="48">
        <f t="shared" si="10"/>
        <v>63.22864187</v>
      </c>
      <c r="Q23" s="50">
        <f t="shared" si="11"/>
        <v>68.72247829</v>
      </c>
      <c r="R23" s="1">
        <v>0.0</v>
      </c>
    </row>
    <row r="24">
      <c r="A24" s="14" t="s">
        <v>499</v>
      </c>
      <c r="D24" s="6">
        <v>29.23</v>
      </c>
      <c r="E24" s="6">
        <v>16.49</v>
      </c>
      <c r="F24" s="6">
        <v>48.47</v>
      </c>
      <c r="H24" s="6">
        <f t="shared" si="8"/>
        <v>94.19</v>
      </c>
      <c r="J24">
        <f t="shared" si="2"/>
        <v>31.03301837</v>
      </c>
      <c r="K24">
        <f t="shared" si="3"/>
        <v>17.50716637</v>
      </c>
      <c r="L24" s="8">
        <f t="shared" si="4"/>
        <v>51.45981527</v>
      </c>
      <c r="O24">
        <f t="shared" si="9"/>
        <v>70.77386134</v>
      </c>
      <c r="P24" s="48">
        <f t="shared" si="10"/>
        <v>44.72980147</v>
      </c>
      <c r="Q24" s="50">
        <f t="shared" si="11"/>
        <v>83.49633719</v>
      </c>
      <c r="R24" s="1">
        <v>0.0</v>
      </c>
    </row>
    <row r="25">
      <c r="A25" s="1" t="s">
        <v>500</v>
      </c>
      <c r="D25" s="6">
        <v>30.34</v>
      </c>
      <c r="E25" s="6">
        <v>30.75</v>
      </c>
      <c r="F25" s="6">
        <v>32.62</v>
      </c>
      <c r="H25" s="6">
        <f t="shared" si="8"/>
        <v>93.71</v>
      </c>
      <c r="J25">
        <f t="shared" si="2"/>
        <v>32.37648063</v>
      </c>
      <c r="K25">
        <f t="shared" si="3"/>
        <v>32.81400064</v>
      </c>
      <c r="L25" s="8">
        <f t="shared" si="4"/>
        <v>34.80951873</v>
      </c>
      <c r="O25">
        <f t="shared" si="9"/>
        <v>66.1793832</v>
      </c>
      <c r="P25" s="48">
        <f t="shared" si="10"/>
        <v>54.98538043</v>
      </c>
      <c r="Q25" s="50">
        <f t="shared" si="11"/>
        <v>77.83523637</v>
      </c>
      <c r="R25" s="1">
        <v>0.0</v>
      </c>
    </row>
  </sheetData>
  <mergeCells count="2">
    <mergeCell ref="D10:F10"/>
    <mergeCell ref="J10:L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2" t="s">
        <v>0</v>
      </c>
      <c r="B1" s="3" t="s">
        <v>1</v>
      </c>
      <c r="C1" s="4" t="s">
        <v>17</v>
      </c>
      <c r="D1" s="10" t="s">
        <v>18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>
      <c r="A2" s="13"/>
      <c r="B2" s="13"/>
      <c r="C2" s="12"/>
      <c r="D2" s="12"/>
      <c r="E2" s="12"/>
      <c r="J2" s="13"/>
      <c r="K2" s="12"/>
      <c r="L2" s="12"/>
      <c r="M2" s="12"/>
      <c r="N2" s="15" t="s">
        <v>25</v>
      </c>
      <c r="O2" s="15" t="s">
        <v>5</v>
      </c>
      <c r="P2" s="15" t="s">
        <v>27</v>
      </c>
    </row>
    <row r="3">
      <c r="A3" s="15" t="s">
        <v>3</v>
      </c>
      <c r="B3" s="15" t="s">
        <v>4</v>
      </c>
      <c r="C3" s="17">
        <v>2.0</v>
      </c>
      <c r="D3" s="19">
        <v>0.0</v>
      </c>
      <c r="E3" s="12"/>
      <c r="J3" s="12"/>
      <c r="K3" s="12"/>
      <c r="L3" s="12"/>
      <c r="M3" s="15" t="s">
        <v>25</v>
      </c>
      <c r="N3" s="20">
        <v>1.0</v>
      </c>
      <c r="O3" s="20">
        <v>3.0</v>
      </c>
      <c r="P3" s="20">
        <v>2.0</v>
      </c>
    </row>
    <row r="4">
      <c r="A4" s="15" t="s">
        <v>5</v>
      </c>
      <c r="B4" s="15" t="s">
        <v>6</v>
      </c>
      <c r="C4" s="17">
        <v>0.0</v>
      </c>
      <c r="D4" s="21">
        <v>0.0</v>
      </c>
      <c r="E4" s="12"/>
      <c r="J4" s="12"/>
      <c r="K4" s="12"/>
      <c r="L4" s="12"/>
      <c r="M4" s="15" t="s">
        <v>5</v>
      </c>
      <c r="N4" s="20">
        <v>2.0</v>
      </c>
      <c r="O4" s="20">
        <v>1.0</v>
      </c>
      <c r="P4" s="20">
        <v>3.0</v>
      </c>
    </row>
    <row r="5">
      <c r="A5" s="15" t="s">
        <v>38</v>
      </c>
      <c r="B5" s="15" t="s">
        <v>4</v>
      </c>
      <c r="C5" s="17">
        <v>15.0</v>
      </c>
      <c r="D5" s="19">
        <v>18.0</v>
      </c>
      <c r="E5" s="12"/>
      <c r="J5" s="12"/>
      <c r="K5" s="12"/>
      <c r="L5" s="12"/>
      <c r="M5" s="15" t="s">
        <v>27</v>
      </c>
      <c r="N5" s="20">
        <v>2.0</v>
      </c>
      <c r="O5" s="20">
        <v>3.0</v>
      </c>
      <c r="P5" s="20">
        <v>1.0</v>
      </c>
    </row>
    <row r="6">
      <c r="A6" s="15" t="s">
        <v>27</v>
      </c>
      <c r="B6" s="12"/>
      <c r="C6" s="17">
        <v>8.0</v>
      </c>
      <c r="D6" s="19">
        <v>7.0</v>
      </c>
      <c r="E6" s="12"/>
      <c r="F6" s="13"/>
      <c r="G6" s="12"/>
      <c r="H6" s="12"/>
      <c r="I6" s="12"/>
      <c r="J6" s="13"/>
      <c r="K6" s="12"/>
      <c r="L6" s="12"/>
      <c r="M6" s="12"/>
      <c r="N6" s="12"/>
      <c r="O6" s="12"/>
      <c r="P6" s="12"/>
    </row>
    <row r="7">
      <c r="A7" s="13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0" t="s">
        <v>8</v>
      </c>
      <c r="B8" s="10" t="s">
        <v>41</v>
      </c>
      <c r="C8" s="12"/>
      <c r="D8" s="10" t="s">
        <v>9</v>
      </c>
      <c r="F8" s="12"/>
      <c r="G8" s="12"/>
      <c r="H8" s="12"/>
      <c r="I8" s="10" t="s">
        <v>11</v>
      </c>
      <c r="L8" s="12"/>
      <c r="M8" s="22" t="s">
        <v>12</v>
      </c>
      <c r="P8" s="12"/>
    </row>
    <row r="9">
      <c r="A9" s="13"/>
      <c r="B9" s="13"/>
      <c r="C9" s="13"/>
      <c r="D9" s="15" t="s">
        <v>25</v>
      </c>
      <c r="E9" s="15" t="s">
        <v>5</v>
      </c>
      <c r="F9" s="15" t="s">
        <v>27</v>
      </c>
      <c r="G9" s="15" t="s">
        <v>45</v>
      </c>
      <c r="H9" s="13"/>
      <c r="I9" s="15" t="s">
        <v>25</v>
      </c>
      <c r="J9" s="15" t="s">
        <v>5</v>
      </c>
      <c r="K9" s="15" t="s">
        <v>27</v>
      </c>
      <c r="L9" s="13"/>
      <c r="M9" s="15" t="s">
        <v>25</v>
      </c>
      <c r="N9" s="15" t="s">
        <v>5</v>
      </c>
      <c r="O9" s="15" t="s">
        <v>27</v>
      </c>
      <c r="P9" s="13"/>
      <c r="Q9" s="1"/>
      <c r="R9" s="1"/>
      <c r="S9" s="1"/>
      <c r="T9" s="1"/>
      <c r="U9" s="1"/>
      <c r="V9" s="1"/>
      <c r="W9" s="1"/>
    </row>
    <row r="10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"/>
      <c r="R10" s="1"/>
    </row>
    <row r="11">
      <c r="A11" s="15" t="s">
        <v>46</v>
      </c>
      <c r="B11" s="17">
        <v>1418290.0</v>
      </c>
      <c r="C11" s="13"/>
      <c r="D11" s="17">
        <v>46.69</v>
      </c>
      <c r="E11" s="17">
        <v>1.79</v>
      </c>
      <c r="F11" s="17">
        <v>46.38</v>
      </c>
      <c r="G11" s="17">
        <f t="shared" ref="G11:G35" si="1">D11+E11+F11</f>
        <v>94.86</v>
      </c>
      <c r="H11" s="12"/>
      <c r="I11" s="21">
        <f t="shared" ref="I11:I35" si="2">100*D11/G11</f>
        <v>49.21990301</v>
      </c>
      <c r="J11" s="17">
        <f t="shared" ref="J11:J35" si="3">100*E11/G11</f>
        <v>1.886991356</v>
      </c>
      <c r="K11" s="17">
        <f t="shared" ref="K11:K35" si="4">100*F11/G11</f>
        <v>48.89310563</v>
      </c>
      <c r="L11" s="13"/>
      <c r="M11" s="24">
        <f t="shared" ref="M11:M35" si="5">I11+J11*0.67+K11*0.67</f>
        <v>83.24256799</v>
      </c>
      <c r="N11" s="21">
        <f t="shared" ref="N11:N35" si="6">J11+I11*0.33+K11*0.33</f>
        <v>34.26428421</v>
      </c>
      <c r="O11" s="21">
        <f t="shared" ref="O11:O35" si="7">K11+I11*0.67+J11*0.33</f>
        <v>82.4931478</v>
      </c>
      <c r="P11" s="12"/>
    </row>
    <row r="12">
      <c r="A12" s="15" t="s">
        <v>69</v>
      </c>
      <c r="B12" s="17">
        <v>1481791.0</v>
      </c>
      <c r="C12" s="13"/>
      <c r="D12" s="17">
        <v>40.13</v>
      </c>
      <c r="E12" s="17">
        <v>10.92</v>
      </c>
      <c r="F12" s="17">
        <v>44.27</v>
      </c>
      <c r="G12" s="17">
        <f t="shared" si="1"/>
        <v>95.32</v>
      </c>
      <c r="H12" s="12"/>
      <c r="I12" s="17">
        <f t="shared" si="2"/>
        <v>42.10029375</v>
      </c>
      <c r="J12" s="17">
        <f t="shared" si="3"/>
        <v>11.45614771</v>
      </c>
      <c r="K12" s="17">
        <f t="shared" si="4"/>
        <v>46.44355854</v>
      </c>
      <c r="L12" s="13"/>
      <c r="M12" s="24">
        <f t="shared" si="5"/>
        <v>80.89309694</v>
      </c>
      <c r="N12" s="21">
        <f t="shared" si="6"/>
        <v>40.67561897</v>
      </c>
      <c r="O12" s="21">
        <f t="shared" si="7"/>
        <v>78.4312841</v>
      </c>
      <c r="P12" s="12"/>
    </row>
    <row r="13">
      <c r="A13" s="15" t="s">
        <v>72</v>
      </c>
      <c r="B13" s="17">
        <v>1606127.0</v>
      </c>
      <c r="C13" s="13"/>
      <c r="D13" s="17">
        <v>47.35</v>
      </c>
      <c r="E13" s="17">
        <v>1.92</v>
      </c>
      <c r="F13" s="17">
        <v>48.48</v>
      </c>
      <c r="G13" s="17">
        <f t="shared" si="1"/>
        <v>97.75</v>
      </c>
      <c r="H13" s="12"/>
      <c r="I13" s="17">
        <f t="shared" si="2"/>
        <v>48.4398977</v>
      </c>
      <c r="J13" s="17">
        <f t="shared" si="3"/>
        <v>1.964194373</v>
      </c>
      <c r="K13" s="17">
        <f t="shared" si="4"/>
        <v>49.59590793</v>
      </c>
      <c r="L13" s="13"/>
      <c r="M13" s="26">
        <f t="shared" si="5"/>
        <v>82.98516624</v>
      </c>
      <c r="N13" s="21">
        <f t="shared" si="6"/>
        <v>34.31601023</v>
      </c>
      <c r="O13" s="28">
        <f t="shared" si="7"/>
        <v>82.69882353</v>
      </c>
      <c r="P13" s="12"/>
    </row>
    <row r="14">
      <c r="A14" s="15" t="s">
        <v>79</v>
      </c>
      <c r="B14" s="17">
        <v>1272340.0</v>
      </c>
      <c r="C14" s="12"/>
      <c r="D14" s="17">
        <v>35.21</v>
      </c>
      <c r="E14" s="17">
        <v>5.79</v>
      </c>
      <c r="F14" s="17">
        <v>45.21</v>
      </c>
      <c r="G14" s="17">
        <f t="shared" si="1"/>
        <v>86.21</v>
      </c>
      <c r="H14" s="12"/>
      <c r="I14" s="17">
        <f t="shared" si="2"/>
        <v>40.84212968</v>
      </c>
      <c r="J14" s="17">
        <f t="shared" si="3"/>
        <v>6.716158218</v>
      </c>
      <c r="K14" s="24">
        <f t="shared" si="4"/>
        <v>52.4417121</v>
      </c>
      <c r="L14" s="13"/>
      <c r="M14" s="26">
        <f t="shared" si="5"/>
        <v>80.4779028</v>
      </c>
      <c r="N14" s="21">
        <f t="shared" si="6"/>
        <v>37.49982601</v>
      </c>
      <c r="O14" s="28">
        <f t="shared" si="7"/>
        <v>82.0222712</v>
      </c>
      <c r="P14" s="12"/>
    </row>
    <row r="15">
      <c r="A15" s="15" t="s">
        <v>82</v>
      </c>
      <c r="B15" s="17">
        <v>1413726.0</v>
      </c>
      <c r="C15" s="12"/>
      <c r="D15" s="17">
        <v>52.77</v>
      </c>
      <c r="E15" s="17">
        <v>2.29</v>
      </c>
      <c r="F15" s="17">
        <v>40.66</v>
      </c>
      <c r="G15" s="17">
        <f t="shared" si="1"/>
        <v>95.72</v>
      </c>
      <c r="H15" s="12"/>
      <c r="I15" s="24">
        <f t="shared" si="2"/>
        <v>55.1295445</v>
      </c>
      <c r="J15" s="17">
        <f t="shared" si="3"/>
        <v>2.392394484</v>
      </c>
      <c r="K15" s="17">
        <f t="shared" si="4"/>
        <v>42.47806101</v>
      </c>
      <c r="M15" s="24">
        <f t="shared" si="5"/>
        <v>85.19274969</v>
      </c>
      <c r="N15" s="21">
        <f t="shared" si="6"/>
        <v>34.6029043</v>
      </c>
      <c r="O15" s="21">
        <f t="shared" si="7"/>
        <v>80.20434601</v>
      </c>
      <c r="P15" s="12"/>
    </row>
    <row r="16">
      <c r="A16" s="15" t="s">
        <v>86</v>
      </c>
      <c r="B16" s="17">
        <v>1403736.0</v>
      </c>
      <c r="C16" s="12"/>
      <c r="D16" s="17">
        <v>47.67</v>
      </c>
      <c r="E16" s="17">
        <v>10.88</v>
      </c>
      <c r="F16" s="17">
        <v>30.61</v>
      </c>
      <c r="G16" s="17">
        <f t="shared" si="1"/>
        <v>89.16</v>
      </c>
      <c r="H16" s="12"/>
      <c r="I16" s="24">
        <f t="shared" si="2"/>
        <v>53.46567968</v>
      </c>
      <c r="J16" s="17">
        <f t="shared" si="3"/>
        <v>12.20278152</v>
      </c>
      <c r="K16" s="17">
        <f t="shared" si="4"/>
        <v>34.33153881</v>
      </c>
      <c r="L16" s="13"/>
      <c r="M16" s="24">
        <f t="shared" si="5"/>
        <v>84.64367429</v>
      </c>
      <c r="N16" s="21">
        <f t="shared" si="6"/>
        <v>41.17586362</v>
      </c>
      <c r="O16" s="21">
        <f t="shared" si="7"/>
        <v>74.18046209</v>
      </c>
      <c r="P16" s="12"/>
    </row>
    <row r="17">
      <c r="A17" s="15" t="s">
        <v>89</v>
      </c>
      <c r="B17" s="17">
        <v>1723011.0</v>
      </c>
      <c r="C17" s="12"/>
      <c r="D17" s="17">
        <v>48.71</v>
      </c>
      <c r="E17" s="17">
        <v>4.35</v>
      </c>
      <c r="F17" s="17">
        <v>40.94</v>
      </c>
      <c r="G17" s="17">
        <f t="shared" si="1"/>
        <v>94</v>
      </c>
      <c r="H17" s="12"/>
      <c r="I17" s="24">
        <f t="shared" si="2"/>
        <v>51.81914894</v>
      </c>
      <c r="J17" s="17">
        <f t="shared" si="3"/>
        <v>4.627659574</v>
      </c>
      <c r="K17" s="17">
        <f t="shared" si="4"/>
        <v>43.55319149</v>
      </c>
      <c r="L17" s="13"/>
      <c r="M17" s="24">
        <f t="shared" si="5"/>
        <v>84.10031915</v>
      </c>
      <c r="N17" s="21">
        <f t="shared" si="6"/>
        <v>36.10053191</v>
      </c>
      <c r="O17" s="21">
        <f t="shared" si="7"/>
        <v>79.79914894</v>
      </c>
      <c r="P17" s="12"/>
    </row>
    <row r="18">
      <c r="A18" s="13" t="s">
        <v>91</v>
      </c>
      <c r="B18" s="29">
        <v>1148072.0</v>
      </c>
      <c r="C18" s="12"/>
      <c r="D18" s="17">
        <v>49.46</v>
      </c>
      <c r="E18" s="17">
        <v>1.55</v>
      </c>
      <c r="F18" s="17">
        <v>45.29</v>
      </c>
      <c r="G18" s="17">
        <f t="shared" si="1"/>
        <v>96.3</v>
      </c>
      <c r="H18" s="12"/>
      <c r="I18" s="24">
        <f t="shared" si="2"/>
        <v>51.36033229</v>
      </c>
      <c r="J18" s="17">
        <f t="shared" si="3"/>
        <v>1.609553479</v>
      </c>
      <c r="K18" s="17">
        <f t="shared" si="4"/>
        <v>47.03011423</v>
      </c>
      <c r="L18" s="13"/>
      <c r="M18" s="24">
        <f t="shared" si="5"/>
        <v>83.94890966</v>
      </c>
      <c r="N18" s="21">
        <f t="shared" si="6"/>
        <v>34.07840083</v>
      </c>
      <c r="O18" s="21">
        <f t="shared" si="7"/>
        <v>81.97268951</v>
      </c>
      <c r="P18" s="12"/>
    </row>
    <row r="19">
      <c r="A19" s="15" t="s">
        <v>93</v>
      </c>
      <c r="B19" s="17">
        <v>1357865.0</v>
      </c>
      <c r="C19" s="12"/>
      <c r="D19" s="17">
        <v>52.99</v>
      </c>
      <c r="E19" s="17">
        <v>1.09</v>
      </c>
      <c r="F19" s="17">
        <v>42.24</v>
      </c>
      <c r="G19" s="17">
        <f t="shared" si="1"/>
        <v>96.32</v>
      </c>
      <c r="H19" s="12"/>
      <c r="I19" s="24">
        <f t="shared" si="2"/>
        <v>55.01453488</v>
      </c>
      <c r="J19" s="17">
        <f t="shared" si="3"/>
        <v>1.131644518</v>
      </c>
      <c r="K19" s="17">
        <f t="shared" si="4"/>
        <v>43.8538206</v>
      </c>
      <c r="L19" s="13"/>
      <c r="M19" s="24">
        <f t="shared" si="5"/>
        <v>85.15479651</v>
      </c>
      <c r="N19" s="21">
        <f t="shared" si="6"/>
        <v>33.75820183</v>
      </c>
      <c r="O19" s="21">
        <f t="shared" si="7"/>
        <v>81.08700166</v>
      </c>
      <c r="P19" s="12"/>
    </row>
    <row r="20">
      <c r="A20" s="15" t="s">
        <v>94</v>
      </c>
      <c r="B20" s="17">
        <v>1421276.0</v>
      </c>
      <c r="C20" s="12"/>
      <c r="D20" s="17">
        <v>54.52</v>
      </c>
      <c r="E20" s="17">
        <v>1.84</v>
      </c>
      <c r="F20" s="17">
        <v>40.04</v>
      </c>
      <c r="G20" s="17">
        <f t="shared" si="1"/>
        <v>96.4</v>
      </c>
      <c r="H20" s="12"/>
      <c r="I20" s="24">
        <f t="shared" si="2"/>
        <v>56.5560166</v>
      </c>
      <c r="J20" s="17">
        <f t="shared" si="3"/>
        <v>1.908713693</v>
      </c>
      <c r="K20" s="17">
        <f t="shared" si="4"/>
        <v>41.53526971</v>
      </c>
      <c r="L20" s="13"/>
      <c r="M20" s="24">
        <f t="shared" si="5"/>
        <v>85.66348548</v>
      </c>
      <c r="N20" s="21">
        <f t="shared" si="6"/>
        <v>34.27883817</v>
      </c>
      <c r="O20" s="21">
        <f t="shared" si="7"/>
        <v>80.05767635</v>
      </c>
      <c r="P20" s="12"/>
    </row>
    <row r="21">
      <c r="A21" s="15" t="s">
        <v>95</v>
      </c>
      <c r="B21" s="17">
        <v>1325028.0</v>
      </c>
      <c r="C21" s="12"/>
      <c r="D21" s="17">
        <v>49.61</v>
      </c>
      <c r="E21" s="17">
        <v>2.49</v>
      </c>
      <c r="F21" s="17">
        <v>34.34</v>
      </c>
      <c r="G21" s="17">
        <f t="shared" si="1"/>
        <v>86.44</v>
      </c>
      <c r="H21" s="12"/>
      <c r="I21" s="24">
        <f t="shared" si="2"/>
        <v>57.39241092</v>
      </c>
      <c r="J21" s="17">
        <f t="shared" si="3"/>
        <v>2.880610828</v>
      </c>
      <c r="K21" s="17">
        <f t="shared" si="4"/>
        <v>39.72697825</v>
      </c>
      <c r="L21" s="13"/>
      <c r="M21" s="24">
        <f t="shared" si="5"/>
        <v>85.9394956</v>
      </c>
      <c r="N21" s="21">
        <f t="shared" si="6"/>
        <v>34.93000925</v>
      </c>
      <c r="O21" s="21">
        <f t="shared" si="7"/>
        <v>79.13049514</v>
      </c>
      <c r="P21" s="12"/>
    </row>
    <row r="22">
      <c r="A22" s="15" t="s">
        <v>96</v>
      </c>
      <c r="B22" s="17">
        <v>1427764.0</v>
      </c>
      <c r="C22" s="12"/>
      <c r="D22" s="17">
        <v>51.82</v>
      </c>
      <c r="E22" s="17">
        <v>0.98</v>
      </c>
      <c r="F22" s="17">
        <v>43.35</v>
      </c>
      <c r="G22" s="17">
        <f t="shared" si="1"/>
        <v>96.15</v>
      </c>
      <c r="H22" s="12"/>
      <c r="I22" s="24">
        <f t="shared" si="2"/>
        <v>53.8949558</v>
      </c>
      <c r="J22" s="17">
        <f t="shared" si="3"/>
        <v>1.01924077</v>
      </c>
      <c r="K22" s="17">
        <f t="shared" si="4"/>
        <v>45.08580343</v>
      </c>
      <c r="L22" s="13"/>
      <c r="M22" s="24">
        <f t="shared" si="5"/>
        <v>84.78533541</v>
      </c>
      <c r="N22" s="21">
        <f t="shared" si="6"/>
        <v>33.68289132</v>
      </c>
      <c r="O22" s="21">
        <f t="shared" si="7"/>
        <v>81.53177327</v>
      </c>
      <c r="P22" s="12"/>
    </row>
    <row r="23">
      <c r="A23" s="15" t="s">
        <v>97</v>
      </c>
      <c r="B23" s="17">
        <v>1369311.0</v>
      </c>
      <c r="C23" s="12"/>
      <c r="D23" s="17">
        <v>51.38</v>
      </c>
      <c r="E23" s="17">
        <v>1.23</v>
      </c>
      <c r="F23" s="17">
        <v>44.29</v>
      </c>
      <c r="G23" s="17">
        <f t="shared" si="1"/>
        <v>96.9</v>
      </c>
      <c r="H23" s="12"/>
      <c r="I23" s="24">
        <f t="shared" si="2"/>
        <v>53.02373581</v>
      </c>
      <c r="J23" s="17">
        <f t="shared" si="3"/>
        <v>1.269349845</v>
      </c>
      <c r="K23" s="17">
        <f t="shared" si="4"/>
        <v>45.70691434</v>
      </c>
      <c r="L23" s="13"/>
      <c r="M23" s="24">
        <f t="shared" si="5"/>
        <v>84.49783282</v>
      </c>
      <c r="N23" s="21">
        <f t="shared" si="6"/>
        <v>33.8504644</v>
      </c>
      <c r="O23" s="21">
        <f t="shared" si="7"/>
        <v>81.65170279</v>
      </c>
      <c r="P23" s="12"/>
    </row>
    <row r="24">
      <c r="A24" s="15" t="s">
        <v>98</v>
      </c>
      <c r="B24" s="17">
        <v>1564513.0</v>
      </c>
      <c r="C24" s="12"/>
      <c r="D24" s="17">
        <v>49.45</v>
      </c>
      <c r="E24" s="17">
        <v>3.32</v>
      </c>
      <c r="F24" s="17">
        <v>43.22</v>
      </c>
      <c r="G24" s="17">
        <f t="shared" si="1"/>
        <v>95.99</v>
      </c>
      <c r="H24" s="12"/>
      <c r="I24" s="24">
        <f t="shared" si="2"/>
        <v>51.51578289</v>
      </c>
      <c r="J24" s="17">
        <f t="shared" si="3"/>
        <v>3.458693614</v>
      </c>
      <c r="K24" s="17">
        <f t="shared" si="4"/>
        <v>45.02552349</v>
      </c>
      <c r="L24" s="13"/>
      <c r="M24" s="24">
        <f t="shared" si="5"/>
        <v>84.00020836</v>
      </c>
      <c r="N24" s="21">
        <f t="shared" si="6"/>
        <v>35.31732472</v>
      </c>
      <c r="O24" s="21">
        <f t="shared" si="7"/>
        <v>80.68246692</v>
      </c>
      <c r="P24" s="12"/>
    </row>
    <row r="25">
      <c r="A25" s="15" t="s">
        <v>99</v>
      </c>
      <c r="B25" s="17">
        <v>1572017.0</v>
      </c>
      <c r="C25" s="12"/>
      <c r="D25" s="17">
        <v>49.6</v>
      </c>
      <c r="E25" s="17">
        <v>3.76</v>
      </c>
      <c r="F25" s="17">
        <v>44.06</v>
      </c>
      <c r="G25" s="17">
        <f t="shared" si="1"/>
        <v>97.42</v>
      </c>
      <c r="H25" s="12"/>
      <c r="I25" s="28">
        <f t="shared" si="2"/>
        <v>50.91357011</v>
      </c>
      <c r="J25" s="17">
        <f t="shared" si="3"/>
        <v>3.859577089</v>
      </c>
      <c r="K25" s="17">
        <f t="shared" si="4"/>
        <v>45.2268528</v>
      </c>
      <c r="L25" s="13"/>
      <c r="M25" s="24">
        <f t="shared" si="5"/>
        <v>83.80147814</v>
      </c>
      <c r="N25" s="21">
        <f t="shared" si="6"/>
        <v>35.58591665</v>
      </c>
      <c r="O25" s="21">
        <f t="shared" si="7"/>
        <v>80.61260521</v>
      </c>
      <c r="P25" s="12"/>
    </row>
    <row r="26">
      <c r="A26" s="15" t="s">
        <v>100</v>
      </c>
      <c r="B26" s="17">
        <v>1514861.0</v>
      </c>
      <c r="C26" s="12"/>
      <c r="D26" s="17">
        <v>49.3</v>
      </c>
      <c r="E26" s="17">
        <v>1.79</v>
      </c>
      <c r="F26" s="17">
        <v>46.55</v>
      </c>
      <c r="G26" s="17">
        <f t="shared" si="1"/>
        <v>97.64</v>
      </c>
      <c r="H26" s="12"/>
      <c r="I26" s="28">
        <f t="shared" si="2"/>
        <v>50.4916018</v>
      </c>
      <c r="J26" s="17">
        <f t="shared" si="3"/>
        <v>1.833265055</v>
      </c>
      <c r="K26" s="17">
        <f t="shared" si="4"/>
        <v>47.67513314</v>
      </c>
      <c r="L26" s="13"/>
      <c r="M26" s="24">
        <f t="shared" si="5"/>
        <v>83.66222859</v>
      </c>
      <c r="N26" s="21">
        <f t="shared" si="6"/>
        <v>34.22828759</v>
      </c>
      <c r="O26" s="21">
        <f t="shared" si="7"/>
        <v>82.10948382</v>
      </c>
      <c r="P26" s="12"/>
    </row>
    <row r="27">
      <c r="A27" s="15" t="s">
        <v>101</v>
      </c>
      <c r="B27" s="17">
        <v>1392964.0</v>
      </c>
      <c r="C27" s="12"/>
      <c r="D27" s="17">
        <v>48.74</v>
      </c>
      <c r="E27" s="17">
        <v>1.94</v>
      </c>
      <c r="F27" s="17">
        <v>45.98</v>
      </c>
      <c r="G27" s="17">
        <f t="shared" si="1"/>
        <v>96.66</v>
      </c>
      <c r="H27" s="12"/>
      <c r="I27" s="28">
        <f t="shared" si="2"/>
        <v>50.42416718</v>
      </c>
      <c r="J27" s="17">
        <f t="shared" si="3"/>
        <v>2.007034968</v>
      </c>
      <c r="K27" s="17">
        <f t="shared" si="4"/>
        <v>47.56879785</v>
      </c>
      <c r="L27" s="13"/>
      <c r="M27" s="24">
        <f t="shared" si="5"/>
        <v>83.63997517</v>
      </c>
      <c r="N27" s="21">
        <f t="shared" si="6"/>
        <v>34.34471343</v>
      </c>
      <c r="O27" s="21">
        <f t="shared" si="7"/>
        <v>82.0153114</v>
      </c>
      <c r="P27" s="12"/>
    </row>
    <row r="28">
      <c r="A28" s="15" t="s">
        <v>102</v>
      </c>
      <c r="B28" s="17">
        <v>1470212.0</v>
      </c>
      <c r="C28" s="12"/>
      <c r="D28" s="17">
        <v>47.51</v>
      </c>
      <c r="E28" s="17">
        <v>1.1</v>
      </c>
      <c r="F28" s="17">
        <v>48.79</v>
      </c>
      <c r="G28" s="17">
        <f t="shared" si="1"/>
        <v>97.4</v>
      </c>
      <c r="H28" s="12"/>
      <c r="I28" s="21">
        <f t="shared" si="2"/>
        <v>48.77823409</v>
      </c>
      <c r="J28" s="17">
        <f t="shared" si="3"/>
        <v>1.12936345</v>
      </c>
      <c r="K28" s="24">
        <f t="shared" si="4"/>
        <v>50.09240246</v>
      </c>
      <c r="L28" s="13"/>
      <c r="M28" s="21">
        <f t="shared" si="5"/>
        <v>83.09681725</v>
      </c>
      <c r="N28" s="21">
        <f t="shared" si="6"/>
        <v>33.75667351</v>
      </c>
      <c r="O28" s="28">
        <f t="shared" si="7"/>
        <v>83.14650924</v>
      </c>
      <c r="P28" s="12"/>
    </row>
    <row r="29">
      <c r="A29" s="15" t="s">
        <v>103</v>
      </c>
      <c r="B29" s="17">
        <v>1576945.0</v>
      </c>
      <c r="C29" s="12"/>
      <c r="D29" s="17">
        <v>42.71</v>
      </c>
      <c r="E29" s="17">
        <v>1.35</v>
      </c>
      <c r="F29" s="17">
        <v>51.45</v>
      </c>
      <c r="G29" s="17">
        <f t="shared" si="1"/>
        <v>95.51</v>
      </c>
      <c r="H29" s="12"/>
      <c r="I29" s="21">
        <f t="shared" si="2"/>
        <v>44.71783059</v>
      </c>
      <c r="J29" s="17">
        <f t="shared" si="3"/>
        <v>1.413464559</v>
      </c>
      <c r="K29" s="24">
        <f t="shared" si="4"/>
        <v>53.86870485</v>
      </c>
      <c r="L29" s="13"/>
      <c r="M29" s="26">
        <f t="shared" si="5"/>
        <v>81.7568841</v>
      </c>
      <c r="N29" s="21">
        <f t="shared" si="6"/>
        <v>33.94702125</v>
      </c>
      <c r="O29" s="28">
        <f t="shared" si="7"/>
        <v>84.29609465</v>
      </c>
      <c r="P29" s="12"/>
    </row>
    <row r="30">
      <c r="A30" s="15" t="s">
        <v>106</v>
      </c>
      <c r="B30" s="17">
        <v>1536894.0</v>
      </c>
      <c r="C30" s="12"/>
      <c r="D30" s="17">
        <v>50.35</v>
      </c>
      <c r="E30" s="17">
        <v>1.38</v>
      </c>
      <c r="F30" s="17">
        <v>45.23</v>
      </c>
      <c r="G30" s="17">
        <f t="shared" si="1"/>
        <v>96.96</v>
      </c>
      <c r="H30" s="12"/>
      <c r="I30" s="28">
        <f t="shared" si="2"/>
        <v>51.92863036</v>
      </c>
      <c r="J30" s="17">
        <f t="shared" si="3"/>
        <v>1.423267327</v>
      </c>
      <c r="K30" s="17">
        <f t="shared" si="4"/>
        <v>46.64810231</v>
      </c>
      <c r="L30" s="13"/>
      <c r="M30" s="24">
        <f t="shared" si="5"/>
        <v>84.13644802</v>
      </c>
      <c r="N30" s="21">
        <f t="shared" si="6"/>
        <v>33.95358911</v>
      </c>
      <c r="O30" s="21">
        <f t="shared" si="7"/>
        <v>81.90996287</v>
      </c>
      <c r="P30" s="12"/>
    </row>
    <row r="31">
      <c r="A31" s="15" t="s">
        <v>108</v>
      </c>
      <c r="B31" s="17">
        <v>1446496.0</v>
      </c>
      <c r="C31" s="12"/>
      <c r="D31" s="17">
        <v>51.24</v>
      </c>
      <c r="E31" s="17">
        <v>3.09</v>
      </c>
      <c r="F31" s="17">
        <v>42.99</v>
      </c>
      <c r="G31" s="17">
        <f t="shared" si="1"/>
        <v>97.32</v>
      </c>
      <c r="H31" s="12"/>
      <c r="I31" s="28">
        <f t="shared" si="2"/>
        <v>52.65104809</v>
      </c>
      <c r="J31" s="17">
        <f t="shared" si="3"/>
        <v>3.175092478</v>
      </c>
      <c r="K31" s="17">
        <f t="shared" si="4"/>
        <v>44.17385943</v>
      </c>
      <c r="L31" s="13"/>
      <c r="M31" s="24">
        <f t="shared" si="5"/>
        <v>84.37484587</v>
      </c>
      <c r="N31" s="21">
        <f t="shared" si="6"/>
        <v>35.12731196</v>
      </c>
      <c r="O31" s="21">
        <f t="shared" si="7"/>
        <v>80.49784217</v>
      </c>
      <c r="P31" s="12"/>
    </row>
    <row r="32">
      <c r="A32" s="15" t="s">
        <v>109</v>
      </c>
      <c r="B32" s="17">
        <v>1550440.0</v>
      </c>
      <c r="C32" s="12"/>
      <c r="D32" s="17">
        <v>40.1</v>
      </c>
      <c r="E32" s="17">
        <v>1.19</v>
      </c>
      <c r="F32" s="17">
        <v>55.95</v>
      </c>
      <c r="G32" s="17">
        <f t="shared" si="1"/>
        <v>97.24</v>
      </c>
      <c r="H32" s="12"/>
      <c r="I32" s="21">
        <f t="shared" si="2"/>
        <v>41.23817359</v>
      </c>
      <c r="J32" s="17">
        <f t="shared" si="3"/>
        <v>1.223776224</v>
      </c>
      <c r="K32" s="24">
        <f t="shared" si="4"/>
        <v>57.53805019</v>
      </c>
      <c r="L32" s="13"/>
      <c r="M32" s="26">
        <f t="shared" si="5"/>
        <v>80.60859729</v>
      </c>
      <c r="N32" s="21">
        <f t="shared" si="6"/>
        <v>33.81993007</v>
      </c>
      <c r="O32" s="28">
        <f t="shared" si="7"/>
        <v>85.57147265</v>
      </c>
      <c r="P32" s="12"/>
    </row>
    <row r="33">
      <c r="A33" s="15" t="s">
        <v>112</v>
      </c>
      <c r="B33" s="17">
        <v>1574161.0</v>
      </c>
      <c r="C33" s="12"/>
      <c r="D33" s="17">
        <v>44.71</v>
      </c>
      <c r="E33" s="17">
        <v>2.74</v>
      </c>
      <c r="F33" s="17">
        <v>47.79</v>
      </c>
      <c r="G33" s="17">
        <f t="shared" si="1"/>
        <v>95.24</v>
      </c>
      <c r="H33" s="12"/>
      <c r="I33" s="21">
        <f t="shared" si="2"/>
        <v>46.94456111</v>
      </c>
      <c r="J33" s="17">
        <f t="shared" si="3"/>
        <v>2.876942461</v>
      </c>
      <c r="K33" s="24">
        <f t="shared" si="4"/>
        <v>50.17849643</v>
      </c>
      <c r="L33" s="13"/>
      <c r="M33" s="26">
        <f t="shared" si="5"/>
        <v>82.49170517</v>
      </c>
      <c r="N33" s="21">
        <f t="shared" si="6"/>
        <v>34.92755145</v>
      </c>
      <c r="O33" s="28">
        <f t="shared" si="7"/>
        <v>82.58074339</v>
      </c>
      <c r="P33" s="12"/>
    </row>
    <row r="34">
      <c r="A34" s="15" t="s">
        <v>113</v>
      </c>
      <c r="B34" s="17">
        <v>1487791.0</v>
      </c>
      <c r="C34" s="12"/>
      <c r="D34" s="17">
        <v>36.77</v>
      </c>
      <c r="E34" s="17">
        <v>2.53</v>
      </c>
      <c r="F34" s="17">
        <v>51.82</v>
      </c>
      <c r="G34" s="17">
        <f t="shared" si="1"/>
        <v>91.12</v>
      </c>
      <c r="H34" s="12"/>
      <c r="I34" s="21">
        <f t="shared" si="2"/>
        <v>40.35338016</v>
      </c>
      <c r="J34" s="17">
        <f t="shared" si="3"/>
        <v>2.776558385</v>
      </c>
      <c r="K34" s="24">
        <f t="shared" si="4"/>
        <v>56.87006146</v>
      </c>
      <c r="L34" s="13"/>
      <c r="M34" s="26">
        <f t="shared" si="5"/>
        <v>80.31661545</v>
      </c>
      <c r="N34" s="21">
        <f t="shared" si="6"/>
        <v>34.86029412</v>
      </c>
      <c r="O34" s="28">
        <f t="shared" si="7"/>
        <v>84.82309043</v>
      </c>
      <c r="P34" s="12"/>
    </row>
    <row r="35">
      <c r="A35" s="15" t="s">
        <v>114</v>
      </c>
      <c r="B35" s="17">
        <v>1451851.0</v>
      </c>
      <c r="C35" s="12"/>
      <c r="D35" s="17">
        <v>49.61</v>
      </c>
      <c r="E35" s="17">
        <v>1.38</v>
      </c>
      <c r="F35" s="17">
        <v>45.93</v>
      </c>
      <c r="G35" s="17">
        <f t="shared" si="1"/>
        <v>96.92</v>
      </c>
      <c r="H35" s="12"/>
      <c r="I35" s="28">
        <f t="shared" si="2"/>
        <v>51.1865456</v>
      </c>
      <c r="J35" s="17">
        <f t="shared" si="3"/>
        <v>1.423854726</v>
      </c>
      <c r="K35" s="17">
        <f t="shared" si="4"/>
        <v>47.38959967</v>
      </c>
      <c r="L35" s="13"/>
      <c r="M35" s="24">
        <f t="shared" si="5"/>
        <v>83.89156005</v>
      </c>
      <c r="N35" s="21">
        <f t="shared" si="6"/>
        <v>33.95398267</v>
      </c>
      <c r="O35" s="21">
        <f t="shared" si="7"/>
        <v>82.15445728</v>
      </c>
      <c r="P35" s="12"/>
    </row>
    <row r="36">
      <c r="A36" s="13"/>
      <c r="B36" s="13"/>
      <c r="C36" s="12"/>
      <c r="D36" s="13"/>
      <c r="E36" s="13"/>
      <c r="F36" s="13"/>
      <c r="G36" s="13"/>
      <c r="H36" s="12"/>
      <c r="I36" s="12"/>
      <c r="J36" s="13"/>
      <c r="K36" s="13"/>
      <c r="L36" s="13"/>
      <c r="M36" s="13"/>
      <c r="N36" s="12"/>
      <c r="O36" s="12"/>
      <c r="P36" s="12"/>
    </row>
    <row r="37">
      <c r="A37" s="13"/>
      <c r="B37" s="13"/>
      <c r="C37" s="12"/>
      <c r="D37" s="13"/>
      <c r="E37" s="13"/>
      <c r="F37" s="13"/>
      <c r="G37" s="13"/>
      <c r="H37" s="12"/>
      <c r="I37" s="12"/>
      <c r="J37" s="13"/>
      <c r="K37" s="13"/>
      <c r="L37" s="13"/>
      <c r="M37" s="13"/>
      <c r="N37" s="12"/>
      <c r="O37" s="12"/>
      <c r="P37" s="12"/>
    </row>
    <row r="38">
      <c r="A38" s="13"/>
      <c r="B38" s="13"/>
      <c r="C38" s="12"/>
      <c r="D38" s="13"/>
      <c r="E38" s="13"/>
      <c r="F38" s="13"/>
      <c r="G38" s="13"/>
      <c r="H38" s="12"/>
      <c r="I38" s="12"/>
      <c r="J38" s="13"/>
      <c r="K38" s="13"/>
      <c r="L38" s="13"/>
      <c r="M38" s="13"/>
      <c r="N38" s="12"/>
      <c r="O38" s="12"/>
      <c r="P38" s="12"/>
    </row>
    <row r="39">
      <c r="A39" s="13"/>
      <c r="B39" s="13"/>
      <c r="C39" s="12"/>
      <c r="D39" s="13"/>
      <c r="E39" s="13"/>
      <c r="F39" s="13"/>
      <c r="G39" s="13"/>
      <c r="H39" s="12"/>
      <c r="I39" s="12"/>
      <c r="J39" s="13"/>
      <c r="K39" s="13"/>
      <c r="L39" s="13"/>
      <c r="M39" s="13"/>
      <c r="N39" s="12"/>
      <c r="O39" s="12"/>
      <c r="P39" s="12"/>
    </row>
    <row r="40">
      <c r="A40" s="13"/>
      <c r="B40" s="13"/>
      <c r="C40" s="12"/>
      <c r="D40" s="13"/>
      <c r="E40" s="13"/>
      <c r="F40" s="13"/>
      <c r="G40" s="13"/>
      <c r="H40" s="12"/>
      <c r="I40" s="12"/>
      <c r="J40" s="12"/>
      <c r="K40" s="13"/>
      <c r="L40" s="13"/>
      <c r="M40" s="13"/>
      <c r="N40" s="12"/>
      <c r="O40" s="12"/>
      <c r="P40" s="12"/>
    </row>
    <row r="41">
      <c r="A41" s="13"/>
      <c r="B41" s="13"/>
      <c r="C41" s="12"/>
      <c r="D41" s="13"/>
      <c r="E41" s="13"/>
      <c r="F41" s="13"/>
      <c r="G41" s="13"/>
      <c r="H41" s="12"/>
      <c r="I41" s="12"/>
      <c r="J41" s="12"/>
      <c r="K41" s="13"/>
      <c r="L41" s="13"/>
      <c r="M41" s="13"/>
      <c r="N41" s="12"/>
      <c r="O41" s="12"/>
      <c r="P41" s="12"/>
    </row>
    <row r="42">
      <c r="A42" s="13"/>
      <c r="B42" s="13"/>
      <c r="C42" s="12"/>
      <c r="D42" s="13"/>
      <c r="E42" s="13"/>
      <c r="F42" s="13"/>
      <c r="G42" s="13"/>
      <c r="H42" s="12"/>
      <c r="I42" s="12"/>
      <c r="J42" s="12"/>
      <c r="K42" s="13"/>
      <c r="L42" s="13"/>
      <c r="M42" s="13"/>
      <c r="N42" s="12"/>
      <c r="O42" s="12"/>
      <c r="P42" s="12"/>
    </row>
    <row r="43">
      <c r="A43" s="13"/>
      <c r="B43" s="13"/>
      <c r="C43" s="12"/>
      <c r="D43" s="13"/>
      <c r="E43" s="13"/>
      <c r="F43" s="13"/>
      <c r="G43" s="13"/>
      <c r="H43" s="12"/>
      <c r="I43" s="12"/>
      <c r="J43" s="12"/>
      <c r="K43" s="13"/>
      <c r="L43" s="13"/>
      <c r="M43" s="13"/>
      <c r="N43" s="12"/>
      <c r="O43" s="12"/>
      <c r="P43" s="12"/>
    </row>
    <row r="44">
      <c r="A44" s="13"/>
      <c r="B44" s="13"/>
      <c r="C44" s="12"/>
      <c r="D44" s="13"/>
      <c r="E44" s="13"/>
      <c r="F44" s="13"/>
      <c r="G44" s="13"/>
      <c r="H44" s="12"/>
      <c r="I44" s="12"/>
      <c r="J44" s="12"/>
      <c r="K44" s="13"/>
      <c r="L44" s="13"/>
      <c r="M44" s="13"/>
      <c r="N44" s="12"/>
      <c r="O44" s="12"/>
      <c r="P44" s="12"/>
    </row>
    <row r="45">
      <c r="A45" s="13"/>
      <c r="B45" s="13"/>
      <c r="C45" s="12"/>
      <c r="D45" s="13"/>
      <c r="E45" s="13"/>
      <c r="F45" s="13"/>
      <c r="G45" s="13"/>
      <c r="H45" s="12"/>
      <c r="I45" s="12"/>
      <c r="J45" s="12"/>
      <c r="K45" s="13"/>
      <c r="L45" s="13"/>
      <c r="M45" s="13"/>
      <c r="N45" s="12"/>
      <c r="O45" s="12"/>
      <c r="P45" s="12"/>
    </row>
    <row r="46">
      <c r="A46" s="13"/>
      <c r="B46" s="13"/>
      <c r="C46" s="12"/>
      <c r="D46" s="13"/>
      <c r="E46" s="13"/>
      <c r="F46" s="13"/>
      <c r="G46" s="13"/>
      <c r="H46" s="12"/>
      <c r="I46" s="12"/>
      <c r="J46" s="12"/>
      <c r="K46" s="13"/>
      <c r="L46" s="13"/>
      <c r="M46" s="13"/>
      <c r="N46" s="12"/>
      <c r="O46" s="12"/>
      <c r="P46" s="12"/>
    </row>
    <row r="47">
      <c r="A47" s="13"/>
      <c r="B47" s="13"/>
      <c r="C47" s="12"/>
      <c r="D47" s="13"/>
      <c r="E47" s="13"/>
      <c r="F47" s="13"/>
      <c r="G47" s="13"/>
      <c r="H47" s="12"/>
      <c r="I47" s="12"/>
      <c r="J47" s="12"/>
      <c r="K47" s="13"/>
      <c r="L47" s="13"/>
      <c r="M47" s="13"/>
      <c r="N47" s="12"/>
      <c r="O47" s="12"/>
      <c r="P47" s="12"/>
    </row>
    <row r="48">
      <c r="A48" s="13"/>
      <c r="B48" s="13"/>
      <c r="C48" s="12"/>
      <c r="D48" s="13"/>
      <c r="E48" s="13"/>
      <c r="F48" s="13"/>
      <c r="G48" s="13"/>
      <c r="H48" s="12"/>
      <c r="I48" s="12"/>
      <c r="J48" s="12"/>
      <c r="K48" s="13"/>
      <c r="L48" s="13"/>
      <c r="M48" s="13"/>
      <c r="N48" s="12"/>
      <c r="O48" s="12"/>
      <c r="P48" s="12"/>
    </row>
    <row r="49">
      <c r="A49" s="13"/>
      <c r="B49" s="13"/>
      <c r="C49" s="12"/>
      <c r="D49" s="13"/>
      <c r="E49" s="13"/>
      <c r="F49" s="13"/>
      <c r="G49" s="13"/>
      <c r="H49" s="12"/>
      <c r="I49" s="12"/>
      <c r="J49" s="12"/>
      <c r="K49" s="13"/>
      <c r="L49" s="13"/>
      <c r="M49" s="13"/>
      <c r="N49" s="12"/>
      <c r="O49" s="12"/>
      <c r="P49" s="12"/>
    </row>
    <row r="50">
      <c r="A50" s="13"/>
      <c r="B50" s="13"/>
      <c r="C50" s="12"/>
      <c r="D50" s="13"/>
      <c r="E50" s="13"/>
      <c r="F50" s="13"/>
      <c r="G50" s="13"/>
      <c r="H50" s="12"/>
      <c r="I50" s="12"/>
      <c r="J50" s="12"/>
      <c r="K50" s="13"/>
      <c r="L50" s="13"/>
      <c r="M50" s="13"/>
      <c r="N50" s="12"/>
      <c r="O50" s="12"/>
      <c r="P50" s="12"/>
    </row>
    <row r="51">
      <c r="A51" s="1"/>
      <c r="B51" s="1"/>
      <c r="D51" s="1"/>
      <c r="E51" s="1"/>
      <c r="F51" s="1"/>
      <c r="G51" s="1"/>
      <c r="K51" s="6"/>
      <c r="L51" s="6"/>
      <c r="M51" s="6"/>
    </row>
    <row r="52">
      <c r="A52" s="1"/>
      <c r="B52" s="1"/>
      <c r="D52" s="1"/>
      <c r="E52" s="1"/>
      <c r="F52" s="1"/>
      <c r="G52" s="1"/>
      <c r="K52" s="6"/>
      <c r="L52" s="6"/>
      <c r="M52" s="6"/>
    </row>
    <row r="53">
      <c r="K53" s="6"/>
      <c r="L53" s="6"/>
      <c r="M53" s="6"/>
    </row>
    <row r="54">
      <c r="K54" s="6"/>
      <c r="L54" s="6"/>
      <c r="M54" s="6"/>
    </row>
    <row r="55">
      <c r="K55" s="6"/>
      <c r="L55" s="6"/>
      <c r="M55" s="6"/>
    </row>
    <row r="56">
      <c r="K56" s="6"/>
      <c r="L56" s="6"/>
      <c r="M56" s="6"/>
    </row>
    <row r="57">
      <c r="K57" s="6"/>
      <c r="L57" s="6"/>
      <c r="M57" s="6"/>
    </row>
    <row r="58">
      <c r="K58" s="6"/>
      <c r="L58" s="6"/>
      <c r="M58" s="6"/>
    </row>
    <row r="59">
      <c r="K59" s="6"/>
      <c r="M59" s="6"/>
    </row>
  </sheetData>
  <mergeCells count="3">
    <mergeCell ref="D8:E8"/>
    <mergeCell ref="I8:K8"/>
    <mergeCell ref="M8:O8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  <c r="G2" s="1" t="s">
        <v>3</v>
      </c>
      <c r="H2" s="1" t="s">
        <v>5</v>
      </c>
      <c r="I2" s="1" t="s">
        <v>7</v>
      </c>
    </row>
    <row r="3">
      <c r="A3" s="1" t="s">
        <v>3</v>
      </c>
      <c r="B3" s="1" t="s">
        <v>4</v>
      </c>
      <c r="C3" s="1">
        <v>25.0</v>
      </c>
      <c r="D3" s="1">
        <v>22.0</v>
      </c>
      <c r="F3" s="1" t="s">
        <v>3</v>
      </c>
      <c r="G3" s="1">
        <v>1.0</v>
      </c>
      <c r="H3" s="1">
        <v>3.0</v>
      </c>
      <c r="I3" s="1">
        <v>2.0</v>
      </c>
    </row>
    <row r="4">
      <c r="A4" s="1" t="s">
        <v>5</v>
      </c>
      <c r="B4" s="1" t="s">
        <v>6</v>
      </c>
      <c r="C4" s="1">
        <v>0.0</v>
      </c>
      <c r="D4" s="1">
        <v>0.0</v>
      </c>
      <c r="F4" s="1" t="s">
        <v>5</v>
      </c>
      <c r="G4" s="1">
        <v>3.0</v>
      </c>
      <c r="H4" s="1">
        <v>1.0</v>
      </c>
      <c r="I4" s="1">
        <v>2.0</v>
      </c>
    </row>
    <row r="5">
      <c r="A5" s="1" t="s">
        <v>7</v>
      </c>
      <c r="C5" s="1">
        <v>0.0</v>
      </c>
      <c r="D5" s="1">
        <v>3.0</v>
      </c>
      <c r="F5" s="1" t="s">
        <v>7</v>
      </c>
      <c r="I5" s="1">
        <v>1.0</v>
      </c>
    </row>
    <row r="6">
      <c r="A6" s="1"/>
    </row>
    <row r="8">
      <c r="A8" s="1" t="s">
        <v>8</v>
      </c>
      <c r="B8" s="1"/>
      <c r="C8" s="1"/>
      <c r="D8" s="1" t="s">
        <v>9</v>
      </c>
      <c r="G8" s="1"/>
      <c r="H8" s="1"/>
      <c r="I8" s="1"/>
      <c r="J8" s="1" t="s">
        <v>11</v>
      </c>
      <c r="N8" s="1" t="s">
        <v>12</v>
      </c>
      <c r="P8" s="13"/>
      <c r="Q8" s="1"/>
    </row>
    <row r="9">
      <c r="B9" s="1"/>
      <c r="C9" s="1"/>
      <c r="D9" s="1" t="s">
        <v>3</v>
      </c>
      <c r="E9" s="1" t="s">
        <v>13</v>
      </c>
      <c r="F9" s="1" t="s">
        <v>496</v>
      </c>
      <c r="H9" s="1" t="s">
        <v>14</v>
      </c>
      <c r="I9" s="1"/>
      <c r="J9" s="1" t="s">
        <v>3</v>
      </c>
      <c r="K9" s="1" t="s">
        <v>5</v>
      </c>
      <c r="L9" s="1" t="s">
        <v>15</v>
      </c>
      <c r="N9" s="1" t="s">
        <v>3</v>
      </c>
      <c r="O9" s="1" t="s">
        <v>5</v>
      </c>
      <c r="P9" s="1" t="s">
        <v>15</v>
      </c>
    </row>
    <row r="10">
      <c r="B10" s="1"/>
      <c r="C10" s="1"/>
      <c r="D10" s="1"/>
      <c r="N10" s="21"/>
      <c r="O10" s="21"/>
      <c r="P10" s="21"/>
    </row>
    <row r="11">
      <c r="A11" s="1" t="s">
        <v>497</v>
      </c>
      <c r="B11" s="1"/>
      <c r="C11" s="1"/>
      <c r="D11" s="6">
        <v>52.34</v>
      </c>
      <c r="E11" s="6">
        <v>29.14</v>
      </c>
      <c r="F11" s="6">
        <v>8.48</v>
      </c>
      <c r="H11">
        <f t="shared" ref="H11:H35" si="1">SUM(D11,E11,F11,G11)</f>
        <v>89.96</v>
      </c>
      <c r="J11" s="8">
        <f t="shared" ref="J11:J35" si="2">DIVIDE(100*D11,H11)</f>
        <v>58.18141396</v>
      </c>
      <c r="K11">
        <f t="shared" ref="K11:K35" si="3">DIVIDE(100*E11,H11)</f>
        <v>32.3921743</v>
      </c>
      <c r="L11" s="1">
        <v>0.0</v>
      </c>
      <c r="N11" s="28">
        <f t="shared" ref="N11:N20" si="4">J11+K11*0.5</f>
        <v>74.37750111</v>
      </c>
      <c r="O11" s="21">
        <f t="shared" ref="O11:O20" si="5">K11+J11*0.5</f>
        <v>61.48288128</v>
      </c>
      <c r="P11" s="19">
        <v>0.0</v>
      </c>
    </row>
    <row r="12">
      <c r="A12" s="14" t="s">
        <v>501</v>
      </c>
      <c r="B12" s="1"/>
      <c r="C12" s="1"/>
      <c r="D12" s="6">
        <v>62.84</v>
      </c>
      <c r="E12" s="6">
        <v>29.74</v>
      </c>
      <c r="F12" s="1"/>
      <c r="H12">
        <f t="shared" si="1"/>
        <v>92.58</v>
      </c>
      <c r="J12" s="8">
        <f t="shared" si="2"/>
        <v>67.87643119</v>
      </c>
      <c r="K12">
        <f t="shared" si="3"/>
        <v>32.12356881</v>
      </c>
      <c r="L12">
        <f>DIVIDE(100*F12,H12)</f>
        <v>0</v>
      </c>
      <c r="N12" s="28">
        <f t="shared" si="4"/>
        <v>83.9382156</v>
      </c>
      <c r="O12" s="21">
        <f t="shared" si="5"/>
        <v>66.0617844</v>
      </c>
      <c r="P12" s="19">
        <v>0.0</v>
      </c>
    </row>
    <row r="13">
      <c r="A13" s="1" t="s">
        <v>502</v>
      </c>
      <c r="B13" s="1"/>
      <c r="D13" s="6">
        <v>52.63</v>
      </c>
      <c r="E13" s="6">
        <v>15.63</v>
      </c>
      <c r="F13" s="6">
        <v>26.59</v>
      </c>
      <c r="H13">
        <f t="shared" si="1"/>
        <v>94.85</v>
      </c>
      <c r="J13" s="8">
        <f t="shared" si="2"/>
        <v>55.48761202</v>
      </c>
      <c r="K13">
        <f t="shared" si="3"/>
        <v>16.4786505</v>
      </c>
      <c r="L13" s="1">
        <v>0.0</v>
      </c>
      <c r="N13" s="28">
        <f t="shared" si="4"/>
        <v>63.72693727</v>
      </c>
      <c r="O13" s="21">
        <f t="shared" si="5"/>
        <v>44.22245651</v>
      </c>
      <c r="P13" s="19">
        <v>0.0</v>
      </c>
    </row>
    <row r="14">
      <c r="A14" s="14" t="s">
        <v>506</v>
      </c>
      <c r="B14" s="1"/>
      <c r="D14" s="6">
        <v>48.4</v>
      </c>
      <c r="E14" s="6">
        <v>25.22</v>
      </c>
      <c r="F14" s="6">
        <v>20.45</v>
      </c>
      <c r="H14">
        <f t="shared" si="1"/>
        <v>94.07</v>
      </c>
      <c r="J14" s="8">
        <f t="shared" si="2"/>
        <v>51.45104709</v>
      </c>
      <c r="K14">
        <f t="shared" si="3"/>
        <v>26.80982247</v>
      </c>
      <c r="L14" s="1">
        <v>0.0</v>
      </c>
      <c r="N14" s="28">
        <f t="shared" si="4"/>
        <v>64.85595833</v>
      </c>
      <c r="O14" s="21">
        <f t="shared" si="5"/>
        <v>52.53534602</v>
      </c>
      <c r="P14" s="19">
        <v>0.0</v>
      </c>
    </row>
    <row r="15">
      <c r="A15" s="1" t="s">
        <v>507</v>
      </c>
      <c r="B15" s="1"/>
      <c r="D15" s="6">
        <v>46.79</v>
      </c>
      <c r="E15" s="6">
        <v>24.38</v>
      </c>
      <c r="F15" s="6">
        <v>17.69</v>
      </c>
      <c r="H15">
        <f t="shared" si="1"/>
        <v>88.86</v>
      </c>
      <c r="J15" s="8">
        <f t="shared" si="2"/>
        <v>52.65586316</v>
      </c>
      <c r="K15">
        <f t="shared" si="3"/>
        <v>27.43641684</v>
      </c>
      <c r="L15" s="1">
        <v>0.0</v>
      </c>
      <c r="N15" s="28">
        <f t="shared" si="4"/>
        <v>66.37407157</v>
      </c>
      <c r="O15" s="21">
        <f t="shared" si="5"/>
        <v>53.76434841</v>
      </c>
      <c r="P15" s="19">
        <v>0.0</v>
      </c>
    </row>
    <row r="16">
      <c r="A16" s="1" t="s">
        <v>508</v>
      </c>
      <c r="D16" s="6">
        <v>62.28</v>
      </c>
      <c r="E16" s="6">
        <v>29.52</v>
      </c>
      <c r="H16">
        <f t="shared" si="1"/>
        <v>91.8</v>
      </c>
      <c r="J16" s="8">
        <f t="shared" si="2"/>
        <v>67.84313725</v>
      </c>
      <c r="K16">
        <f t="shared" si="3"/>
        <v>32.15686275</v>
      </c>
      <c r="L16">
        <f t="shared" ref="L16:L27" si="6">DIVIDE(100*F16,H16)</f>
        <v>0</v>
      </c>
      <c r="N16" s="28">
        <f t="shared" si="4"/>
        <v>83.92156863</v>
      </c>
      <c r="O16" s="21">
        <f t="shared" si="5"/>
        <v>66.07843137</v>
      </c>
      <c r="P16" s="19">
        <v>0.0</v>
      </c>
    </row>
    <row r="17">
      <c r="A17" s="1" t="s">
        <v>459</v>
      </c>
      <c r="D17" s="6">
        <v>66.47</v>
      </c>
      <c r="E17" s="6">
        <v>24.94</v>
      </c>
      <c r="H17">
        <f t="shared" si="1"/>
        <v>91.41</v>
      </c>
      <c r="J17" s="8">
        <f t="shared" si="2"/>
        <v>72.71633301</v>
      </c>
      <c r="K17">
        <f t="shared" si="3"/>
        <v>27.28366699</v>
      </c>
      <c r="L17">
        <f t="shared" si="6"/>
        <v>0</v>
      </c>
      <c r="N17" s="28">
        <f t="shared" si="4"/>
        <v>86.3581665</v>
      </c>
      <c r="O17" s="21">
        <f t="shared" si="5"/>
        <v>63.6418335</v>
      </c>
      <c r="P17" s="19">
        <v>0.0</v>
      </c>
    </row>
    <row r="18">
      <c r="A18" s="1" t="s">
        <v>509</v>
      </c>
      <c r="D18" s="6">
        <v>60.42</v>
      </c>
      <c r="E18" s="6">
        <v>33.71</v>
      </c>
      <c r="H18">
        <f t="shared" si="1"/>
        <v>94.13</v>
      </c>
      <c r="J18" s="8">
        <f t="shared" si="2"/>
        <v>64.18782535</v>
      </c>
      <c r="K18">
        <f t="shared" si="3"/>
        <v>35.81217465</v>
      </c>
      <c r="L18">
        <f t="shared" si="6"/>
        <v>0</v>
      </c>
      <c r="N18" s="28">
        <f t="shared" si="4"/>
        <v>82.09391267</v>
      </c>
      <c r="O18" s="21">
        <f t="shared" si="5"/>
        <v>67.90608733</v>
      </c>
      <c r="P18" s="19">
        <v>0.0</v>
      </c>
    </row>
    <row r="19">
      <c r="A19" s="14" t="s">
        <v>510</v>
      </c>
      <c r="D19" s="6">
        <v>60.17</v>
      </c>
      <c r="E19" s="6">
        <v>34.7</v>
      </c>
      <c r="H19">
        <f t="shared" si="1"/>
        <v>94.87</v>
      </c>
      <c r="J19" s="8">
        <f t="shared" si="2"/>
        <v>63.42363234</v>
      </c>
      <c r="K19">
        <f t="shared" si="3"/>
        <v>36.57636766</v>
      </c>
      <c r="L19">
        <f t="shared" si="6"/>
        <v>0</v>
      </c>
      <c r="N19" s="28">
        <f t="shared" si="4"/>
        <v>81.71181617</v>
      </c>
      <c r="O19" s="21">
        <f t="shared" si="5"/>
        <v>68.28818383</v>
      </c>
      <c r="P19" s="19">
        <v>0.0</v>
      </c>
    </row>
    <row r="20">
      <c r="A20" s="14" t="s">
        <v>511</v>
      </c>
      <c r="D20" s="6">
        <v>47.55</v>
      </c>
      <c r="E20" s="6">
        <v>44.33</v>
      </c>
      <c r="H20">
        <f t="shared" si="1"/>
        <v>91.88</v>
      </c>
      <c r="J20" s="8">
        <f t="shared" si="2"/>
        <v>51.75228559</v>
      </c>
      <c r="K20">
        <f t="shared" si="3"/>
        <v>48.24771441</v>
      </c>
      <c r="L20">
        <f t="shared" si="6"/>
        <v>0</v>
      </c>
      <c r="N20" s="28">
        <f t="shared" si="4"/>
        <v>75.87614279</v>
      </c>
      <c r="O20" s="21">
        <f t="shared" si="5"/>
        <v>74.12385721</v>
      </c>
      <c r="P20" s="19">
        <v>0.0</v>
      </c>
    </row>
    <row r="21">
      <c r="A21" s="14" t="s">
        <v>512</v>
      </c>
      <c r="D21" s="6">
        <v>33.84</v>
      </c>
      <c r="E21" s="6">
        <v>19.47</v>
      </c>
      <c r="F21" s="6">
        <v>28.97</v>
      </c>
      <c r="G21" s="6">
        <v>8.87</v>
      </c>
      <c r="H21">
        <f t="shared" si="1"/>
        <v>91.15</v>
      </c>
      <c r="J21" s="8">
        <f t="shared" si="2"/>
        <v>37.12561711</v>
      </c>
      <c r="K21">
        <f t="shared" si="3"/>
        <v>21.36039495</v>
      </c>
      <c r="L21">
        <f t="shared" si="6"/>
        <v>31.78277564</v>
      </c>
      <c r="M21" s="1" t="s">
        <v>513</v>
      </c>
      <c r="N21" s="21">
        <f>J21+K21*0.33+L21*0.66</f>
        <v>65.15117937</v>
      </c>
      <c r="O21" s="21">
        <f>K21+J21*0.33+L21*0.33</f>
        <v>44.10016456</v>
      </c>
      <c r="P21" s="28">
        <f>L21+J21*0.66+K21*0.66</f>
        <v>70.38354361</v>
      </c>
    </row>
    <row r="22">
      <c r="A22" s="14" t="s">
        <v>514</v>
      </c>
      <c r="D22" s="6">
        <v>52.55</v>
      </c>
      <c r="E22" s="6">
        <v>39.57</v>
      </c>
      <c r="H22">
        <f t="shared" si="1"/>
        <v>92.12</v>
      </c>
      <c r="J22" s="8">
        <f t="shared" si="2"/>
        <v>57.04515849</v>
      </c>
      <c r="K22">
        <f t="shared" si="3"/>
        <v>42.95484151</v>
      </c>
      <c r="L22">
        <f t="shared" si="6"/>
        <v>0</v>
      </c>
      <c r="M22" s="1"/>
      <c r="N22" s="28">
        <f t="shared" ref="N22:N23" si="7">J22+K22*0.5</f>
        <v>78.52257924</v>
      </c>
      <c r="O22" s="21">
        <f t="shared" ref="O22:O23" si="8">K22+J22*0.5</f>
        <v>71.47742076</v>
      </c>
      <c r="P22" s="19">
        <v>0.0</v>
      </c>
    </row>
    <row r="23">
      <c r="A23" s="1" t="s">
        <v>515</v>
      </c>
      <c r="D23" s="6">
        <v>55.14</v>
      </c>
      <c r="E23" s="6">
        <v>40.27</v>
      </c>
      <c r="H23">
        <f t="shared" si="1"/>
        <v>95.41</v>
      </c>
      <c r="J23" s="8">
        <f t="shared" si="2"/>
        <v>57.79268421</v>
      </c>
      <c r="K23">
        <f t="shared" si="3"/>
        <v>42.20731579</v>
      </c>
      <c r="L23">
        <f t="shared" si="6"/>
        <v>0</v>
      </c>
      <c r="M23" s="1"/>
      <c r="N23" s="28">
        <f t="shared" si="7"/>
        <v>78.8963421</v>
      </c>
      <c r="O23" s="21">
        <f t="shared" si="8"/>
        <v>71.1036579</v>
      </c>
      <c r="P23" s="19">
        <v>0.0</v>
      </c>
    </row>
    <row r="24">
      <c r="A24" s="1" t="s">
        <v>516</v>
      </c>
      <c r="D24" s="6">
        <v>41.25</v>
      </c>
      <c r="E24" s="6">
        <v>33.77</v>
      </c>
      <c r="F24" s="6">
        <v>15.91</v>
      </c>
      <c r="H24">
        <f t="shared" si="1"/>
        <v>90.93</v>
      </c>
      <c r="J24" s="8">
        <f t="shared" si="2"/>
        <v>45.36456615</v>
      </c>
      <c r="K24">
        <f t="shared" si="3"/>
        <v>37.13845815</v>
      </c>
      <c r="L24">
        <f t="shared" si="6"/>
        <v>17.4969757</v>
      </c>
      <c r="M24" s="1" t="s">
        <v>517</v>
      </c>
      <c r="N24" s="21">
        <f>J24+K24*0.33+L24*0.33</f>
        <v>63.39425932</v>
      </c>
      <c r="O24" s="21">
        <f>K24+J24*0.33+L24*0.66</f>
        <v>63.65676894</v>
      </c>
      <c r="P24" s="28">
        <f>L24+J24*0.66+K24*0.66</f>
        <v>71.94897174</v>
      </c>
    </row>
    <row r="25">
      <c r="A25" s="1" t="s">
        <v>518</v>
      </c>
      <c r="D25" s="6">
        <v>64.87</v>
      </c>
      <c r="E25" s="6">
        <v>28.5</v>
      </c>
      <c r="H25">
        <f t="shared" si="1"/>
        <v>93.37</v>
      </c>
      <c r="J25" s="8">
        <f t="shared" si="2"/>
        <v>69.47627718</v>
      </c>
      <c r="K25">
        <f t="shared" si="3"/>
        <v>30.52372282</v>
      </c>
      <c r="L25">
        <f t="shared" si="6"/>
        <v>0</v>
      </c>
      <c r="M25" s="1"/>
      <c r="N25" s="28">
        <f t="shared" ref="N25:N26" si="9">J25+K25*0.5</f>
        <v>84.73813859</v>
      </c>
      <c r="O25" s="21">
        <f t="shared" ref="O25:O26" si="10">K25+J25*0.5</f>
        <v>65.26186141</v>
      </c>
      <c r="P25" s="19">
        <v>0.0</v>
      </c>
    </row>
    <row r="26">
      <c r="A26" s="14" t="s">
        <v>519</v>
      </c>
      <c r="D26" s="6">
        <v>66.08</v>
      </c>
      <c r="E26" s="6">
        <v>28.1</v>
      </c>
      <c r="H26">
        <f t="shared" si="1"/>
        <v>94.18</v>
      </c>
      <c r="J26" s="8">
        <f t="shared" si="2"/>
        <v>70.16351667</v>
      </c>
      <c r="K26">
        <f t="shared" si="3"/>
        <v>29.83648333</v>
      </c>
      <c r="L26">
        <f t="shared" si="6"/>
        <v>0</v>
      </c>
      <c r="M26" s="1"/>
      <c r="N26" s="28">
        <f t="shared" si="9"/>
        <v>85.08175834</v>
      </c>
      <c r="O26" s="21">
        <f t="shared" si="10"/>
        <v>64.91824166</v>
      </c>
      <c r="P26" s="19">
        <v>0.0</v>
      </c>
    </row>
    <row r="27">
      <c r="A27" s="1" t="s">
        <v>520</v>
      </c>
      <c r="D27" s="6">
        <v>40.09</v>
      </c>
      <c r="E27" s="6">
        <v>18.12</v>
      </c>
      <c r="F27" s="6">
        <v>32.91</v>
      </c>
      <c r="H27">
        <f t="shared" si="1"/>
        <v>91.12</v>
      </c>
      <c r="J27" s="8">
        <f t="shared" si="2"/>
        <v>43.99692713</v>
      </c>
      <c r="K27">
        <f t="shared" si="3"/>
        <v>19.88586479</v>
      </c>
      <c r="L27">
        <f t="shared" si="6"/>
        <v>36.11720808</v>
      </c>
      <c r="M27" s="1" t="s">
        <v>521</v>
      </c>
      <c r="N27" s="21">
        <f>J27+K27*0.33+L27*0.33</f>
        <v>62.47794118</v>
      </c>
      <c r="O27" s="21">
        <f>K27+J27*0.33+L27*0.66</f>
        <v>58.24220808</v>
      </c>
      <c r="P27" s="28">
        <f>L27+J27*0.66+K27*0.66</f>
        <v>78.27985075</v>
      </c>
    </row>
    <row r="28">
      <c r="A28" s="1" t="s">
        <v>522</v>
      </c>
      <c r="D28" s="6">
        <v>53.35</v>
      </c>
      <c r="E28" s="6">
        <v>18.32</v>
      </c>
      <c r="F28" s="6">
        <v>16.12</v>
      </c>
      <c r="H28">
        <f t="shared" si="1"/>
        <v>87.79</v>
      </c>
      <c r="J28" s="8">
        <f t="shared" si="2"/>
        <v>60.77001936</v>
      </c>
      <c r="K28">
        <f t="shared" si="3"/>
        <v>20.86798041</v>
      </c>
      <c r="L28" s="1">
        <v>0.0</v>
      </c>
      <c r="N28" s="28">
        <f t="shared" ref="N28:N35" si="11">J28+K28*0.5</f>
        <v>71.20400957</v>
      </c>
      <c r="O28" s="21">
        <f t="shared" ref="O28:O35" si="12">K28+J28*0.5</f>
        <v>51.25299009</v>
      </c>
      <c r="P28" s="19">
        <v>0.0</v>
      </c>
    </row>
    <row r="29">
      <c r="A29" s="1" t="s">
        <v>523</v>
      </c>
      <c r="D29" s="6">
        <v>55.32</v>
      </c>
      <c r="E29" s="6">
        <v>35.48</v>
      </c>
      <c r="H29">
        <f t="shared" si="1"/>
        <v>90.8</v>
      </c>
      <c r="J29" s="8">
        <f t="shared" si="2"/>
        <v>60.92511013</v>
      </c>
      <c r="K29">
        <f t="shared" si="3"/>
        <v>39.07488987</v>
      </c>
      <c r="L29">
        <f t="shared" ref="L29:L35" si="13">DIVIDE(100*F29,H29)</f>
        <v>0</v>
      </c>
      <c r="N29" s="28">
        <f t="shared" si="11"/>
        <v>80.46255507</v>
      </c>
      <c r="O29" s="21">
        <f t="shared" si="12"/>
        <v>69.53744493</v>
      </c>
      <c r="P29" s="19">
        <v>0.0</v>
      </c>
    </row>
    <row r="30">
      <c r="A30" s="14" t="s">
        <v>524</v>
      </c>
      <c r="D30" s="6">
        <v>49.29</v>
      </c>
      <c r="E30" s="6">
        <v>41.44</v>
      </c>
      <c r="H30">
        <f t="shared" si="1"/>
        <v>90.73</v>
      </c>
      <c r="J30" s="8">
        <f t="shared" si="2"/>
        <v>54.32602226</v>
      </c>
      <c r="K30">
        <f t="shared" si="3"/>
        <v>45.67397774</v>
      </c>
      <c r="L30">
        <f t="shared" si="13"/>
        <v>0</v>
      </c>
      <c r="N30" s="28">
        <f t="shared" si="11"/>
        <v>77.16301113</v>
      </c>
      <c r="O30" s="21">
        <f t="shared" si="12"/>
        <v>72.83698887</v>
      </c>
      <c r="P30" s="19">
        <v>0.0</v>
      </c>
    </row>
    <row r="31">
      <c r="A31" s="14" t="s">
        <v>525</v>
      </c>
      <c r="D31" s="6">
        <v>59.95</v>
      </c>
      <c r="E31" s="6">
        <v>32.94</v>
      </c>
      <c r="H31">
        <f t="shared" si="1"/>
        <v>92.89</v>
      </c>
      <c r="J31" s="8">
        <f t="shared" si="2"/>
        <v>64.53870169</v>
      </c>
      <c r="K31">
        <f t="shared" si="3"/>
        <v>35.46129831</v>
      </c>
      <c r="L31">
        <f t="shared" si="13"/>
        <v>0</v>
      </c>
      <c r="N31" s="28">
        <f t="shared" si="11"/>
        <v>82.26935085</v>
      </c>
      <c r="O31" s="21">
        <f t="shared" si="12"/>
        <v>67.73064915</v>
      </c>
      <c r="P31" s="19">
        <v>0.0</v>
      </c>
    </row>
    <row r="32">
      <c r="A32" s="1" t="s">
        <v>526</v>
      </c>
      <c r="D32" s="6">
        <v>65.59</v>
      </c>
      <c r="E32" s="6">
        <v>25.34</v>
      </c>
      <c r="H32">
        <f t="shared" si="1"/>
        <v>90.93</v>
      </c>
      <c r="J32" s="8">
        <f t="shared" si="2"/>
        <v>72.13240955</v>
      </c>
      <c r="K32">
        <f t="shared" si="3"/>
        <v>27.86759045</v>
      </c>
      <c r="L32">
        <f t="shared" si="13"/>
        <v>0</v>
      </c>
      <c r="N32" s="28">
        <f t="shared" si="11"/>
        <v>86.06620477</v>
      </c>
      <c r="O32" s="21">
        <f t="shared" si="12"/>
        <v>63.93379523</v>
      </c>
      <c r="P32" s="19">
        <v>0.0</v>
      </c>
    </row>
    <row r="33">
      <c r="A33" s="1" t="s">
        <v>527</v>
      </c>
      <c r="D33" s="6">
        <v>57.09</v>
      </c>
      <c r="E33" s="6">
        <v>34.78</v>
      </c>
      <c r="H33">
        <f t="shared" si="1"/>
        <v>91.87</v>
      </c>
      <c r="J33" s="8">
        <f t="shared" si="2"/>
        <v>62.1421574</v>
      </c>
      <c r="K33">
        <f t="shared" si="3"/>
        <v>37.8578426</v>
      </c>
      <c r="L33">
        <f t="shared" si="13"/>
        <v>0</v>
      </c>
      <c r="N33" s="28">
        <f t="shared" si="11"/>
        <v>81.0710787</v>
      </c>
      <c r="O33" s="21">
        <f t="shared" si="12"/>
        <v>68.9289213</v>
      </c>
      <c r="P33" s="19">
        <v>0.0</v>
      </c>
    </row>
    <row r="34">
      <c r="A34" s="1" t="s">
        <v>528</v>
      </c>
      <c r="D34" s="6">
        <v>55.78</v>
      </c>
      <c r="E34" s="6">
        <v>38.41</v>
      </c>
      <c r="H34">
        <f t="shared" si="1"/>
        <v>94.19</v>
      </c>
      <c r="J34" s="8">
        <f t="shared" si="2"/>
        <v>59.22072407</v>
      </c>
      <c r="K34">
        <f t="shared" si="3"/>
        <v>40.77927593</v>
      </c>
      <c r="L34">
        <f t="shared" si="13"/>
        <v>0</v>
      </c>
      <c r="N34" s="28">
        <f t="shared" si="11"/>
        <v>79.61036203</v>
      </c>
      <c r="O34" s="21">
        <f t="shared" si="12"/>
        <v>70.38963797</v>
      </c>
      <c r="P34" s="19">
        <v>0.0</v>
      </c>
    </row>
    <row r="35">
      <c r="A35" s="14" t="s">
        <v>529</v>
      </c>
      <c r="D35" s="6">
        <v>58.98</v>
      </c>
      <c r="E35" s="6">
        <v>34.42</v>
      </c>
      <c r="H35">
        <f t="shared" si="1"/>
        <v>93.4</v>
      </c>
      <c r="J35" s="8">
        <f t="shared" si="2"/>
        <v>63.14775161</v>
      </c>
      <c r="K35">
        <f t="shared" si="3"/>
        <v>36.85224839</v>
      </c>
      <c r="L35">
        <f t="shared" si="13"/>
        <v>0</v>
      </c>
      <c r="N35" s="28">
        <f t="shared" si="11"/>
        <v>81.5738758</v>
      </c>
      <c r="O35" s="21">
        <f t="shared" si="12"/>
        <v>68.4261242</v>
      </c>
      <c r="P35" s="19">
        <v>0.0</v>
      </c>
    </row>
  </sheetData>
  <mergeCells count="2">
    <mergeCell ref="D8:F8"/>
    <mergeCell ref="J8:L8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K2" s="1" t="s">
        <v>503</v>
      </c>
      <c r="L2" s="1" t="s">
        <v>504</v>
      </c>
      <c r="M2" s="1" t="s">
        <v>5</v>
      </c>
      <c r="N2" s="1" t="s">
        <v>3</v>
      </c>
    </row>
    <row r="3">
      <c r="A3" s="6" t="s">
        <v>503</v>
      </c>
      <c r="B3" s="1" t="s">
        <v>505</v>
      </c>
      <c r="C3" s="1">
        <v>1.0</v>
      </c>
      <c r="D3" s="1">
        <v>1.0</v>
      </c>
      <c r="J3" s="6" t="s">
        <v>503</v>
      </c>
      <c r="K3" s="1">
        <v>1.0</v>
      </c>
      <c r="L3" s="1">
        <v>4.0</v>
      </c>
      <c r="M3" s="1">
        <v>3.0</v>
      </c>
      <c r="N3" s="1">
        <v>2.0</v>
      </c>
    </row>
    <row r="4">
      <c r="A4" s="1" t="s">
        <v>504</v>
      </c>
      <c r="C4" s="1">
        <v>0.0</v>
      </c>
      <c r="D4" s="1">
        <v>0.0</v>
      </c>
      <c r="J4" s="1" t="s">
        <v>504</v>
      </c>
      <c r="K4" s="1">
        <v>4.0</v>
      </c>
      <c r="L4" s="1">
        <v>1.0</v>
      </c>
      <c r="M4" s="1">
        <v>3.0</v>
      </c>
      <c r="N4" s="1">
        <v>2.0</v>
      </c>
    </row>
    <row r="5">
      <c r="A5" s="1" t="s">
        <v>5</v>
      </c>
      <c r="B5" s="1" t="s">
        <v>6</v>
      </c>
      <c r="C5" s="1">
        <v>0.0</v>
      </c>
      <c r="D5" s="1">
        <v>0.0</v>
      </c>
      <c r="J5" s="1" t="s">
        <v>5</v>
      </c>
      <c r="K5" s="1">
        <v>3.0</v>
      </c>
      <c r="L5" s="1">
        <v>2.0</v>
      </c>
      <c r="M5" s="1">
        <v>1.0</v>
      </c>
      <c r="N5" s="1">
        <v>4.0</v>
      </c>
    </row>
    <row r="6">
      <c r="A6" s="1" t="s">
        <v>3</v>
      </c>
      <c r="B6" s="1" t="s">
        <v>4</v>
      </c>
      <c r="C6" s="1">
        <v>0.0</v>
      </c>
      <c r="D6" s="1">
        <v>0.0</v>
      </c>
      <c r="J6" s="1" t="s">
        <v>3</v>
      </c>
      <c r="K6" s="1">
        <v>2.0</v>
      </c>
      <c r="L6" s="1">
        <v>3.0</v>
      </c>
      <c r="M6" s="1">
        <v>4.0</v>
      </c>
      <c r="N6" s="1">
        <v>1.0</v>
      </c>
    </row>
    <row r="8">
      <c r="A8" s="1" t="s">
        <v>8</v>
      </c>
      <c r="B8" s="1"/>
      <c r="C8" s="1"/>
      <c r="D8" s="1" t="s">
        <v>9</v>
      </c>
      <c r="G8" s="1"/>
      <c r="H8" s="1"/>
      <c r="I8" s="1"/>
      <c r="J8" s="1" t="s">
        <v>11</v>
      </c>
      <c r="N8" s="1"/>
    </row>
    <row r="9">
      <c r="B9" s="1"/>
      <c r="C9" s="1"/>
      <c r="D9" s="6" t="s">
        <v>503</v>
      </c>
      <c r="E9" s="1" t="s">
        <v>504</v>
      </c>
      <c r="F9" s="1" t="s">
        <v>5</v>
      </c>
      <c r="G9" s="1" t="s">
        <v>3</v>
      </c>
      <c r="H9" s="1" t="s">
        <v>14</v>
      </c>
      <c r="I9" s="1"/>
      <c r="J9" s="6" t="s">
        <v>503</v>
      </c>
      <c r="K9" s="1" t="s">
        <v>504</v>
      </c>
      <c r="L9" s="1" t="s">
        <v>5</v>
      </c>
      <c r="M9" s="1" t="s">
        <v>3</v>
      </c>
      <c r="O9" s="6" t="s">
        <v>503</v>
      </c>
      <c r="P9" s="1" t="s">
        <v>504</v>
      </c>
      <c r="Q9" s="1" t="s">
        <v>5</v>
      </c>
      <c r="R9" s="1" t="s">
        <v>3</v>
      </c>
    </row>
    <row r="10">
      <c r="B10" s="1"/>
      <c r="C10" s="1"/>
      <c r="D10" s="1"/>
      <c r="J10" s="1"/>
    </row>
    <row r="11">
      <c r="A11" s="1" t="s">
        <v>81</v>
      </c>
      <c r="B11" s="1"/>
      <c r="C11" s="1"/>
      <c r="D11" s="6">
        <v>52.79</v>
      </c>
      <c r="E11" s="6">
        <v>39.33</v>
      </c>
      <c r="F11" s="6">
        <v>2.32</v>
      </c>
      <c r="G11" s="6">
        <v>2.35</v>
      </c>
      <c r="H11">
        <f>SUM(D11,E11,F11,G11)</f>
        <v>96.79</v>
      </c>
      <c r="J11">
        <f>DIVIDE(100*D11,H11)</f>
        <v>54.54075834</v>
      </c>
      <c r="K11" s="8">
        <f>DIVIDE(100*E11,H11)</f>
        <v>40.63436305</v>
      </c>
      <c r="L11">
        <f>DIVIDE(100*F11,H11)</f>
        <v>2.396941833</v>
      </c>
      <c r="M11">
        <f>DIVIDE(100*G11,H11)</f>
        <v>2.42793677</v>
      </c>
      <c r="O11" s="5">
        <f>1*J11+0.25*K11+0.5*L11+0.75*M11</f>
        <v>67.7187726</v>
      </c>
      <c r="P11" s="48">
        <f>0.25*J11+1*K11+0.75*L11+0.5*M11</f>
        <v>57.2812274</v>
      </c>
      <c r="Q11" s="48">
        <f>0.5*J11+0.5*K11+1*L11+0.25*M11</f>
        <v>50.59148672</v>
      </c>
      <c r="R11" s="48">
        <f>0.75*J11+0.5*K11+0.25*L11+1*M11</f>
        <v>64.24992251</v>
      </c>
    </row>
    <row r="12">
      <c r="A12" s="1"/>
      <c r="B12" s="1"/>
      <c r="C12" s="1"/>
      <c r="D12" s="1"/>
      <c r="E12" s="1"/>
      <c r="F12" s="1"/>
    </row>
    <row r="13">
      <c r="A13" s="1"/>
      <c r="B13" s="1"/>
      <c r="D13" s="1"/>
      <c r="E13" s="1"/>
      <c r="F13" s="1"/>
    </row>
    <row r="14">
      <c r="A14" s="1"/>
      <c r="B14" s="1"/>
      <c r="D14" s="1"/>
      <c r="E14" s="1"/>
      <c r="F14" s="1"/>
    </row>
    <row r="15">
      <c r="A15" s="1"/>
      <c r="B15" s="1"/>
      <c r="D15" s="1"/>
      <c r="E15" s="1"/>
      <c r="F15" s="1"/>
    </row>
  </sheetData>
  <mergeCells count="3">
    <mergeCell ref="D8:F8"/>
    <mergeCell ref="J8:L8"/>
    <mergeCell ref="N8:R8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</row>
    <row r="3">
      <c r="A3" s="1" t="s">
        <v>533</v>
      </c>
      <c r="B3" s="1" t="s">
        <v>4</v>
      </c>
      <c r="D3" s="1">
        <v>0.0</v>
      </c>
      <c r="K3" s="1"/>
    </row>
    <row r="4">
      <c r="A4" s="1" t="s">
        <v>446</v>
      </c>
      <c r="B4" s="1"/>
      <c r="D4" s="1">
        <v>30.0</v>
      </c>
    </row>
    <row r="5">
      <c r="A5" s="1" t="s">
        <v>3</v>
      </c>
      <c r="B5" s="1" t="s">
        <v>4</v>
      </c>
      <c r="D5" s="1">
        <v>8.0</v>
      </c>
    </row>
    <row r="6">
      <c r="A6" s="1" t="s">
        <v>447</v>
      </c>
      <c r="B6" s="1" t="s">
        <v>535</v>
      </c>
      <c r="C6" s="1"/>
      <c r="D6" s="1">
        <v>0.0</v>
      </c>
    </row>
    <row r="7">
      <c r="A7" s="1" t="s">
        <v>536</v>
      </c>
      <c r="B7" s="1" t="s">
        <v>4</v>
      </c>
      <c r="C7" s="1" t="s">
        <v>537</v>
      </c>
      <c r="P7" s="1" t="s">
        <v>538</v>
      </c>
      <c r="Q7" s="1" t="s">
        <v>446</v>
      </c>
      <c r="R7" s="1" t="s">
        <v>539</v>
      </c>
      <c r="S7" s="1" t="s">
        <v>5</v>
      </c>
    </row>
    <row r="8">
      <c r="A8" s="1" t="s">
        <v>540</v>
      </c>
      <c r="B8" s="1" t="s">
        <v>4</v>
      </c>
      <c r="D8" s="1">
        <v>1.0</v>
      </c>
      <c r="F8" s="1"/>
      <c r="K8" s="1"/>
      <c r="O8" s="1" t="s">
        <v>538</v>
      </c>
      <c r="P8" s="1">
        <v>1.0</v>
      </c>
      <c r="Q8" s="1">
        <v>3.0</v>
      </c>
      <c r="R8" s="1">
        <v>2.0</v>
      </c>
      <c r="S8" s="1">
        <v>4.0</v>
      </c>
    </row>
    <row r="9">
      <c r="A9" s="1" t="s">
        <v>5</v>
      </c>
      <c r="B9" s="1" t="s">
        <v>6</v>
      </c>
      <c r="C9" s="1"/>
      <c r="D9" s="1">
        <v>0.0</v>
      </c>
      <c r="O9" s="1" t="s">
        <v>446</v>
      </c>
      <c r="P9" s="1">
        <v>2.0</v>
      </c>
      <c r="Q9" s="1">
        <v>1.0</v>
      </c>
      <c r="R9" s="1">
        <v>4.0</v>
      </c>
      <c r="S9" s="1">
        <v>3.0</v>
      </c>
    </row>
    <row r="10">
      <c r="A10" s="1" t="s">
        <v>541</v>
      </c>
      <c r="D10" s="1">
        <v>0.0</v>
      </c>
      <c r="O10" s="1" t="s">
        <v>539</v>
      </c>
      <c r="P10" s="1">
        <v>3.0</v>
      </c>
      <c r="Q10" s="1">
        <v>4.0</v>
      </c>
      <c r="R10" s="1">
        <v>1.0</v>
      </c>
      <c r="S10" s="1">
        <v>2.0</v>
      </c>
    </row>
    <row r="11">
      <c r="A11" s="1" t="s">
        <v>336</v>
      </c>
      <c r="B11" s="1" t="s">
        <v>535</v>
      </c>
      <c r="D11" s="1">
        <v>0.0</v>
      </c>
      <c r="O11" s="1" t="s">
        <v>5</v>
      </c>
      <c r="P11" s="1">
        <v>4.0</v>
      </c>
      <c r="Q11" s="1">
        <v>3.0</v>
      </c>
      <c r="R11" s="1">
        <v>2.0</v>
      </c>
      <c r="S11" s="1">
        <v>1.0</v>
      </c>
    </row>
    <row r="12">
      <c r="A12" s="1" t="s">
        <v>542</v>
      </c>
      <c r="B12" s="1" t="s">
        <v>535</v>
      </c>
    </row>
    <row r="13">
      <c r="A13" s="1" t="s">
        <v>543</v>
      </c>
      <c r="B13" s="1" t="s">
        <v>535</v>
      </c>
    </row>
    <row r="14">
      <c r="A14" s="1"/>
      <c r="B14" s="1"/>
    </row>
    <row r="15">
      <c r="A15" s="1" t="s">
        <v>8</v>
      </c>
      <c r="B15" s="1"/>
      <c r="C15" s="1"/>
      <c r="D15" s="1" t="s">
        <v>9</v>
      </c>
      <c r="G15" s="1"/>
      <c r="H15" s="1"/>
      <c r="I15" s="1"/>
      <c r="J15" s="1"/>
      <c r="K15" s="1" t="s">
        <v>544</v>
      </c>
      <c r="O15" s="1"/>
      <c r="Q15" s="1" t="s">
        <v>545</v>
      </c>
      <c r="U15" s="1"/>
      <c r="W15" s="1" t="s">
        <v>409</v>
      </c>
    </row>
    <row r="16">
      <c r="B16" s="1"/>
      <c r="C16" s="1"/>
      <c r="D16" s="1" t="s">
        <v>538</v>
      </c>
      <c r="E16" s="1" t="s">
        <v>446</v>
      </c>
      <c r="F16" s="1" t="s">
        <v>539</v>
      </c>
      <c r="G16" s="1" t="s">
        <v>5</v>
      </c>
      <c r="H16" s="1" t="s">
        <v>7</v>
      </c>
      <c r="I16" s="1" t="s">
        <v>45</v>
      </c>
      <c r="J16" s="1"/>
      <c r="K16" s="1" t="s">
        <v>538</v>
      </c>
      <c r="L16" s="1" t="s">
        <v>446</v>
      </c>
      <c r="M16" s="1" t="s">
        <v>447</v>
      </c>
      <c r="N16" s="1" t="s">
        <v>5</v>
      </c>
      <c r="O16" s="1" t="s">
        <v>7</v>
      </c>
      <c r="Q16" s="1" t="s">
        <v>538</v>
      </c>
      <c r="R16" s="1" t="s">
        <v>446</v>
      </c>
      <c r="S16" s="1" t="s">
        <v>447</v>
      </c>
      <c r="T16" s="1" t="s">
        <v>5</v>
      </c>
      <c r="U16" s="1" t="s">
        <v>7</v>
      </c>
      <c r="V16" s="1"/>
      <c r="W16" s="1" t="s">
        <v>538</v>
      </c>
      <c r="X16" s="1" t="s">
        <v>446</v>
      </c>
      <c r="Y16" s="1" t="s">
        <v>447</v>
      </c>
      <c r="Z16" s="1" t="s">
        <v>5</v>
      </c>
    </row>
    <row r="17">
      <c r="B17" s="1"/>
      <c r="C17" s="1"/>
      <c r="D17" s="1"/>
      <c r="Q17" s="58"/>
      <c r="R17" s="58"/>
      <c r="S17" s="58"/>
      <c r="T17" s="58"/>
    </row>
    <row r="18">
      <c r="A18" s="1" t="s">
        <v>546</v>
      </c>
      <c r="B18" s="1">
        <v>1254440.0</v>
      </c>
      <c r="C18" s="1"/>
      <c r="D18" s="6">
        <v>16.32</v>
      </c>
      <c r="E18" s="6">
        <v>50.1</v>
      </c>
      <c r="F18" s="6">
        <v>24.32</v>
      </c>
      <c r="G18" s="1">
        <v>3.5</v>
      </c>
      <c r="H18" s="6">
        <v>0.0</v>
      </c>
      <c r="I18">
        <f t="shared" ref="I18:I56" si="1">SUM(D18,E18,F18,G18,H18)</f>
        <v>94.24</v>
      </c>
      <c r="K18">
        <f t="shared" ref="K18:K56" si="2">DIVIDE(100*D18,I18)</f>
        <v>17.31748727</v>
      </c>
      <c r="L18">
        <f t="shared" ref="L18:L56" si="3">DIVIDE(100*E18,I18)</f>
        <v>53.16213922</v>
      </c>
      <c r="M18">
        <f t="shared" ref="M18:M56" si="4">DIVIDE(100*F18,I18)</f>
        <v>25.80645161</v>
      </c>
      <c r="N18">
        <f t="shared" ref="N18:N56" si="5">DIVIDE(100*G18,I18)</f>
        <v>3.713921902</v>
      </c>
      <c r="O18">
        <f t="shared" ref="O18:O24" si="6">DIVIDE(100*H18,I18)</f>
        <v>0</v>
      </c>
      <c r="Q18" s="58">
        <v>17.317487266553478</v>
      </c>
      <c r="R18" s="58">
        <v>53.16213921901527</v>
      </c>
      <c r="S18" s="58">
        <v>25.806451612903224</v>
      </c>
      <c r="T18" s="57">
        <v>0.0</v>
      </c>
      <c r="U18">
        <v>0.0</v>
      </c>
      <c r="W18">
        <f t="shared" ref="W18:W23" si="7">Q18*1 + R18*0.66 + S18*0.33 </f>
        <v>60.92062818</v>
      </c>
      <c r="X18" s="50">
        <f t="shared" ref="X18:X23" si="8">Q18*0.66 + R18*1 + S18*0.33 </f>
        <v>73.10780985</v>
      </c>
      <c r="Y18" s="48">
        <f t="shared" ref="Y18:Y23" si="9">Q18*0.66 + R18*0.33 + S18*1 </f>
        <v>54.77949915</v>
      </c>
      <c r="Z18" s="48">
        <f t="shared" ref="Z18:Z23" si="10"> T18*1</f>
        <v>0</v>
      </c>
    </row>
    <row r="19">
      <c r="A19" s="1" t="s">
        <v>553</v>
      </c>
      <c r="B19" s="14">
        <v>910114.0</v>
      </c>
      <c r="C19" s="1"/>
      <c r="D19" s="6">
        <v>9.55</v>
      </c>
      <c r="E19" s="6">
        <v>44.67</v>
      </c>
      <c r="F19" s="1">
        <v>33.72</v>
      </c>
      <c r="G19" s="6">
        <v>2.66</v>
      </c>
      <c r="H19" s="6">
        <v>2.61</v>
      </c>
      <c r="I19">
        <f t="shared" si="1"/>
        <v>93.21</v>
      </c>
      <c r="K19">
        <f t="shared" si="2"/>
        <v>10.24568179</v>
      </c>
      <c r="L19">
        <f t="shared" si="3"/>
        <v>47.92404248</v>
      </c>
      <c r="M19">
        <f t="shared" si="4"/>
        <v>36.17637593</v>
      </c>
      <c r="N19">
        <f t="shared" si="5"/>
        <v>2.853771055</v>
      </c>
      <c r="O19">
        <f t="shared" si="6"/>
        <v>2.800128742</v>
      </c>
      <c r="Q19" s="58">
        <v>10.245681793798951</v>
      </c>
      <c r="R19" s="58">
        <v>47.92404248471195</v>
      </c>
      <c r="S19" s="58">
        <v>36.1763759253299</v>
      </c>
      <c r="T19" s="57">
        <v>0.0</v>
      </c>
      <c r="U19" s="1">
        <v>0.0</v>
      </c>
      <c r="W19">
        <f t="shared" si="7"/>
        <v>53.81375389</v>
      </c>
      <c r="X19" s="50">
        <f t="shared" si="8"/>
        <v>66.62439652</v>
      </c>
      <c r="Y19" s="48">
        <f t="shared" si="9"/>
        <v>58.75345993</v>
      </c>
      <c r="Z19" s="48">
        <f t="shared" si="10"/>
        <v>0</v>
      </c>
    </row>
    <row r="20">
      <c r="A20" s="14" t="s">
        <v>554</v>
      </c>
      <c r="B20" s="14">
        <v>1071409.0</v>
      </c>
      <c r="D20" s="6">
        <v>23.79</v>
      </c>
      <c r="E20" s="6">
        <v>40.03</v>
      </c>
      <c r="F20" s="1">
        <v>27.54</v>
      </c>
      <c r="G20" s="6">
        <v>2.24</v>
      </c>
      <c r="H20" s="1">
        <v>0.0</v>
      </c>
      <c r="I20">
        <f t="shared" si="1"/>
        <v>93.6</v>
      </c>
      <c r="K20">
        <f t="shared" si="2"/>
        <v>25.41666667</v>
      </c>
      <c r="L20">
        <f t="shared" si="3"/>
        <v>42.76709402</v>
      </c>
      <c r="M20">
        <f t="shared" si="4"/>
        <v>29.42307692</v>
      </c>
      <c r="N20">
        <f t="shared" si="5"/>
        <v>2.393162393</v>
      </c>
      <c r="O20">
        <f t="shared" si="6"/>
        <v>0</v>
      </c>
      <c r="Q20" s="58">
        <v>25.416666666666668</v>
      </c>
      <c r="R20" s="58">
        <v>42.76709401709402</v>
      </c>
      <c r="S20" s="58">
        <v>29.423076923076923</v>
      </c>
      <c r="T20" s="57">
        <v>0.0</v>
      </c>
      <c r="U20">
        <v>0.0</v>
      </c>
      <c r="W20">
        <f t="shared" si="7"/>
        <v>63.3525641</v>
      </c>
      <c r="X20" s="50">
        <f t="shared" si="8"/>
        <v>69.2517094</v>
      </c>
      <c r="Y20" s="48">
        <f t="shared" si="9"/>
        <v>60.31121795</v>
      </c>
      <c r="Z20" s="48">
        <f t="shared" si="10"/>
        <v>0</v>
      </c>
    </row>
    <row r="21">
      <c r="A21" s="14" t="s">
        <v>555</v>
      </c>
      <c r="B21" s="14">
        <v>814894.0</v>
      </c>
      <c r="D21" s="1">
        <v>14.08</v>
      </c>
      <c r="E21" s="1">
        <v>40.88</v>
      </c>
      <c r="F21" s="6">
        <v>35.26</v>
      </c>
      <c r="G21" s="1">
        <v>3.19</v>
      </c>
      <c r="H21" s="1">
        <v>0.0</v>
      </c>
      <c r="I21">
        <f t="shared" si="1"/>
        <v>93.41</v>
      </c>
      <c r="K21">
        <f t="shared" si="2"/>
        <v>15.07333262</v>
      </c>
      <c r="L21">
        <f t="shared" si="3"/>
        <v>43.76405096</v>
      </c>
      <c r="M21">
        <f t="shared" si="4"/>
        <v>37.7475645</v>
      </c>
      <c r="N21">
        <f t="shared" si="5"/>
        <v>3.415051922</v>
      </c>
      <c r="O21">
        <f t="shared" si="6"/>
        <v>0</v>
      </c>
      <c r="Q21" s="58">
        <v>15.073332619633872</v>
      </c>
      <c r="R21" s="58">
        <v>43.76405095814153</v>
      </c>
      <c r="S21" s="58">
        <v>37.7475645005888</v>
      </c>
      <c r="T21" s="57">
        <v>0.0</v>
      </c>
      <c r="U21">
        <v>0.0</v>
      </c>
      <c r="W21">
        <f t="shared" si="7"/>
        <v>56.41430254</v>
      </c>
      <c r="X21" s="50">
        <f t="shared" si="8"/>
        <v>66.16914677</v>
      </c>
      <c r="Y21" s="48">
        <f t="shared" si="9"/>
        <v>62.13810085</v>
      </c>
      <c r="Z21" s="48">
        <f t="shared" si="10"/>
        <v>0</v>
      </c>
    </row>
    <row r="22">
      <c r="A22" s="14" t="s">
        <v>557</v>
      </c>
      <c r="B22" s="14">
        <v>1286647.0</v>
      </c>
      <c r="D22" s="6">
        <v>14.54</v>
      </c>
      <c r="E22" s="6">
        <v>42.42</v>
      </c>
      <c r="F22" s="1">
        <v>34.44</v>
      </c>
      <c r="G22" s="1">
        <v>3.03</v>
      </c>
      <c r="H22" s="1">
        <v>0.0</v>
      </c>
      <c r="I22">
        <f t="shared" si="1"/>
        <v>94.43</v>
      </c>
      <c r="K22">
        <f t="shared" si="2"/>
        <v>15.39764905</v>
      </c>
      <c r="L22">
        <f t="shared" si="3"/>
        <v>44.92216457</v>
      </c>
      <c r="M22">
        <f t="shared" si="4"/>
        <v>36.47146034</v>
      </c>
      <c r="N22">
        <f t="shared" si="5"/>
        <v>3.20872604</v>
      </c>
      <c r="O22">
        <f t="shared" si="6"/>
        <v>0</v>
      </c>
      <c r="Q22" s="58">
        <v>15.397649052207983</v>
      </c>
      <c r="R22" s="58">
        <v>44.92216456634544</v>
      </c>
      <c r="S22" s="58">
        <v>36.471460340993325</v>
      </c>
      <c r="T22" s="57">
        <v>0.0</v>
      </c>
      <c r="U22">
        <v>0.0</v>
      </c>
      <c r="W22">
        <f t="shared" si="7"/>
        <v>57.08185958</v>
      </c>
      <c r="X22" s="50">
        <f t="shared" si="8"/>
        <v>67.12019485</v>
      </c>
      <c r="Y22" s="48">
        <f t="shared" si="9"/>
        <v>61.45822302</v>
      </c>
      <c r="Z22" s="48">
        <f t="shared" si="10"/>
        <v>0</v>
      </c>
    </row>
    <row r="23">
      <c r="A23" s="14" t="s">
        <v>558</v>
      </c>
      <c r="B23" s="14">
        <v>1128399.0</v>
      </c>
      <c r="D23" s="6">
        <v>18.33</v>
      </c>
      <c r="E23" s="1">
        <v>44.2</v>
      </c>
      <c r="F23" s="1">
        <v>31.2</v>
      </c>
      <c r="G23" s="1">
        <v>2.95</v>
      </c>
      <c r="H23" s="1">
        <v>0.0</v>
      </c>
      <c r="I23">
        <f t="shared" si="1"/>
        <v>96.68</v>
      </c>
      <c r="K23">
        <f t="shared" si="2"/>
        <v>18.95945387</v>
      </c>
      <c r="L23">
        <f t="shared" si="3"/>
        <v>45.71783202</v>
      </c>
      <c r="M23">
        <f t="shared" si="4"/>
        <v>32.27141084</v>
      </c>
      <c r="N23">
        <f t="shared" si="5"/>
        <v>3.051303269</v>
      </c>
      <c r="O23">
        <f t="shared" si="6"/>
        <v>0</v>
      </c>
      <c r="Q23" s="58">
        <v>18.959453868431936</v>
      </c>
      <c r="R23" s="58">
        <v>45.717832023169215</v>
      </c>
      <c r="S23" s="58">
        <v>32.271410839884155</v>
      </c>
      <c r="T23" s="57">
        <v>0.0</v>
      </c>
      <c r="U23">
        <v>0.0</v>
      </c>
      <c r="W23">
        <f t="shared" si="7"/>
        <v>59.78278858</v>
      </c>
      <c r="X23" s="50">
        <f t="shared" si="8"/>
        <v>68.88063715</v>
      </c>
      <c r="Y23" s="48">
        <f t="shared" si="9"/>
        <v>59.87153496</v>
      </c>
      <c r="Z23" s="48">
        <f t="shared" si="10"/>
        <v>0</v>
      </c>
    </row>
    <row r="24">
      <c r="A24" s="1" t="s">
        <v>560</v>
      </c>
      <c r="B24" s="14">
        <v>1089052.0</v>
      </c>
      <c r="D24" s="6">
        <v>21.45</v>
      </c>
      <c r="E24" s="1">
        <v>45.29</v>
      </c>
      <c r="F24" s="6">
        <v>23.19</v>
      </c>
      <c r="G24" s="1">
        <v>5.17</v>
      </c>
      <c r="H24" s="1">
        <v>0.0</v>
      </c>
      <c r="I24">
        <f t="shared" si="1"/>
        <v>95.1</v>
      </c>
      <c r="K24">
        <f t="shared" si="2"/>
        <v>22.55520505</v>
      </c>
      <c r="L24">
        <f t="shared" si="3"/>
        <v>47.62355415</v>
      </c>
      <c r="M24">
        <f t="shared" si="4"/>
        <v>24.38485804</v>
      </c>
      <c r="N24">
        <f t="shared" si="5"/>
        <v>5.436382755</v>
      </c>
      <c r="O24">
        <f t="shared" si="6"/>
        <v>0</v>
      </c>
      <c r="Q24" s="58">
        <v>22.555205047318612</v>
      </c>
      <c r="R24" s="58">
        <v>47.62355415352261</v>
      </c>
      <c r="S24" s="58">
        <v>24.38485804416404</v>
      </c>
      <c r="T24" s="58">
        <v>5.436382754994742</v>
      </c>
      <c r="U24">
        <v>0.0</v>
      </c>
      <c r="W24" s="5">
        <f>Q24*1 + R24*0.75 + S24*0.5 + T24*0.25</f>
        <v>71.82439537</v>
      </c>
      <c r="X24" s="48">
        <f>Q24*0.5 + R24*1 + S24*0.25 + T24*0.5</f>
        <v>67.71556257</v>
      </c>
      <c r="Y24" s="48">
        <f>Q24*0.75 + R24*0.25 + S24*1 + T24*0.75</f>
        <v>57.28443743</v>
      </c>
      <c r="Z24" s="48">
        <f>Q24*0.25 + R24*0.5 + S24*0.75 + T24*1</f>
        <v>53.17560463</v>
      </c>
    </row>
    <row r="25">
      <c r="A25" s="1" t="s">
        <v>563</v>
      </c>
      <c r="B25" s="1">
        <v>974770.0</v>
      </c>
      <c r="D25" s="6">
        <v>33.26</v>
      </c>
      <c r="E25" s="6">
        <v>39.25</v>
      </c>
      <c r="F25" s="6">
        <v>21.11</v>
      </c>
      <c r="G25" s="1">
        <v>2.22</v>
      </c>
      <c r="H25" s="1">
        <v>0.0</v>
      </c>
      <c r="I25">
        <f t="shared" si="1"/>
        <v>95.84</v>
      </c>
      <c r="K25">
        <f t="shared" si="2"/>
        <v>34.70367279</v>
      </c>
      <c r="L25">
        <f t="shared" si="3"/>
        <v>40.95367279</v>
      </c>
      <c r="M25">
        <f t="shared" si="4"/>
        <v>22.02629382</v>
      </c>
      <c r="N25">
        <f t="shared" si="5"/>
        <v>2.316360601</v>
      </c>
      <c r="O25" s="1">
        <v>0.0</v>
      </c>
      <c r="Q25" s="58">
        <v>34.70367278797997</v>
      </c>
      <c r="R25" s="58">
        <v>40.95367278797997</v>
      </c>
      <c r="S25" s="58">
        <v>22.0262938230384</v>
      </c>
      <c r="T25" s="57">
        <v>0.0</v>
      </c>
      <c r="U25" s="1">
        <v>0.0</v>
      </c>
      <c r="W25">
        <f t="shared" ref="W25:W35" si="11">Q25*1 + R25*0.66 + S25*0.33 </f>
        <v>69.00177379</v>
      </c>
      <c r="X25" s="50">
        <f t="shared" ref="X25:X35" si="12">Q25*0.66 + R25*1 + S25*0.33 </f>
        <v>71.12677379</v>
      </c>
      <c r="Y25" s="48">
        <f t="shared" ref="Y25:Y35" si="13">Q25*0.66 + R25*0.33 + S25*1 </f>
        <v>58.44542988</v>
      </c>
      <c r="Z25" s="48">
        <f t="shared" ref="Z25:Z36" si="14"> T25*1</f>
        <v>0</v>
      </c>
    </row>
    <row r="26">
      <c r="A26" s="1" t="s">
        <v>567</v>
      </c>
      <c r="B26" s="14">
        <v>1068391.0</v>
      </c>
      <c r="D26" s="6">
        <v>21.04</v>
      </c>
      <c r="E26" s="1">
        <v>44.93</v>
      </c>
      <c r="F26" s="6">
        <v>25.61</v>
      </c>
      <c r="G26" s="1">
        <v>3.64</v>
      </c>
      <c r="H26" s="1">
        <v>0.0</v>
      </c>
      <c r="I26">
        <f t="shared" si="1"/>
        <v>95.22</v>
      </c>
      <c r="K26">
        <f t="shared" si="2"/>
        <v>22.09619828</v>
      </c>
      <c r="L26">
        <f t="shared" si="3"/>
        <v>47.18546524</v>
      </c>
      <c r="M26">
        <f t="shared" si="4"/>
        <v>26.89561017</v>
      </c>
      <c r="N26">
        <f t="shared" si="5"/>
        <v>3.822726318</v>
      </c>
      <c r="O26">
        <f t="shared" ref="O26:O56" si="15">DIVIDE(100*H26,I26)</f>
        <v>0</v>
      </c>
      <c r="Q26" s="58">
        <v>22.09619827767276</v>
      </c>
      <c r="R26" s="58">
        <v>47.185465238395295</v>
      </c>
      <c r="S26" s="58">
        <v>26.895610165931526</v>
      </c>
      <c r="T26" s="57">
        <v>0.0</v>
      </c>
      <c r="U26">
        <v>0.0</v>
      </c>
      <c r="W26">
        <f t="shared" si="11"/>
        <v>62.11415669</v>
      </c>
      <c r="X26" s="50">
        <f t="shared" si="12"/>
        <v>70.64450746</v>
      </c>
      <c r="Y26" s="48">
        <f t="shared" si="13"/>
        <v>57.05030456</v>
      </c>
      <c r="Z26" s="48">
        <f t="shared" si="14"/>
        <v>0</v>
      </c>
    </row>
    <row r="27">
      <c r="A27" s="1" t="s">
        <v>569</v>
      </c>
      <c r="B27" s="14">
        <v>1101345.0</v>
      </c>
      <c r="D27" s="6">
        <v>42.46</v>
      </c>
      <c r="E27" s="6">
        <v>35.46</v>
      </c>
      <c r="F27" s="1">
        <v>16.35</v>
      </c>
      <c r="G27" s="1">
        <v>1.4</v>
      </c>
      <c r="H27" s="1">
        <v>0.0</v>
      </c>
      <c r="I27">
        <f t="shared" si="1"/>
        <v>95.67</v>
      </c>
      <c r="K27">
        <f t="shared" si="2"/>
        <v>44.38172886</v>
      </c>
      <c r="L27">
        <f t="shared" si="3"/>
        <v>37.06491063</v>
      </c>
      <c r="M27">
        <f t="shared" si="4"/>
        <v>17.08999686</v>
      </c>
      <c r="N27">
        <f t="shared" si="5"/>
        <v>1.463363646</v>
      </c>
      <c r="O27">
        <f t="shared" si="15"/>
        <v>0</v>
      </c>
      <c r="Q27" s="58">
        <v>44.38172885962161</v>
      </c>
      <c r="R27" s="58">
        <v>37.06491063029162</v>
      </c>
      <c r="S27" s="58">
        <v>17.08999686422076</v>
      </c>
      <c r="T27" s="57">
        <v>0.0</v>
      </c>
      <c r="U27">
        <v>0.0</v>
      </c>
      <c r="W27" s="5">
        <f t="shared" si="11"/>
        <v>74.48426884</v>
      </c>
      <c r="X27" s="48">
        <f t="shared" si="12"/>
        <v>71.99655064</v>
      </c>
      <c r="Y27" s="48">
        <f t="shared" si="13"/>
        <v>58.61335842</v>
      </c>
      <c r="Z27" s="48">
        <f t="shared" si="14"/>
        <v>0</v>
      </c>
    </row>
    <row r="28">
      <c r="A28" s="1" t="s">
        <v>570</v>
      </c>
      <c r="B28" s="14">
        <v>1067447.0</v>
      </c>
      <c r="D28" s="6">
        <v>14.78</v>
      </c>
      <c r="E28" s="6">
        <v>46.86</v>
      </c>
      <c r="F28" s="6">
        <v>31.08</v>
      </c>
      <c r="G28" s="1">
        <v>1.67</v>
      </c>
      <c r="H28" s="1">
        <v>0.0</v>
      </c>
      <c r="I28">
        <f t="shared" si="1"/>
        <v>94.39</v>
      </c>
      <c r="K28">
        <f t="shared" si="2"/>
        <v>15.65843839</v>
      </c>
      <c r="L28">
        <f t="shared" si="3"/>
        <v>49.64508952</v>
      </c>
      <c r="M28">
        <f t="shared" si="4"/>
        <v>32.92721687</v>
      </c>
      <c r="N28">
        <f t="shared" si="5"/>
        <v>1.769255218</v>
      </c>
      <c r="O28">
        <f t="shared" si="15"/>
        <v>0</v>
      </c>
      <c r="Q28" s="58">
        <v>15.658438393897658</v>
      </c>
      <c r="R28" s="58">
        <v>49.64508952219515</v>
      </c>
      <c r="S28" s="58">
        <v>32.927216866193454</v>
      </c>
      <c r="T28" s="57">
        <v>0.0</v>
      </c>
      <c r="U28">
        <v>0.0</v>
      </c>
      <c r="W28">
        <f t="shared" si="11"/>
        <v>59.29017904</v>
      </c>
      <c r="X28" s="50">
        <f t="shared" si="12"/>
        <v>70.84564043</v>
      </c>
      <c r="Y28" s="48">
        <f t="shared" si="13"/>
        <v>59.64466575</v>
      </c>
      <c r="Z28" s="48">
        <f t="shared" si="14"/>
        <v>0</v>
      </c>
    </row>
    <row r="29">
      <c r="A29" s="1" t="s">
        <v>571</v>
      </c>
      <c r="B29" s="14">
        <v>1096046.0</v>
      </c>
      <c r="D29" s="6">
        <v>23.1</v>
      </c>
      <c r="E29" s="1">
        <v>45.85</v>
      </c>
      <c r="F29" s="6">
        <v>23.61</v>
      </c>
      <c r="G29" s="6">
        <v>2.53</v>
      </c>
      <c r="H29" s="1">
        <v>0.0</v>
      </c>
      <c r="I29">
        <f t="shared" si="1"/>
        <v>95.09</v>
      </c>
      <c r="K29">
        <f t="shared" si="2"/>
        <v>24.29277527</v>
      </c>
      <c r="L29">
        <f t="shared" si="3"/>
        <v>48.21747818</v>
      </c>
      <c r="M29">
        <f t="shared" si="4"/>
        <v>24.82910926</v>
      </c>
      <c r="N29">
        <f t="shared" si="5"/>
        <v>2.660637291</v>
      </c>
      <c r="O29">
        <f t="shared" si="15"/>
        <v>0</v>
      </c>
      <c r="Q29" s="58">
        <v>24.292775265537912</v>
      </c>
      <c r="R29" s="58">
        <v>48.217478178567674</v>
      </c>
      <c r="S29" s="58">
        <v>24.82910926490693</v>
      </c>
      <c r="T29" s="57">
        <v>0.0</v>
      </c>
      <c r="U29">
        <v>0.0</v>
      </c>
      <c r="W29">
        <f t="shared" si="11"/>
        <v>64.30991692</v>
      </c>
      <c r="X29" s="50">
        <f t="shared" si="12"/>
        <v>72.44431591</v>
      </c>
      <c r="Y29" s="48">
        <f t="shared" si="13"/>
        <v>56.77410874</v>
      </c>
      <c r="Z29" s="48">
        <f t="shared" si="14"/>
        <v>0</v>
      </c>
    </row>
    <row r="30">
      <c r="A30" s="1" t="s">
        <v>572</v>
      </c>
      <c r="B30" s="1">
        <v>1067641.0</v>
      </c>
      <c r="D30" s="1">
        <v>19.63</v>
      </c>
      <c r="E30" s="6">
        <v>45.19</v>
      </c>
      <c r="F30" s="6">
        <v>27.09</v>
      </c>
      <c r="G30" s="1">
        <v>2.01</v>
      </c>
      <c r="H30" s="1">
        <v>0.0</v>
      </c>
      <c r="I30">
        <f t="shared" si="1"/>
        <v>93.92</v>
      </c>
      <c r="K30">
        <f t="shared" si="2"/>
        <v>20.90076661</v>
      </c>
      <c r="L30">
        <f t="shared" si="3"/>
        <v>48.11541738</v>
      </c>
      <c r="M30">
        <f t="shared" si="4"/>
        <v>28.84369676</v>
      </c>
      <c r="N30">
        <f t="shared" si="5"/>
        <v>2.14011925</v>
      </c>
      <c r="O30">
        <f t="shared" si="15"/>
        <v>0</v>
      </c>
      <c r="Q30" s="58">
        <v>20.900766609880748</v>
      </c>
      <c r="R30" s="58">
        <v>48.115417376490626</v>
      </c>
      <c r="S30" s="58">
        <v>28.843696763202725</v>
      </c>
      <c r="T30" s="57">
        <v>0.0</v>
      </c>
      <c r="U30">
        <v>0.0</v>
      </c>
      <c r="W30">
        <f t="shared" si="11"/>
        <v>62.17536201</v>
      </c>
      <c r="X30" s="50">
        <f t="shared" si="12"/>
        <v>71.42834327</v>
      </c>
      <c r="Y30" s="48">
        <f t="shared" si="13"/>
        <v>58.51629046</v>
      </c>
      <c r="Z30" s="48">
        <f t="shared" si="14"/>
        <v>0</v>
      </c>
    </row>
    <row r="31">
      <c r="A31" s="14" t="s">
        <v>573</v>
      </c>
      <c r="B31" s="14">
        <v>1107241.0</v>
      </c>
      <c r="D31" s="6">
        <v>14.82</v>
      </c>
      <c r="E31" s="1">
        <v>48.16</v>
      </c>
      <c r="F31" s="1">
        <v>27.98</v>
      </c>
      <c r="G31" s="1">
        <v>3.58</v>
      </c>
      <c r="H31" s="1">
        <v>0.0</v>
      </c>
      <c r="I31">
        <f t="shared" si="1"/>
        <v>94.54</v>
      </c>
      <c r="K31">
        <f t="shared" si="2"/>
        <v>15.67590438</v>
      </c>
      <c r="L31">
        <f t="shared" si="3"/>
        <v>50.94140047</v>
      </c>
      <c r="M31">
        <f t="shared" si="4"/>
        <v>29.59593823</v>
      </c>
      <c r="N31">
        <f t="shared" si="5"/>
        <v>3.786756928</v>
      </c>
      <c r="O31">
        <f t="shared" si="15"/>
        <v>0</v>
      </c>
      <c r="Q31" s="58">
        <v>15.675904379098796</v>
      </c>
      <c r="R31" s="58">
        <v>50.94140046541147</v>
      </c>
      <c r="S31" s="58">
        <v>29.59593822720542</v>
      </c>
      <c r="T31" s="57">
        <v>0.0</v>
      </c>
      <c r="U31">
        <v>0.0</v>
      </c>
      <c r="W31">
        <f t="shared" si="11"/>
        <v>59.0638883</v>
      </c>
      <c r="X31" s="50">
        <f t="shared" si="12"/>
        <v>71.05415697</v>
      </c>
      <c r="Y31" s="48">
        <f t="shared" si="13"/>
        <v>56.75269727</v>
      </c>
      <c r="Z31" s="48">
        <f t="shared" si="14"/>
        <v>0</v>
      </c>
    </row>
    <row r="32">
      <c r="A32" s="1" t="s">
        <v>574</v>
      </c>
      <c r="B32" s="14">
        <v>1150296.0</v>
      </c>
      <c r="D32" s="6">
        <v>17.49</v>
      </c>
      <c r="E32" s="1">
        <v>48.36</v>
      </c>
      <c r="F32" s="6">
        <v>25.11</v>
      </c>
      <c r="G32" s="1">
        <v>4.04</v>
      </c>
      <c r="H32" s="1">
        <v>0.0</v>
      </c>
      <c r="I32">
        <f t="shared" si="1"/>
        <v>95</v>
      </c>
      <c r="K32">
        <f t="shared" si="2"/>
        <v>18.41052632</v>
      </c>
      <c r="L32">
        <f t="shared" si="3"/>
        <v>50.90526316</v>
      </c>
      <c r="M32">
        <f t="shared" si="4"/>
        <v>26.43157895</v>
      </c>
      <c r="N32">
        <f t="shared" si="5"/>
        <v>4.252631579</v>
      </c>
      <c r="O32">
        <f t="shared" si="15"/>
        <v>0</v>
      </c>
      <c r="Q32" s="58">
        <v>18.410526315789472</v>
      </c>
      <c r="R32" s="58">
        <v>50.90526315789474</v>
      </c>
      <c r="S32" s="58">
        <v>26.431578947368422</v>
      </c>
      <c r="T32" s="57">
        <v>0.0</v>
      </c>
      <c r="U32">
        <v>0.0</v>
      </c>
      <c r="W32">
        <f t="shared" si="11"/>
        <v>60.73042105</v>
      </c>
      <c r="X32" s="50">
        <f t="shared" si="12"/>
        <v>71.77863158</v>
      </c>
      <c r="Y32" s="48">
        <f t="shared" si="13"/>
        <v>55.38126316</v>
      </c>
      <c r="Z32" s="48">
        <f t="shared" si="14"/>
        <v>0</v>
      </c>
    </row>
    <row r="33">
      <c r="A33" s="1" t="s">
        <v>575</v>
      </c>
      <c r="B33" s="14">
        <v>1058755.0</v>
      </c>
      <c r="D33" s="6">
        <v>13.86</v>
      </c>
      <c r="E33" s="6">
        <v>53.14</v>
      </c>
      <c r="F33" s="1">
        <v>25.37</v>
      </c>
      <c r="G33" s="1">
        <v>1.87</v>
      </c>
      <c r="H33" s="1">
        <v>0.0</v>
      </c>
      <c r="I33">
        <f t="shared" si="1"/>
        <v>94.24</v>
      </c>
      <c r="K33">
        <f t="shared" si="2"/>
        <v>14.70713073</v>
      </c>
      <c r="L33">
        <f t="shared" si="3"/>
        <v>56.38794567</v>
      </c>
      <c r="M33">
        <f t="shared" si="4"/>
        <v>26.92062818</v>
      </c>
      <c r="N33">
        <f t="shared" si="5"/>
        <v>1.984295416</v>
      </c>
      <c r="O33">
        <f t="shared" si="15"/>
        <v>0</v>
      </c>
      <c r="Q33" s="58">
        <v>14.707130730050933</v>
      </c>
      <c r="R33" s="58">
        <v>56.38794567062818</v>
      </c>
      <c r="S33" s="58">
        <v>26.92062818336163</v>
      </c>
      <c r="T33" s="57">
        <v>0.0</v>
      </c>
      <c r="U33">
        <v>0.0</v>
      </c>
      <c r="W33">
        <f t="shared" si="11"/>
        <v>60.80698217</v>
      </c>
      <c r="X33" s="50">
        <f t="shared" si="12"/>
        <v>74.97845925</v>
      </c>
      <c r="Y33" s="48">
        <f t="shared" si="13"/>
        <v>55.23535654</v>
      </c>
      <c r="Z33" s="48">
        <f t="shared" si="14"/>
        <v>0</v>
      </c>
    </row>
    <row r="34">
      <c r="A34" s="1" t="s">
        <v>577</v>
      </c>
      <c r="B34" s="14">
        <v>1008582.0</v>
      </c>
      <c r="D34" s="6">
        <v>25.3</v>
      </c>
      <c r="E34" s="6">
        <v>46.26</v>
      </c>
      <c r="F34" s="1">
        <v>21.52</v>
      </c>
      <c r="G34" s="1">
        <v>2.65</v>
      </c>
      <c r="H34" s="1">
        <v>0.0</v>
      </c>
      <c r="I34">
        <f t="shared" si="1"/>
        <v>95.73</v>
      </c>
      <c r="K34">
        <f t="shared" si="2"/>
        <v>26.42849681</v>
      </c>
      <c r="L34">
        <f t="shared" si="3"/>
        <v>48.32340959</v>
      </c>
      <c r="M34">
        <f t="shared" si="4"/>
        <v>22.47989136</v>
      </c>
      <c r="N34">
        <f t="shared" si="5"/>
        <v>2.768202235</v>
      </c>
      <c r="O34">
        <f t="shared" si="15"/>
        <v>0</v>
      </c>
      <c r="Q34" s="58">
        <v>26.428496813955917</v>
      </c>
      <c r="R34" s="58">
        <v>48.32340958947038</v>
      </c>
      <c r="S34" s="58">
        <v>22.479891361119815</v>
      </c>
      <c r="T34" s="57">
        <v>0.0</v>
      </c>
      <c r="U34">
        <v>0.0</v>
      </c>
      <c r="W34">
        <f t="shared" si="11"/>
        <v>65.74031129</v>
      </c>
      <c r="X34" s="50">
        <f t="shared" si="12"/>
        <v>73.18458164</v>
      </c>
      <c r="Y34" s="48">
        <f t="shared" si="13"/>
        <v>55.86942442</v>
      </c>
      <c r="Z34" s="48">
        <f t="shared" si="14"/>
        <v>0</v>
      </c>
    </row>
    <row r="35">
      <c r="A35" s="1" t="s">
        <v>579</v>
      </c>
      <c r="B35" s="14">
        <v>1050190.0</v>
      </c>
      <c r="D35" s="6">
        <v>25.05</v>
      </c>
      <c r="E35" s="1">
        <v>42.14</v>
      </c>
      <c r="F35" s="6">
        <v>19.55</v>
      </c>
      <c r="G35" s="1">
        <v>4.53</v>
      </c>
      <c r="H35" s="1">
        <v>3.17</v>
      </c>
      <c r="I35">
        <f t="shared" si="1"/>
        <v>94.44</v>
      </c>
      <c r="K35">
        <f t="shared" si="2"/>
        <v>26.52477764</v>
      </c>
      <c r="L35">
        <f t="shared" si="3"/>
        <v>44.62092334</v>
      </c>
      <c r="M35">
        <f t="shared" si="4"/>
        <v>20.70097416</v>
      </c>
      <c r="N35">
        <f t="shared" si="5"/>
        <v>4.796696315</v>
      </c>
      <c r="O35">
        <f t="shared" si="15"/>
        <v>3.356628547</v>
      </c>
      <c r="Q35" s="58">
        <v>26.524777636594663</v>
      </c>
      <c r="R35" s="58">
        <v>44.620923337568826</v>
      </c>
      <c r="S35" s="58">
        <v>20.70097416349005</v>
      </c>
      <c r="T35" s="57">
        <v>0.0</v>
      </c>
      <c r="U35" s="1">
        <v>0.0</v>
      </c>
      <c r="W35">
        <f t="shared" si="11"/>
        <v>62.80590851</v>
      </c>
      <c r="X35" s="50">
        <f t="shared" si="12"/>
        <v>68.95859805</v>
      </c>
      <c r="Y35" s="48">
        <f t="shared" si="13"/>
        <v>52.93223211</v>
      </c>
      <c r="Z35" s="48">
        <f t="shared" si="14"/>
        <v>0</v>
      </c>
    </row>
    <row r="36">
      <c r="A36" s="1" t="s">
        <v>581</v>
      </c>
      <c r="B36" s="14">
        <v>933076.0</v>
      </c>
      <c r="D36" s="6">
        <v>0.0</v>
      </c>
      <c r="E36" s="1">
        <v>49.67</v>
      </c>
      <c r="F36" s="1">
        <v>38.43</v>
      </c>
      <c r="G36" s="1">
        <v>4.04</v>
      </c>
      <c r="H36" s="1">
        <v>0.0</v>
      </c>
      <c r="I36">
        <f t="shared" si="1"/>
        <v>92.14</v>
      </c>
      <c r="K36">
        <f t="shared" si="2"/>
        <v>0</v>
      </c>
      <c r="L36">
        <f t="shared" si="3"/>
        <v>53.90709789</v>
      </c>
      <c r="M36">
        <f t="shared" si="4"/>
        <v>41.70827002</v>
      </c>
      <c r="N36">
        <f t="shared" si="5"/>
        <v>4.384632082</v>
      </c>
      <c r="O36">
        <f t="shared" si="15"/>
        <v>0</v>
      </c>
      <c r="Q36" s="58">
        <v>0.0</v>
      </c>
      <c r="R36" s="58">
        <v>53.907097894508354</v>
      </c>
      <c r="S36" s="58">
        <v>41.70827002387671</v>
      </c>
      <c r="T36" s="57">
        <v>0.0</v>
      </c>
      <c r="U36">
        <v>0.0</v>
      </c>
      <c r="W36">
        <f>Q36*1</f>
        <v>0</v>
      </c>
      <c r="X36" s="50">
        <f> R36*1 + S36*0.5 </f>
        <v>74.76123291</v>
      </c>
      <c r="Y36" s="48">
        <f>R36*0.5 + S36*1 </f>
        <v>68.66181897</v>
      </c>
      <c r="Z36" s="48">
        <f t="shared" si="14"/>
        <v>0</v>
      </c>
    </row>
    <row r="37">
      <c r="A37" s="1" t="s">
        <v>584</v>
      </c>
      <c r="B37" s="14">
        <v>1176620.0</v>
      </c>
      <c r="D37" s="6">
        <v>33.12</v>
      </c>
      <c r="E37" s="1">
        <v>36.69</v>
      </c>
      <c r="F37" s="1">
        <v>18.45</v>
      </c>
      <c r="G37" s="1">
        <v>4.84</v>
      </c>
      <c r="H37" s="1">
        <v>0.0</v>
      </c>
      <c r="I37">
        <f t="shared" si="1"/>
        <v>93.1</v>
      </c>
      <c r="K37">
        <f t="shared" si="2"/>
        <v>35.57465091</v>
      </c>
      <c r="L37">
        <f t="shared" si="3"/>
        <v>39.40923738</v>
      </c>
      <c r="M37">
        <f t="shared" si="4"/>
        <v>19.81740064</v>
      </c>
      <c r="N37">
        <f t="shared" si="5"/>
        <v>5.198711063</v>
      </c>
      <c r="O37">
        <f t="shared" si="15"/>
        <v>0</v>
      </c>
      <c r="Q37" s="58">
        <v>35.574650912996766</v>
      </c>
      <c r="R37" s="58">
        <v>39.409237379162185</v>
      </c>
      <c r="S37" s="58">
        <v>19.81740064446831</v>
      </c>
      <c r="T37" s="58">
        <v>5.198711063372717</v>
      </c>
      <c r="U37">
        <v>0.0</v>
      </c>
      <c r="W37" s="5">
        <f>Q37*1 + R37*0.75 + S37*0.5 + T37*0.25</f>
        <v>76.33995704</v>
      </c>
      <c r="X37" s="48">
        <f>Q37*0.5 + R37*1 + S37*0.25 + T37*0.5</f>
        <v>64.75026853</v>
      </c>
      <c r="Y37" s="48">
        <f>Q37*0.75 + R37*0.25 + S37*1 + T37*0.75</f>
        <v>60.24973147</v>
      </c>
      <c r="Z37" s="48">
        <f>Q37*0.25 + R37*0.5 + S37*0.75 + T37*1</f>
        <v>48.66004296</v>
      </c>
    </row>
    <row r="38">
      <c r="A38" s="1" t="s">
        <v>588</v>
      </c>
      <c r="B38" s="1">
        <v>1012667.0</v>
      </c>
      <c r="D38" s="1">
        <v>27.26</v>
      </c>
      <c r="E38" s="1">
        <v>41.18</v>
      </c>
      <c r="F38" s="1">
        <v>24.87</v>
      </c>
      <c r="G38" s="1">
        <v>2.96</v>
      </c>
      <c r="H38" s="1">
        <v>0.0</v>
      </c>
      <c r="I38">
        <f t="shared" si="1"/>
        <v>96.27</v>
      </c>
      <c r="K38">
        <f t="shared" si="2"/>
        <v>28.31619404</v>
      </c>
      <c r="L38">
        <f t="shared" si="3"/>
        <v>42.77552716</v>
      </c>
      <c r="M38">
        <f t="shared" si="4"/>
        <v>25.83359302</v>
      </c>
      <c r="N38">
        <f t="shared" si="5"/>
        <v>3.07468578</v>
      </c>
      <c r="O38">
        <f t="shared" si="15"/>
        <v>0</v>
      </c>
      <c r="Q38" s="58">
        <v>28.31619403760258</v>
      </c>
      <c r="R38" s="58">
        <v>42.77552716318687</v>
      </c>
      <c r="S38" s="58">
        <v>25.833593019632286</v>
      </c>
      <c r="T38" s="57">
        <v>0.0</v>
      </c>
      <c r="U38">
        <v>0.0</v>
      </c>
      <c r="W38">
        <f t="shared" ref="W38:W40" si="16">Q38*1 + R38*0.66 + S38*0.33 </f>
        <v>65.07312766</v>
      </c>
      <c r="X38" s="50">
        <f t="shared" ref="X38:X40" si="17">Q38*0.66 + R38*1 + S38*0.33 </f>
        <v>69.98930092</v>
      </c>
      <c r="Y38" s="48">
        <f t="shared" ref="Y38:Y40" si="18">Q38*0.66 + R38*0.33 + S38*1 </f>
        <v>58.63820505</v>
      </c>
      <c r="Z38" s="48">
        <f t="shared" ref="Z38:Z40" si="19"> T38*1</f>
        <v>0</v>
      </c>
    </row>
    <row r="39">
      <c r="A39" s="1" t="s">
        <v>590</v>
      </c>
      <c r="B39" s="14">
        <v>1083364.0</v>
      </c>
      <c r="D39" s="6">
        <v>8.66</v>
      </c>
      <c r="E39" s="1">
        <v>47.1</v>
      </c>
      <c r="F39" s="1">
        <v>35.31</v>
      </c>
      <c r="G39" s="1">
        <v>3.29</v>
      </c>
      <c r="H39" s="1">
        <v>0.0</v>
      </c>
      <c r="I39">
        <f t="shared" si="1"/>
        <v>94.36</v>
      </c>
      <c r="K39">
        <f t="shared" si="2"/>
        <v>9.177617635</v>
      </c>
      <c r="L39">
        <f t="shared" si="3"/>
        <v>49.91521831</v>
      </c>
      <c r="M39">
        <f t="shared" si="4"/>
        <v>37.42051717</v>
      </c>
      <c r="N39">
        <f t="shared" si="5"/>
        <v>3.486646884</v>
      </c>
      <c r="O39">
        <f t="shared" si="15"/>
        <v>0</v>
      </c>
      <c r="Q39" s="58">
        <v>9.177617634590927</v>
      </c>
      <c r="R39" s="58">
        <v>49.91521831284442</v>
      </c>
      <c r="S39" s="58">
        <v>37.420517168291646</v>
      </c>
      <c r="T39" s="57">
        <v>0.0</v>
      </c>
      <c r="U39">
        <v>0.0</v>
      </c>
      <c r="W39">
        <f t="shared" si="16"/>
        <v>54.47043239</v>
      </c>
      <c r="X39" s="50">
        <f t="shared" si="17"/>
        <v>68.32121662</v>
      </c>
      <c r="Y39" s="48">
        <f t="shared" si="18"/>
        <v>59.94976685</v>
      </c>
      <c r="Z39" s="48">
        <f t="shared" si="19"/>
        <v>0</v>
      </c>
    </row>
    <row r="40">
      <c r="A40" s="1" t="s">
        <v>591</v>
      </c>
      <c r="B40" s="14">
        <v>1046534.0</v>
      </c>
      <c r="D40" s="1">
        <v>7.31</v>
      </c>
      <c r="E40" s="1">
        <v>51.64</v>
      </c>
      <c r="F40" s="1">
        <v>32.99</v>
      </c>
      <c r="G40" s="1">
        <v>2.91</v>
      </c>
      <c r="H40" s="1">
        <v>0.0</v>
      </c>
      <c r="I40">
        <f t="shared" si="1"/>
        <v>94.85</v>
      </c>
      <c r="K40">
        <f t="shared" si="2"/>
        <v>7.70690564</v>
      </c>
      <c r="L40">
        <f t="shared" si="3"/>
        <v>54.44385872</v>
      </c>
      <c r="M40">
        <f t="shared" si="4"/>
        <v>34.78123353</v>
      </c>
      <c r="N40">
        <f t="shared" si="5"/>
        <v>3.068002109</v>
      </c>
      <c r="O40">
        <f t="shared" si="15"/>
        <v>0</v>
      </c>
      <c r="Q40" s="58">
        <v>7.706905640484977</v>
      </c>
      <c r="R40" s="58">
        <v>54.443858724301535</v>
      </c>
      <c r="S40" s="58">
        <v>34.78123352662098</v>
      </c>
      <c r="T40" s="57">
        <v>0.0</v>
      </c>
      <c r="U40">
        <v>0.0</v>
      </c>
      <c r="W40">
        <f t="shared" si="16"/>
        <v>55.11765946</v>
      </c>
      <c r="X40" s="50">
        <f t="shared" si="17"/>
        <v>71.00822351</v>
      </c>
      <c r="Y40" s="48">
        <f t="shared" si="18"/>
        <v>57.83426463</v>
      </c>
      <c r="Z40" s="48">
        <f t="shared" si="19"/>
        <v>0</v>
      </c>
    </row>
    <row r="41">
      <c r="A41" s="1" t="s">
        <v>592</v>
      </c>
      <c r="B41" s="14">
        <v>988250.0</v>
      </c>
      <c r="D41" s="6">
        <v>9.59</v>
      </c>
      <c r="E41" s="1">
        <v>46.37</v>
      </c>
      <c r="F41" s="1">
        <v>31.15</v>
      </c>
      <c r="G41" s="1">
        <v>5.21</v>
      </c>
      <c r="H41" s="1">
        <v>0.0</v>
      </c>
      <c r="I41">
        <f t="shared" si="1"/>
        <v>92.32</v>
      </c>
      <c r="K41">
        <f t="shared" si="2"/>
        <v>10.38778163</v>
      </c>
      <c r="L41">
        <f t="shared" si="3"/>
        <v>50.22746967</v>
      </c>
      <c r="M41">
        <f t="shared" si="4"/>
        <v>33.74133449</v>
      </c>
      <c r="N41">
        <f t="shared" si="5"/>
        <v>5.643414211</v>
      </c>
      <c r="O41">
        <f t="shared" si="15"/>
        <v>0</v>
      </c>
      <c r="Q41" s="58">
        <v>10.38778162911612</v>
      </c>
      <c r="R41" s="58">
        <v>50.22746967071058</v>
      </c>
      <c r="S41" s="58">
        <v>33.74133448873484</v>
      </c>
      <c r="T41" s="58">
        <v>5.643414211438476</v>
      </c>
      <c r="U41">
        <v>0.0</v>
      </c>
      <c r="W41">
        <f>Q41*1 + R41*0.75 + S41*0.5 + T41*0.25</f>
        <v>66.33990468</v>
      </c>
      <c r="X41" s="50">
        <f>Q41*0.5 + R41*1 + S41*0.25 + T41*0.5</f>
        <v>66.67840121</v>
      </c>
      <c r="Y41" s="48">
        <f>Q41*0.75 + R41*0.25 + S41*1 + T41*0.75</f>
        <v>58.32159879</v>
      </c>
      <c r="Z41" s="48">
        <f>Q41*0.25 + R41*0.5 + S41*0.75 + T41*1</f>
        <v>58.66009532</v>
      </c>
    </row>
    <row r="42">
      <c r="A42" s="1" t="s">
        <v>593</v>
      </c>
      <c r="B42" s="14">
        <v>1030826.0</v>
      </c>
      <c r="D42" s="1">
        <v>23.16</v>
      </c>
      <c r="E42" s="1">
        <v>44.85</v>
      </c>
      <c r="F42" s="1">
        <v>24.2</v>
      </c>
      <c r="G42" s="1">
        <v>3.1</v>
      </c>
      <c r="H42" s="1">
        <v>0.0</v>
      </c>
      <c r="I42">
        <f t="shared" si="1"/>
        <v>95.31</v>
      </c>
      <c r="K42">
        <f t="shared" si="2"/>
        <v>24.29965376</v>
      </c>
      <c r="L42">
        <f t="shared" si="3"/>
        <v>47.05697199</v>
      </c>
      <c r="M42">
        <f t="shared" si="4"/>
        <v>25.39082992</v>
      </c>
      <c r="N42">
        <f t="shared" si="5"/>
        <v>3.252544329</v>
      </c>
      <c r="O42">
        <f t="shared" si="15"/>
        <v>0</v>
      </c>
      <c r="Q42" s="58">
        <v>24.299653761410134</v>
      </c>
      <c r="R42" s="58">
        <v>47.05697198615046</v>
      </c>
      <c r="S42" s="58">
        <v>25.390829923407825</v>
      </c>
      <c r="T42" s="57">
        <v>0.0</v>
      </c>
      <c r="U42">
        <v>0.0</v>
      </c>
      <c r="W42">
        <f t="shared" ref="W42:W44" si="20">Q42*1 + R42*0.66 + S42*0.33 </f>
        <v>63.73622915</v>
      </c>
      <c r="X42" s="50">
        <f t="shared" ref="X42:X44" si="21">Q42*0.66 + R42*1 + S42*0.33 </f>
        <v>71.47371734</v>
      </c>
      <c r="Y42" s="48">
        <f t="shared" ref="Y42:Y44" si="22">Q42*0.66 + R42*0.33 + S42*1 </f>
        <v>56.95740216</v>
      </c>
      <c r="Z42" s="48">
        <f t="shared" ref="Z42:Z44" si="23"> T42*1</f>
        <v>0</v>
      </c>
    </row>
    <row r="43">
      <c r="A43" s="1" t="s">
        <v>594</v>
      </c>
      <c r="B43" s="14">
        <v>984538.0</v>
      </c>
      <c r="D43" s="6">
        <v>14.98</v>
      </c>
      <c r="E43" s="1">
        <v>48.87</v>
      </c>
      <c r="F43" s="6">
        <v>28.25</v>
      </c>
      <c r="G43" s="1">
        <v>2.71</v>
      </c>
      <c r="H43" s="1">
        <v>0.0</v>
      </c>
      <c r="I43">
        <f t="shared" si="1"/>
        <v>94.81</v>
      </c>
      <c r="K43">
        <f t="shared" si="2"/>
        <v>15.80002109</v>
      </c>
      <c r="L43">
        <f t="shared" si="3"/>
        <v>51.54519565</v>
      </c>
      <c r="M43">
        <f t="shared" si="4"/>
        <v>29.79643498</v>
      </c>
      <c r="N43">
        <f t="shared" si="5"/>
        <v>2.858348275</v>
      </c>
      <c r="O43">
        <f t="shared" si="15"/>
        <v>0</v>
      </c>
      <c r="Q43" s="58">
        <v>15.800021094821224</v>
      </c>
      <c r="R43" s="58">
        <v>51.54519565446684</v>
      </c>
      <c r="S43" s="58">
        <v>29.79643497521359</v>
      </c>
      <c r="T43" s="57">
        <v>0.0</v>
      </c>
      <c r="U43">
        <v>0.0</v>
      </c>
      <c r="W43">
        <f t="shared" si="20"/>
        <v>59.65267377</v>
      </c>
      <c r="X43" s="50">
        <f t="shared" si="21"/>
        <v>71.80603312</v>
      </c>
      <c r="Y43" s="48">
        <f t="shared" si="22"/>
        <v>57.23436346</v>
      </c>
      <c r="Z43" s="48">
        <f t="shared" si="23"/>
        <v>0</v>
      </c>
    </row>
    <row r="44">
      <c r="A44" s="1" t="s">
        <v>596</v>
      </c>
      <c r="B44" s="14">
        <v>1088423.0</v>
      </c>
      <c r="D44" s="1">
        <v>25.63</v>
      </c>
      <c r="E44" s="1">
        <v>39.45</v>
      </c>
      <c r="F44" s="6">
        <v>27.65</v>
      </c>
      <c r="G44" s="1">
        <v>2.66</v>
      </c>
      <c r="H44" s="6">
        <v>0.0</v>
      </c>
      <c r="I44">
        <f t="shared" si="1"/>
        <v>95.39</v>
      </c>
      <c r="K44">
        <f t="shared" si="2"/>
        <v>26.86864451</v>
      </c>
      <c r="L44">
        <f t="shared" si="3"/>
        <v>41.35653632</v>
      </c>
      <c r="M44">
        <f t="shared" si="4"/>
        <v>28.9862669</v>
      </c>
      <c r="N44">
        <f t="shared" si="5"/>
        <v>2.788552259</v>
      </c>
      <c r="O44">
        <f t="shared" si="15"/>
        <v>0</v>
      </c>
      <c r="Q44" s="58">
        <v>26.868644512003357</v>
      </c>
      <c r="R44" s="58">
        <v>41.356536324562335</v>
      </c>
      <c r="S44" s="58">
        <v>28.986266904287664</v>
      </c>
      <c r="T44" s="57">
        <v>0.0</v>
      </c>
      <c r="U44" s="58">
        <v>0.0</v>
      </c>
      <c r="W44">
        <f t="shared" si="20"/>
        <v>63.72942656</v>
      </c>
      <c r="X44" s="50">
        <f t="shared" si="21"/>
        <v>68.65530978</v>
      </c>
      <c r="Y44" s="48">
        <f t="shared" si="22"/>
        <v>60.36722927</v>
      </c>
      <c r="Z44" s="48">
        <f t="shared" si="23"/>
        <v>0</v>
      </c>
    </row>
    <row r="45">
      <c r="A45" s="1" t="s">
        <v>597</v>
      </c>
      <c r="B45" s="14">
        <v>1025538.0</v>
      </c>
      <c r="D45" s="6">
        <v>14.04</v>
      </c>
      <c r="E45" s="1">
        <v>50.04</v>
      </c>
      <c r="F45" s="1">
        <v>23.06</v>
      </c>
      <c r="G45" s="1">
        <v>5.7</v>
      </c>
      <c r="H45" s="1">
        <v>0.0</v>
      </c>
      <c r="I45">
        <f t="shared" si="1"/>
        <v>92.84</v>
      </c>
      <c r="K45">
        <f t="shared" si="2"/>
        <v>15.1227919</v>
      </c>
      <c r="L45">
        <f t="shared" si="3"/>
        <v>53.89918139</v>
      </c>
      <c r="M45">
        <f t="shared" si="4"/>
        <v>24.83843171</v>
      </c>
      <c r="N45">
        <f t="shared" si="5"/>
        <v>6.139595002</v>
      </c>
      <c r="O45">
        <f t="shared" si="15"/>
        <v>0</v>
      </c>
      <c r="Q45" s="58">
        <v>15.122791900043085</v>
      </c>
      <c r="R45" s="58">
        <v>53.899181387333044</v>
      </c>
      <c r="S45" s="58">
        <v>24.838431710469624</v>
      </c>
      <c r="T45" s="58">
        <v>6.139595002154244</v>
      </c>
      <c r="U45">
        <v>0.0</v>
      </c>
      <c r="W45">
        <f>Q45*1 + R45*0.75 + S45*0.5 + T45*0.25</f>
        <v>69.50129255</v>
      </c>
      <c r="X45" s="50">
        <f>Q45*0.5 + R45*1 + S45*0.25 + T45*0.5</f>
        <v>70.73998277</v>
      </c>
      <c r="Y45" s="48">
        <f>Q45*0.75 + R45*0.25 + S45*1 + T45*0.75</f>
        <v>54.26001723</v>
      </c>
      <c r="Z45" s="48">
        <f>Q45*0.25 + R45*0.5 + S45*0.75 + T45*1</f>
        <v>55.49870745</v>
      </c>
    </row>
    <row r="46">
      <c r="A46" s="1" t="s">
        <v>598</v>
      </c>
      <c r="B46" s="14">
        <v>942202.0</v>
      </c>
      <c r="D46" s="1">
        <v>4.62</v>
      </c>
      <c r="E46" s="1">
        <v>46.06</v>
      </c>
      <c r="F46" s="1">
        <v>34.81</v>
      </c>
      <c r="G46" s="6">
        <v>2.54</v>
      </c>
      <c r="H46" s="1">
        <v>9.58</v>
      </c>
      <c r="I46">
        <f t="shared" si="1"/>
        <v>97.61</v>
      </c>
      <c r="K46">
        <f t="shared" si="2"/>
        <v>4.733121606</v>
      </c>
      <c r="L46">
        <f t="shared" si="3"/>
        <v>47.18778814</v>
      </c>
      <c r="M46">
        <f t="shared" si="4"/>
        <v>35.66232968</v>
      </c>
      <c r="N46">
        <f t="shared" si="5"/>
        <v>2.602192398</v>
      </c>
      <c r="O46">
        <f t="shared" si="15"/>
        <v>9.814568179</v>
      </c>
      <c r="Q46" s="58">
        <v>4.733121606392787</v>
      </c>
      <c r="R46" s="58">
        <v>47.18778813646142</v>
      </c>
      <c r="S46" s="58">
        <v>35.66232967933613</v>
      </c>
      <c r="T46" s="57">
        <v>0.0</v>
      </c>
      <c r="U46" s="1">
        <v>0.0</v>
      </c>
      <c r="W46">
        <f t="shared" ref="W46:W47" si="24">Q46*1 + R46*0.66 + S46*0.33 </f>
        <v>47.64563057</v>
      </c>
      <c r="X46" s="50">
        <f t="shared" ref="X46:X47" si="25">Q46*0.66 + R46*1 + S46*0.33 </f>
        <v>62.08021719</v>
      </c>
      <c r="Y46" s="48">
        <f t="shared" ref="Y46:Y47" si="26">Q46*0.66 + R46*0.33 + S46*1 </f>
        <v>54.35816002</v>
      </c>
      <c r="Z46" s="48">
        <f t="shared" ref="Z46:Z47" si="27"> T46*1</f>
        <v>0</v>
      </c>
    </row>
    <row r="47">
      <c r="A47" s="1" t="s">
        <v>599</v>
      </c>
      <c r="B47" s="14">
        <v>1012258.0</v>
      </c>
      <c r="D47" s="6">
        <v>5.78</v>
      </c>
      <c r="E47" s="1">
        <v>50.39</v>
      </c>
      <c r="F47" s="6">
        <v>36.16</v>
      </c>
      <c r="G47" s="1">
        <v>2.99</v>
      </c>
      <c r="H47" s="1">
        <v>2.29</v>
      </c>
      <c r="I47">
        <f t="shared" si="1"/>
        <v>97.61</v>
      </c>
      <c r="K47">
        <f t="shared" si="2"/>
        <v>5.921524434</v>
      </c>
      <c r="L47">
        <f t="shared" si="3"/>
        <v>51.62380904</v>
      </c>
      <c r="M47">
        <f t="shared" si="4"/>
        <v>37.04538469</v>
      </c>
      <c r="N47">
        <f t="shared" si="5"/>
        <v>3.063210737</v>
      </c>
      <c r="O47">
        <f t="shared" si="15"/>
        <v>2.346071099</v>
      </c>
      <c r="Q47" s="58">
        <v>5.921524433971929</v>
      </c>
      <c r="R47" s="58">
        <v>51.62380903595943</v>
      </c>
      <c r="S47" s="58">
        <v>37.04538469419116</v>
      </c>
      <c r="T47" s="57">
        <v>0.0</v>
      </c>
      <c r="U47" s="1">
        <v>0.0</v>
      </c>
      <c r="W47">
        <f t="shared" si="24"/>
        <v>52.21821535</v>
      </c>
      <c r="X47" s="50">
        <f t="shared" si="25"/>
        <v>67.75699211</v>
      </c>
      <c r="Y47" s="48">
        <f t="shared" si="26"/>
        <v>57.9894478</v>
      </c>
      <c r="Z47" s="48">
        <f t="shared" si="27"/>
        <v>0</v>
      </c>
    </row>
    <row r="48">
      <c r="A48" s="1" t="s">
        <v>600</v>
      </c>
      <c r="B48" s="14">
        <v>1027036.0</v>
      </c>
      <c r="D48" s="14">
        <v>13.02</v>
      </c>
      <c r="E48" s="1">
        <v>46.33</v>
      </c>
      <c r="F48" s="6">
        <v>24.0</v>
      </c>
      <c r="G48" s="1">
        <v>10.19</v>
      </c>
      <c r="H48" s="6">
        <v>1.99</v>
      </c>
      <c r="I48">
        <f t="shared" si="1"/>
        <v>95.53</v>
      </c>
      <c r="K48">
        <f t="shared" si="2"/>
        <v>13.62922642</v>
      </c>
      <c r="L48">
        <f t="shared" si="3"/>
        <v>48.49785408</v>
      </c>
      <c r="M48">
        <f t="shared" si="4"/>
        <v>25.12299801</v>
      </c>
      <c r="N48">
        <f t="shared" si="5"/>
        <v>10.66680624</v>
      </c>
      <c r="O48">
        <f t="shared" si="15"/>
        <v>2.083115252</v>
      </c>
      <c r="Q48" s="58">
        <v>13.629226421019577</v>
      </c>
      <c r="R48" s="58">
        <v>48.49785407725322</v>
      </c>
      <c r="S48" s="58">
        <v>25.122998011095994</v>
      </c>
      <c r="T48" s="58">
        <v>10.666806238877841</v>
      </c>
      <c r="U48" s="1">
        <v>0.0</v>
      </c>
      <c r="W48">
        <f>Q48*1 + R48*0.75 + S48*0.5 + T48*0.25</f>
        <v>65.23081754</v>
      </c>
      <c r="X48" s="50">
        <f>Q48*0.5 + R48*1 + S48*0.25 + T48*0.5</f>
        <v>66.92661991</v>
      </c>
      <c r="Y48" s="48">
        <f>Q48*0.75 + R48*0.25 + S48*1 + T48*0.75</f>
        <v>55.46948603</v>
      </c>
      <c r="Z48" s="48">
        <f>Q48*0.25 + R48*0.5 + S48*0.75 + T48*1</f>
        <v>57.16528839</v>
      </c>
    </row>
    <row r="49">
      <c r="A49" s="1" t="s">
        <v>601</v>
      </c>
      <c r="B49" s="14">
        <v>974809.0</v>
      </c>
      <c r="D49" s="6">
        <v>15.03</v>
      </c>
      <c r="E49" s="1">
        <v>46.48</v>
      </c>
      <c r="F49" s="1">
        <v>26.05</v>
      </c>
      <c r="G49" s="1">
        <v>3.29</v>
      </c>
      <c r="H49" s="1">
        <v>3.09</v>
      </c>
      <c r="I49">
        <f t="shared" si="1"/>
        <v>93.94</v>
      </c>
      <c r="K49">
        <f t="shared" si="2"/>
        <v>15.9995742</v>
      </c>
      <c r="L49">
        <f t="shared" si="3"/>
        <v>49.47839046</v>
      </c>
      <c r="M49">
        <f t="shared" si="4"/>
        <v>27.73046626</v>
      </c>
      <c r="N49">
        <f t="shared" si="5"/>
        <v>3.502235469</v>
      </c>
      <c r="O49">
        <f t="shared" si="15"/>
        <v>3.289333617</v>
      </c>
      <c r="Q49" s="58">
        <v>15.999574196295505</v>
      </c>
      <c r="R49" s="58">
        <v>49.478390461997016</v>
      </c>
      <c r="S49" s="58">
        <v>27.730466255056417</v>
      </c>
      <c r="T49" s="57">
        <v>0.0</v>
      </c>
      <c r="U49" s="1">
        <v>0.0</v>
      </c>
      <c r="W49">
        <f>Q49*1 + R49*0.66 + S49*0.33 </f>
        <v>57.80636577</v>
      </c>
      <c r="X49" s="50">
        <f>Q49*0.66 + R49*1 + S49*0.33 </f>
        <v>69.1891633</v>
      </c>
      <c r="Y49" s="48">
        <f>Q49*0.66 + R49*0.33 + S49*1 </f>
        <v>54.61805408</v>
      </c>
      <c r="Z49" s="48">
        <f> T49*1</f>
        <v>0</v>
      </c>
    </row>
    <row r="50">
      <c r="A50" s="1" t="s">
        <v>602</v>
      </c>
      <c r="B50" s="14">
        <v>1075583.0</v>
      </c>
      <c r="D50" s="6">
        <v>12.48</v>
      </c>
      <c r="E50" s="1">
        <v>53.06</v>
      </c>
      <c r="F50" s="1">
        <v>23.84</v>
      </c>
      <c r="G50" s="1">
        <v>6.63</v>
      </c>
      <c r="H50" s="1">
        <v>0.0</v>
      </c>
      <c r="I50">
        <f t="shared" si="1"/>
        <v>96.01</v>
      </c>
      <c r="K50">
        <f t="shared" si="2"/>
        <v>12.99864597</v>
      </c>
      <c r="L50">
        <f t="shared" si="3"/>
        <v>55.26507655</v>
      </c>
      <c r="M50">
        <f t="shared" si="4"/>
        <v>24.8307468</v>
      </c>
      <c r="N50">
        <f t="shared" si="5"/>
        <v>6.905530674</v>
      </c>
      <c r="O50">
        <f t="shared" si="15"/>
        <v>0</v>
      </c>
      <c r="Q50" s="58">
        <v>12.998645974377668</v>
      </c>
      <c r="R50" s="58">
        <v>55.265076554525564</v>
      </c>
      <c r="S50" s="58">
        <v>24.830746797208622</v>
      </c>
      <c r="T50" s="58">
        <v>6.905530673888136</v>
      </c>
      <c r="U50">
        <v>0.0</v>
      </c>
      <c r="W50">
        <f>Q50*1 + R50*0.75 + S50*0.5 + T50*0.25</f>
        <v>68.58920946</v>
      </c>
      <c r="X50" s="50">
        <f>Q50*0.5 + R50*1 + S50*0.25 + T50*0.5</f>
        <v>71.42485158</v>
      </c>
      <c r="Y50" s="48">
        <f>Q50*0.75 + R50*0.25 + S50*1 + T50*0.75</f>
        <v>53.57514842</v>
      </c>
      <c r="Z50" s="48">
        <f>Q50*0.25 + R50*0.5 + S50*0.75 + T50*1</f>
        <v>56.41079054</v>
      </c>
    </row>
    <row r="51">
      <c r="A51" s="1" t="s">
        <v>603</v>
      </c>
      <c r="B51" s="14">
        <v>1010930.0</v>
      </c>
      <c r="D51" s="6">
        <v>25.81</v>
      </c>
      <c r="E51" s="1">
        <v>40.2</v>
      </c>
      <c r="F51" s="1">
        <v>23.87</v>
      </c>
      <c r="G51" s="1">
        <v>3.8</v>
      </c>
      <c r="H51" s="1">
        <v>1.99</v>
      </c>
      <c r="I51">
        <f t="shared" si="1"/>
        <v>95.67</v>
      </c>
      <c r="K51">
        <f t="shared" si="2"/>
        <v>26.97815407</v>
      </c>
      <c r="L51">
        <f t="shared" si="3"/>
        <v>42.01944183</v>
      </c>
      <c r="M51">
        <f t="shared" si="4"/>
        <v>24.95035016</v>
      </c>
      <c r="N51">
        <f t="shared" si="5"/>
        <v>3.971987039</v>
      </c>
      <c r="O51">
        <f t="shared" si="15"/>
        <v>2.080066897</v>
      </c>
      <c r="Q51" s="58">
        <v>26.978154071286713</v>
      </c>
      <c r="R51" s="58">
        <v>42.01944183129508</v>
      </c>
      <c r="S51" s="58">
        <v>24.950350162015262</v>
      </c>
      <c r="T51" s="57">
        <v>0.0</v>
      </c>
      <c r="U51" s="1">
        <v>0.0</v>
      </c>
      <c r="W51">
        <f>Q51*1 + R51*0.66 + S51*0.33 </f>
        <v>62.94460123</v>
      </c>
      <c r="X51" s="50">
        <f>Q51*0.66 + R51*1 + S51*0.33 </f>
        <v>68.05863907</v>
      </c>
      <c r="Y51" s="48">
        <f>Q51*0.66 + R51*0.33 + S51*1 </f>
        <v>56.62234765</v>
      </c>
      <c r="Z51" s="48">
        <f> T51*1</f>
        <v>0</v>
      </c>
    </row>
    <row r="52">
      <c r="A52" s="1" t="s">
        <v>604</v>
      </c>
      <c r="B52" s="14">
        <v>1001048.0</v>
      </c>
      <c r="D52" s="6">
        <v>17.09</v>
      </c>
      <c r="E52" s="6">
        <v>40.54</v>
      </c>
      <c r="F52" s="1">
        <v>28.63</v>
      </c>
      <c r="G52" s="6">
        <v>6.21</v>
      </c>
      <c r="H52" s="1">
        <v>1.25</v>
      </c>
      <c r="I52">
        <f t="shared" si="1"/>
        <v>93.72</v>
      </c>
      <c r="K52">
        <f t="shared" si="2"/>
        <v>18.23516859</v>
      </c>
      <c r="L52">
        <f t="shared" si="3"/>
        <v>43.25650875</v>
      </c>
      <c r="M52">
        <f t="shared" si="4"/>
        <v>30.54844217</v>
      </c>
      <c r="N52">
        <f t="shared" si="5"/>
        <v>6.626120359</v>
      </c>
      <c r="O52">
        <f t="shared" si="15"/>
        <v>1.333760137</v>
      </c>
      <c r="Q52" s="58">
        <v>18.235168587281265</v>
      </c>
      <c r="R52" s="58">
        <v>43.256508749466505</v>
      </c>
      <c r="S52" s="58">
        <v>30.548442168160484</v>
      </c>
      <c r="T52" s="58">
        <v>6.626120358514726</v>
      </c>
      <c r="U52" s="1">
        <v>0.0</v>
      </c>
      <c r="W52" s="5">
        <f t="shared" ref="W52:W56" si="28">Q52*1 + R52*0.75 + S52*0.5 + T52*0.25</f>
        <v>67.60830132</v>
      </c>
      <c r="X52" s="48">
        <f t="shared" ref="X52:X56" si="29">Q52*0.5 + R52*1 + S52*0.25 + T52*0.5</f>
        <v>63.32426376</v>
      </c>
      <c r="Y52" s="48">
        <f t="shared" ref="Y52:Y56" si="30">Q52*0.75 + R52*0.25 + S52*1 + T52*0.75</f>
        <v>60.00853606</v>
      </c>
      <c r="Z52" s="48">
        <f t="shared" ref="Z52:Z56" si="31">Q52*0.25 + R52*0.5 + S52*0.75 + T52*1</f>
        <v>55.72449851</v>
      </c>
    </row>
    <row r="53">
      <c r="A53" s="1" t="s">
        <v>605</v>
      </c>
      <c r="B53" s="14">
        <v>916778.0</v>
      </c>
      <c r="D53" s="1">
        <v>19.87</v>
      </c>
      <c r="E53" s="6">
        <v>39.92</v>
      </c>
      <c r="F53" s="1">
        <v>26.4</v>
      </c>
      <c r="G53" s="1">
        <v>6.88</v>
      </c>
      <c r="H53" s="1">
        <v>2.89</v>
      </c>
      <c r="I53">
        <f t="shared" si="1"/>
        <v>95.96</v>
      </c>
      <c r="K53">
        <f t="shared" si="2"/>
        <v>20.70654439</v>
      </c>
      <c r="L53">
        <f t="shared" si="3"/>
        <v>41.60066694</v>
      </c>
      <c r="M53">
        <f t="shared" si="4"/>
        <v>27.51146311</v>
      </c>
      <c r="N53">
        <f t="shared" si="5"/>
        <v>7.169654023</v>
      </c>
      <c r="O53">
        <f t="shared" si="15"/>
        <v>3.01167153</v>
      </c>
      <c r="Q53" s="58">
        <v>20.706544393497293</v>
      </c>
      <c r="R53" s="58">
        <v>41.60066694456024</v>
      </c>
      <c r="S53" s="58">
        <v>27.511463109629013</v>
      </c>
      <c r="T53" s="58">
        <v>7.16965402250938</v>
      </c>
      <c r="U53" s="1">
        <v>0.0</v>
      </c>
      <c r="W53" s="5">
        <f t="shared" si="28"/>
        <v>67.45518966</v>
      </c>
      <c r="X53" s="48">
        <f t="shared" si="29"/>
        <v>62.41663193</v>
      </c>
      <c r="Y53" s="48">
        <f t="shared" si="30"/>
        <v>58.81877866</v>
      </c>
      <c r="Z53" s="48">
        <f t="shared" si="31"/>
        <v>53.78022093</v>
      </c>
    </row>
    <row r="54">
      <c r="A54" s="1" t="s">
        <v>606</v>
      </c>
      <c r="B54" s="14">
        <v>1017938.0</v>
      </c>
      <c r="D54" s="1">
        <v>18.66</v>
      </c>
      <c r="E54" s="6">
        <v>41.65</v>
      </c>
      <c r="F54" s="1">
        <v>25.78</v>
      </c>
      <c r="G54" s="1">
        <v>5.78</v>
      </c>
      <c r="H54" s="1">
        <v>0.0</v>
      </c>
      <c r="I54">
        <f t="shared" si="1"/>
        <v>91.87</v>
      </c>
      <c r="K54">
        <f t="shared" si="2"/>
        <v>20.31130946</v>
      </c>
      <c r="L54">
        <f t="shared" si="3"/>
        <v>45.33580059</v>
      </c>
      <c r="M54">
        <f t="shared" si="4"/>
        <v>28.0613911</v>
      </c>
      <c r="N54">
        <f t="shared" si="5"/>
        <v>6.291498857</v>
      </c>
      <c r="O54">
        <f t="shared" si="15"/>
        <v>0</v>
      </c>
      <c r="Q54" s="58">
        <v>20.311309459018176</v>
      </c>
      <c r="R54" s="58">
        <v>45.33580058778709</v>
      </c>
      <c r="S54" s="58">
        <v>28.061391096114072</v>
      </c>
      <c r="T54" s="58">
        <v>6.291498857080657</v>
      </c>
      <c r="U54">
        <v>0.0</v>
      </c>
      <c r="W54" s="5">
        <f t="shared" si="28"/>
        <v>69.91673016</v>
      </c>
      <c r="X54" s="48">
        <f t="shared" si="29"/>
        <v>65.65255252</v>
      </c>
      <c r="Y54" s="48">
        <f t="shared" si="30"/>
        <v>59.34744748</v>
      </c>
      <c r="Z54" s="48">
        <f t="shared" si="31"/>
        <v>55.08326984</v>
      </c>
    </row>
    <row r="55">
      <c r="A55" s="1" t="s">
        <v>607</v>
      </c>
      <c r="B55" s="14">
        <v>962330.0</v>
      </c>
      <c r="C55" s="6"/>
      <c r="D55" s="6">
        <v>13.23</v>
      </c>
      <c r="E55" s="1">
        <v>41.36</v>
      </c>
      <c r="F55" s="1">
        <v>28.26</v>
      </c>
      <c r="G55" s="1">
        <v>6.53</v>
      </c>
      <c r="H55" s="1">
        <v>2.01</v>
      </c>
      <c r="I55">
        <f t="shared" si="1"/>
        <v>91.39</v>
      </c>
      <c r="K55">
        <f t="shared" si="2"/>
        <v>14.47641974</v>
      </c>
      <c r="L55">
        <f t="shared" si="3"/>
        <v>45.25659263</v>
      </c>
      <c r="M55">
        <f t="shared" si="4"/>
        <v>30.9224204</v>
      </c>
      <c r="N55">
        <f t="shared" si="5"/>
        <v>7.145201882</v>
      </c>
      <c r="O55">
        <f t="shared" si="15"/>
        <v>2.199365357</v>
      </c>
      <c r="Q55" s="58">
        <v>14.476419739577633</v>
      </c>
      <c r="R55" s="58">
        <v>45.25659262501367</v>
      </c>
      <c r="S55" s="58">
        <v>30.922420396104602</v>
      </c>
      <c r="T55" s="58">
        <v>7.145201882043986</v>
      </c>
      <c r="U55" s="1">
        <v>0.0</v>
      </c>
      <c r="W55" s="5">
        <f t="shared" si="28"/>
        <v>65.66637488</v>
      </c>
      <c r="X55" s="48">
        <f t="shared" si="29"/>
        <v>63.79800853</v>
      </c>
      <c r="Y55" s="48">
        <f t="shared" si="30"/>
        <v>58.45278477</v>
      </c>
      <c r="Z55" s="48">
        <f t="shared" si="31"/>
        <v>56.58441843</v>
      </c>
    </row>
    <row r="56">
      <c r="A56" s="1" t="s">
        <v>608</v>
      </c>
      <c r="B56" s="14">
        <v>990742.0</v>
      </c>
      <c r="D56" s="1">
        <v>37.62</v>
      </c>
      <c r="E56" s="1">
        <v>17.78</v>
      </c>
      <c r="F56" s="6">
        <v>11.9</v>
      </c>
      <c r="G56" s="6">
        <v>24.64</v>
      </c>
      <c r="H56" s="1">
        <v>3.56</v>
      </c>
      <c r="I56">
        <f t="shared" si="1"/>
        <v>95.5</v>
      </c>
      <c r="K56">
        <f t="shared" si="2"/>
        <v>39.39267016</v>
      </c>
      <c r="L56">
        <f t="shared" si="3"/>
        <v>18.61780105</v>
      </c>
      <c r="M56">
        <f t="shared" si="4"/>
        <v>12.46073298</v>
      </c>
      <c r="N56">
        <f t="shared" si="5"/>
        <v>25.80104712</v>
      </c>
      <c r="O56">
        <f t="shared" si="15"/>
        <v>3.727748691</v>
      </c>
      <c r="Q56" s="58">
        <v>39.39267015706806</v>
      </c>
      <c r="R56" s="58">
        <v>18.61780104712042</v>
      </c>
      <c r="S56" s="58">
        <v>12.460732984293193</v>
      </c>
      <c r="T56" s="58">
        <v>25.801047120418847</v>
      </c>
      <c r="U56" s="1">
        <v>0.0</v>
      </c>
      <c r="W56" s="5">
        <f t="shared" si="28"/>
        <v>66.03664921</v>
      </c>
      <c r="X56" s="48">
        <f t="shared" si="29"/>
        <v>54.32984293</v>
      </c>
      <c r="Y56" s="48">
        <f t="shared" si="30"/>
        <v>66.0104712</v>
      </c>
      <c r="Z56" s="48">
        <f t="shared" si="31"/>
        <v>54.30366492</v>
      </c>
    </row>
    <row r="57">
      <c r="A57" s="1"/>
      <c r="B57" s="14"/>
      <c r="D57" s="6"/>
      <c r="E57" s="1"/>
      <c r="F57" s="1"/>
      <c r="G57" s="6"/>
      <c r="Q57" s="57"/>
      <c r="R57" s="57"/>
      <c r="S57" s="64"/>
      <c r="T57" s="58"/>
    </row>
    <row r="58">
      <c r="A58" s="1"/>
      <c r="B58" s="14"/>
      <c r="D58" s="6"/>
      <c r="E58" s="1"/>
      <c r="F58" s="1"/>
      <c r="G58" s="1"/>
      <c r="Q58" s="1"/>
      <c r="R58" s="1"/>
      <c r="S58" s="65"/>
    </row>
    <row r="59">
      <c r="A59" s="1"/>
      <c r="B59" s="14"/>
      <c r="D59" s="6"/>
      <c r="E59" s="1"/>
      <c r="F59" s="1"/>
      <c r="G59" s="1"/>
      <c r="Q59" s="1"/>
      <c r="R59" s="1"/>
      <c r="S59" s="65"/>
    </row>
    <row r="60">
      <c r="A60" s="1"/>
      <c r="B60" s="14"/>
      <c r="D60" s="6"/>
      <c r="E60" s="6"/>
      <c r="F60" s="1"/>
      <c r="G60" s="1"/>
      <c r="Q60" s="1"/>
      <c r="R60" s="1"/>
      <c r="S60" s="65"/>
    </row>
    <row r="61">
      <c r="A61" s="1"/>
      <c r="B61" s="14"/>
      <c r="D61" s="6"/>
      <c r="E61" s="1"/>
      <c r="F61" s="1"/>
      <c r="G61" s="1"/>
      <c r="Q61" s="1"/>
      <c r="R61" s="1"/>
      <c r="S61" s="65"/>
    </row>
    <row r="62">
      <c r="A62" s="1"/>
      <c r="B62" s="14"/>
      <c r="D62" s="6"/>
      <c r="E62" s="1"/>
      <c r="F62" s="1"/>
      <c r="G62" s="1"/>
      <c r="Q62" s="1"/>
      <c r="R62" s="1"/>
      <c r="S62" s="65"/>
    </row>
    <row r="63">
      <c r="A63" s="1"/>
      <c r="B63" s="14"/>
      <c r="D63" s="6"/>
      <c r="E63" s="1"/>
      <c r="F63" s="1"/>
      <c r="G63" s="1"/>
      <c r="Q63" s="1"/>
      <c r="R63" s="1"/>
      <c r="S63" s="65"/>
    </row>
    <row r="64">
      <c r="A64" s="1"/>
      <c r="B64" s="14"/>
      <c r="D64" s="6"/>
      <c r="E64" s="1"/>
      <c r="F64" s="1"/>
      <c r="G64" s="1"/>
      <c r="Q64" s="1"/>
      <c r="R64" s="1"/>
      <c r="S64" s="65"/>
    </row>
    <row r="65">
      <c r="A65" s="1"/>
      <c r="B65" s="14"/>
      <c r="D65" s="6"/>
      <c r="E65" s="1"/>
      <c r="F65" s="6"/>
      <c r="G65" s="1"/>
      <c r="Q65" s="1"/>
      <c r="R65" s="1"/>
      <c r="S65" s="65"/>
    </row>
    <row r="66">
      <c r="A66" s="1"/>
      <c r="B66" s="14"/>
      <c r="D66" s="6"/>
      <c r="E66" s="1"/>
      <c r="F66" s="1"/>
      <c r="G66" s="1"/>
      <c r="Q66" s="1"/>
      <c r="R66" s="1"/>
      <c r="S66" s="65"/>
    </row>
    <row r="67">
      <c r="A67" s="1"/>
      <c r="B67" s="14"/>
      <c r="D67" s="6"/>
      <c r="E67" s="1"/>
      <c r="F67" s="6"/>
      <c r="G67" s="1"/>
      <c r="Q67" s="1"/>
      <c r="R67" s="1"/>
      <c r="S67" s="65"/>
    </row>
    <row r="68">
      <c r="A68" s="1"/>
      <c r="B68" s="14"/>
      <c r="D68" s="1"/>
      <c r="E68" s="1"/>
      <c r="F68" s="1"/>
      <c r="G68" s="1"/>
      <c r="Q68" s="1"/>
      <c r="R68" s="1"/>
      <c r="S68" s="65"/>
    </row>
    <row r="69">
      <c r="A69" s="1"/>
      <c r="B69" s="14"/>
      <c r="D69" s="6"/>
      <c r="E69" s="1"/>
      <c r="F69" s="1"/>
      <c r="G69" s="1"/>
      <c r="Q69" s="1"/>
      <c r="R69" s="1"/>
      <c r="S69" s="65"/>
    </row>
    <row r="70">
      <c r="A70" s="1"/>
      <c r="B70" s="14"/>
      <c r="D70" s="6"/>
      <c r="E70" s="1"/>
      <c r="F70" s="6"/>
      <c r="G70" s="1"/>
      <c r="Q70" s="1"/>
      <c r="R70" s="1"/>
      <c r="S70" s="65"/>
    </row>
    <row r="71">
      <c r="A71" s="1"/>
      <c r="B71" s="14"/>
      <c r="D71" s="6"/>
      <c r="E71" s="6"/>
      <c r="F71" s="1"/>
      <c r="G71" s="1"/>
      <c r="Q71" s="1"/>
      <c r="R71" s="1"/>
      <c r="S71" s="65"/>
    </row>
    <row r="72">
      <c r="A72" s="14"/>
      <c r="B72" s="14"/>
      <c r="D72" s="1"/>
      <c r="E72" s="1"/>
      <c r="F72" s="6"/>
      <c r="G72" s="1"/>
      <c r="Q72" s="1"/>
      <c r="R72" s="1"/>
      <c r="S72" s="65"/>
    </row>
    <row r="73">
      <c r="A73" s="1"/>
      <c r="B73" s="14"/>
      <c r="D73" s="6"/>
      <c r="E73" s="1"/>
      <c r="F73" s="1"/>
      <c r="G73" s="1"/>
      <c r="Q73" s="1"/>
      <c r="R73" s="1"/>
      <c r="S73" s="65"/>
    </row>
    <row r="74">
      <c r="A74" s="1"/>
      <c r="B74" s="14"/>
      <c r="D74" s="6"/>
      <c r="E74" s="1"/>
      <c r="F74" s="1"/>
      <c r="G74" s="1"/>
      <c r="Q74" s="1"/>
      <c r="R74" s="1"/>
      <c r="S74" s="65"/>
    </row>
    <row r="75">
      <c r="A75" s="1"/>
      <c r="B75" s="14"/>
      <c r="D75" s="1"/>
      <c r="E75" s="1"/>
      <c r="F75" s="6"/>
      <c r="G75" s="6"/>
      <c r="Q75" s="1"/>
      <c r="R75" s="1"/>
      <c r="S75" s="65"/>
    </row>
    <row r="76">
      <c r="A76" s="1"/>
      <c r="B76" s="14"/>
      <c r="D76" s="6"/>
      <c r="E76" s="6"/>
      <c r="F76" s="1"/>
      <c r="G76" s="1"/>
      <c r="Q76" s="1"/>
      <c r="R76" s="1"/>
      <c r="S76" s="65"/>
    </row>
    <row r="77">
      <c r="A77" s="1"/>
      <c r="B77" s="14"/>
      <c r="D77" s="1"/>
      <c r="E77" s="6"/>
      <c r="F77" s="1"/>
      <c r="G77" s="1"/>
      <c r="Q77" s="1"/>
      <c r="R77" s="1"/>
      <c r="S77" s="65"/>
    </row>
    <row r="78">
      <c r="A78" s="1"/>
      <c r="B78" s="14"/>
      <c r="D78" s="6"/>
      <c r="E78" s="1"/>
      <c r="F78" s="1"/>
      <c r="G78" s="1"/>
      <c r="Q78" s="1"/>
      <c r="R78" s="1"/>
      <c r="S78" s="65"/>
    </row>
    <row r="79">
      <c r="A79" s="1"/>
      <c r="B79" s="14"/>
      <c r="D79" s="6"/>
      <c r="E79" s="1"/>
      <c r="F79" s="1"/>
      <c r="G79" s="6"/>
      <c r="Q79" s="1"/>
      <c r="R79" s="1"/>
      <c r="S79" s="65"/>
    </row>
    <row r="80">
      <c r="A80" s="1"/>
      <c r="B80" s="1"/>
      <c r="D80" s="6"/>
      <c r="E80" s="6"/>
      <c r="F80" s="1"/>
      <c r="G80" s="1"/>
      <c r="Q80" s="1"/>
      <c r="R80" s="1"/>
      <c r="S80" s="65"/>
    </row>
    <row r="81">
      <c r="A81" s="1"/>
      <c r="B81" s="14"/>
      <c r="D81" s="1"/>
      <c r="E81" s="1"/>
      <c r="F81" s="6"/>
      <c r="G81" s="1"/>
      <c r="Q81" s="1"/>
      <c r="R81" s="1"/>
      <c r="S81" s="65"/>
    </row>
    <row r="82">
      <c r="A82" s="14"/>
      <c r="B82" s="14"/>
      <c r="D82" s="6"/>
      <c r="E82" s="1"/>
      <c r="F82" s="6"/>
      <c r="G82" s="1"/>
      <c r="Q82" s="1"/>
      <c r="R82" s="1"/>
      <c r="S82" s="65"/>
    </row>
    <row r="83">
      <c r="A83" s="1"/>
      <c r="B83" s="14"/>
      <c r="D83" s="1"/>
      <c r="E83" s="1"/>
      <c r="F83" s="1"/>
      <c r="G83" s="1"/>
      <c r="Q83" s="1"/>
      <c r="R83" s="1"/>
      <c r="S83" s="65"/>
    </row>
    <row r="84">
      <c r="A84" s="1"/>
      <c r="B84" s="14"/>
      <c r="D84" s="1"/>
      <c r="E84" s="1"/>
      <c r="F84" s="6"/>
      <c r="G84" s="1"/>
      <c r="Q84" s="1"/>
      <c r="R84" s="1"/>
      <c r="S84" s="65"/>
    </row>
    <row r="85">
      <c r="A85" s="1"/>
      <c r="B85" s="14"/>
      <c r="D85" s="1"/>
      <c r="E85" s="1"/>
      <c r="F85" s="6"/>
      <c r="G85" s="1"/>
      <c r="Q85" s="1"/>
      <c r="R85" s="1"/>
      <c r="S85" s="65"/>
    </row>
    <row r="86">
      <c r="A86" s="1"/>
      <c r="B86" s="14"/>
      <c r="D86" s="1"/>
      <c r="E86" s="1"/>
      <c r="F86" s="6"/>
      <c r="G86" s="1"/>
      <c r="Q86" s="1"/>
      <c r="R86" s="1"/>
      <c r="S86" s="65"/>
    </row>
    <row r="87">
      <c r="A87" s="1"/>
      <c r="B87" s="14"/>
      <c r="D87" s="6"/>
      <c r="E87" s="1"/>
      <c r="F87" s="6"/>
      <c r="G87" s="1"/>
      <c r="Q87" s="1"/>
      <c r="R87" s="1"/>
      <c r="S87" s="65"/>
    </row>
    <row r="88">
      <c r="A88" s="1"/>
      <c r="B88" s="14"/>
      <c r="D88" s="6"/>
      <c r="E88" s="1"/>
      <c r="F88" s="6"/>
      <c r="G88" s="6"/>
      <c r="Q88" s="1"/>
      <c r="R88" s="1"/>
      <c r="S88" s="65"/>
    </row>
    <row r="89">
      <c r="A89" s="1"/>
      <c r="B89" s="14"/>
      <c r="D89" s="6"/>
      <c r="E89" s="6"/>
      <c r="F89" s="1"/>
      <c r="G89" s="1"/>
      <c r="Q89" s="1"/>
      <c r="R89" s="1"/>
      <c r="S89" s="65"/>
    </row>
    <row r="90">
      <c r="A90" s="1"/>
      <c r="B90" s="14"/>
      <c r="D90" s="1"/>
      <c r="E90" s="1"/>
      <c r="F90" s="6"/>
      <c r="G90" s="1"/>
      <c r="Q90" s="1"/>
      <c r="R90" s="1"/>
      <c r="S90" s="65"/>
    </row>
    <row r="91">
      <c r="A91" s="1"/>
      <c r="B91" s="14"/>
      <c r="D91" s="6"/>
      <c r="E91" s="1"/>
      <c r="F91" s="6"/>
      <c r="G91" s="1"/>
      <c r="Q91" s="1"/>
      <c r="R91" s="1"/>
      <c r="S91" s="65"/>
    </row>
    <row r="92">
      <c r="A92" s="1"/>
      <c r="B92" s="1"/>
      <c r="D92" s="6"/>
      <c r="E92" s="1"/>
      <c r="F92" s="1"/>
      <c r="G92" s="1"/>
      <c r="Q92" s="1"/>
      <c r="R92" s="1"/>
      <c r="S92" s="65"/>
    </row>
    <row r="93">
      <c r="A93" s="1"/>
      <c r="B93" s="14"/>
      <c r="D93" s="6"/>
      <c r="E93" s="1"/>
      <c r="F93" s="6"/>
      <c r="G93" s="1"/>
      <c r="Q93" s="1"/>
      <c r="R93" s="1"/>
      <c r="S93" s="65"/>
    </row>
    <row r="94">
      <c r="A94" s="1"/>
      <c r="B94" s="14"/>
      <c r="D94" s="6"/>
      <c r="E94" s="1"/>
      <c r="F94" s="6"/>
      <c r="G94" s="1"/>
      <c r="Q94" s="1"/>
      <c r="R94" s="1"/>
      <c r="S94" s="65"/>
    </row>
    <row r="95">
      <c r="A95" s="1"/>
      <c r="B95" s="14"/>
      <c r="D95" s="1"/>
      <c r="E95" s="1"/>
      <c r="F95" s="1"/>
      <c r="G95" s="1"/>
      <c r="Q95" s="1"/>
      <c r="R95" s="1"/>
      <c r="S95" s="65"/>
    </row>
    <row r="96">
      <c r="A96" s="1"/>
      <c r="B96" s="14"/>
      <c r="D96" s="6"/>
      <c r="E96" s="6"/>
      <c r="F96" s="1"/>
      <c r="G96" s="1"/>
      <c r="Q96" s="1"/>
      <c r="R96" s="1"/>
      <c r="S96" s="65"/>
    </row>
    <row r="97">
      <c r="A97" s="1"/>
      <c r="B97" s="1"/>
      <c r="D97" s="1"/>
      <c r="E97" s="1"/>
      <c r="F97" s="6"/>
      <c r="G97" s="1"/>
      <c r="Q97" s="1"/>
      <c r="R97" s="1"/>
      <c r="S97" s="65"/>
    </row>
  </sheetData>
  <mergeCells count="3">
    <mergeCell ref="K15:M15"/>
    <mergeCell ref="D15:F15"/>
    <mergeCell ref="Q15:S15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4" t="s">
        <v>17</v>
      </c>
      <c r="D1" s="4" t="s">
        <v>18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>
      <c r="A2" s="12"/>
      <c r="B2" s="12"/>
      <c r="C2" s="12"/>
      <c r="D2" s="12"/>
      <c r="E2" s="12"/>
      <c r="K2" s="12"/>
      <c r="L2" s="12"/>
      <c r="M2" s="12"/>
      <c r="N2" s="12"/>
      <c r="O2" s="12"/>
      <c r="P2" s="10" t="s">
        <v>547</v>
      </c>
      <c r="Q2" s="10" t="s">
        <v>25</v>
      </c>
      <c r="R2" s="10" t="s">
        <v>5</v>
      </c>
      <c r="S2" s="10" t="s">
        <v>548</v>
      </c>
    </row>
    <row r="3">
      <c r="A3" s="10" t="s">
        <v>547</v>
      </c>
      <c r="B3" s="12"/>
      <c r="C3" s="21">
        <v>11.0</v>
      </c>
      <c r="D3" s="21">
        <v>7.0</v>
      </c>
      <c r="E3" s="12"/>
      <c r="K3" s="12"/>
      <c r="L3" s="12"/>
      <c r="M3" s="12"/>
      <c r="N3" s="12"/>
      <c r="O3" s="10" t="s">
        <v>547</v>
      </c>
      <c r="P3" s="20">
        <v>1.0</v>
      </c>
      <c r="Q3" s="20">
        <v>4.0</v>
      </c>
      <c r="R3" s="20">
        <v>3.0</v>
      </c>
      <c r="S3" s="20">
        <v>2.0</v>
      </c>
    </row>
    <row r="4">
      <c r="A4" s="10" t="s">
        <v>3</v>
      </c>
      <c r="B4" s="10" t="s">
        <v>4</v>
      </c>
      <c r="C4" s="21">
        <v>1.0</v>
      </c>
      <c r="D4" s="21">
        <v>1.0</v>
      </c>
      <c r="E4" s="12"/>
      <c r="K4" s="12"/>
      <c r="L4" s="12"/>
      <c r="M4" s="12"/>
      <c r="N4" s="12"/>
      <c r="O4" s="10" t="s">
        <v>25</v>
      </c>
      <c r="P4" s="20">
        <v>4.0</v>
      </c>
      <c r="Q4" s="20">
        <v>1.0</v>
      </c>
      <c r="R4" s="20">
        <v>3.0</v>
      </c>
      <c r="S4" s="20">
        <v>2.0</v>
      </c>
    </row>
    <row r="5">
      <c r="A5" s="10" t="s">
        <v>5</v>
      </c>
      <c r="B5" s="10" t="s">
        <v>6</v>
      </c>
      <c r="C5" s="21">
        <v>2.0</v>
      </c>
      <c r="D5" s="21">
        <v>7.0</v>
      </c>
      <c r="E5" s="12"/>
      <c r="K5" s="12"/>
      <c r="L5" s="12"/>
      <c r="M5" s="12"/>
      <c r="N5" s="12"/>
      <c r="O5" s="10" t="s">
        <v>5</v>
      </c>
      <c r="P5" s="20">
        <v>3.0</v>
      </c>
      <c r="Q5" s="20">
        <v>2.0</v>
      </c>
      <c r="R5" s="20">
        <v>1.0</v>
      </c>
      <c r="S5" s="20">
        <v>4.0</v>
      </c>
    </row>
    <row r="6">
      <c r="A6" s="10" t="s">
        <v>550</v>
      </c>
      <c r="B6" s="12"/>
      <c r="C6" s="21">
        <v>1.0</v>
      </c>
      <c r="D6" s="21">
        <v>1.0</v>
      </c>
      <c r="E6" s="12"/>
      <c r="K6" s="12"/>
      <c r="L6" s="12"/>
      <c r="M6" s="12"/>
      <c r="N6" s="12"/>
      <c r="O6" s="10" t="s">
        <v>548</v>
      </c>
      <c r="P6" s="20">
        <v>3.0</v>
      </c>
      <c r="Q6" s="20">
        <v>2.0</v>
      </c>
      <c r="R6" s="20">
        <v>4.0</v>
      </c>
      <c r="S6" s="20">
        <v>1.0</v>
      </c>
    </row>
    <row r="7">
      <c r="A7" s="10" t="s">
        <v>38</v>
      </c>
      <c r="B7" s="10" t="s">
        <v>4</v>
      </c>
      <c r="C7" s="21">
        <v>1.0</v>
      </c>
      <c r="D7" s="21">
        <v>0.0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>
      <c r="A8" s="10" t="s">
        <v>27</v>
      </c>
      <c r="B8" s="12"/>
      <c r="C8" s="21">
        <v>1.0</v>
      </c>
      <c r="D8" s="21">
        <v>1.0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>
      <c r="A11" s="10" t="s">
        <v>8</v>
      </c>
      <c r="B11" s="10" t="s">
        <v>41</v>
      </c>
      <c r="C11" s="12"/>
      <c r="D11" s="10" t="s">
        <v>9</v>
      </c>
      <c r="F11" s="12"/>
      <c r="G11" s="12"/>
      <c r="H11" s="12"/>
      <c r="I11" s="12"/>
      <c r="J11" s="10" t="s">
        <v>11</v>
      </c>
      <c r="L11" s="12"/>
      <c r="M11" s="12"/>
      <c r="N11" s="12"/>
      <c r="O11" s="22" t="s">
        <v>12</v>
      </c>
      <c r="R11" s="12"/>
    </row>
    <row r="12">
      <c r="A12" s="12"/>
      <c r="B12" s="12"/>
      <c r="C12" s="12"/>
      <c r="D12" s="10" t="s">
        <v>547</v>
      </c>
      <c r="E12" s="10" t="s">
        <v>25</v>
      </c>
      <c r="F12" s="10" t="s">
        <v>5</v>
      </c>
      <c r="G12" s="10" t="s">
        <v>548</v>
      </c>
      <c r="H12" s="10" t="s">
        <v>45</v>
      </c>
      <c r="I12" s="12"/>
      <c r="J12" s="10" t="s">
        <v>547</v>
      </c>
      <c r="K12" s="10" t="s">
        <v>25</v>
      </c>
      <c r="L12" s="10" t="s">
        <v>5</v>
      </c>
      <c r="M12" s="10" t="s">
        <v>548</v>
      </c>
      <c r="N12" s="12"/>
      <c r="O12" s="10" t="s">
        <v>547</v>
      </c>
      <c r="P12" s="10" t="s">
        <v>25</v>
      </c>
      <c r="Q12" s="10" t="s">
        <v>5</v>
      </c>
      <c r="R12" s="10" t="s">
        <v>548</v>
      </c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>
      <c r="A14" s="10" t="s">
        <v>552</v>
      </c>
      <c r="B14" s="21">
        <v>1440267.0</v>
      </c>
      <c r="C14" s="12"/>
      <c r="D14" s="21">
        <v>7.5</v>
      </c>
      <c r="E14" s="21">
        <v>34.51</v>
      </c>
      <c r="F14" s="21">
        <v>15.79</v>
      </c>
      <c r="G14" s="21">
        <v>35.53</v>
      </c>
      <c r="H14" s="21">
        <f t="shared" ref="H14:H30" si="1">D14+E14+F14+G14</f>
        <v>93.33</v>
      </c>
      <c r="I14" s="12"/>
      <c r="J14" s="21">
        <f t="shared" ref="J14:J30" si="2">100*D14/H14</f>
        <v>8.036001286</v>
      </c>
      <c r="K14" s="21">
        <f t="shared" ref="K14:K30" si="3">100*E14/H14</f>
        <v>36.97632058</v>
      </c>
      <c r="L14" s="21">
        <f t="shared" ref="L14:L30" si="4">100*F14/H14</f>
        <v>16.91846137</v>
      </c>
      <c r="M14" s="21">
        <f t="shared" ref="M14:M30" si="5">100*G14/H14</f>
        <v>38.06921676</v>
      </c>
      <c r="N14" s="12"/>
      <c r="O14" s="12">
        <f t="shared" ref="O14:O30" si="6">J14+K14*0.25+L14*0.5+M14*0.25</f>
        <v>35.25661631</v>
      </c>
      <c r="P14" s="62">
        <f t="shared" ref="P14:P30" si="7">K14+L14*0.75+M14*0.75+J14*0.25</f>
        <v>80.2260795</v>
      </c>
      <c r="Q14" s="12">
        <f t="shared" ref="Q14:Q30" si="8">L14+M14*0.25+K14*0.5+J14*0.5</f>
        <v>48.9419265</v>
      </c>
      <c r="R14" s="21">
        <f t="shared" ref="R14:R30" si="9">M14+K14*0.75+J14*0.75+L14*0.25</f>
        <v>76.0580735</v>
      </c>
    </row>
    <row r="15">
      <c r="A15" s="10" t="s">
        <v>559</v>
      </c>
      <c r="B15" s="21">
        <v>1386282.0</v>
      </c>
      <c r="C15" s="12"/>
      <c r="D15" s="21">
        <v>40.82</v>
      </c>
      <c r="E15" s="21">
        <v>17.45</v>
      </c>
      <c r="F15" s="21">
        <v>24.59</v>
      </c>
      <c r="G15" s="21">
        <v>8.94</v>
      </c>
      <c r="H15" s="21">
        <f t="shared" si="1"/>
        <v>91.8</v>
      </c>
      <c r="I15" s="12"/>
      <c r="J15" s="21">
        <f t="shared" si="2"/>
        <v>44.46623094</v>
      </c>
      <c r="K15" s="21">
        <f t="shared" si="3"/>
        <v>19.0087146</v>
      </c>
      <c r="L15" s="21">
        <f t="shared" si="4"/>
        <v>26.78649237</v>
      </c>
      <c r="M15" s="21">
        <f t="shared" si="5"/>
        <v>9.738562092</v>
      </c>
      <c r="N15" s="12"/>
      <c r="O15" s="62">
        <f t="shared" si="6"/>
        <v>65.0462963</v>
      </c>
      <c r="P15" s="12">
        <f t="shared" si="7"/>
        <v>57.51906318</v>
      </c>
      <c r="Q15" s="12">
        <f t="shared" si="8"/>
        <v>60.95860566</v>
      </c>
      <c r="R15" s="21">
        <f t="shared" si="9"/>
        <v>64.04139434</v>
      </c>
    </row>
    <row r="16">
      <c r="A16" s="63" t="s">
        <v>561</v>
      </c>
      <c r="B16" s="21">
        <v>1550810.0</v>
      </c>
      <c r="C16" s="12"/>
      <c r="D16" s="59">
        <v>44.83</v>
      </c>
      <c r="E16" s="59">
        <v>19.06</v>
      </c>
      <c r="F16" s="21">
        <v>26.68</v>
      </c>
      <c r="G16" s="21">
        <v>0.0</v>
      </c>
      <c r="H16" s="21">
        <f t="shared" si="1"/>
        <v>90.57</v>
      </c>
      <c r="I16" s="12"/>
      <c r="J16" s="21">
        <f t="shared" si="2"/>
        <v>49.49762615</v>
      </c>
      <c r="K16" s="21">
        <f t="shared" si="3"/>
        <v>21.04449597</v>
      </c>
      <c r="L16" s="21">
        <f t="shared" si="4"/>
        <v>29.45787788</v>
      </c>
      <c r="M16" s="21">
        <f t="shared" si="5"/>
        <v>0</v>
      </c>
      <c r="N16" s="12"/>
      <c r="O16" s="62">
        <f t="shared" si="6"/>
        <v>69.48768908</v>
      </c>
      <c r="P16" s="12">
        <f t="shared" si="7"/>
        <v>55.51231092</v>
      </c>
      <c r="Q16" s="12">
        <f t="shared" si="8"/>
        <v>64.72893894</v>
      </c>
      <c r="R16" s="21">
        <f t="shared" si="9"/>
        <v>60.27106106</v>
      </c>
    </row>
    <row r="17">
      <c r="A17" s="10" t="s">
        <v>562</v>
      </c>
      <c r="B17" s="21">
        <v>1496193.0</v>
      </c>
      <c r="C17" s="12"/>
      <c r="D17" s="59">
        <v>42.48</v>
      </c>
      <c r="E17" s="59">
        <v>21.79</v>
      </c>
      <c r="F17" s="59">
        <v>26.32</v>
      </c>
      <c r="G17" s="59">
        <v>0.0</v>
      </c>
      <c r="H17" s="21">
        <f t="shared" si="1"/>
        <v>90.59</v>
      </c>
      <c r="I17" s="12"/>
      <c r="J17" s="21">
        <f t="shared" si="2"/>
        <v>46.892593</v>
      </c>
      <c r="K17" s="21">
        <f t="shared" si="3"/>
        <v>24.05342753</v>
      </c>
      <c r="L17" s="21">
        <f t="shared" si="4"/>
        <v>29.05397947</v>
      </c>
      <c r="M17" s="21">
        <f t="shared" si="5"/>
        <v>0</v>
      </c>
      <c r="N17" s="12"/>
      <c r="O17" s="62">
        <f t="shared" si="6"/>
        <v>67.43293962</v>
      </c>
      <c r="P17" s="12">
        <f t="shared" si="7"/>
        <v>57.56706038</v>
      </c>
      <c r="Q17" s="12">
        <f t="shared" si="8"/>
        <v>64.52698973</v>
      </c>
      <c r="R17" s="21">
        <f t="shared" si="9"/>
        <v>60.47301027</v>
      </c>
    </row>
    <row r="18">
      <c r="A18" s="10" t="s">
        <v>564</v>
      </c>
      <c r="B18" s="21">
        <v>1445354.0</v>
      </c>
      <c r="C18" s="12"/>
      <c r="D18" s="59">
        <v>46.25</v>
      </c>
      <c r="E18" s="59">
        <v>14.32</v>
      </c>
      <c r="F18" s="59">
        <v>33.1</v>
      </c>
      <c r="G18" s="59">
        <v>0.0</v>
      </c>
      <c r="H18" s="21">
        <f t="shared" si="1"/>
        <v>93.67</v>
      </c>
      <c r="I18" s="12"/>
      <c r="J18" s="21">
        <f t="shared" si="2"/>
        <v>49.37546707</v>
      </c>
      <c r="K18" s="21">
        <f t="shared" si="3"/>
        <v>15.28771218</v>
      </c>
      <c r="L18" s="21">
        <f t="shared" si="4"/>
        <v>35.33682075</v>
      </c>
      <c r="M18" s="21">
        <f t="shared" si="5"/>
        <v>0</v>
      </c>
      <c r="N18" s="12"/>
      <c r="O18" s="62">
        <f t="shared" si="6"/>
        <v>70.86580549</v>
      </c>
      <c r="P18" s="12">
        <f t="shared" si="7"/>
        <v>54.13419451</v>
      </c>
      <c r="Q18" s="12">
        <f t="shared" si="8"/>
        <v>67.66841038</v>
      </c>
      <c r="R18" s="21">
        <f t="shared" si="9"/>
        <v>57.33158962</v>
      </c>
    </row>
    <row r="19">
      <c r="A19" s="10" t="s">
        <v>565</v>
      </c>
      <c r="B19" s="21">
        <v>3183083.0</v>
      </c>
      <c r="C19" s="12"/>
      <c r="D19" s="59">
        <v>30.48</v>
      </c>
      <c r="E19" s="59">
        <v>32.21</v>
      </c>
      <c r="F19" s="59">
        <v>14.37</v>
      </c>
      <c r="G19" s="59">
        <v>0.0</v>
      </c>
      <c r="H19" s="21">
        <f t="shared" si="1"/>
        <v>77.06</v>
      </c>
      <c r="I19" s="12"/>
      <c r="J19" s="21">
        <f t="shared" si="2"/>
        <v>39.5535946</v>
      </c>
      <c r="K19" s="21">
        <f t="shared" si="3"/>
        <v>41.79859849</v>
      </c>
      <c r="L19" s="21">
        <f t="shared" si="4"/>
        <v>18.6478069</v>
      </c>
      <c r="M19" s="21">
        <f t="shared" si="5"/>
        <v>0</v>
      </c>
      <c r="N19" s="12"/>
      <c r="O19" s="12">
        <f t="shared" si="6"/>
        <v>59.32714768</v>
      </c>
      <c r="P19" s="12">
        <f t="shared" si="7"/>
        <v>65.67285232</v>
      </c>
      <c r="Q19" s="12">
        <f t="shared" si="8"/>
        <v>59.32390345</v>
      </c>
      <c r="R19" s="28">
        <f t="shared" si="9"/>
        <v>65.67609655</v>
      </c>
    </row>
    <row r="20">
      <c r="A20" s="63" t="s">
        <v>566</v>
      </c>
      <c r="B20" s="21">
        <v>189371.0</v>
      </c>
      <c r="C20" s="12"/>
      <c r="D20" s="59">
        <v>14.32</v>
      </c>
      <c r="E20" s="59">
        <v>43.62</v>
      </c>
      <c r="F20" s="59">
        <v>18.27</v>
      </c>
      <c r="G20" s="59">
        <v>14.44</v>
      </c>
      <c r="H20" s="21">
        <f t="shared" si="1"/>
        <v>90.65</v>
      </c>
      <c r="I20" s="12"/>
      <c r="J20" s="21">
        <f t="shared" si="2"/>
        <v>15.79702151</v>
      </c>
      <c r="K20" s="21">
        <f t="shared" si="3"/>
        <v>48.11913955</v>
      </c>
      <c r="L20" s="21">
        <f t="shared" si="4"/>
        <v>20.15444015</v>
      </c>
      <c r="M20" s="21">
        <f t="shared" si="5"/>
        <v>15.92939879</v>
      </c>
      <c r="N20" s="12"/>
      <c r="O20" s="12">
        <f t="shared" si="6"/>
        <v>41.88637617</v>
      </c>
      <c r="P20" s="62">
        <f t="shared" si="7"/>
        <v>79.13127413</v>
      </c>
      <c r="Q20" s="12">
        <f t="shared" si="8"/>
        <v>56.09487038</v>
      </c>
      <c r="R20" s="21">
        <f t="shared" si="9"/>
        <v>68.90512962</v>
      </c>
    </row>
    <row r="21">
      <c r="A21" s="63" t="s">
        <v>568</v>
      </c>
      <c r="B21" s="21">
        <v>2185164.0</v>
      </c>
      <c r="C21" s="12"/>
      <c r="D21" s="59">
        <v>32.9</v>
      </c>
      <c r="E21" s="59">
        <v>26.71</v>
      </c>
      <c r="F21" s="59">
        <v>27.38</v>
      </c>
      <c r="G21" s="59">
        <v>0.0</v>
      </c>
      <c r="H21" s="21">
        <f t="shared" si="1"/>
        <v>86.99</v>
      </c>
      <c r="I21" s="12"/>
      <c r="J21" s="21">
        <f t="shared" si="2"/>
        <v>37.82043913</v>
      </c>
      <c r="K21" s="21">
        <f t="shared" si="3"/>
        <v>30.7046787</v>
      </c>
      <c r="L21" s="21">
        <f t="shared" si="4"/>
        <v>31.47488217</v>
      </c>
      <c r="M21" s="21">
        <f t="shared" si="5"/>
        <v>0</v>
      </c>
      <c r="N21" s="12"/>
      <c r="O21" s="12">
        <f t="shared" si="6"/>
        <v>61.23404989</v>
      </c>
      <c r="P21" s="12">
        <f t="shared" si="7"/>
        <v>63.76595011</v>
      </c>
      <c r="Q21" s="62">
        <f t="shared" si="8"/>
        <v>65.73744109</v>
      </c>
      <c r="R21" s="21">
        <f t="shared" si="9"/>
        <v>59.26255891</v>
      </c>
    </row>
    <row r="22">
      <c r="A22" s="10" t="s">
        <v>576</v>
      </c>
      <c r="B22" s="21">
        <v>1418668.0</v>
      </c>
      <c r="C22" s="12"/>
      <c r="D22" s="59">
        <v>32.91</v>
      </c>
      <c r="E22" s="59">
        <v>26.86</v>
      </c>
      <c r="F22" s="59">
        <v>32.66</v>
      </c>
      <c r="G22" s="59">
        <v>0.0</v>
      </c>
      <c r="H22" s="21">
        <f t="shared" si="1"/>
        <v>92.43</v>
      </c>
      <c r="I22" s="12"/>
      <c r="J22" s="21">
        <f t="shared" si="2"/>
        <v>35.60532295</v>
      </c>
      <c r="K22" s="21">
        <f t="shared" si="3"/>
        <v>29.05982906</v>
      </c>
      <c r="L22" s="21">
        <f t="shared" si="4"/>
        <v>35.33484799</v>
      </c>
      <c r="M22" s="21">
        <f t="shared" si="5"/>
        <v>0</v>
      </c>
      <c r="N22" s="12"/>
      <c r="O22" s="12">
        <f t="shared" si="6"/>
        <v>60.53770421</v>
      </c>
      <c r="P22" s="12">
        <f t="shared" si="7"/>
        <v>64.46229579</v>
      </c>
      <c r="Q22" s="62">
        <f t="shared" si="8"/>
        <v>67.667424</v>
      </c>
      <c r="R22" s="21">
        <f t="shared" si="9"/>
        <v>57.332576</v>
      </c>
    </row>
    <row r="23">
      <c r="A23" s="63" t="s">
        <v>578</v>
      </c>
      <c r="B23" s="21">
        <v>1477305.0</v>
      </c>
      <c r="C23" s="12"/>
      <c r="D23" s="59">
        <v>36.14</v>
      </c>
      <c r="E23" s="59">
        <v>16.43</v>
      </c>
      <c r="F23" s="59">
        <v>37.64</v>
      </c>
      <c r="G23" s="59">
        <v>0.0</v>
      </c>
      <c r="H23" s="21">
        <f t="shared" si="1"/>
        <v>90.21</v>
      </c>
      <c r="I23" s="12"/>
      <c r="J23" s="21">
        <f t="shared" si="2"/>
        <v>40.06207738</v>
      </c>
      <c r="K23" s="21">
        <f t="shared" si="3"/>
        <v>18.21305842</v>
      </c>
      <c r="L23" s="21">
        <f t="shared" si="4"/>
        <v>41.72486421</v>
      </c>
      <c r="M23" s="21">
        <f t="shared" si="5"/>
        <v>0</v>
      </c>
      <c r="N23" s="12"/>
      <c r="O23" s="12">
        <f t="shared" si="6"/>
        <v>65.47777408</v>
      </c>
      <c r="P23" s="12">
        <f t="shared" si="7"/>
        <v>59.52222592</v>
      </c>
      <c r="Q23" s="62">
        <f t="shared" si="8"/>
        <v>70.8624321</v>
      </c>
      <c r="R23" s="21">
        <f t="shared" si="9"/>
        <v>54.1375679</v>
      </c>
    </row>
    <row r="24">
      <c r="A24" s="63" t="s">
        <v>580</v>
      </c>
      <c r="B24" s="21">
        <v>1494343.0</v>
      </c>
      <c r="C24" s="12"/>
      <c r="D24" s="59">
        <v>21.87</v>
      </c>
      <c r="E24" s="59">
        <v>23.41</v>
      </c>
      <c r="F24" s="59">
        <v>39.62</v>
      </c>
      <c r="G24" s="59">
        <v>0.0</v>
      </c>
      <c r="H24" s="21">
        <f t="shared" si="1"/>
        <v>84.9</v>
      </c>
      <c r="I24" s="12"/>
      <c r="J24" s="21">
        <f t="shared" si="2"/>
        <v>25.75971731</v>
      </c>
      <c r="K24" s="21">
        <f t="shared" si="3"/>
        <v>27.57361602</v>
      </c>
      <c r="L24" s="21">
        <f t="shared" si="4"/>
        <v>46.66666667</v>
      </c>
      <c r="M24" s="21">
        <f t="shared" si="5"/>
        <v>0</v>
      </c>
      <c r="N24" s="12"/>
      <c r="O24" s="12">
        <f t="shared" si="6"/>
        <v>55.98645465</v>
      </c>
      <c r="P24" s="12">
        <f t="shared" si="7"/>
        <v>69.01354535</v>
      </c>
      <c r="Q24" s="62">
        <f t="shared" si="8"/>
        <v>73.33333333</v>
      </c>
      <c r="R24" s="21">
        <f t="shared" si="9"/>
        <v>51.66666667</v>
      </c>
    </row>
    <row r="25">
      <c r="A25" s="10" t="s">
        <v>582</v>
      </c>
      <c r="B25" s="21">
        <v>1492240.0</v>
      </c>
      <c r="C25" s="12"/>
      <c r="D25" s="59">
        <v>36.95</v>
      </c>
      <c r="E25" s="59">
        <v>15.11</v>
      </c>
      <c r="F25" s="59">
        <v>34.44</v>
      </c>
      <c r="G25" s="59">
        <v>0.0</v>
      </c>
      <c r="H25" s="21">
        <f t="shared" si="1"/>
        <v>86.5</v>
      </c>
      <c r="I25" s="12"/>
      <c r="J25" s="21">
        <f t="shared" si="2"/>
        <v>42.71676301</v>
      </c>
      <c r="K25" s="21">
        <f t="shared" si="3"/>
        <v>17.46820809</v>
      </c>
      <c r="L25" s="21">
        <f t="shared" si="4"/>
        <v>39.8150289</v>
      </c>
      <c r="M25" s="21">
        <f t="shared" si="5"/>
        <v>0</v>
      </c>
      <c r="N25" s="12"/>
      <c r="O25" s="12">
        <f t="shared" si="6"/>
        <v>66.99132948</v>
      </c>
      <c r="P25" s="12">
        <f t="shared" si="7"/>
        <v>58.00867052</v>
      </c>
      <c r="Q25" s="62">
        <f t="shared" si="8"/>
        <v>69.90751445</v>
      </c>
      <c r="R25" s="21">
        <f t="shared" si="9"/>
        <v>55.09248555</v>
      </c>
    </row>
    <row r="26">
      <c r="A26" s="10" t="s">
        <v>583</v>
      </c>
      <c r="B26" s="21">
        <v>1387288.0</v>
      </c>
      <c r="C26" s="12"/>
      <c r="D26" s="21">
        <v>28.45</v>
      </c>
      <c r="E26" s="21">
        <v>19.16</v>
      </c>
      <c r="F26" s="21">
        <v>25.35</v>
      </c>
      <c r="G26" s="21">
        <v>0.0</v>
      </c>
      <c r="H26" s="21">
        <f t="shared" si="1"/>
        <v>72.96</v>
      </c>
      <c r="I26" s="12"/>
      <c r="J26" s="21">
        <f t="shared" si="2"/>
        <v>38.9939693</v>
      </c>
      <c r="K26" s="21">
        <f t="shared" si="3"/>
        <v>26.26096491</v>
      </c>
      <c r="L26" s="21">
        <f t="shared" si="4"/>
        <v>34.74506579</v>
      </c>
      <c r="M26" s="21">
        <f t="shared" si="5"/>
        <v>0</v>
      </c>
      <c r="N26" s="12"/>
      <c r="O26" s="12">
        <f t="shared" si="6"/>
        <v>62.93174342</v>
      </c>
      <c r="P26" s="12">
        <f t="shared" si="7"/>
        <v>62.06825658</v>
      </c>
      <c r="Q26" s="62">
        <f t="shared" si="8"/>
        <v>67.37253289</v>
      </c>
      <c r="R26" s="21">
        <f t="shared" si="9"/>
        <v>57.62746711</v>
      </c>
    </row>
    <row r="27">
      <c r="A27" s="10" t="s">
        <v>585</v>
      </c>
      <c r="B27" s="21">
        <v>1425355.0</v>
      </c>
      <c r="C27" s="12"/>
      <c r="D27" s="59">
        <v>55.16</v>
      </c>
      <c r="E27" s="59">
        <v>6.18</v>
      </c>
      <c r="F27" s="59">
        <v>26.76</v>
      </c>
      <c r="G27" s="59">
        <v>0.0</v>
      </c>
      <c r="H27" s="21">
        <f t="shared" si="1"/>
        <v>88.1</v>
      </c>
      <c r="I27" s="12"/>
      <c r="J27" s="28">
        <f t="shared" si="2"/>
        <v>62.61066969</v>
      </c>
      <c r="K27" s="21">
        <f t="shared" si="3"/>
        <v>7.014755959</v>
      </c>
      <c r="L27" s="21">
        <f t="shared" si="4"/>
        <v>30.37457435</v>
      </c>
      <c r="M27" s="21">
        <f t="shared" si="5"/>
        <v>0</v>
      </c>
      <c r="N27" s="12"/>
      <c r="O27" s="62">
        <f t="shared" si="6"/>
        <v>79.55164586</v>
      </c>
      <c r="P27" s="12">
        <f t="shared" si="7"/>
        <v>45.44835414</v>
      </c>
      <c r="Q27" s="12">
        <f t="shared" si="8"/>
        <v>65.18728717</v>
      </c>
      <c r="R27" s="21">
        <f t="shared" si="9"/>
        <v>59.81271283</v>
      </c>
    </row>
    <row r="28">
      <c r="A28" s="63" t="s">
        <v>586</v>
      </c>
      <c r="B28" s="21">
        <v>1536166.0</v>
      </c>
      <c r="C28" s="12"/>
      <c r="D28" s="59">
        <v>55.09</v>
      </c>
      <c r="E28" s="59">
        <v>15.23</v>
      </c>
      <c r="F28" s="59">
        <v>21.82</v>
      </c>
      <c r="G28" s="59">
        <v>0.0</v>
      </c>
      <c r="H28" s="21">
        <f t="shared" si="1"/>
        <v>92.14</v>
      </c>
      <c r="I28" s="12"/>
      <c r="J28" s="28">
        <f t="shared" si="2"/>
        <v>59.78945084</v>
      </c>
      <c r="K28" s="21">
        <f t="shared" si="3"/>
        <v>16.5291947</v>
      </c>
      <c r="L28" s="21">
        <f t="shared" si="4"/>
        <v>23.68135446</v>
      </c>
      <c r="M28" s="21">
        <f t="shared" si="5"/>
        <v>0</v>
      </c>
      <c r="N28" s="12"/>
      <c r="O28" s="62">
        <f t="shared" si="6"/>
        <v>75.76242674</v>
      </c>
      <c r="P28" s="12">
        <f t="shared" si="7"/>
        <v>49.23757326</v>
      </c>
      <c r="Q28" s="12">
        <f t="shared" si="8"/>
        <v>61.84067723</v>
      </c>
      <c r="R28" s="21">
        <f t="shared" si="9"/>
        <v>63.15932277</v>
      </c>
    </row>
    <row r="29">
      <c r="A29" s="10" t="s">
        <v>587</v>
      </c>
      <c r="B29" s="21">
        <v>1823217.0</v>
      </c>
      <c r="C29" s="12"/>
      <c r="D29" s="59">
        <v>3.83</v>
      </c>
      <c r="E29" s="59">
        <v>32.05</v>
      </c>
      <c r="F29" s="59">
        <v>5.07</v>
      </c>
      <c r="G29" s="59">
        <v>52.88</v>
      </c>
      <c r="H29" s="21">
        <f t="shared" si="1"/>
        <v>93.83</v>
      </c>
      <c r="I29" s="12"/>
      <c r="J29" s="21">
        <f t="shared" si="2"/>
        <v>4.081850155</v>
      </c>
      <c r="K29" s="21">
        <f t="shared" si="3"/>
        <v>34.15751892</v>
      </c>
      <c r="L29" s="21">
        <f t="shared" si="4"/>
        <v>5.403389108</v>
      </c>
      <c r="M29" s="28">
        <f t="shared" si="5"/>
        <v>56.35724182</v>
      </c>
      <c r="N29" s="12"/>
      <c r="O29" s="12">
        <f t="shared" si="6"/>
        <v>29.41223489</v>
      </c>
      <c r="P29" s="12">
        <f t="shared" si="7"/>
        <v>81.49845465</v>
      </c>
      <c r="Q29" s="12">
        <f t="shared" si="8"/>
        <v>38.6123841</v>
      </c>
      <c r="R29" s="62">
        <f t="shared" si="9"/>
        <v>86.3876159</v>
      </c>
    </row>
    <row r="30">
      <c r="A30" s="10" t="s">
        <v>589</v>
      </c>
      <c r="B30" s="21">
        <v>1537778.0</v>
      </c>
      <c r="C30" s="12"/>
      <c r="D30" s="21">
        <v>56.23</v>
      </c>
      <c r="E30" s="21">
        <v>15.9</v>
      </c>
      <c r="F30" s="21">
        <v>22.87</v>
      </c>
      <c r="G30" s="21">
        <v>0.0</v>
      </c>
      <c r="H30" s="21">
        <f t="shared" si="1"/>
        <v>95</v>
      </c>
      <c r="I30" s="12"/>
      <c r="J30" s="28">
        <f t="shared" si="2"/>
        <v>59.18947368</v>
      </c>
      <c r="K30" s="21">
        <f t="shared" si="3"/>
        <v>16.73684211</v>
      </c>
      <c r="L30" s="21">
        <f t="shared" si="4"/>
        <v>24.07368421</v>
      </c>
      <c r="M30" s="21">
        <f t="shared" si="5"/>
        <v>0</v>
      </c>
      <c r="N30" s="12"/>
      <c r="O30" s="62">
        <f t="shared" si="6"/>
        <v>75.41052632</v>
      </c>
      <c r="P30" s="12">
        <f t="shared" si="7"/>
        <v>49.58947368</v>
      </c>
      <c r="Q30" s="12">
        <f t="shared" si="8"/>
        <v>62.03684211</v>
      </c>
      <c r="R30" s="21">
        <f t="shared" si="9"/>
        <v>62.96315789</v>
      </c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</sheetData>
  <mergeCells count="3">
    <mergeCell ref="D11:E11"/>
    <mergeCell ref="J11:K11"/>
    <mergeCell ref="O11:Q1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J2" s="1" t="s">
        <v>3</v>
      </c>
      <c r="K2" s="1" t="s">
        <v>5</v>
      </c>
      <c r="L2" s="1" t="s">
        <v>330</v>
      </c>
    </row>
    <row r="3">
      <c r="A3" s="1" t="s">
        <v>3</v>
      </c>
      <c r="B3" s="1" t="s">
        <v>4</v>
      </c>
      <c r="C3" s="1">
        <v>0.0</v>
      </c>
      <c r="D3" s="1">
        <v>0.0</v>
      </c>
      <c r="I3" s="1" t="s">
        <v>3</v>
      </c>
      <c r="J3" s="1">
        <v>1.0</v>
      </c>
      <c r="K3" s="1">
        <v>2.0</v>
      </c>
      <c r="L3" s="1">
        <v>3.0</v>
      </c>
    </row>
    <row r="4">
      <c r="A4" s="1" t="s">
        <v>5</v>
      </c>
      <c r="B4" s="1" t="s">
        <v>6</v>
      </c>
      <c r="C4" s="1">
        <v>0.0</v>
      </c>
      <c r="D4" s="1">
        <v>0.0</v>
      </c>
      <c r="I4" s="1" t="s">
        <v>5</v>
      </c>
      <c r="J4" s="1">
        <v>3.0</v>
      </c>
      <c r="K4" s="1">
        <v>1.0</v>
      </c>
      <c r="L4" s="1">
        <v>2.0</v>
      </c>
    </row>
    <row r="5">
      <c r="A5" s="1" t="s">
        <v>330</v>
      </c>
      <c r="B5" s="1" t="s">
        <v>549</v>
      </c>
      <c r="C5" s="1">
        <v>2.0</v>
      </c>
      <c r="D5" s="1">
        <v>2.0</v>
      </c>
      <c r="I5" s="1" t="s">
        <v>330</v>
      </c>
      <c r="J5" s="1">
        <v>3.0</v>
      </c>
      <c r="K5" s="1">
        <v>2.0</v>
      </c>
      <c r="L5" s="1">
        <v>1.0</v>
      </c>
    </row>
    <row r="6">
      <c r="A6" s="1"/>
    </row>
    <row r="8">
      <c r="A8" s="1" t="s">
        <v>8</v>
      </c>
      <c r="B8" s="1"/>
      <c r="C8" s="1"/>
      <c r="D8" s="1" t="s">
        <v>9</v>
      </c>
      <c r="G8" s="1"/>
      <c r="H8" s="1"/>
      <c r="I8" s="1" t="s">
        <v>11</v>
      </c>
      <c r="M8" s="1" t="s">
        <v>12</v>
      </c>
      <c r="N8" s="1"/>
      <c r="O8" s="1"/>
      <c r="P8" s="1"/>
      <c r="Q8" s="1"/>
    </row>
    <row r="9">
      <c r="B9" s="1"/>
      <c r="C9" s="1"/>
      <c r="D9" s="1" t="s">
        <v>3</v>
      </c>
      <c r="E9" s="1" t="s">
        <v>13</v>
      </c>
      <c r="F9" s="1" t="s">
        <v>330</v>
      </c>
      <c r="G9" s="1" t="s">
        <v>14</v>
      </c>
      <c r="I9" s="1" t="s">
        <v>3</v>
      </c>
      <c r="J9" s="1" t="s">
        <v>5</v>
      </c>
      <c r="K9" s="1" t="s">
        <v>330</v>
      </c>
      <c r="M9" s="1" t="s">
        <v>3</v>
      </c>
      <c r="N9" s="1" t="s">
        <v>5</v>
      </c>
      <c r="O9" s="1" t="s">
        <v>330</v>
      </c>
    </row>
    <row r="10">
      <c r="B10" s="1"/>
      <c r="C10" s="1"/>
      <c r="D10" s="1"/>
    </row>
    <row r="11">
      <c r="A11" s="14" t="s">
        <v>551</v>
      </c>
      <c r="B11" s="1"/>
      <c r="C11" s="1"/>
      <c r="D11" s="1">
        <v>5.08</v>
      </c>
      <c r="E11" s="1">
        <v>15.63</v>
      </c>
      <c r="F11" s="1">
        <v>62.43</v>
      </c>
      <c r="G11">
        <f t="shared" ref="G11:G12" si="1">SUM(D11,E11,F11)</f>
        <v>83.14</v>
      </c>
      <c r="I11" s="8">
        <f t="shared" ref="I11:I12" si="2">DIVIDE(100*D11,G11)</f>
        <v>6.110175607</v>
      </c>
      <c r="J11">
        <f t="shared" ref="J11:J12" si="3">DIVIDE(100*E11,G11)</f>
        <v>18.79961511</v>
      </c>
      <c r="K11">
        <f t="shared" ref="K11:K12" si="4">DIVIDE(100*F11,G11)</f>
        <v>75.09020929</v>
      </c>
      <c r="M11">
        <f t="shared" ref="M11:M12" si="5">1*I11 + 0.33*J11 + 0.33*K11</f>
        <v>37.09381766</v>
      </c>
      <c r="N11" s="48">
        <f t="shared" ref="N11:N12" si="6">0.66*I11 + 1*J11 + 0.66*K11</f>
        <v>72.39186914</v>
      </c>
      <c r="O11" s="50">
        <f t="shared" ref="O11:O12" si="7">0.33*I11 + 0.66*J11 + 1*K11</f>
        <v>89.51431321</v>
      </c>
    </row>
    <row r="12">
      <c r="A12" s="14" t="s">
        <v>556</v>
      </c>
      <c r="B12" s="1"/>
      <c r="C12" s="1"/>
      <c r="D12" s="6">
        <v>6.36</v>
      </c>
      <c r="E12" s="6">
        <v>14.63</v>
      </c>
      <c r="F12" s="6">
        <v>65.47</v>
      </c>
      <c r="G12">
        <f t="shared" si="1"/>
        <v>86.46</v>
      </c>
      <c r="I12" s="8">
        <f t="shared" si="2"/>
        <v>7.356002776</v>
      </c>
      <c r="J12">
        <f t="shared" si="3"/>
        <v>16.92111959</v>
      </c>
      <c r="K12">
        <f t="shared" si="4"/>
        <v>75.72287763</v>
      </c>
      <c r="M12">
        <f t="shared" si="5"/>
        <v>37.92852186</v>
      </c>
      <c r="N12" s="48">
        <f t="shared" si="6"/>
        <v>71.75318066</v>
      </c>
      <c r="O12" s="50">
        <f t="shared" si="7"/>
        <v>89.31829748</v>
      </c>
    </row>
    <row r="13">
      <c r="A13" s="1"/>
      <c r="B13" s="1"/>
      <c r="D13" s="1"/>
      <c r="E13" s="1"/>
      <c r="F13" s="1"/>
      <c r="N13" s="48"/>
      <c r="O13" s="48"/>
    </row>
    <row r="14">
      <c r="A14" s="1"/>
      <c r="B14" s="1"/>
      <c r="D14" s="1"/>
      <c r="E14" s="1"/>
      <c r="F14" s="1"/>
    </row>
    <row r="15">
      <c r="A15" s="1"/>
      <c r="B15" s="1"/>
      <c r="D15" s="1"/>
      <c r="E15" s="1"/>
      <c r="F15" s="1"/>
    </row>
  </sheetData>
  <mergeCells count="2">
    <mergeCell ref="D8:F8"/>
    <mergeCell ref="I8:K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  <c r="F2" s="1" t="s">
        <v>660</v>
      </c>
      <c r="G2" s="1" t="s">
        <v>661</v>
      </c>
      <c r="H2" s="1" t="s">
        <v>164</v>
      </c>
      <c r="I2" s="1" t="s">
        <v>659</v>
      </c>
      <c r="J2" s="1" t="s">
        <v>662</v>
      </c>
    </row>
    <row r="3">
      <c r="A3" s="1" t="s">
        <v>3</v>
      </c>
      <c r="B3" s="1" t="s">
        <v>4</v>
      </c>
      <c r="C3" s="1">
        <v>72.0</v>
      </c>
      <c r="D3" s="1">
        <v>63.0</v>
      </c>
      <c r="E3" s="1" t="s">
        <v>660</v>
      </c>
      <c r="F3" s="1">
        <v>1.0</v>
      </c>
      <c r="G3" s="1">
        <v>5.0</v>
      </c>
      <c r="H3" s="1">
        <v>3.0</v>
      </c>
      <c r="I3" s="1">
        <v>4.0</v>
      </c>
      <c r="J3" s="1">
        <v>2.0</v>
      </c>
    </row>
    <row r="4">
      <c r="A4" s="1" t="s">
        <v>5</v>
      </c>
      <c r="B4" s="1" t="s">
        <v>6</v>
      </c>
      <c r="C4" s="1">
        <v>3.0</v>
      </c>
      <c r="D4" s="1">
        <v>2.0</v>
      </c>
      <c r="E4" s="1" t="s">
        <v>661</v>
      </c>
      <c r="F4" s="1">
        <v>5.0</v>
      </c>
      <c r="G4" s="1">
        <v>1.0</v>
      </c>
      <c r="H4" s="1">
        <v>4.0</v>
      </c>
      <c r="I4" s="1">
        <v>3.0</v>
      </c>
      <c r="J4" s="1">
        <v>2.0</v>
      </c>
    </row>
    <row r="5">
      <c r="A5" s="1" t="s">
        <v>164</v>
      </c>
      <c r="C5" s="1">
        <v>0.0</v>
      </c>
      <c r="D5" s="1">
        <v>9.0</v>
      </c>
      <c r="E5" s="1" t="s">
        <v>164</v>
      </c>
      <c r="F5" s="1">
        <v>4.0</v>
      </c>
      <c r="G5" s="1">
        <v>3.0</v>
      </c>
      <c r="H5" s="1">
        <v>1.0</v>
      </c>
      <c r="I5" s="1">
        <v>5.0</v>
      </c>
      <c r="J5" s="1">
        <v>2.0</v>
      </c>
    </row>
    <row r="6">
      <c r="A6" s="1" t="s">
        <v>659</v>
      </c>
      <c r="C6" s="1">
        <v>5.0</v>
      </c>
      <c r="D6" s="1">
        <v>4.0</v>
      </c>
      <c r="E6" s="1" t="s">
        <v>659</v>
      </c>
      <c r="F6" s="1">
        <v>4.0</v>
      </c>
      <c r="G6" s="1">
        <v>2.0</v>
      </c>
      <c r="H6" s="1">
        <v>5.0</v>
      </c>
      <c r="I6" s="1">
        <v>1.0</v>
      </c>
      <c r="J6" s="1">
        <v>3.0</v>
      </c>
    </row>
    <row r="7">
      <c r="A7" s="1" t="s">
        <v>663</v>
      </c>
      <c r="C7" s="1">
        <v>0.0</v>
      </c>
      <c r="D7" s="1">
        <v>0.0</v>
      </c>
      <c r="E7" s="1" t="s">
        <v>662</v>
      </c>
      <c r="F7" s="1">
        <v>3.0</v>
      </c>
      <c r="G7" s="1">
        <v>2.0</v>
      </c>
      <c r="H7" s="1">
        <v>4.0</v>
      </c>
      <c r="I7" s="1">
        <v>5.0</v>
      </c>
      <c r="J7" s="1">
        <v>1.0</v>
      </c>
    </row>
    <row r="8">
      <c r="A8" s="1" t="s">
        <v>664</v>
      </c>
      <c r="B8" s="1" t="s">
        <v>4</v>
      </c>
      <c r="C8" s="1">
        <v>2.0</v>
      </c>
      <c r="D8" s="1">
        <v>2.0</v>
      </c>
    </row>
    <row r="9">
      <c r="A9" s="1" t="s">
        <v>665</v>
      </c>
      <c r="B9" s="1" t="s">
        <v>6</v>
      </c>
      <c r="C9" s="1">
        <v>0.0</v>
      </c>
      <c r="D9" s="1">
        <v>0.0</v>
      </c>
    </row>
    <row r="10">
      <c r="A10" s="1" t="s">
        <v>666</v>
      </c>
      <c r="B10" s="1" t="s">
        <v>6</v>
      </c>
      <c r="C10" s="1">
        <v>0.0</v>
      </c>
      <c r="D10" s="1">
        <v>0.0</v>
      </c>
    </row>
    <row r="11">
      <c r="A11" s="1" t="s">
        <v>667</v>
      </c>
      <c r="B11" s="1" t="s">
        <v>6</v>
      </c>
      <c r="C11" s="1">
        <v>0.0</v>
      </c>
      <c r="D11" s="1">
        <v>0.0</v>
      </c>
    </row>
    <row r="12">
      <c r="A12" s="1" t="s">
        <v>8</v>
      </c>
      <c r="B12" s="1"/>
      <c r="C12" s="1"/>
      <c r="D12" s="1" t="s">
        <v>9</v>
      </c>
      <c r="G12" s="1"/>
      <c r="H12" s="1"/>
      <c r="I12" s="1"/>
      <c r="J12" s="1"/>
      <c r="K12" s="1" t="s">
        <v>544</v>
      </c>
      <c r="Q12" s="1" t="s">
        <v>12</v>
      </c>
    </row>
    <row r="13">
      <c r="B13" s="1"/>
      <c r="C13" s="1"/>
      <c r="D13" s="1" t="s">
        <v>660</v>
      </c>
      <c r="E13" s="1" t="s">
        <v>661</v>
      </c>
      <c r="F13" s="1" t="s">
        <v>164</v>
      </c>
      <c r="G13" s="1" t="s">
        <v>659</v>
      </c>
      <c r="H13" s="1" t="s">
        <v>662</v>
      </c>
      <c r="I13" s="1" t="s">
        <v>14</v>
      </c>
      <c r="J13" s="1"/>
      <c r="K13" s="1" t="s">
        <v>660</v>
      </c>
      <c r="L13" s="1" t="s">
        <v>661</v>
      </c>
      <c r="M13" s="1" t="s">
        <v>164</v>
      </c>
      <c r="N13" s="1" t="s">
        <v>659</v>
      </c>
      <c r="O13" s="1" t="s">
        <v>662</v>
      </c>
      <c r="P13" s="1"/>
      <c r="Q13" s="1" t="s">
        <v>660</v>
      </c>
      <c r="R13" s="1" t="s">
        <v>661</v>
      </c>
      <c r="S13" s="1" t="s">
        <v>164</v>
      </c>
      <c r="T13" s="1" t="s">
        <v>659</v>
      </c>
      <c r="U13" s="1" t="s">
        <v>662</v>
      </c>
      <c r="V13" s="1"/>
      <c r="W13" s="1"/>
      <c r="X13" s="1"/>
    </row>
    <row r="14">
      <c r="B14" s="1"/>
      <c r="C14" s="1"/>
      <c r="D14" s="1"/>
      <c r="V14" s="1"/>
      <c r="W14" s="1"/>
      <c r="X14" s="1"/>
      <c r="Y14" s="1"/>
    </row>
    <row r="15">
      <c r="A15" s="1" t="s">
        <v>668</v>
      </c>
      <c r="B15" s="14">
        <v>1194308.0</v>
      </c>
      <c r="C15" s="1"/>
      <c r="D15" s="6">
        <v>39.59</v>
      </c>
      <c r="E15" s="6">
        <v>34.14</v>
      </c>
      <c r="F15" s="6">
        <v>19.67</v>
      </c>
      <c r="G15" s="6">
        <v>4.42</v>
      </c>
      <c r="H15" s="1">
        <v>0.0</v>
      </c>
      <c r="I15">
        <f t="shared" ref="I15:I94" si="1">SUM(D15,E15,F15,G15,H15)</f>
        <v>97.82</v>
      </c>
      <c r="K15">
        <f t="shared" ref="K15:K94" si="2">DIVIDE(100*D15,I15)</f>
        <v>40.47229605</v>
      </c>
      <c r="L15">
        <f t="shared" ref="L15:L94" si="3">DIVIDE(100*E15,I15)</f>
        <v>34.90083827</v>
      </c>
      <c r="M15">
        <f t="shared" ref="M15:M94" si="4">DIVIDE(100*F15,I15)</f>
        <v>20.1083623</v>
      </c>
      <c r="N15">
        <f t="shared" ref="N15:N94" si="5">DIVIDE(100*G15,I15)</f>
        <v>4.518503374</v>
      </c>
      <c r="O15">
        <f t="shared" ref="O15:O25" si="6">DIVIDE(100*H15,I15)</f>
        <v>0</v>
      </c>
      <c r="Q15">
        <f t="shared" ref="Q15:Q94" si="7">K15+0.25*L15+0.5*M15+0.5*N15</f>
        <v>61.51093846</v>
      </c>
      <c r="R15" s="48">
        <f t="shared" ref="R15:R34" si="8">L15+0.25*K15+0.5*M15+0.75*N15</f>
        <v>58.46197097</v>
      </c>
      <c r="S15" s="50">
        <f t="shared" ref="S15:S94" si="9">M15+0.75*K15+0.5*L15+0.25*N15</f>
        <v>69.04262932</v>
      </c>
      <c r="T15">
        <f t="shared" ref="T15:T49" si="10">N15+0.75*L15+0.5*K15+0.25*M15</f>
        <v>55.95737068</v>
      </c>
      <c r="U15" s="1">
        <v>0.0</v>
      </c>
    </row>
    <row r="16">
      <c r="A16" s="1" t="s">
        <v>669</v>
      </c>
      <c r="B16" s="14">
        <v>1119324.0</v>
      </c>
      <c r="C16" s="1"/>
      <c r="D16" s="6">
        <v>50.54</v>
      </c>
      <c r="E16" s="1">
        <v>3.81</v>
      </c>
      <c r="F16" s="1">
        <v>14.33</v>
      </c>
      <c r="G16" s="1">
        <v>29.39</v>
      </c>
      <c r="H16" s="1">
        <v>0.0</v>
      </c>
      <c r="I16">
        <f t="shared" si="1"/>
        <v>98.07</v>
      </c>
      <c r="K16">
        <f t="shared" si="2"/>
        <v>51.53461813</v>
      </c>
      <c r="L16">
        <f t="shared" si="3"/>
        <v>3.884980116</v>
      </c>
      <c r="M16">
        <f t="shared" si="4"/>
        <v>14.61201183</v>
      </c>
      <c r="N16">
        <f t="shared" si="5"/>
        <v>29.96838993</v>
      </c>
      <c r="O16">
        <f t="shared" si="6"/>
        <v>0</v>
      </c>
      <c r="Q16" s="5">
        <f t="shared" si="7"/>
        <v>74.79606404</v>
      </c>
      <c r="R16" s="48">
        <f t="shared" si="8"/>
        <v>46.55093301</v>
      </c>
      <c r="S16" s="48">
        <f t="shared" si="9"/>
        <v>62.69756297</v>
      </c>
      <c r="T16">
        <f t="shared" si="10"/>
        <v>62.30243703</v>
      </c>
      <c r="U16" s="1">
        <v>0.0</v>
      </c>
      <c r="V16" s="1"/>
      <c r="W16" s="65"/>
    </row>
    <row r="17">
      <c r="A17" s="1" t="s">
        <v>670</v>
      </c>
      <c r="B17" s="14">
        <v>1107434.0</v>
      </c>
      <c r="D17" s="6">
        <v>58.98</v>
      </c>
      <c r="E17" s="1">
        <v>1.17</v>
      </c>
      <c r="F17" s="1">
        <v>22.77</v>
      </c>
      <c r="G17" s="1">
        <v>14.52</v>
      </c>
      <c r="H17" s="1">
        <v>0.0</v>
      </c>
      <c r="I17">
        <f t="shared" si="1"/>
        <v>97.44</v>
      </c>
      <c r="K17">
        <f t="shared" si="2"/>
        <v>60.52955665</v>
      </c>
      <c r="L17">
        <f t="shared" si="3"/>
        <v>1.200738916</v>
      </c>
      <c r="M17">
        <f t="shared" si="4"/>
        <v>23.3682266</v>
      </c>
      <c r="N17">
        <f t="shared" si="5"/>
        <v>14.90147783</v>
      </c>
      <c r="O17">
        <f t="shared" si="6"/>
        <v>0</v>
      </c>
      <c r="Q17" s="5">
        <f t="shared" si="7"/>
        <v>79.9645936</v>
      </c>
      <c r="R17" s="48">
        <f t="shared" si="8"/>
        <v>39.19334975</v>
      </c>
      <c r="S17" s="48">
        <f t="shared" si="9"/>
        <v>73.091133</v>
      </c>
      <c r="T17">
        <f t="shared" si="10"/>
        <v>51.908867</v>
      </c>
      <c r="U17" s="1">
        <v>0.0</v>
      </c>
      <c r="V17" s="1"/>
      <c r="W17" s="65"/>
    </row>
    <row r="18">
      <c r="A18" s="1" t="s">
        <v>671</v>
      </c>
      <c r="B18" s="1">
        <v>1060346.0</v>
      </c>
      <c r="D18" s="1">
        <v>45.92</v>
      </c>
      <c r="E18" s="1">
        <v>2.3</v>
      </c>
      <c r="F18" s="1">
        <v>22.0</v>
      </c>
      <c r="G18" s="1">
        <v>27.0</v>
      </c>
      <c r="H18" s="1">
        <v>0.0</v>
      </c>
      <c r="I18">
        <f t="shared" si="1"/>
        <v>97.22</v>
      </c>
      <c r="K18">
        <f t="shared" si="2"/>
        <v>47.23307961</v>
      </c>
      <c r="L18">
        <f t="shared" si="3"/>
        <v>2.36576836</v>
      </c>
      <c r="M18">
        <f t="shared" si="4"/>
        <v>22.62908866</v>
      </c>
      <c r="N18">
        <f t="shared" si="5"/>
        <v>27.77206336</v>
      </c>
      <c r="O18">
        <f t="shared" si="6"/>
        <v>0</v>
      </c>
      <c r="Q18" s="5">
        <f t="shared" si="7"/>
        <v>73.02509772</v>
      </c>
      <c r="R18" s="48">
        <f t="shared" si="8"/>
        <v>46.31763012</v>
      </c>
      <c r="S18" s="48">
        <f t="shared" si="9"/>
        <v>66.1797984</v>
      </c>
      <c r="T18">
        <f t="shared" si="10"/>
        <v>58.8202016</v>
      </c>
      <c r="U18" s="1">
        <v>0.0</v>
      </c>
      <c r="V18" s="1"/>
      <c r="W18" s="65"/>
    </row>
    <row r="19">
      <c r="A19" s="1" t="s">
        <v>672</v>
      </c>
      <c r="B19" s="1">
        <v>942196.0</v>
      </c>
      <c r="D19" s="1">
        <v>39.0</v>
      </c>
      <c r="E19" s="1">
        <v>0.49</v>
      </c>
      <c r="F19" s="1">
        <v>26.0</v>
      </c>
      <c r="G19" s="1">
        <v>29.0</v>
      </c>
      <c r="H19" s="1">
        <v>0.0</v>
      </c>
      <c r="I19">
        <f t="shared" si="1"/>
        <v>94.49</v>
      </c>
      <c r="K19">
        <f t="shared" si="2"/>
        <v>41.27420891</v>
      </c>
      <c r="L19">
        <f t="shared" si="3"/>
        <v>0.518573394</v>
      </c>
      <c r="M19">
        <f t="shared" si="4"/>
        <v>27.51613927</v>
      </c>
      <c r="N19">
        <f t="shared" si="5"/>
        <v>30.69107842</v>
      </c>
      <c r="O19">
        <f t="shared" si="6"/>
        <v>0</v>
      </c>
      <c r="Q19" s="5">
        <f t="shared" si="7"/>
        <v>70.50746111</v>
      </c>
      <c r="R19" s="48">
        <f t="shared" si="8"/>
        <v>47.61350407</v>
      </c>
      <c r="S19" s="48">
        <f t="shared" si="9"/>
        <v>66.40385226</v>
      </c>
      <c r="T19">
        <f t="shared" si="10"/>
        <v>58.59614774</v>
      </c>
      <c r="U19" s="1">
        <v>0.0</v>
      </c>
      <c r="V19" s="1"/>
      <c r="W19" s="65"/>
    </row>
    <row r="20">
      <c r="A20" s="1" t="s">
        <v>673</v>
      </c>
      <c r="B20" s="14">
        <v>1127965.0</v>
      </c>
      <c r="D20" s="1">
        <v>43.0</v>
      </c>
      <c r="E20" s="1">
        <v>2.0</v>
      </c>
      <c r="F20" s="1">
        <v>14.0</v>
      </c>
      <c r="G20" s="1">
        <v>35.0</v>
      </c>
      <c r="H20" s="1">
        <v>0.0</v>
      </c>
      <c r="I20">
        <f t="shared" si="1"/>
        <v>94</v>
      </c>
      <c r="K20">
        <f t="shared" si="2"/>
        <v>45.74468085</v>
      </c>
      <c r="L20">
        <f t="shared" si="3"/>
        <v>2.127659574</v>
      </c>
      <c r="M20">
        <f t="shared" si="4"/>
        <v>14.89361702</v>
      </c>
      <c r="N20">
        <f t="shared" si="5"/>
        <v>37.23404255</v>
      </c>
      <c r="O20">
        <f t="shared" si="6"/>
        <v>0</v>
      </c>
      <c r="Q20" s="5">
        <f t="shared" si="7"/>
        <v>72.34042553</v>
      </c>
      <c r="R20" s="48">
        <f t="shared" si="8"/>
        <v>48.93617021</v>
      </c>
      <c r="S20" s="48">
        <f t="shared" si="9"/>
        <v>59.57446809</v>
      </c>
      <c r="T20">
        <f t="shared" si="10"/>
        <v>65.42553191</v>
      </c>
      <c r="U20" s="1">
        <v>0.0</v>
      </c>
      <c r="V20" s="1"/>
      <c r="W20" s="65"/>
    </row>
    <row r="21">
      <c r="A21" s="1" t="s">
        <v>674</v>
      </c>
      <c r="B21" s="1">
        <v>956389.0</v>
      </c>
      <c r="D21" s="1">
        <v>37.0</v>
      </c>
      <c r="E21" s="1">
        <v>16.0</v>
      </c>
      <c r="F21" s="1">
        <v>8.0</v>
      </c>
      <c r="G21" s="1">
        <v>35.0</v>
      </c>
      <c r="H21" s="1">
        <v>0.0</v>
      </c>
      <c r="I21">
        <f t="shared" si="1"/>
        <v>96</v>
      </c>
      <c r="K21">
        <f t="shared" si="2"/>
        <v>38.54166667</v>
      </c>
      <c r="L21">
        <f t="shared" si="3"/>
        <v>16.66666667</v>
      </c>
      <c r="M21">
        <f t="shared" si="4"/>
        <v>8.333333333</v>
      </c>
      <c r="N21">
        <f t="shared" si="5"/>
        <v>36.45833333</v>
      </c>
      <c r="O21">
        <f t="shared" si="6"/>
        <v>0</v>
      </c>
      <c r="Q21">
        <f t="shared" si="7"/>
        <v>65.10416667</v>
      </c>
      <c r="R21" s="48">
        <f t="shared" si="8"/>
        <v>57.8125</v>
      </c>
      <c r="S21" s="48">
        <f t="shared" si="9"/>
        <v>54.6875</v>
      </c>
      <c r="T21" s="5">
        <f t="shared" si="10"/>
        <v>70.3125</v>
      </c>
      <c r="U21" s="1">
        <v>0.0</v>
      </c>
      <c r="V21" s="1"/>
      <c r="W21" s="65"/>
    </row>
    <row r="22">
      <c r="A22" s="1" t="s">
        <v>675</v>
      </c>
      <c r="B22" s="14">
        <v>1057002.0</v>
      </c>
      <c r="D22" s="6">
        <v>34.08</v>
      </c>
      <c r="E22" s="6">
        <v>1.52</v>
      </c>
      <c r="F22" s="6">
        <v>23.9</v>
      </c>
      <c r="G22" s="6">
        <v>33.59</v>
      </c>
      <c r="H22" s="1">
        <v>0.0</v>
      </c>
      <c r="I22">
        <f t="shared" si="1"/>
        <v>93.09</v>
      </c>
      <c r="K22">
        <f t="shared" si="2"/>
        <v>36.60973252</v>
      </c>
      <c r="L22">
        <f t="shared" si="3"/>
        <v>1.632828446</v>
      </c>
      <c r="M22">
        <f t="shared" si="4"/>
        <v>25.67407885</v>
      </c>
      <c r="N22">
        <f t="shared" si="5"/>
        <v>36.08336019</v>
      </c>
      <c r="O22">
        <f t="shared" si="6"/>
        <v>0</v>
      </c>
      <c r="Q22" s="5">
        <f t="shared" si="7"/>
        <v>67.89665915</v>
      </c>
      <c r="R22" s="48">
        <f t="shared" si="8"/>
        <v>50.68482114</v>
      </c>
      <c r="S22" s="48">
        <f t="shared" si="9"/>
        <v>62.96863251</v>
      </c>
      <c r="T22">
        <f t="shared" si="10"/>
        <v>62.03136749</v>
      </c>
      <c r="U22" s="1">
        <v>0.0</v>
      </c>
      <c r="V22" s="1"/>
      <c r="W22" s="65"/>
    </row>
    <row r="23">
      <c r="A23" s="1" t="s">
        <v>676</v>
      </c>
      <c r="B23" s="14">
        <v>1095860.0</v>
      </c>
      <c r="D23" s="6">
        <v>48.26</v>
      </c>
      <c r="E23" s="1">
        <v>0.87</v>
      </c>
      <c r="F23" s="6">
        <v>14.87</v>
      </c>
      <c r="G23" s="6">
        <v>33.82</v>
      </c>
      <c r="H23" s="1">
        <v>0.0</v>
      </c>
      <c r="I23">
        <f t="shared" si="1"/>
        <v>97.82</v>
      </c>
      <c r="K23">
        <f t="shared" si="2"/>
        <v>49.33551421</v>
      </c>
      <c r="L23">
        <f t="shared" si="3"/>
        <v>0.8893886731</v>
      </c>
      <c r="M23">
        <f t="shared" si="4"/>
        <v>15.20139031</v>
      </c>
      <c r="N23">
        <f t="shared" si="5"/>
        <v>34.57370681</v>
      </c>
      <c r="O23">
        <f t="shared" si="6"/>
        <v>0</v>
      </c>
      <c r="Q23" s="5">
        <f t="shared" si="7"/>
        <v>74.44540994</v>
      </c>
      <c r="R23" s="48">
        <f t="shared" si="8"/>
        <v>46.75424249</v>
      </c>
      <c r="S23" s="48">
        <f t="shared" si="9"/>
        <v>61.291147</v>
      </c>
      <c r="T23">
        <f t="shared" si="10"/>
        <v>63.708853</v>
      </c>
      <c r="U23" s="1">
        <v>0.0</v>
      </c>
      <c r="V23" s="1"/>
      <c r="W23" s="65"/>
    </row>
    <row r="24">
      <c r="A24" s="1" t="s">
        <v>677</v>
      </c>
      <c r="B24" s="14">
        <v>1113384.0</v>
      </c>
      <c r="D24" s="6">
        <v>47.86</v>
      </c>
      <c r="E24" s="6">
        <v>3.85</v>
      </c>
      <c r="F24" s="1">
        <v>27.0</v>
      </c>
      <c r="G24" s="1">
        <v>19.01</v>
      </c>
      <c r="H24" s="1">
        <v>0.0</v>
      </c>
      <c r="I24">
        <f t="shared" si="1"/>
        <v>97.72</v>
      </c>
      <c r="K24">
        <f t="shared" si="2"/>
        <v>48.97666803</v>
      </c>
      <c r="L24">
        <f t="shared" si="3"/>
        <v>3.93982808</v>
      </c>
      <c r="M24">
        <f t="shared" si="4"/>
        <v>27.62996316</v>
      </c>
      <c r="N24">
        <f t="shared" si="5"/>
        <v>19.45354073</v>
      </c>
      <c r="O24">
        <f t="shared" si="6"/>
        <v>0</v>
      </c>
      <c r="Q24" s="5">
        <f t="shared" si="7"/>
        <v>73.503377</v>
      </c>
      <c r="R24" s="48">
        <f t="shared" si="8"/>
        <v>44.58913221</v>
      </c>
      <c r="S24" s="48">
        <f t="shared" si="9"/>
        <v>71.19576341</v>
      </c>
      <c r="T24">
        <f t="shared" si="10"/>
        <v>53.80423659</v>
      </c>
      <c r="U24" s="1">
        <v>0.0</v>
      </c>
      <c r="V24" s="1"/>
      <c r="W24" s="65"/>
    </row>
    <row r="25">
      <c r="A25" s="1" t="s">
        <v>678</v>
      </c>
      <c r="B25" s="1">
        <v>1004263.0</v>
      </c>
      <c r="D25" s="1">
        <v>42.15</v>
      </c>
      <c r="E25" s="1">
        <v>19.86</v>
      </c>
      <c r="F25" s="6">
        <v>14.11</v>
      </c>
      <c r="G25" s="1">
        <v>21.26</v>
      </c>
      <c r="H25" s="1">
        <v>0.0</v>
      </c>
      <c r="I25">
        <f t="shared" si="1"/>
        <v>97.38</v>
      </c>
      <c r="K25">
        <f t="shared" si="2"/>
        <v>43.2840419</v>
      </c>
      <c r="L25">
        <f t="shared" si="3"/>
        <v>20.39433148</v>
      </c>
      <c r="M25">
        <f t="shared" si="4"/>
        <v>14.48962826</v>
      </c>
      <c r="N25">
        <f t="shared" si="5"/>
        <v>21.83199836</v>
      </c>
      <c r="O25">
        <f t="shared" si="6"/>
        <v>0</v>
      </c>
      <c r="Q25" s="5">
        <f t="shared" si="7"/>
        <v>66.54343808</v>
      </c>
      <c r="R25" s="48">
        <f t="shared" si="8"/>
        <v>54.83415486</v>
      </c>
      <c r="S25" s="48">
        <f t="shared" si="9"/>
        <v>62.60782502</v>
      </c>
      <c r="T25">
        <f t="shared" si="10"/>
        <v>62.39217498</v>
      </c>
      <c r="U25" s="1">
        <v>0.0</v>
      </c>
      <c r="V25" s="1"/>
      <c r="W25" s="65"/>
    </row>
    <row r="26">
      <c r="A26" s="1" t="s">
        <v>679</v>
      </c>
      <c r="B26" s="1">
        <v>1342321.0</v>
      </c>
      <c r="D26" s="6">
        <v>56.5</v>
      </c>
      <c r="E26" s="1">
        <v>14.24</v>
      </c>
      <c r="F26" s="6">
        <v>12.89</v>
      </c>
      <c r="G26" s="1">
        <v>7.97</v>
      </c>
      <c r="H26" s="6">
        <v>6.64</v>
      </c>
      <c r="I26">
        <f t="shared" si="1"/>
        <v>98.24</v>
      </c>
      <c r="K26">
        <f t="shared" si="2"/>
        <v>57.51221498</v>
      </c>
      <c r="L26">
        <f t="shared" si="3"/>
        <v>14.49511401</v>
      </c>
      <c r="M26">
        <f t="shared" si="4"/>
        <v>13.12092834</v>
      </c>
      <c r="N26">
        <f t="shared" si="5"/>
        <v>8.112785016</v>
      </c>
      <c r="O26" s="1">
        <v>0.0</v>
      </c>
      <c r="Q26" s="5">
        <f t="shared" si="7"/>
        <v>71.75285016</v>
      </c>
      <c r="R26" s="48">
        <f t="shared" si="8"/>
        <v>41.51822068</v>
      </c>
      <c r="S26" s="48">
        <f t="shared" si="9"/>
        <v>65.53084283</v>
      </c>
      <c r="T26">
        <f t="shared" si="10"/>
        <v>51.0204601</v>
      </c>
      <c r="U26" s="1">
        <v>0.0</v>
      </c>
      <c r="V26" s="1"/>
      <c r="W26" s="65"/>
    </row>
    <row r="27">
      <c r="A27" s="1" t="s">
        <v>680</v>
      </c>
      <c r="B27" s="14">
        <v>1199262.0</v>
      </c>
      <c r="D27" s="1">
        <v>50.0</v>
      </c>
      <c r="E27" s="1">
        <v>1.06</v>
      </c>
      <c r="F27" s="6">
        <v>16.53</v>
      </c>
      <c r="G27" s="6">
        <v>26.64</v>
      </c>
      <c r="H27" s="1">
        <v>0.0</v>
      </c>
      <c r="I27">
        <f t="shared" si="1"/>
        <v>94.23</v>
      </c>
      <c r="K27">
        <f t="shared" si="2"/>
        <v>53.06165765</v>
      </c>
      <c r="L27">
        <f t="shared" si="3"/>
        <v>1.124907142</v>
      </c>
      <c r="M27">
        <f t="shared" si="4"/>
        <v>17.54218402</v>
      </c>
      <c r="N27">
        <f t="shared" si="5"/>
        <v>28.27125119</v>
      </c>
      <c r="O27">
        <f t="shared" ref="O27:O48" si="11">DIVIDE(100*H27,I27)</f>
        <v>0</v>
      </c>
      <c r="Q27" s="5">
        <f t="shared" si="7"/>
        <v>76.24960204</v>
      </c>
      <c r="R27" s="48">
        <f t="shared" si="8"/>
        <v>44.36485196</v>
      </c>
      <c r="S27" s="48">
        <f t="shared" si="9"/>
        <v>64.96869362</v>
      </c>
      <c r="T27">
        <f t="shared" si="10"/>
        <v>60.03130638</v>
      </c>
      <c r="U27" s="1">
        <v>0.0</v>
      </c>
      <c r="V27" s="1"/>
      <c r="W27" s="65"/>
    </row>
    <row r="28">
      <c r="A28" s="1" t="s">
        <v>681</v>
      </c>
      <c r="B28" s="14">
        <v>1009710.0</v>
      </c>
      <c r="D28" s="6">
        <v>59.83</v>
      </c>
      <c r="E28" s="1">
        <v>5.85</v>
      </c>
      <c r="F28" s="1">
        <v>18.06</v>
      </c>
      <c r="G28" s="1">
        <v>12.74</v>
      </c>
      <c r="H28" s="1">
        <v>0.0</v>
      </c>
      <c r="I28">
        <f t="shared" si="1"/>
        <v>96.48</v>
      </c>
      <c r="K28">
        <f t="shared" si="2"/>
        <v>62.0128524</v>
      </c>
      <c r="L28">
        <f t="shared" si="3"/>
        <v>6.063432836</v>
      </c>
      <c r="M28">
        <f t="shared" si="4"/>
        <v>18.71890547</v>
      </c>
      <c r="N28">
        <f t="shared" si="5"/>
        <v>13.20480929</v>
      </c>
      <c r="O28">
        <f t="shared" si="11"/>
        <v>0</v>
      </c>
      <c r="Q28" s="5">
        <f t="shared" si="7"/>
        <v>79.49056799</v>
      </c>
      <c r="R28" s="48">
        <f t="shared" si="8"/>
        <v>40.82970564</v>
      </c>
      <c r="S28" s="48">
        <f t="shared" si="9"/>
        <v>71.56146352</v>
      </c>
      <c r="T28">
        <f t="shared" si="10"/>
        <v>53.43853648</v>
      </c>
      <c r="U28" s="1">
        <v>0.0</v>
      </c>
      <c r="V28" s="1"/>
      <c r="W28" s="65"/>
    </row>
    <row r="29">
      <c r="A29" s="1" t="s">
        <v>682</v>
      </c>
      <c r="B29" s="14">
        <v>1064357.0</v>
      </c>
      <c r="D29" s="6">
        <v>48.34</v>
      </c>
      <c r="E29" s="1">
        <v>5.89</v>
      </c>
      <c r="F29" s="6">
        <v>21.4</v>
      </c>
      <c r="G29" s="1">
        <v>21.25</v>
      </c>
      <c r="H29" s="1">
        <v>0.0</v>
      </c>
      <c r="I29">
        <f t="shared" si="1"/>
        <v>96.88</v>
      </c>
      <c r="K29">
        <f t="shared" si="2"/>
        <v>49.89677952</v>
      </c>
      <c r="L29">
        <f t="shared" si="3"/>
        <v>6.07968621</v>
      </c>
      <c r="M29">
        <f t="shared" si="4"/>
        <v>22.08918249</v>
      </c>
      <c r="N29">
        <f t="shared" si="5"/>
        <v>21.93435178</v>
      </c>
      <c r="O29">
        <f t="shared" si="11"/>
        <v>0</v>
      </c>
      <c r="Q29" s="5">
        <f t="shared" si="7"/>
        <v>73.42846821</v>
      </c>
      <c r="R29" s="48">
        <f t="shared" si="8"/>
        <v>46.04923617</v>
      </c>
      <c r="S29" s="48">
        <f t="shared" si="9"/>
        <v>68.03519818</v>
      </c>
      <c r="T29">
        <f t="shared" si="10"/>
        <v>56.96480182</v>
      </c>
      <c r="U29" s="1">
        <v>0.0</v>
      </c>
      <c r="V29" s="1"/>
      <c r="W29" s="65"/>
    </row>
    <row r="30">
      <c r="A30" s="1" t="s">
        <v>683</v>
      </c>
      <c r="B30" s="14">
        <v>1049273.0</v>
      </c>
      <c r="D30" s="6">
        <v>51.87</v>
      </c>
      <c r="E30" s="6">
        <v>8.21</v>
      </c>
      <c r="F30" s="1">
        <v>20.77</v>
      </c>
      <c r="G30" s="1">
        <v>17.24</v>
      </c>
      <c r="H30" s="1">
        <v>0.0</v>
      </c>
      <c r="I30">
        <f t="shared" si="1"/>
        <v>98.09</v>
      </c>
      <c r="K30">
        <f t="shared" si="2"/>
        <v>52.88000816</v>
      </c>
      <c r="L30">
        <f t="shared" si="3"/>
        <v>8.36986441</v>
      </c>
      <c r="M30">
        <f t="shared" si="4"/>
        <v>21.17443164</v>
      </c>
      <c r="N30">
        <f t="shared" si="5"/>
        <v>17.57569579</v>
      </c>
      <c r="O30">
        <f t="shared" si="11"/>
        <v>0</v>
      </c>
      <c r="Q30" s="5">
        <f t="shared" si="7"/>
        <v>74.34753798</v>
      </c>
      <c r="R30" s="48">
        <f t="shared" si="8"/>
        <v>45.35885411</v>
      </c>
      <c r="S30" s="48">
        <f t="shared" si="9"/>
        <v>69.41329391</v>
      </c>
      <c r="T30">
        <f t="shared" si="10"/>
        <v>55.58670609</v>
      </c>
      <c r="U30" s="1">
        <v>0.0</v>
      </c>
      <c r="V30" s="1"/>
      <c r="W30" s="65"/>
    </row>
    <row r="31">
      <c r="A31" s="1" t="s">
        <v>684</v>
      </c>
      <c r="B31" s="14">
        <v>1076868.0</v>
      </c>
      <c r="D31" s="6">
        <v>53.29</v>
      </c>
      <c r="E31" s="6">
        <v>22.62</v>
      </c>
      <c r="F31" s="1">
        <v>16.1</v>
      </c>
      <c r="G31" s="1">
        <v>3.4</v>
      </c>
      <c r="H31" s="1">
        <v>0.0</v>
      </c>
      <c r="I31">
        <f t="shared" si="1"/>
        <v>95.41</v>
      </c>
      <c r="K31">
        <f t="shared" si="2"/>
        <v>55.8536841</v>
      </c>
      <c r="L31">
        <f t="shared" si="3"/>
        <v>23.70820669</v>
      </c>
      <c r="M31">
        <f t="shared" si="4"/>
        <v>16.87454145</v>
      </c>
      <c r="N31">
        <f t="shared" si="5"/>
        <v>3.56356776</v>
      </c>
      <c r="O31">
        <f t="shared" si="11"/>
        <v>0</v>
      </c>
      <c r="Q31" s="5">
        <f t="shared" si="7"/>
        <v>71.99979038</v>
      </c>
      <c r="R31" s="48">
        <f t="shared" si="8"/>
        <v>48.78157426</v>
      </c>
      <c r="S31" s="48">
        <f t="shared" si="9"/>
        <v>71.50979981</v>
      </c>
      <c r="T31">
        <f t="shared" si="10"/>
        <v>53.49020019</v>
      </c>
      <c r="U31" s="1">
        <v>0.0</v>
      </c>
      <c r="V31" s="1"/>
      <c r="W31" s="65"/>
    </row>
    <row r="32">
      <c r="A32" s="1" t="s">
        <v>685</v>
      </c>
      <c r="B32" s="14">
        <v>1070400.0</v>
      </c>
      <c r="D32" s="6">
        <v>54.53</v>
      </c>
      <c r="E32" s="1">
        <v>3.25</v>
      </c>
      <c r="F32" s="6">
        <v>26.48</v>
      </c>
      <c r="G32" s="1">
        <v>12.58</v>
      </c>
      <c r="H32" s="1">
        <v>0.0</v>
      </c>
      <c r="I32">
        <f t="shared" si="1"/>
        <v>96.84</v>
      </c>
      <c r="K32">
        <f t="shared" si="2"/>
        <v>56.30937629</v>
      </c>
      <c r="L32">
        <f t="shared" si="3"/>
        <v>3.356051219</v>
      </c>
      <c r="M32">
        <f t="shared" si="4"/>
        <v>27.3440727</v>
      </c>
      <c r="N32">
        <f t="shared" si="5"/>
        <v>12.99049979</v>
      </c>
      <c r="O32">
        <f t="shared" si="11"/>
        <v>0</v>
      </c>
      <c r="Q32" s="5">
        <f t="shared" si="7"/>
        <v>77.31567534</v>
      </c>
      <c r="R32" s="48">
        <f t="shared" si="8"/>
        <v>40.84830648</v>
      </c>
      <c r="S32" s="48">
        <f t="shared" si="9"/>
        <v>74.50175547</v>
      </c>
      <c r="T32">
        <f t="shared" si="10"/>
        <v>50.49824453</v>
      </c>
      <c r="U32" s="1">
        <v>0.0</v>
      </c>
      <c r="V32" s="1"/>
      <c r="W32" s="65"/>
    </row>
    <row r="33">
      <c r="A33" s="1" t="s">
        <v>686</v>
      </c>
      <c r="B33" s="14">
        <v>967968.0</v>
      </c>
      <c r="D33" s="6">
        <v>44.06</v>
      </c>
      <c r="E33" s="1">
        <v>2.5</v>
      </c>
      <c r="F33" s="1">
        <v>26.18</v>
      </c>
      <c r="G33" s="1">
        <v>22.04</v>
      </c>
      <c r="H33" s="1">
        <v>0.0</v>
      </c>
      <c r="I33">
        <f t="shared" si="1"/>
        <v>94.78</v>
      </c>
      <c r="K33">
        <f t="shared" si="2"/>
        <v>46.48660055</v>
      </c>
      <c r="L33">
        <f t="shared" si="3"/>
        <v>2.637687276</v>
      </c>
      <c r="M33">
        <f t="shared" si="4"/>
        <v>27.62186115</v>
      </c>
      <c r="N33">
        <f t="shared" si="5"/>
        <v>23.25385102</v>
      </c>
      <c r="O33">
        <f t="shared" si="11"/>
        <v>0</v>
      </c>
      <c r="Q33" s="5">
        <f t="shared" si="7"/>
        <v>72.58387846</v>
      </c>
      <c r="R33" s="48">
        <f t="shared" si="8"/>
        <v>45.51065626</v>
      </c>
      <c r="S33" s="48">
        <f t="shared" si="9"/>
        <v>69.61911796</v>
      </c>
      <c r="T33">
        <f t="shared" si="10"/>
        <v>55.38088204</v>
      </c>
      <c r="U33" s="1">
        <v>0.0</v>
      </c>
      <c r="V33" s="1"/>
      <c r="W33" s="65"/>
    </row>
    <row r="34">
      <c r="A34" s="1" t="s">
        <v>687</v>
      </c>
      <c r="B34" s="14">
        <v>1104606.0</v>
      </c>
      <c r="D34" s="6">
        <v>38.07</v>
      </c>
      <c r="E34" s="1">
        <v>0.67</v>
      </c>
      <c r="F34" s="1">
        <v>10.76</v>
      </c>
      <c r="G34" s="6">
        <v>48.39</v>
      </c>
      <c r="H34" s="1">
        <v>0.0</v>
      </c>
      <c r="I34">
        <f t="shared" si="1"/>
        <v>97.89</v>
      </c>
      <c r="K34">
        <f t="shared" si="2"/>
        <v>38.89059148</v>
      </c>
      <c r="L34">
        <f t="shared" si="3"/>
        <v>0.6844417203</v>
      </c>
      <c r="M34">
        <f t="shared" si="4"/>
        <v>10.99192972</v>
      </c>
      <c r="N34">
        <f t="shared" si="5"/>
        <v>49.43303708</v>
      </c>
      <c r="O34">
        <f t="shared" si="11"/>
        <v>0</v>
      </c>
      <c r="Q34">
        <f t="shared" si="7"/>
        <v>69.27418531</v>
      </c>
      <c r="R34" s="48">
        <f t="shared" si="8"/>
        <v>52.97783226</v>
      </c>
      <c r="S34" s="48">
        <f t="shared" si="9"/>
        <v>52.86035346</v>
      </c>
      <c r="T34" s="5">
        <f t="shared" si="10"/>
        <v>72.13964654</v>
      </c>
      <c r="U34" s="1">
        <v>0.0</v>
      </c>
      <c r="V34" s="1"/>
      <c r="W34" s="65"/>
    </row>
    <row r="35">
      <c r="A35" s="1" t="s">
        <v>688</v>
      </c>
      <c r="B35" s="1">
        <v>999265.0</v>
      </c>
      <c r="D35" s="1">
        <v>23.14</v>
      </c>
      <c r="E35" s="1">
        <v>0.0</v>
      </c>
      <c r="F35" s="1">
        <v>14.29</v>
      </c>
      <c r="G35" s="6">
        <v>59.63</v>
      </c>
      <c r="H35" s="1">
        <v>0.0</v>
      </c>
      <c r="I35">
        <f t="shared" si="1"/>
        <v>97.06</v>
      </c>
      <c r="K35">
        <f t="shared" si="2"/>
        <v>23.84092314</v>
      </c>
      <c r="L35">
        <f t="shared" si="3"/>
        <v>0</v>
      </c>
      <c r="M35">
        <f t="shared" si="4"/>
        <v>14.72285184</v>
      </c>
      <c r="N35">
        <f t="shared" si="5"/>
        <v>61.43622502</v>
      </c>
      <c r="O35">
        <f t="shared" si="11"/>
        <v>0</v>
      </c>
      <c r="Q35">
        <f t="shared" si="7"/>
        <v>61.92046157</v>
      </c>
      <c r="R35" s="49">
        <v>0.0</v>
      </c>
      <c r="S35" s="48">
        <f t="shared" si="9"/>
        <v>47.96260045</v>
      </c>
      <c r="T35" s="5">
        <f t="shared" si="10"/>
        <v>77.03739955</v>
      </c>
      <c r="U35" s="1">
        <v>0.0</v>
      </c>
      <c r="V35" s="1"/>
      <c r="W35" s="65"/>
    </row>
    <row r="36">
      <c r="A36" s="1" t="s">
        <v>689</v>
      </c>
      <c r="B36" s="14">
        <v>926281.0</v>
      </c>
      <c r="D36" s="6">
        <v>51.28</v>
      </c>
      <c r="E36" s="1">
        <v>1.34</v>
      </c>
      <c r="F36" s="1">
        <v>14.8</v>
      </c>
      <c r="G36" s="6">
        <v>29.58</v>
      </c>
      <c r="H36" s="1">
        <v>0.0</v>
      </c>
      <c r="I36">
        <f t="shared" si="1"/>
        <v>97</v>
      </c>
      <c r="K36">
        <f t="shared" si="2"/>
        <v>52.86597938</v>
      </c>
      <c r="L36">
        <f t="shared" si="3"/>
        <v>1.381443299</v>
      </c>
      <c r="M36">
        <f t="shared" si="4"/>
        <v>15.25773196</v>
      </c>
      <c r="N36">
        <f t="shared" si="5"/>
        <v>30.49484536</v>
      </c>
      <c r="O36">
        <f t="shared" si="11"/>
        <v>0</v>
      </c>
      <c r="Q36" s="5">
        <f t="shared" si="7"/>
        <v>76.08762887</v>
      </c>
      <c r="R36" s="48">
        <f>L36+0.25*K36+0.5*M36+0.75*N36</f>
        <v>45.09793814</v>
      </c>
      <c r="S36" s="48">
        <f t="shared" si="9"/>
        <v>63.22164948</v>
      </c>
      <c r="T36">
        <f t="shared" si="10"/>
        <v>61.77835052</v>
      </c>
      <c r="U36" s="1">
        <v>0.0</v>
      </c>
      <c r="V36" s="1"/>
      <c r="W36" s="65"/>
    </row>
    <row r="37">
      <c r="A37" s="1" t="s">
        <v>690</v>
      </c>
      <c r="B37" s="14">
        <v>1027594.0</v>
      </c>
      <c r="D37" s="1">
        <v>32.31</v>
      </c>
      <c r="E37" s="1">
        <v>0.0</v>
      </c>
      <c r="F37" s="1">
        <v>15.27</v>
      </c>
      <c r="G37" s="6">
        <v>48.5</v>
      </c>
      <c r="H37" s="1">
        <v>0.0</v>
      </c>
      <c r="I37">
        <f t="shared" si="1"/>
        <v>96.08</v>
      </c>
      <c r="K37">
        <f t="shared" si="2"/>
        <v>33.62822648</v>
      </c>
      <c r="L37">
        <f t="shared" si="3"/>
        <v>0</v>
      </c>
      <c r="M37">
        <f t="shared" si="4"/>
        <v>15.89300583</v>
      </c>
      <c r="N37">
        <f t="shared" si="5"/>
        <v>50.47876769</v>
      </c>
      <c r="O37">
        <f t="shared" si="11"/>
        <v>0</v>
      </c>
      <c r="Q37">
        <f t="shared" si="7"/>
        <v>66.81411324</v>
      </c>
      <c r="R37" s="49">
        <v>0.0</v>
      </c>
      <c r="S37" s="48">
        <f t="shared" si="9"/>
        <v>53.73386761</v>
      </c>
      <c r="T37" s="5">
        <f t="shared" si="10"/>
        <v>71.26613239</v>
      </c>
      <c r="U37" s="1">
        <v>0.0</v>
      </c>
      <c r="V37" s="1"/>
      <c r="W37" s="65"/>
    </row>
    <row r="38">
      <c r="A38" s="1" t="s">
        <v>691</v>
      </c>
      <c r="B38" s="14">
        <v>995641.0</v>
      </c>
      <c r="D38" s="6">
        <v>41.16</v>
      </c>
      <c r="E38" s="1">
        <v>9.43</v>
      </c>
      <c r="F38" s="1">
        <v>19.1</v>
      </c>
      <c r="G38" s="6">
        <v>27.26</v>
      </c>
      <c r="H38" s="1">
        <v>0.0</v>
      </c>
      <c r="I38">
        <f t="shared" si="1"/>
        <v>96.95</v>
      </c>
      <c r="K38">
        <f t="shared" si="2"/>
        <v>42.45487365</v>
      </c>
      <c r="L38">
        <f t="shared" si="3"/>
        <v>9.726663228</v>
      </c>
      <c r="M38">
        <f t="shared" si="4"/>
        <v>19.70087674</v>
      </c>
      <c r="N38">
        <f t="shared" si="5"/>
        <v>28.11758638</v>
      </c>
      <c r="O38">
        <f t="shared" si="11"/>
        <v>0</v>
      </c>
      <c r="Q38" s="5">
        <f t="shared" si="7"/>
        <v>68.79577102</v>
      </c>
      <c r="R38" s="48">
        <f t="shared" ref="R38:R55" si="12">L38+0.25*K38+0.5*M38+0.75*N38</f>
        <v>51.2790098</v>
      </c>
      <c r="S38" s="48">
        <f t="shared" si="9"/>
        <v>63.43476019</v>
      </c>
      <c r="T38">
        <f t="shared" si="10"/>
        <v>61.56523981</v>
      </c>
      <c r="U38" s="1">
        <v>0.0</v>
      </c>
      <c r="V38" s="1"/>
      <c r="W38" s="65"/>
    </row>
    <row r="39">
      <c r="A39" s="1" t="s">
        <v>692</v>
      </c>
      <c r="B39" s="1">
        <v>1017891.0</v>
      </c>
      <c r="D39" s="1">
        <v>50.9</v>
      </c>
      <c r="E39" s="1">
        <v>8.27</v>
      </c>
      <c r="F39" s="1">
        <v>10.42</v>
      </c>
      <c r="G39" s="6">
        <v>27.26</v>
      </c>
      <c r="H39" s="1">
        <v>0.0</v>
      </c>
      <c r="I39">
        <f t="shared" si="1"/>
        <v>96.85</v>
      </c>
      <c r="K39">
        <f t="shared" si="2"/>
        <v>52.55549819</v>
      </c>
      <c r="L39">
        <f t="shared" si="3"/>
        <v>8.538977801</v>
      </c>
      <c r="M39">
        <f t="shared" si="4"/>
        <v>10.75890552</v>
      </c>
      <c r="N39">
        <f t="shared" si="5"/>
        <v>28.14661848</v>
      </c>
      <c r="O39">
        <f t="shared" si="11"/>
        <v>0</v>
      </c>
      <c r="Q39" s="5">
        <f t="shared" si="7"/>
        <v>74.14300465</v>
      </c>
      <c r="R39" s="48">
        <f t="shared" si="12"/>
        <v>48.16726897</v>
      </c>
      <c r="S39" s="48">
        <f t="shared" si="9"/>
        <v>61.48167269</v>
      </c>
      <c r="T39">
        <f t="shared" si="10"/>
        <v>63.51832731</v>
      </c>
      <c r="U39" s="1">
        <v>0.0</v>
      </c>
      <c r="V39" s="1"/>
      <c r="W39" s="65"/>
    </row>
    <row r="40">
      <c r="A40" s="1" t="s">
        <v>693</v>
      </c>
      <c r="B40" s="14">
        <v>1050547.0</v>
      </c>
      <c r="D40" s="6">
        <v>52.06</v>
      </c>
      <c r="E40" s="1">
        <v>2.78</v>
      </c>
      <c r="F40" s="6">
        <v>18.68</v>
      </c>
      <c r="G40" s="1">
        <v>22.83</v>
      </c>
      <c r="H40" s="1">
        <v>0.0</v>
      </c>
      <c r="I40">
        <f t="shared" si="1"/>
        <v>96.35</v>
      </c>
      <c r="K40">
        <f t="shared" si="2"/>
        <v>54.03217436</v>
      </c>
      <c r="L40">
        <f t="shared" si="3"/>
        <v>2.88531396</v>
      </c>
      <c r="M40">
        <f t="shared" si="4"/>
        <v>19.3876492</v>
      </c>
      <c r="N40">
        <f t="shared" si="5"/>
        <v>23.69486248</v>
      </c>
      <c r="O40">
        <f t="shared" si="11"/>
        <v>0</v>
      </c>
      <c r="Q40" s="5">
        <f t="shared" si="7"/>
        <v>76.29475869</v>
      </c>
      <c r="R40" s="48">
        <f t="shared" si="12"/>
        <v>43.85832901</v>
      </c>
      <c r="S40" s="48">
        <f t="shared" si="9"/>
        <v>67.27815257</v>
      </c>
      <c r="T40">
        <f t="shared" si="10"/>
        <v>57.72184743</v>
      </c>
      <c r="U40" s="1">
        <v>0.0</v>
      </c>
      <c r="V40" s="1"/>
      <c r="W40" s="65"/>
    </row>
    <row r="41">
      <c r="A41" s="14" t="s">
        <v>694</v>
      </c>
      <c r="B41" s="14">
        <v>1129841.0</v>
      </c>
      <c r="D41" s="1">
        <v>46.45</v>
      </c>
      <c r="E41" s="1">
        <v>2.39</v>
      </c>
      <c r="F41" s="6">
        <v>25.62</v>
      </c>
      <c r="G41" s="6">
        <v>21.49</v>
      </c>
      <c r="H41" s="1">
        <v>0.0</v>
      </c>
      <c r="I41">
        <f t="shared" si="1"/>
        <v>95.95</v>
      </c>
      <c r="K41">
        <f t="shared" si="2"/>
        <v>48.41063054</v>
      </c>
      <c r="L41">
        <f t="shared" si="3"/>
        <v>2.490880667</v>
      </c>
      <c r="M41">
        <f t="shared" si="4"/>
        <v>26.70140698</v>
      </c>
      <c r="N41">
        <f t="shared" si="5"/>
        <v>22.39708181</v>
      </c>
      <c r="O41">
        <f t="shared" si="11"/>
        <v>0</v>
      </c>
      <c r="Q41" s="5">
        <f t="shared" si="7"/>
        <v>73.5825951</v>
      </c>
      <c r="R41" s="48">
        <f t="shared" si="12"/>
        <v>44.74205315</v>
      </c>
      <c r="S41" s="48">
        <f t="shared" si="9"/>
        <v>69.85409067</v>
      </c>
      <c r="T41">
        <f t="shared" si="10"/>
        <v>55.14590933</v>
      </c>
      <c r="U41" s="1">
        <v>0.0</v>
      </c>
      <c r="V41" s="1"/>
      <c r="W41" s="65"/>
    </row>
    <row r="42">
      <c r="A42" s="1" t="s">
        <v>695</v>
      </c>
      <c r="B42" s="14">
        <v>1077868.0</v>
      </c>
      <c r="D42" s="6">
        <v>36.98</v>
      </c>
      <c r="E42" s="1">
        <v>17.06</v>
      </c>
      <c r="F42" s="1">
        <v>26.75</v>
      </c>
      <c r="G42" s="1">
        <v>14.85</v>
      </c>
      <c r="H42" s="1">
        <v>0.0</v>
      </c>
      <c r="I42">
        <f t="shared" si="1"/>
        <v>95.64</v>
      </c>
      <c r="K42">
        <f t="shared" si="2"/>
        <v>38.6658302</v>
      </c>
      <c r="L42">
        <f t="shared" si="3"/>
        <v>17.8377248</v>
      </c>
      <c r="M42">
        <f t="shared" si="4"/>
        <v>27.96946884</v>
      </c>
      <c r="N42">
        <f t="shared" si="5"/>
        <v>15.52697616</v>
      </c>
      <c r="O42">
        <f t="shared" si="11"/>
        <v>0</v>
      </c>
      <c r="Q42" s="5">
        <f t="shared" si="7"/>
        <v>64.8734839</v>
      </c>
      <c r="R42" s="48">
        <f t="shared" si="12"/>
        <v>53.13414889</v>
      </c>
      <c r="S42" s="48">
        <f t="shared" si="9"/>
        <v>69.76944793</v>
      </c>
      <c r="T42">
        <f t="shared" si="10"/>
        <v>55.23055207</v>
      </c>
      <c r="U42" s="1">
        <v>0.0</v>
      </c>
      <c r="V42" s="1"/>
      <c r="W42" s="65"/>
    </row>
    <row r="43">
      <c r="A43" s="14" t="s">
        <v>696</v>
      </c>
      <c r="B43" s="14">
        <v>1060271.0</v>
      </c>
      <c r="D43" s="1">
        <v>33.99</v>
      </c>
      <c r="E43" s="1">
        <v>16.13</v>
      </c>
      <c r="F43" s="1">
        <v>22.13</v>
      </c>
      <c r="G43" s="6">
        <v>22.07</v>
      </c>
      <c r="H43" s="6">
        <v>0.0</v>
      </c>
      <c r="I43">
        <f t="shared" si="1"/>
        <v>94.32</v>
      </c>
      <c r="K43">
        <f t="shared" si="2"/>
        <v>36.03689567</v>
      </c>
      <c r="L43">
        <f t="shared" si="3"/>
        <v>17.10135708</v>
      </c>
      <c r="M43">
        <f t="shared" si="4"/>
        <v>23.46268024</v>
      </c>
      <c r="N43">
        <f t="shared" si="5"/>
        <v>23.39906701</v>
      </c>
      <c r="O43">
        <f t="shared" si="11"/>
        <v>0</v>
      </c>
      <c r="Q43">
        <f t="shared" si="7"/>
        <v>63.74310857</v>
      </c>
      <c r="R43" s="48">
        <f t="shared" si="12"/>
        <v>55.39122137</v>
      </c>
      <c r="S43" s="50">
        <f t="shared" si="9"/>
        <v>64.89079729</v>
      </c>
      <c r="T43">
        <f t="shared" si="10"/>
        <v>60.10920271</v>
      </c>
      <c r="U43" s="1">
        <v>0.0</v>
      </c>
      <c r="V43" s="1"/>
      <c r="W43" s="65"/>
    </row>
    <row r="44">
      <c r="A44" s="1" t="s">
        <v>697</v>
      </c>
      <c r="B44" s="14">
        <v>1026972.0</v>
      </c>
      <c r="D44" s="6">
        <v>40.66</v>
      </c>
      <c r="E44" s="1">
        <v>2.83</v>
      </c>
      <c r="F44" s="6">
        <v>35.69</v>
      </c>
      <c r="G44" s="1">
        <v>15.21</v>
      </c>
      <c r="H44" s="1">
        <v>0.0</v>
      </c>
      <c r="I44">
        <f t="shared" si="1"/>
        <v>94.39</v>
      </c>
      <c r="K44">
        <f t="shared" si="2"/>
        <v>43.0765971</v>
      </c>
      <c r="L44">
        <f t="shared" si="3"/>
        <v>2.998198962</v>
      </c>
      <c r="M44">
        <f t="shared" si="4"/>
        <v>37.81120881</v>
      </c>
      <c r="N44">
        <f t="shared" si="5"/>
        <v>16.11399513</v>
      </c>
      <c r="O44">
        <f t="shared" si="11"/>
        <v>0</v>
      </c>
      <c r="Q44">
        <f t="shared" si="7"/>
        <v>70.78874881</v>
      </c>
      <c r="R44" s="48">
        <f t="shared" si="12"/>
        <v>44.75844899</v>
      </c>
      <c r="S44" s="50">
        <f t="shared" si="9"/>
        <v>75.6462549</v>
      </c>
      <c r="T44">
        <f t="shared" si="10"/>
        <v>49.3537451</v>
      </c>
      <c r="U44" s="1">
        <v>0.0</v>
      </c>
      <c r="V44" s="1"/>
      <c r="W44" s="65"/>
    </row>
    <row r="45">
      <c r="A45" s="1" t="s">
        <v>698</v>
      </c>
      <c r="B45" s="14">
        <v>972896.0</v>
      </c>
      <c r="D45" s="6">
        <v>37.05</v>
      </c>
      <c r="E45" s="1">
        <v>2.39</v>
      </c>
      <c r="F45" s="6">
        <v>28.69</v>
      </c>
      <c r="G45" s="1">
        <v>28.42</v>
      </c>
      <c r="H45" s="1">
        <v>0.0</v>
      </c>
      <c r="I45">
        <f t="shared" si="1"/>
        <v>96.55</v>
      </c>
      <c r="K45">
        <f t="shared" si="2"/>
        <v>38.37389953</v>
      </c>
      <c r="L45">
        <f t="shared" si="3"/>
        <v>2.475401346</v>
      </c>
      <c r="M45">
        <f t="shared" si="4"/>
        <v>29.71517349</v>
      </c>
      <c r="N45">
        <f t="shared" si="5"/>
        <v>29.43552563</v>
      </c>
      <c r="O45">
        <f t="shared" si="11"/>
        <v>0</v>
      </c>
      <c r="Q45" s="5">
        <f t="shared" si="7"/>
        <v>68.56809943</v>
      </c>
      <c r="R45" s="48">
        <f t="shared" si="12"/>
        <v>49.0031072</v>
      </c>
      <c r="S45" s="48">
        <f t="shared" si="9"/>
        <v>67.09218022</v>
      </c>
      <c r="T45">
        <f t="shared" si="10"/>
        <v>57.90781978</v>
      </c>
      <c r="U45" s="1">
        <v>0.0</v>
      </c>
      <c r="V45" s="1"/>
      <c r="W45" s="65"/>
    </row>
    <row r="46">
      <c r="A46" s="1" t="s">
        <v>699</v>
      </c>
      <c r="B46" s="14">
        <v>998314.0</v>
      </c>
      <c r="D46" s="6">
        <v>41.33</v>
      </c>
      <c r="E46" s="1">
        <v>3.31</v>
      </c>
      <c r="F46" s="1">
        <v>32.58</v>
      </c>
      <c r="G46" s="1">
        <v>19.51</v>
      </c>
      <c r="H46" s="1">
        <v>0.0</v>
      </c>
      <c r="I46">
        <f t="shared" si="1"/>
        <v>96.73</v>
      </c>
      <c r="K46">
        <f t="shared" si="2"/>
        <v>42.72717874</v>
      </c>
      <c r="L46">
        <f t="shared" si="3"/>
        <v>3.421895999</v>
      </c>
      <c r="M46">
        <f t="shared" si="4"/>
        <v>33.68138116</v>
      </c>
      <c r="N46">
        <f t="shared" si="5"/>
        <v>20.16954409</v>
      </c>
      <c r="O46">
        <f t="shared" si="11"/>
        <v>0</v>
      </c>
      <c r="Q46">
        <f t="shared" si="7"/>
        <v>70.50811537</v>
      </c>
      <c r="R46" s="48">
        <f t="shared" si="12"/>
        <v>46.07153934</v>
      </c>
      <c r="S46" s="50">
        <f t="shared" si="9"/>
        <v>72.48009925</v>
      </c>
      <c r="T46">
        <f t="shared" si="10"/>
        <v>52.51990075</v>
      </c>
      <c r="U46" s="1">
        <v>0.0</v>
      </c>
      <c r="V46" s="1"/>
      <c r="W46" s="65"/>
    </row>
    <row r="47">
      <c r="A47" s="1" t="s">
        <v>700</v>
      </c>
      <c r="B47" s="14">
        <v>1201603.0</v>
      </c>
      <c r="D47" s="6">
        <v>43.17</v>
      </c>
      <c r="E47" s="1">
        <v>16.4</v>
      </c>
      <c r="F47" s="1">
        <v>16.66</v>
      </c>
      <c r="G47" s="1">
        <v>17.36</v>
      </c>
      <c r="H47" s="1">
        <v>0.0</v>
      </c>
      <c r="I47">
        <f t="shared" si="1"/>
        <v>93.59</v>
      </c>
      <c r="K47">
        <f t="shared" si="2"/>
        <v>46.12672294</v>
      </c>
      <c r="L47">
        <f t="shared" si="3"/>
        <v>17.52323966</v>
      </c>
      <c r="M47">
        <f t="shared" si="4"/>
        <v>17.80104712</v>
      </c>
      <c r="N47">
        <f t="shared" si="5"/>
        <v>18.54899028</v>
      </c>
      <c r="O47">
        <f t="shared" si="11"/>
        <v>0</v>
      </c>
      <c r="Q47" s="5">
        <f t="shared" si="7"/>
        <v>68.68255155</v>
      </c>
      <c r="R47" s="48">
        <f t="shared" si="12"/>
        <v>51.86718667</v>
      </c>
      <c r="S47" s="48">
        <f t="shared" si="9"/>
        <v>65.79495673</v>
      </c>
      <c r="T47">
        <f t="shared" si="10"/>
        <v>59.20504327</v>
      </c>
      <c r="U47" s="1">
        <v>0.0</v>
      </c>
      <c r="V47" s="1"/>
      <c r="W47" s="65"/>
    </row>
    <row r="48">
      <c r="A48" s="1" t="s">
        <v>701</v>
      </c>
      <c r="B48" s="14">
        <v>1116588.0</v>
      </c>
      <c r="D48" s="6">
        <v>40.77</v>
      </c>
      <c r="E48" s="1">
        <v>4.71</v>
      </c>
      <c r="F48" s="1">
        <v>27.75</v>
      </c>
      <c r="G48" s="6">
        <v>21.7</v>
      </c>
      <c r="H48" s="1">
        <v>0.0</v>
      </c>
      <c r="I48">
        <f t="shared" si="1"/>
        <v>94.93</v>
      </c>
      <c r="K48">
        <f t="shared" si="2"/>
        <v>42.94743495</v>
      </c>
      <c r="L48">
        <f t="shared" si="3"/>
        <v>4.961550616</v>
      </c>
      <c r="M48">
        <f t="shared" si="4"/>
        <v>29.23206573</v>
      </c>
      <c r="N48">
        <f t="shared" si="5"/>
        <v>22.8589487</v>
      </c>
      <c r="O48">
        <f t="shared" si="11"/>
        <v>0</v>
      </c>
      <c r="Q48" s="5">
        <f t="shared" si="7"/>
        <v>70.23332982</v>
      </c>
      <c r="R48" s="48">
        <f t="shared" si="12"/>
        <v>47.45865374</v>
      </c>
      <c r="S48" s="48">
        <f t="shared" si="9"/>
        <v>69.63815443</v>
      </c>
      <c r="T48">
        <f t="shared" si="10"/>
        <v>55.36184557</v>
      </c>
      <c r="U48" s="1">
        <v>0.0</v>
      </c>
      <c r="V48" s="1"/>
      <c r="W48" s="65"/>
    </row>
    <row r="49">
      <c r="A49" s="1" t="s">
        <v>702</v>
      </c>
      <c r="B49" s="14">
        <v>1033883.0</v>
      </c>
      <c r="D49" s="6">
        <v>54.23</v>
      </c>
      <c r="E49" s="6">
        <v>27.87</v>
      </c>
      <c r="F49" s="1">
        <v>6.23</v>
      </c>
      <c r="G49" s="1">
        <v>5.49</v>
      </c>
      <c r="H49" s="1">
        <v>4.0</v>
      </c>
      <c r="I49">
        <f t="shared" si="1"/>
        <v>97.82</v>
      </c>
      <c r="K49">
        <f t="shared" si="2"/>
        <v>55.43856062</v>
      </c>
      <c r="L49">
        <f t="shared" si="3"/>
        <v>28.49110611</v>
      </c>
      <c r="M49">
        <f t="shared" si="4"/>
        <v>6.368840728</v>
      </c>
      <c r="N49">
        <f t="shared" si="5"/>
        <v>5.612349213</v>
      </c>
      <c r="O49" s="1">
        <v>0.0</v>
      </c>
      <c r="Q49" s="5">
        <f t="shared" si="7"/>
        <v>68.55193212</v>
      </c>
      <c r="R49" s="48">
        <f t="shared" si="12"/>
        <v>49.74442854</v>
      </c>
      <c r="S49" s="48">
        <f t="shared" si="9"/>
        <v>63.59640155</v>
      </c>
      <c r="T49">
        <f t="shared" si="10"/>
        <v>56.29216929</v>
      </c>
      <c r="U49" s="1">
        <v>0.0</v>
      </c>
      <c r="V49" s="1"/>
      <c r="W49" s="65"/>
    </row>
    <row r="50">
      <c r="A50" s="14" t="s">
        <v>703</v>
      </c>
      <c r="B50" s="14">
        <v>825136.0</v>
      </c>
      <c r="D50" s="1">
        <v>21.05</v>
      </c>
      <c r="E50" s="6">
        <v>63.8</v>
      </c>
      <c r="F50" s="1">
        <v>7.71</v>
      </c>
      <c r="G50" s="1">
        <v>0.0</v>
      </c>
      <c r="H50" s="1">
        <v>0.0</v>
      </c>
      <c r="I50">
        <f t="shared" si="1"/>
        <v>92.56</v>
      </c>
      <c r="K50">
        <f t="shared" si="2"/>
        <v>22.74200519</v>
      </c>
      <c r="L50">
        <f t="shared" si="3"/>
        <v>68.92826275</v>
      </c>
      <c r="M50">
        <f t="shared" si="4"/>
        <v>8.329732066</v>
      </c>
      <c r="N50">
        <f t="shared" si="5"/>
        <v>0</v>
      </c>
      <c r="O50">
        <f>DIVIDE(100*H50,I50)</f>
        <v>0</v>
      </c>
      <c r="Q50">
        <f t="shared" si="7"/>
        <v>44.13893691</v>
      </c>
      <c r="R50" s="50">
        <f t="shared" si="12"/>
        <v>78.77863008</v>
      </c>
      <c r="S50" s="48">
        <f t="shared" si="9"/>
        <v>59.85036733</v>
      </c>
      <c r="T50" s="1">
        <v>0.0</v>
      </c>
      <c r="U50" s="1">
        <v>0.0</v>
      </c>
      <c r="V50" s="1"/>
      <c r="W50" s="65"/>
    </row>
    <row r="51">
      <c r="A51" s="1" t="s">
        <v>704</v>
      </c>
      <c r="B51" s="14">
        <v>874625.0</v>
      </c>
      <c r="D51" s="1">
        <v>34.38</v>
      </c>
      <c r="E51" s="6">
        <v>46.71</v>
      </c>
      <c r="F51" s="1">
        <v>6.6</v>
      </c>
      <c r="G51" s="1">
        <v>0.0</v>
      </c>
      <c r="H51" s="1">
        <v>2.92</v>
      </c>
      <c r="I51">
        <f t="shared" si="1"/>
        <v>90.61</v>
      </c>
      <c r="K51">
        <f t="shared" si="2"/>
        <v>37.94283192</v>
      </c>
      <c r="L51">
        <f t="shared" si="3"/>
        <v>51.55060148</v>
      </c>
      <c r="M51">
        <f t="shared" si="4"/>
        <v>7.283964242</v>
      </c>
      <c r="N51">
        <f t="shared" si="5"/>
        <v>0</v>
      </c>
      <c r="O51" s="1">
        <v>0.0</v>
      </c>
      <c r="Q51">
        <f t="shared" si="7"/>
        <v>54.47246441</v>
      </c>
      <c r="R51" s="50">
        <f t="shared" si="12"/>
        <v>64.67829158</v>
      </c>
      <c r="S51" s="48">
        <f t="shared" si="9"/>
        <v>61.51638892</v>
      </c>
      <c r="T51" s="1">
        <v>0.0</v>
      </c>
      <c r="U51" s="1">
        <v>0.0</v>
      </c>
      <c r="V51" s="1"/>
      <c r="W51" s="65"/>
    </row>
    <row r="52">
      <c r="A52" s="1" t="s">
        <v>705</v>
      </c>
      <c r="B52" s="14">
        <v>964981.0</v>
      </c>
      <c r="C52" s="6"/>
      <c r="D52" s="6">
        <v>42.51</v>
      </c>
      <c r="E52" s="1">
        <v>4.35</v>
      </c>
      <c r="F52" s="1">
        <v>23.98</v>
      </c>
      <c r="G52" s="1">
        <v>23.63</v>
      </c>
      <c r="H52" s="1">
        <v>0.0</v>
      </c>
      <c r="I52">
        <f t="shared" si="1"/>
        <v>94.47</v>
      </c>
      <c r="K52">
        <f t="shared" si="2"/>
        <v>44.99841219</v>
      </c>
      <c r="L52">
        <f t="shared" si="3"/>
        <v>4.604636393</v>
      </c>
      <c r="M52">
        <f t="shared" si="4"/>
        <v>25.3837197</v>
      </c>
      <c r="N52">
        <f t="shared" si="5"/>
        <v>25.01323171</v>
      </c>
      <c r="O52">
        <f t="shared" ref="O52:O53" si="13">DIVIDE(100*H52,I52)</f>
        <v>0</v>
      </c>
      <c r="Q52" s="5">
        <f t="shared" si="7"/>
        <v>71.348047</v>
      </c>
      <c r="R52" s="48">
        <f t="shared" si="12"/>
        <v>47.30602308</v>
      </c>
      <c r="S52" s="68">
        <f t="shared" si="9"/>
        <v>67.68815497</v>
      </c>
      <c r="T52">
        <f t="shared" ref="T52:T94" si="14">N52+0.75*L52+0.5*K52+0.25*M52</f>
        <v>57.31184503</v>
      </c>
      <c r="U52" s="1">
        <v>0.0</v>
      </c>
      <c r="V52" s="1"/>
      <c r="W52" s="65"/>
    </row>
    <row r="53">
      <c r="A53" s="1" t="s">
        <v>706</v>
      </c>
      <c r="B53" s="14">
        <v>894456.0</v>
      </c>
      <c r="D53" s="1">
        <v>42.01</v>
      </c>
      <c r="E53" s="1">
        <v>15.5</v>
      </c>
      <c r="F53" s="6">
        <v>23.2</v>
      </c>
      <c r="G53" s="6">
        <v>13.43</v>
      </c>
      <c r="H53" s="1">
        <v>0.0</v>
      </c>
      <c r="I53">
        <f t="shared" si="1"/>
        <v>94.14</v>
      </c>
      <c r="K53">
        <f t="shared" si="2"/>
        <v>44.62502656</v>
      </c>
      <c r="L53">
        <f t="shared" si="3"/>
        <v>16.4648396</v>
      </c>
      <c r="M53">
        <f t="shared" si="4"/>
        <v>24.64414702</v>
      </c>
      <c r="N53">
        <f t="shared" si="5"/>
        <v>14.26598683</v>
      </c>
      <c r="O53">
        <f t="shared" si="13"/>
        <v>0</v>
      </c>
      <c r="Q53">
        <f t="shared" si="7"/>
        <v>68.19630338</v>
      </c>
      <c r="R53" s="48">
        <f t="shared" si="12"/>
        <v>50.64265987</v>
      </c>
      <c r="S53" s="50">
        <f t="shared" si="9"/>
        <v>69.91183344</v>
      </c>
      <c r="T53">
        <f t="shared" si="14"/>
        <v>55.08816656</v>
      </c>
      <c r="U53" s="1">
        <v>0.0</v>
      </c>
      <c r="V53" s="1"/>
      <c r="W53" s="65"/>
    </row>
    <row r="54">
      <c r="A54" s="1" t="s">
        <v>707</v>
      </c>
      <c r="B54" s="14">
        <v>970677.0</v>
      </c>
      <c r="D54" s="6">
        <v>41.84</v>
      </c>
      <c r="E54" s="1">
        <v>9.84</v>
      </c>
      <c r="F54" s="1">
        <v>11.8</v>
      </c>
      <c r="G54" s="1">
        <v>26.34</v>
      </c>
      <c r="H54" s="6">
        <v>6.05</v>
      </c>
      <c r="I54">
        <f t="shared" si="1"/>
        <v>95.87</v>
      </c>
      <c r="K54">
        <f t="shared" si="2"/>
        <v>43.64243246</v>
      </c>
      <c r="L54">
        <f t="shared" si="3"/>
        <v>10.26389903</v>
      </c>
      <c r="M54">
        <f t="shared" si="4"/>
        <v>12.3083342</v>
      </c>
      <c r="N54">
        <f t="shared" si="5"/>
        <v>27.47470533</v>
      </c>
      <c r="O54" s="1">
        <v>0.0</v>
      </c>
      <c r="Q54" s="5">
        <f t="shared" si="7"/>
        <v>66.09992698</v>
      </c>
      <c r="R54" s="48">
        <f t="shared" si="12"/>
        <v>47.93470324</v>
      </c>
      <c r="S54" s="48">
        <f t="shared" si="9"/>
        <v>57.0407844</v>
      </c>
      <c r="T54">
        <f t="shared" si="14"/>
        <v>60.07092938</v>
      </c>
      <c r="U54" s="1">
        <v>0.0</v>
      </c>
      <c r="V54" s="1"/>
      <c r="W54" s="65"/>
    </row>
    <row r="55">
      <c r="A55" s="1" t="s">
        <v>708</v>
      </c>
      <c r="B55" s="14">
        <v>939604.0</v>
      </c>
      <c r="D55" s="6">
        <v>46.78</v>
      </c>
      <c r="E55" s="1">
        <v>1.43</v>
      </c>
      <c r="F55" s="1">
        <v>20.51</v>
      </c>
      <c r="G55" s="6">
        <v>28.38</v>
      </c>
      <c r="H55" s="1">
        <v>0.0</v>
      </c>
      <c r="I55">
        <f t="shared" si="1"/>
        <v>97.1</v>
      </c>
      <c r="K55">
        <f t="shared" si="2"/>
        <v>48.17713697</v>
      </c>
      <c r="L55">
        <f t="shared" si="3"/>
        <v>1.472708548</v>
      </c>
      <c r="M55">
        <f t="shared" si="4"/>
        <v>21.12255407</v>
      </c>
      <c r="N55">
        <f t="shared" si="5"/>
        <v>29.22760041</v>
      </c>
      <c r="O55">
        <f t="shared" ref="O55:O56" si="15">DIVIDE(100*H55,I55)</f>
        <v>0</v>
      </c>
      <c r="Q55" s="5">
        <f t="shared" si="7"/>
        <v>73.72039135</v>
      </c>
      <c r="R55" s="48">
        <f t="shared" si="12"/>
        <v>45.99897013</v>
      </c>
      <c r="S55" s="48">
        <f t="shared" si="9"/>
        <v>65.29866117</v>
      </c>
      <c r="T55">
        <f t="shared" si="14"/>
        <v>59.70133883</v>
      </c>
      <c r="U55" s="1">
        <v>0.0</v>
      </c>
      <c r="V55" s="1"/>
      <c r="W55" s="65"/>
    </row>
    <row r="56">
      <c r="A56" s="1" t="s">
        <v>709</v>
      </c>
      <c r="B56" s="14">
        <v>1114460.0</v>
      </c>
      <c r="D56" s="6">
        <v>42.1</v>
      </c>
      <c r="E56" s="1">
        <v>0.0</v>
      </c>
      <c r="F56" s="1">
        <v>11.46</v>
      </c>
      <c r="G56" s="1">
        <v>43.89</v>
      </c>
      <c r="H56" s="1">
        <v>0.0</v>
      </c>
      <c r="I56">
        <f t="shared" si="1"/>
        <v>97.45</v>
      </c>
      <c r="K56">
        <f t="shared" si="2"/>
        <v>43.20164187</v>
      </c>
      <c r="L56">
        <f t="shared" si="3"/>
        <v>0</v>
      </c>
      <c r="M56">
        <f t="shared" si="4"/>
        <v>11.75987686</v>
      </c>
      <c r="N56">
        <f t="shared" si="5"/>
        <v>45.03848127</v>
      </c>
      <c r="O56">
        <f t="shared" si="15"/>
        <v>0</v>
      </c>
      <c r="Q56" s="5">
        <f t="shared" si="7"/>
        <v>71.60082093</v>
      </c>
      <c r="R56" s="49">
        <v>0.0</v>
      </c>
      <c r="S56" s="48">
        <f t="shared" si="9"/>
        <v>55.42072858</v>
      </c>
      <c r="T56">
        <f t="shared" si="14"/>
        <v>69.57927142</v>
      </c>
      <c r="U56" s="1">
        <v>0.0</v>
      </c>
      <c r="V56" s="1"/>
      <c r="W56" s="65"/>
    </row>
    <row r="57">
      <c r="A57" s="1" t="s">
        <v>710</v>
      </c>
      <c r="B57" s="14">
        <v>835079.0</v>
      </c>
      <c r="D57" s="6">
        <v>56.84</v>
      </c>
      <c r="E57" s="6">
        <v>30.15</v>
      </c>
      <c r="F57" s="1">
        <v>6.37</v>
      </c>
      <c r="G57" s="1">
        <v>3.08</v>
      </c>
      <c r="H57" s="1">
        <v>1.43</v>
      </c>
      <c r="I57">
        <f t="shared" si="1"/>
        <v>97.87</v>
      </c>
      <c r="K57">
        <f t="shared" si="2"/>
        <v>58.07704097</v>
      </c>
      <c r="L57">
        <f t="shared" si="3"/>
        <v>30.80617145</v>
      </c>
      <c r="M57">
        <f t="shared" si="4"/>
        <v>6.508633902</v>
      </c>
      <c r="N57">
        <f t="shared" si="5"/>
        <v>3.147031777</v>
      </c>
      <c r="O57" s="1">
        <v>0.0</v>
      </c>
      <c r="Q57" s="5">
        <f t="shared" si="7"/>
        <v>70.60641668</v>
      </c>
      <c r="R57" s="48">
        <f t="shared" ref="R57:R94" si="16">L57+0.25*K57+0.5*M57+0.75*N57</f>
        <v>50.94002248</v>
      </c>
      <c r="S57" s="48">
        <f t="shared" si="9"/>
        <v>66.2562583</v>
      </c>
      <c r="T57">
        <f t="shared" si="14"/>
        <v>56.91733933</v>
      </c>
      <c r="U57" s="1">
        <v>0.0</v>
      </c>
      <c r="V57" s="1"/>
      <c r="W57" s="65"/>
    </row>
    <row r="58">
      <c r="A58" s="1" t="s">
        <v>711</v>
      </c>
      <c r="B58" s="14">
        <v>971375.0</v>
      </c>
      <c r="D58" s="6">
        <v>49.57</v>
      </c>
      <c r="E58" s="1">
        <v>9.97</v>
      </c>
      <c r="F58" s="1">
        <v>20.85</v>
      </c>
      <c r="G58" s="6">
        <v>15.13</v>
      </c>
      <c r="H58" s="1">
        <v>0.0</v>
      </c>
      <c r="I58">
        <f t="shared" si="1"/>
        <v>95.52</v>
      </c>
      <c r="K58">
        <f t="shared" si="2"/>
        <v>51.89489112</v>
      </c>
      <c r="L58">
        <f t="shared" si="3"/>
        <v>10.43760469</v>
      </c>
      <c r="M58">
        <f t="shared" si="4"/>
        <v>21.82788945</v>
      </c>
      <c r="N58">
        <f t="shared" si="5"/>
        <v>15.83961474</v>
      </c>
      <c r="O58">
        <f t="shared" ref="O58:O71" si="17">DIVIDE(100*H58,I58)</f>
        <v>0</v>
      </c>
      <c r="Q58" s="5">
        <f t="shared" si="7"/>
        <v>73.33804439</v>
      </c>
      <c r="R58" s="48">
        <f t="shared" si="16"/>
        <v>46.20498325</v>
      </c>
      <c r="S58" s="48">
        <f t="shared" si="9"/>
        <v>69.92776382</v>
      </c>
      <c r="T58">
        <f t="shared" si="14"/>
        <v>55.07223618</v>
      </c>
      <c r="U58" s="1">
        <v>0.0</v>
      </c>
      <c r="V58" s="1"/>
      <c r="W58" s="65"/>
    </row>
    <row r="59">
      <c r="A59" s="1" t="s">
        <v>712</v>
      </c>
      <c r="B59" s="14">
        <v>1109166.0</v>
      </c>
      <c r="D59" s="6">
        <v>49.46</v>
      </c>
      <c r="E59" s="1">
        <v>7.47</v>
      </c>
      <c r="F59" s="1">
        <v>23.57</v>
      </c>
      <c r="G59" s="1">
        <v>16.31</v>
      </c>
      <c r="H59" s="1">
        <v>0.0</v>
      </c>
      <c r="I59">
        <f t="shared" si="1"/>
        <v>96.81</v>
      </c>
      <c r="K59">
        <f t="shared" si="2"/>
        <v>51.08976345</v>
      </c>
      <c r="L59">
        <f t="shared" si="3"/>
        <v>7.716145026</v>
      </c>
      <c r="M59">
        <f t="shared" si="4"/>
        <v>24.3466584</v>
      </c>
      <c r="N59">
        <f t="shared" si="5"/>
        <v>16.84743312</v>
      </c>
      <c r="O59">
        <f t="shared" si="17"/>
        <v>0</v>
      </c>
      <c r="Q59" s="5">
        <f t="shared" si="7"/>
        <v>73.61584547</v>
      </c>
      <c r="R59" s="48">
        <f t="shared" si="16"/>
        <v>45.29748993</v>
      </c>
      <c r="S59" s="48">
        <f t="shared" si="9"/>
        <v>70.73391179</v>
      </c>
      <c r="T59">
        <f t="shared" si="14"/>
        <v>54.26608821</v>
      </c>
      <c r="U59" s="1">
        <v>0.0</v>
      </c>
      <c r="V59" s="1"/>
      <c r="W59" s="65"/>
    </row>
    <row r="60">
      <c r="A60" s="1" t="s">
        <v>713</v>
      </c>
      <c r="B60" s="14">
        <v>1320804.0</v>
      </c>
      <c r="D60" s="6">
        <v>43.6</v>
      </c>
      <c r="E60" s="1">
        <v>6.37</v>
      </c>
      <c r="F60" s="1">
        <v>16.19</v>
      </c>
      <c r="G60" s="6">
        <v>29.18</v>
      </c>
      <c r="H60" s="1">
        <v>0.0</v>
      </c>
      <c r="I60">
        <f t="shared" si="1"/>
        <v>95.34</v>
      </c>
      <c r="K60">
        <f t="shared" si="2"/>
        <v>45.73106776</v>
      </c>
      <c r="L60">
        <f t="shared" si="3"/>
        <v>6.681350954</v>
      </c>
      <c r="M60">
        <f t="shared" si="4"/>
        <v>16.98132998</v>
      </c>
      <c r="N60">
        <f t="shared" si="5"/>
        <v>30.60625131</v>
      </c>
      <c r="O60">
        <f t="shared" si="17"/>
        <v>0</v>
      </c>
      <c r="Q60" s="5">
        <f t="shared" si="7"/>
        <v>71.19519614</v>
      </c>
      <c r="R60" s="48">
        <f t="shared" si="16"/>
        <v>49.55947137</v>
      </c>
      <c r="S60" s="48">
        <f t="shared" si="9"/>
        <v>62.2718691</v>
      </c>
      <c r="T60">
        <f t="shared" si="14"/>
        <v>62.7281309</v>
      </c>
      <c r="U60" s="1">
        <v>0.0</v>
      </c>
      <c r="V60" s="1"/>
      <c r="W60" s="65"/>
    </row>
    <row r="61">
      <c r="A61" s="1" t="s">
        <v>247</v>
      </c>
      <c r="B61" s="14">
        <v>975240.0</v>
      </c>
      <c r="D61" s="6">
        <v>46.41</v>
      </c>
      <c r="E61" s="1">
        <v>8.0</v>
      </c>
      <c r="F61" s="1">
        <v>18.03</v>
      </c>
      <c r="G61" s="1">
        <v>19.13</v>
      </c>
      <c r="H61" s="1">
        <v>0.0</v>
      </c>
      <c r="I61">
        <f t="shared" si="1"/>
        <v>91.57</v>
      </c>
      <c r="K61">
        <f t="shared" si="2"/>
        <v>50.68253795</v>
      </c>
      <c r="L61">
        <f t="shared" si="3"/>
        <v>8.736485749</v>
      </c>
      <c r="M61">
        <f t="shared" si="4"/>
        <v>19.68985476</v>
      </c>
      <c r="N61">
        <f t="shared" si="5"/>
        <v>20.89112155</v>
      </c>
      <c r="O61">
        <f t="shared" si="17"/>
        <v>0</v>
      </c>
      <c r="Q61" s="5">
        <f t="shared" si="7"/>
        <v>73.15714754</v>
      </c>
      <c r="R61" s="48">
        <f t="shared" si="16"/>
        <v>46.92038877</v>
      </c>
      <c r="S61" s="48">
        <f t="shared" si="9"/>
        <v>67.29278148</v>
      </c>
      <c r="T61">
        <f t="shared" si="14"/>
        <v>57.70721852</v>
      </c>
      <c r="U61" s="1">
        <v>0.0</v>
      </c>
      <c r="V61" s="1"/>
      <c r="W61" s="65"/>
    </row>
    <row r="62">
      <c r="A62" s="1" t="s">
        <v>714</v>
      </c>
      <c r="B62" s="14">
        <v>858326.0</v>
      </c>
      <c r="D62" s="6">
        <v>39.84</v>
      </c>
      <c r="E62" s="1">
        <v>4.27</v>
      </c>
      <c r="F62" s="6">
        <v>26.35</v>
      </c>
      <c r="G62" s="1">
        <v>22.1</v>
      </c>
      <c r="H62" s="1">
        <v>0.0</v>
      </c>
      <c r="I62">
        <f t="shared" si="1"/>
        <v>92.56</v>
      </c>
      <c r="K62">
        <f t="shared" si="2"/>
        <v>43.04235091</v>
      </c>
      <c r="L62">
        <f t="shared" si="3"/>
        <v>4.613223855</v>
      </c>
      <c r="M62">
        <f t="shared" si="4"/>
        <v>28.46802074</v>
      </c>
      <c r="N62">
        <f t="shared" si="5"/>
        <v>23.87640449</v>
      </c>
      <c r="O62">
        <f t="shared" si="17"/>
        <v>0</v>
      </c>
      <c r="Q62" s="5">
        <f t="shared" si="7"/>
        <v>70.36786949</v>
      </c>
      <c r="R62" s="48">
        <f t="shared" si="16"/>
        <v>47.51512532</v>
      </c>
      <c r="S62" s="48">
        <f t="shared" si="9"/>
        <v>69.02549697</v>
      </c>
      <c r="T62">
        <f t="shared" si="14"/>
        <v>55.97450303</v>
      </c>
      <c r="U62" s="1">
        <v>0.0</v>
      </c>
      <c r="V62" s="1"/>
      <c r="W62" s="65"/>
    </row>
    <row r="63">
      <c r="A63" s="1" t="s">
        <v>715</v>
      </c>
      <c r="B63" s="14">
        <v>1056688.0</v>
      </c>
      <c r="D63" s="6">
        <v>45.97</v>
      </c>
      <c r="E63" s="1">
        <v>4.44</v>
      </c>
      <c r="F63" s="1">
        <v>28.26</v>
      </c>
      <c r="G63" s="1">
        <v>17.0</v>
      </c>
      <c r="H63" s="1">
        <v>0.0</v>
      </c>
      <c r="I63">
        <f t="shared" si="1"/>
        <v>95.67</v>
      </c>
      <c r="K63">
        <f t="shared" si="2"/>
        <v>48.05059057</v>
      </c>
      <c r="L63">
        <f t="shared" si="3"/>
        <v>4.640953277</v>
      </c>
      <c r="M63">
        <f t="shared" si="4"/>
        <v>29.53904045</v>
      </c>
      <c r="N63">
        <f t="shared" si="5"/>
        <v>17.7694157</v>
      </c>
      <c r="O63">
        <f t="shared" si="17"/>
        <v>0</v>
      </c>
      <c r="Q63" s="5">
        <f t="shared" si="7"/>
        <v>72.86505697</v>
      </c>
      <c r="R63" s="48">
        <f t="shared" si="16"/>
        <v>44.75018292</v>
      </c>
      <c r="S63" s="48">
        <f t="shared" si="9"/>
        <v>72.33981394</v>
      </c>
      <c r="T63">
        <f t="shared" si="14"/>
        <v>52.66018606</v>
      </c>
      <c r="U63" s="1">
        <v>0.0</v>
      </c>
      <c r="V63" s="1"/>
      <c r="W63" s="65"/>
    </row>
    <row r="64">
      <c r="A64" s="1" t="s">
        <v>716</v>
      </c>
      <c r="B64" s="14">
        <v>910414.0</v>
      </c>
      <c r="D64" s="6">
        <v>36.43</v>
      </c>
      <c r="E64" s="1">
        <v>3.5</v>
      </c>
      <c r="F64" s="6">
        <v>22.11</v>
      </c>
      <c r="G64" s="1">
        <v>31.72</v>
      </c>
      <c r="H64" s="1">
        <v>0.0</v>
      </c>
      <c r="I64">
        <f t="shared" si="1"/>
        <v>93.76</v>
      </c>
      <c r="K64">
        <f t="shared" si="2"/>
        <v>38.85452218</v>
      </c>
      <c r="L64">
        <f t="shared" si="3"/>
        <v>3.732935154</v>
      </c>
      <c r="M64">
        <f t="shared" si="4"/>
        <v>23.58148464</v>
      </c>
      <c r="N64">
        <f t="shared" si="5"/>
        <v>33.83105802</v>
      </c>
      <c r="O64">
        <f t="shared" si="17"/>
        <v>0</v>
      </c>
      <c r="Q64" s="5">
        <f t="shared" si="7"/>
        <v>68.4940273</v>
      </c>
      <c r="R64" s="48">
        <f t="shared" si="16"/>
        <v>50.61060154</v>
      </c>
      <c r="S64" s="48">
        <f t="shared" si="9"/>
        <v>63.04660836</v>
      </c>
      <c r="T64">
        <f t="shared" si="14"/>
        <v>61.95339164</v>
      </c>
      <c r="U64" s="1">
        <v>0.0</v>
      </c>
      <c r="V64" s="1"/>
      <c r="W64" s="65"/>
    </row>
    <row r="65">
      <c r="A65" s="1" t="s">
        <v>717</v>
      </c>
      <c r="B65" s="14">
        <v>960341.0</v>
      </c>
      <c r="D65" s="1">
        <v>52.43</v>
      </c>
      <c r="E65" s="1">
        <v>6.05</v>
      </c>
      <c r="F65" s="1">
        <v>17.05</v>
      </c>
      <c r="G65" s="6">
        <v>20.33</v>
      </c>
      <c r="H65" s="1">
        <v>0.0</v>
      </c>
      <c r="I65">
        <f t="shared" si="1"/>
        <v>95.86</v>
      </c>
      <c r="K65">
        <f t="shared" si="2"/>
        <v>54.69434592</v>
      </c>
      <c r="L65">
        <f t="shared" si="3"/>
        <v>6.311287294</v>
      </c>
      <c r="M65">
        <f t="shared" si="4"/>
        <v>17.7863551</v>
      </c>
      <c r="N65">
        <f t="shared" si="5"/>
        <v>21.20801168</v>
      </c>
      <c r="O65">
        <f t="shared" si="17"/>
        <v>0</v>
      </c>
      <c r="Q65" s="5">
        <f t="shared" si="7"/>
        <v>75.76935114</v>
      </c>
      <c r="R65" s="48">
        <f t="shared" si="16"/>
        <v>44.78406009</v>
      </c>
      <c r="S65" s="48">
        <f t="shared" si="9"/>
        <v>67.26476111</v>
      </c>
      <c r="T65">
        <f t="shared" si="14"/>
        <v>57.73523889</v>
      </c>
      <c r="U65" s="1">
        <v>0.0</v>
      </c>
      <c r="V65" s="1"/>
      <c r="W65" s="65"/>
    </row>
    <row r="66">
      <c r="A66" s="1" t="s">
        <v>718</v>
      </c>
      <c r="B66" s="14">
        <v>891586.0</v>
      </c>
      <c r="D66" s="6">
        <v>35.19</v>
      </c>
      <c r="E66" s="1">
        <v>11.49</v>
      </c>
      <c r="F66" s="1">
        <v>18.18</v>
      </c>
      <c r="G66" s="1">
        <v>28.24</v>
      </c>
      <c r="H66" s="1">
        <v>0.0</v>
      </c>
      <c r="I66">
        <f t="shared" si="1"/>
        <v>93.1</v>
      </c>
      <c r="K66">
        <f t="shared" si="2"/>
        <v>37.7980666</v>
      </c>
      <c r="L66">
        <f t="shared" si="3"/>
        <v>12.34156821</v>
      </c>
      <c r="M66">
        <f t="shared" si="4"/>
        <v>19.5273899</v>
      </c>
      <c r="N66">
        <f t="shared" si="5"/>
        <v>30.3329753</v>
      </c>
      <c r="O66">
        <f t="shared" si="17"/>
        <v>0</v>
      </c>
      <c r="Q66" s="5">
        <f t="shared" si="7"/>
        <v>65.81364125</v>
      </c>
      <c r="R66" s="48">
        <f t="shared" si="16"/>
        <v>54.30451128</v>
      </c>
      <c r="S66" s="48">
        <f t="shared" si="9"/>
        <v>61.62996778</v>
      </c>
      <c r="T66">
        <f t="shared" si="14"/>
        <v>63.37003222</v>
      </c>
      <c r="U66" s="1">
        <v>0.0</v>
      </c>
      <c r="V66" s="1"/>
      <c r="W66" s="65"/>
    </row>
    <row r="67">
      <c r="A67" s="1" t="s">
        <v>719</v>
      </c>
      <c r="B67" s="14">
        <v>1068168.0</v>
      </c>
      <c r="D67" s="6">
        <v>42.52</v>
      </c>
      <c r="E67" s="1">
        <v>22.69</v>
      </c>
      <c r="F67" s="6">
        <v>15.65</v>
      </c>
      <c r="G67" s="1">
        <v>14.91</v>
      </c>
      <c r="H67" s="1">
        <v>0.0</v>
      </c>
      <c r="I67">
        <f t="shared" si="1"/>
        <v>95.77</v>
      </c>
      <c r="K67">
        <f t="shared" si="2"/>
        <v>44.39803696</v>
      </c>
      <c r="L67">
        <f t="shared" si="3"/>
        <v>23.69217918</v>
      </c>
      <c r="M67">
        <f t="shared" si="4"/>
        <v>16.34123421</v>
      </c>
      <c r="N67">
        <f t="shared" si="5"/>
        <v>15.56854965</v>
      </c>
      <c r="O67">
        <f t="shared" si="17"/>
        <v>0</v>
      </c>
      <c r="Q67">
        <f t="shared" si="7"/>
        <v>66.27597369</v>
      </c>
      <c r="R67" s="48">
        <f t="shared" si="16"/>
        <v>54.63871776</v>
      </c>
      <c r="S67" s="50">
        <f t="shared" si="9"/>
        <v>65.37798893</v>
      </c>
      <c r="T67">
        <f t="shared" si="14"/>
        <v>59.62201107</v>
      </c>
      <c r="U67" s="1">
        <v>0.0</v>
      </c>
      <c r="V67" s="1"/>
      <c r="W67" s="65"/>
    </row>
    <row r="68">
      <c r="A68" s="1" t="s">
        <v>720</v>
      </c>
      <c r="B68" s="14">
        <v>1022716.0</v>
      </c>
      <c r="D68" s="6">
        <v>48.08</v>
      </c>
      <c r="E68" s="6">
        <v>12.7</v>
      </c>
      <c r="F68" s="1">
        <v>13.87</v>
      </c>
      <c r="G68" s="1">
        <v>20.43</v>
      </c>
      <c r="H68" s="1">
        <v>0.0</v>
      </c>
      <c r="I68">
        <f t="shared" si="1"/>
        <v>95.08</v>
      </c>
      <c r="K68">
        <f t="shared" si="2"/>
        <v>50.56794279</v>
      </c>
      <c r="L68">
        <f t="shared" si="3"/>
        <v>13.35717291</v>
      </c>
      <c r="M68">
        <f t="shared" si="4"/>
        <v>14.58771561</v>
      </c>
      <c r="N68">
        <f t="shared" si="5"/>
        <v>21.4871687</v>
      </c>
      <c r="O68">
        <f t="shared" si="17"/>
        <v>0</v>
      </c>
      <c r="Q68" s="5">
        <f t="shared" si="7"/>
        <v>71.94467817</v>
      </c>
      <c r="R68" s="48">
        <f t="shared" si="16"/>
        <v>49.40839293</v>
      </c>
      <c r="S68" s="48">
        <f t="shared" si="9"/>
        <v>64.56405133</v>
      </c>
      <c r="T68">
        <f t="shared" si="14"/>
        <v>60.43594867</v>
      </c>
      <c r="U68" s="1">
        <v>0.0</v>
      </c>
      <c r="V68" s="1"/>
      <c r="W68" s="65"/>
    </row>
    <row r="69">
      <c r="A69" s="14" t="s">
        <v>721</v>
      </c>
      <c r="B69" s="14">
        <v>1034404.0</v>
      </c>
      <c r="D69" s="1">
        <v>41.77</v>
      </c>
      <c r="E69" s="1">
        <v>2.2</v>
      </c>
      <c r="F69" s="6">
        <v>28.29</v>
      </c>
      <c r="G69" s="6">
        <v>22.67</v>
      </c>
      <c r="H69" s="1">
        <v>0.0</v>
      </c>
      <c r="I69">
        <f t="shared" si="1"/>
        <v>94.93</v>
      </c>
      <c r="K69">
        <f t="shared" si="2"/>
        <v>44.00084273</v>
      </c>
      <c r="L69">
        <f t="shared" si="3"/>
        <v>2.317497103</v>
      </c>
      <c r="M69">
        <f t="shared" si="4"/>
        <v>29.80090593</v>
      </c>
      <c r="N69">
        <f t="shared" si="5"/>
        <v>23.88075424</v>
      </c>
      <c r="O69">
        <f t="shared" si="17"/>
        <v>0</v>
      </c>
      <c r="Q69" s="5">
        <f t="shared" si="7"/>
        <v>71.42104709</v>
      </c>
      <c r="R69" s="48">
        <f t="shared" si="16"/>
        <v>46.12872643</v>
      </c>
      <c r="S69" s="48">
        <f t="shared" si="9"/>
        <v>69.93047509</v>
      </c>
      <c r="T69">
        <f t="shared" si="14"/>
        <v>55.06952491</v>
      </c>
      <c r="U69" s="1">
        <v>0.0</v>
      </c>
      <c r="V69" s="1"/>
      <c r="W69" s="65"/>
    </row>
    <row r="70">
      <c r="A70" s="1" t="s">
        <v>722</v>
      </c>
      <c r="B70" s="14">
        <v>934263.0</v>
      </c>
      <c r="D70" s="6">
        <v>46.28</v>
      </c>
      <c r="E70" s="1">
        <v>2.61</v>
      </c>
      <c r="F70" s="1">
        <v>10.37</v>
      </c>
      <c r="G70" s="6">
        <v>36.04</v>
      </c>
      <c r="H70" s="1">
        <v>0.0</v>
      </c>
      <c r="I70">
        <f t="shared" si="1"/>
        <v>95.3</v>
      </c>
      <c r="K70">
        <f t="shared" si="2"/>
        <v>48.56243442</v>
      </c>
      <c r="L70">
        <f t="shared" si="3"/>
        <v>2.738719832</v>
      </c>
      <c r="M70">
        <f t="shared" si="4"/>
        <v>10.88142707</v>
      </c>
      <c r="N70">
        <f t="shared" si="5"/>
        <v>37.81741868</v>
      </c>
      <c r="O70">
        <f t="shared" si="17"/>
        <v>0</v>
      </c>
      <c r="Q70" s="5">
        <f t="shared" si="7"/>
        <v>73.59653725</v>
      </c>
      <c r="R70" s="48">
        <f t="shared" si="16"/>
        <v>48.68310598</v>
      </c>
      <c r="S70" s="48">
        <f t="shared" si="9"/>
        <v>58.12696747</v>
      </c>
      <c r="T70">
        <f t="shared" si="14"/>
        <v>66.87303253</v>
      </c>
      <c r="U70" s="1">
        <v>0.0</v>
      </c>
      <c r="V70" s="1"/>
      <c r="W70" s="65"/>
    </row>
    <row r="71">
      <c r="A71" s="1" t="s">
        <v>723</v>
      </c>
      <c r="B71" s="14">
        <v>943357.0</v>
      </c>
      <c r="D71" s="6">
        <v>40.44</v>
      </c>
      <c r="E71" s="1">
        <v>6.08</v>
      </c>
      <c r="F71" s="1">
        <v>15.55</v>
      </c>
      <c r="G71" s="6">
        <v>32.15</v>
      </c>
      <c r="H71" s="1">
        <v>0.0</v>
      </c>
      <c r="I71">
        <f t="shared" si="1"/>
        <v>94.22</v>
      </c>
      <c r="K71">
        <f t="shared" si="2"/>
        <v>42.9208236</v>
      </c>
      <c r="L71">
        <f t="shared" si="3"/>
        <v>6.452982382</v>
      </c>
      <c r="M71">
        <f t="shared" si="4"/>
        <v>16.50392698</v>
      </c>
      <c r="N71">
        <f t="shared" si="5"/>
        <v>34.12226703</v>
      </c>
      <c r="O71">
        <f t="shared" si="17"/>
        <v>0</v>
      </c>
      <c r="Q71" s="5">
        <f t="shared" si="7"/>
        <v>69.84716621</v>
      </c>
      <c r="R71" s="48">
        <f t="shared" si="16"/>
        <v>51.02685205</v>
      </c>
      <c r="S71" s="48">
        <f t="shared" si="9"/>
        <v>60.45160263</v>
      </c>
      <c r="T71">
        <f t="shared" si="14"/>
        <v>64.54839737</v>
      </c>
      <c r="U71" s="1">
        <v>0.0</v>
      </c>
      <c r="V71" s="1"/>
      <c r="W71" s="65"/>
    </row>
    <row r="72">
      <c r="A72" s="1" t="s">
        <v>724</v>
      </c>
      <c r="B72" s="14">
        <v>979638.0</v>
      </c>
      <c r="D72" s="1">
        <v>35.3</v>
      </c>
      <c r="E72" s="1">
        <v>2.04</v>
      </c>
      <c r="F72" s="6">
        <v>19.88</v>
      </c>
      <c r="G72" s="1">
        <v>26.53</v>
      </c>
      <c r="H72" s="6">
        <v>10.39</v>
      </c>
      <c r="I72">
        <f t="shared" si="1"/>
        <v>94.14</v>
      </c>
      <c r="K72">
        <f t="shared" si="2"/>
        <v>37.49734438</v>
      </c>
      <c r="L72">
        <f t="shared" si="3"/>
        <v>2.166985341</v>
      </c>
      <c r="M72">
        <f t="shared" si="4"/>
        <v>21.1174846</v>
      </c>
      <c r="N72">
        <f t="shared" si="5"/>
        <v>28.18143191</v>
      </c>
      <c r="O72" s="1">
        <v>0.0</v>
      </c>
      <c r="Q72" s="5">
        <f t="shared" si="7"/>
        <v>62.68854897</v>
      </c>
      <c r="R72" s="48">
        <f t="shared" si="16"/>
        <v>43.23613767</v>
      </c>
      <c r="S72" s="48">
        <f t="shared" si="9"/>
        <v>57.36934353</v>
      </c>
      <c r="T72">
        <f t="shared" si="14"/>
        <v>53.83471426</v>
      </c>
      <c r="U72" s="1">
        <v>0.0</v>
      </c>
      <c r="V72" s="1"/>
      <c r="W72" s="65"/>
    </row>
    <row r="73">
      <c r="A73" s="1" t="s">
        <v>725</v>
      </c>
      <c r="B73" s="14">
        <v>873728.0</v>
      </c>
      <c r="D73" s="6">
        <v>41.15</v>
      </c>
      <c r="E73" s="6">
        <v>11.7</v>
      </c>
      <c r="F73" s="1">
        <v>13.29</v>
      </c>
      <c r="G73" s="1">
        <v>22.8</v>
      </c>
      <c r="H73" s="1">
        <v>4.89</v>
      </c>
      <c r="I73">
        <f t="shared" si="1"/>
        <v>93.83</v>
      </c>
      <c r="K73">
        <f t="shared" si="2"/>
        <v>43.85590962</v>
      </c>
      <c r="L73">
        <f t="shared" si="3"/>
        <v>12.46935948</v>
      </c>
      <c r="M73">
        <f t="shared" si="4"/>
        <v>14.16391346</v>
      </c>
      <c r="N73">
        <f t="shared" si="5"/>
        <v>24.29926463</v>
      </c>
      <c r="O73" s="1">
        <v>0.0</v>
      </c>
      <c r="Q73" s="5">
        <f t="shared" si="7"/>
        <v>66.20483854</v>
      </c>
      <c r="R73" s="48">
        <f t="shared" si="16"/>
        <v>48.73974209</v>
      </c>
      <c r="S73" s="48">
        <f t="shared" si="9"/>
        <v>59.36534158</v>
      </c>
      <c r="T73">
        <f t="shared" si="14"/>
        <v>59.12021741</v>
      </c>
      <c r="U73" s="1">
        <v>0.0</v>
      </c>
      <c r="V73" s="1"/>
      <c r="W73" s="65"/>
    </row>
    <row r="74">
      <c r="A74" s="1" t="s">
        <v>726</v>
      </c>
      <c r="B74" s="14">
        <v>935027.0</v>
      </c>
      <c r="D74" s="1">
        <v>31.96</v>
      </c>
      <c r="E74" s="6">
        <v>9.42</v>
      </c>
      <c r="F74" s="1">
        <v>20.88</v>
      </c>
      <c r="G74" s="6">
        <v>18.69</v>
      </c>
      <c r="H74" s="1">
        <v>10.61</v>
      </c>
      <c r="I74">
        <f t="shared" si="1"/>
        <v>91.56</v>
      </c>
      <c r="K74">
        <f t="shared" si="2"/>
        <v>34.90607252</v>
      </c>
      <c r="L74">
        <f t="shared" si="3"/>
        <v>10.28833552</v>
      </c>
      <c r="M74">
        <f t="shared" si="4"/>
        <v>22.80471822</v>
      </c>
      <c r="N74">
        <f t="shared" si="5"/>
        <v>20.41284404</v>
      </c>
      <c r="O74" s="1">
        <v>0.0</v>
      </c>
      <c r="Q74">
        <f t="shared" si="7"/>
        <v>59.08693753</v>
      </c>
      <c r="R74" s="48">
        <f t="shared" si="16"/>
        <v>45.72684578</v>
      </c>
      <c r="S74" s="50">
        <f t="shared" si="9"/>
        <v>59.23165138</v>
      </c>
      <c r="T74">
        <f t="shared" si="14"/>
        <v>51.28331149</v>
      </c>
      <c r="U74" s="1">
        <v>0.0</v>
      </c>
      <c r="V74" s="1"/>
      <c r="W74" s="65"/>
    </row>
    <row r="75">
      <c r="A75" s="1" t="s">
        <v>727</v>
      </c>
      <c r="B75" s="14">
        <v>1048534.0</v>
      </c>
      <c r="D75" s="6">
        <v>34.11</v>
      </c>
      <c r="E75" s="1">
        <v>2.64</v>
      </c>
      <c r="F75" s="1">
        <v>27.06</v>
      </c>
      <c r="G75" s="6">
        <v>30.91</v>
      </c>
      <c r="H75" s="1">
        <v>0.0</v>
      </c>
      <c r="I75">
        <f t="shared" si="1"/>
        <v>94.72</v>
      </c>
      <c r="K75">
        <f t="shared" si="2"/>
        <v>36.01140203</v>
      </c>
      <c r="L75">
        <f t="shared" si="3"/>
        <v>2.787162162</v>
      </c>
      <c r="M75">
        <f t="shared" si="4"/>
        <v>28.56841216</v>
      </c>
      <c r="N75">
        <f t="shared" si="5"/>
        <v>32.63302365</v>
      </c>
      <c r="O75">
        <f>DIVIDE(100*H75,I75)</f>
        <v>0</v>
      </c>
      <c r="Q75" s="5">
        <f t="shared" si="7"/>
        <v>67.30891047</v>
      </c>
      <c r="R75" s="48">
        <f t="shared" si="16"/>
        <v>50.54898649</v>
      </c>
      <c r="S75" s="48">
        <f t="shared" si="9"/>
        <v>65.12880068</v>
      </c>
      <c r="T75">
        <f t="shared" si="14"/>
        <v>59.87119932</v>
      </c>
      <c r="U75" s="1">
        <v>0.0</v>
      </c>
      <c r="V75" s="1"/>
      <c r="W75" s="65"/>
    </row>
    <row r="76">
      <c r="A76" s="1" t="s">
        <v>728</v>
      </c>
      <c r="B76" s="14">
        <v>1011649.0</v>
      </c>
      <c r="D76" s="6">
        <v>34.47</v>
      </c>
      <c r="E76" s="1">
        <v>2.18</v>
      </c>
      <c r="F76" s="1">
        <v>24.79</v>
      </c>
      <c r="G76" s="1">
        <v>23.73</v>
      </c>
      <c r="H76" s="6">
        <v>6.84</v>
      </c>
      <c r="I76">
        <f t="shared" si="1"/>
        <v>92.01</v>
      </c>
      <c r="K76">
        <f t="shared" si="2"/>
        <v>37.4633192</v>
      </c>
      <c r="L76">
        <f t="shared" si="3"/>
        <v>2.369307684</v>
      </c>
      <c r="M76">
        <f t="shared" si="4"/>
        <v>26.94272362</v>
      </c>
      <c r="N76">
        <f t="shared" si="5"/>
        <v>25.79067493</v>
      </c>
      <c r="O76" s="1">
        <v>0.0</v>
      </c>
      <c r="Q76" s="5">
        <f t="shared" si="7"/>
        <v>64.4223454</v>
      </c>
      <c r="R76" s="48">
        <f t="shared" si="16"/>
        <v>44.54950549</v>
      </c>
      <c r="S76" s="48">
        <f t="shared" si="9"/>
        <v>62.67253559</v>
      </c>
      <c r="T76">
        <f t="shared" si="14"/>
        <v>53.0349962</v>
      </c>
      <c r="U76" s="1">
        <v>0.0</v>
      </c>
      <c r="V76" s="1"/>
      <c r="W76" s="65"/>
    </row>
    <row r="77">
      <c r="A77" s="1" t="s">
        <v>152</v>
      </c>
      <c r="B77" s="1">
        <v>1056078.0</v>
      </c>
      <c r="D77" s="6">
        <v>44.47</v>
      </c>
      <c r="E77" s="6">
        <v>5.39</v>
      </c>
      <c r="F77" s="1">
        <v>21.8</v>
      </c>
      <c r="G77" s="1">
        <v>20.18</v>
      </c>
      <c r="H77" s="1">
        <v>0.0</v>
      </c>
      <c r="I77">
        <f t="shared" si="1"/>
        <v>91.84</v>
      </c>
      <c r="K77">
        <f t="shared" si="2"/>
        <v>48.42116725</v>
      </c>
      <c r="L77">
        <f t="shared" si="3"/>
        <v>5.868902439</v>
      </c>
      <c r="M77">
        <f t="shared" si="4"/>
        <v>23.7369338</v>
      </c>
      <c r="N77">
        <f t="shared" si="5"/>
        <v>21.97299652</v>
      </c>
      <c r="O77">
        <f t="shared" ref="O77:O82" si="18">DIVIDE(100*H77,I77)</f>
        <v>0</v>
      </c>
      <c r="Q77" s="5">
        <f t="shared" si="7"/>
        <v>72.74335801</v>
      </c>
      <c r="R77" s="48">
        <f t="shared" si="16"/>
        <v>46.32240854</v>
      </c>
      <c r="S77" s="48">
        <f t="shared" si="9"/>
        <v>68.48050958</v>
      </c>
      <c r="T77">
        <f t="shared" si="14"/>
        <v>56.51949042</v>
      </c>
      <c r="U77" s="1">
        <v>0.0</v>
      </c>
      <c r="V77" s="1"/>
      <c r="W77" s="65"/>
    </row>
    <row r="78">
      <c r="A78" s="1" t="s">
        <v>729</v>
      </c>
      <c r="B78" s="14">
        <v>1040199.0</v>
      </c>
      <c r="D78" s="1">
        <v>51.8</v>
      </c>
      <c r="E78" s="1">
        <v>4.39</v>
      </c>
      <c r="F78" s="6">
        <v>16.95</v>
      </c>
      <c r="G78" s="1">
        <v>21.75</v>
      </c>
      <c r="H78" s="1">
        <v>0.0</v>
      </c>
      <c r="I78">
        <f t="shared" si="1"/>
        <v>94.89</v>
      </c>
      <c r="K78">
        <f t="shared" si="2"/>
        <v>54.58952471</v>
      </c>
      <c r="L78">
        <f t="shared" si="3"/>
        <v>4.626409527</v>
      </c>
      <c r="M78">
        <f t="shared" si="4"/>
        <v>17.86278849</v>
      </c>
      <c r="N78">
        <f t="shared" si="5"/>
        <v>22.92127727</v>
      </c>
      <c r="O78">
        <f t="shared" si="18"/>
        <v>0</v>
      </c>
      <c r="Q78" s="5">
        <f t="shared" si="7"/>
        <v>76.13815997</v>
      </c>
      <c r="R78" s="48">
        <f t="shared" si="16"/>
        <v>44.3961429</v>
      </c>
      <c r="S78" s="48">
        <f t="shared" si="9"/>
        <v>66.84845611</v>
      </c>
      <c r="T78">
        <f t="shared" si="14"/>
        <v>58.15154389</v>
      </c>
      <c r="U78" s="1">
        <v>0.0</v>
      </c>
      <c r="V78" s="1"/>
      <c r="W78" s="65"/>
    </row>
    <row r="79">
      <c r="A79" s="14" t="s">
        <v>730</v>
      </c>
      <c r="B79" s="14">
        <v>950446.0</v>
      </c>
      <c r="D79" s="6">
        <v>38.92</v>
      </c>
      <c r="E79" s="1">
        <v>29.92</v>
      </c>
      <c r="F79" s="6">
        <v>13.98</v>
      </c>
      <c r="G79" s="1">
        <v>11.7</v>
      </c>
      <c r="H79" s="1">
        <v>0.0</v>
      </c>
      <c r="I79">
        <f t="shared" si="1"/>
        <v>94.52</v>
      </c>
      <c r="K79">
        <f t="shared" si="2"/>
        <v>41.17647059</v>
      </c>
      <c r="L79">
        <f t="shared" si="3"/>
        <v>31.65467626</v>
      </c>
      <c r="M79">
        <f t="shared" si="4"/>
        <v>14.79052052</v>
      </c>
      <c r="N79">
        <f t="shared" si="5"/>
        <v>12.37833263</v>
      </c>
      <c r="O79">
        <f t="shared" si="18"/>
        <v>0</v>
      </c>
      <c r="Q79">
        <f t="shared" si="7"/>
        <v>62.67456623</v>
      </c>
      <c r="R79" s="48">
        <f t="shared" si="16"/>
        <v>58.62780364</v>
      </c>
      <c r="S79" s="50">
        <f t="shared" si="9"/>
        <v>64.59479475</v>
      </c>
      <c r="T79">
        <f t="shared" si="14"/>
        <v>60.40520525</v>
      </c>
      <c r="U79" s="1">
        <v>0.0</v>
      </c>
      <c r="V79" s="1"/>
      <c r="W79" s="65"/>
    </row>
    <row r="80">
      <c r="A80" s="1" t="s">
        <v>731</v>
      </c>
      <c r="B80" s="14">
        <v>971557.0</v>
      </c>
      <c r="D80" s="1">
        <v>51.07</v>
      </c>
      <c r="E80" s="1">
        <v>3.88</v>
      </c>
      <c r="F80" s="1">
        <v>23.77</v>
      </c>
      <c r="G80" s="6">
        <v>15.52</v>
      </c>
      <c r="H80" s="1">
        <v>0.0</v>
      </c>
      <c r="I80">
        <f t="shared" si="1"/>
        <v>94.24</v>
      </c>
      <c r="K80">
        <f t="shared" si="2"/>
        <v>54.19142615</v>
      </c>
      <c r="L80">
        <f t="shared" si="3"/>
        <v>4.117147708</v>
      </c>
      <c r="M80">
        <f t="shared" si="4"/>
        <v>25.22283531</v>
      </c>
      <c r="N80">
        <f t="shared" si="5"/>
        <v>16.46859083</v>
      </c>
      <c r="O80">
        <f t="shared" si="18"/>
        <v>0</v>
      </c>
      <c r="Q80" s="5">
        <f t="shared" si="7"/>
        <v>76.06642615</v>
      </c>
      <c r="R80" s="48">
        <f t="shared" si="16"/>
        <v>42.62786503</v>
      </c>
      <c r="S80" s="48">
        <f t="shared" si="9"/>
        <v>72.04212649</v>
      </c>
      <c r="T80">
        <f t="shared" si="14"/>
        <v>52.95787351</v>
      </c>
      <c r="U80" s="1">
        <v>0.0</v>
      </c>
      <c r="V80" s="1"/>
      <c r="W80" s="65"/>
    </row>
    <row r="81">
      <c r="A81" s="1" t="s">
        <v>732</v>
      </c>
      <c r="B81" s="14">
        <v>877877.0</v>
      </c>
      <c r="D81" s="1">
        <v>47.61</v>
      </c>
      <c r="E81" s="1">
        <v>5.77</v>
      </c>
      <c r="F81" s="6">
        <v>26.02</v>
      </c>
      <c r="G81" s="6">
        <v>15.23</v>
      </c>
      <c r="H81" s="1">
        <v>0.0</v>
      </c>
      <c r="I81">
        <f t="shared" si="1"/>
        <v>94.63</v>
      </c>
      <c r="K81">
        <f t="shared" si="2"/>
        <v>50.31174046</v>
      </c>
      <c r="L81">
        <f t="shared" si="3"/>
        <v>6.097432104</v>
      </c>
      <c r="M81">
        <f t="shared" si="4"/>
        <v>27.49656557</v>
      </c>
      <c r="N81">
        <f t="shared" si="5"/>
        <v>16.09426186</v>
      </c>
      <c r="O81">
        <f t="shared" si="18"/>
        <v>0</v>
      </c>
      <c r="Q81" s="5">
        <f t="shared" si="7"/>
        <v>73.63151221</v>
      </c>
      <c r="R81" s="48">
        <f t="shared" si="16"/>
        <v>44.4943464</v>
      </c>
      <c r="S81" s="48">
        <f t="shared" si="9"/>
        <v>72.30265244</v>
      </c>
      <c r="T81">
        <f t="shared" si="14"/>
        <v>52.69734756</v>
      </c>
      <c r="U81" s="1">
        <v>0.0</v>
      </c>
      <c r="V81" s="1"/>
      <c r="W81" s="65"/>
    </row>
    <row r="82">
      <c r="A82" s="1" t="s">
        <v>733</v>
      </c>
      <c r="B82" s="14">
        <v>898655.0</v>
      </c>
      <c r="D82" s="1">
        <v>36.02</v>
      </c>
      <c r="E82" s="1">
        <v>2.43</v>
      </c>
      <c r="F82" s="6">
        <v>26.01</v>
      </c>
      <c r="G82" s="1">
        <v>29.01</v>
      </c>
      <c r="H82" s="1">
        <v>0.0</v>
      </c>
      <c r="I82">
        <f t="shared" si="1"/>
        <v>93.47</v>
      </c>
      <c r="K82">
        <f t="shared" si="2"/>
        <v>38.5364288</v>
      </c>
      <c r="L82">
        <f t="shared" si="3"/>
        <v>2.59976463</v>
      </c>
      <c r="M82">
        <f t="shared" si="4"/>
        <v>27.8271103</v>
      </c>
      <c r="N82">
        <f t="shared" si="5"/>
        <v>31.03669627</v>
      </c>
      <c r="O82">
        <f t="shared" si="18"/>
        <v>0</v>
      </c>
      <c r="Q82" s="5">
        <f t="shared" si="7"/>
        <v>68.61827324</v>
      </c>
      <c r="R82" s="48">
        <f t="shared" si="16"/>
        <v>49.42494918</v>
      </c>
      <c r="S82" s="48">
        <f t="shared" si="9"/>
        <v>65.78848829</v>
      </c>
      <c r="T82">
        <f t="shared" si="14"/>
        <v>59.21151171</v>
      </c>
      <c r="U82" s="1">
        <v>0.0</v>
      </c>
      <c r="V82" s="1"/>
      <c r="W82" s="65"/>
    </row>
    <row r="83">
      <c r="A83" s="1" t="s">
        <v>734</v>
      </c>
      <c r="B83" s="14">
        <v>960218.0</v>
      </c>
      <c r="D83" s="1">
        <v>28.85</v>
      </c>
      <c r="E83" s="1">
        <v>1.87</v>
      </c>
      <c r="F83" s="6">
        <v>27.75</v>
      </c>
      <c r="G83" s="6">
        <v>35.43</v>
      </c>
      <c r="H83" s="1">
        <v>1.38</v>
      </c>
      <c r="I83">
        <f t="shared" si="1"/>
        <v>95.28</v>
      </c>
      <c r="K83">
        <f t="shared" si="2"/>
        <v>30.27917716</v>
      </c>
      <c r="L83">
        <f t="shared" si="3"/>
        <v>1.96263644</v>
      </c>
      <c r="M83">
        <f t="shared" si="4"/>
        <v>29.12468514</v>
      </c>
      <c r="N83">
        <f t="shared" si="5"/>
        <v>37.18513854</v>
      </c>
      <c r="O83" s="1">
        <v>0.0</v>
      </c>
      <c r="Q83" s="5">
        <f t="shared" si="7"/>
        <v>63.92474811</v>
      </c>
      <c r="R83" s="48">
        <f t="shared" si="16"/>
        <v>51.9836272</v>
      </c>
      <c r="S83" s="48">
        <f t="shared" si="9"/>
        <v>62.11167086</v>
      </c>
      <c r="T83">
        <f t="shared" si="14"/>
        <v>61.07787573</v>
      </c>
      <c r="U83" s="1">
        <v>0.0</v>
      </c>
      <c r="V83" s="1"/>
      <c r="W83" s="65"/>
    </row>
    <row r="84">
      <c r="A84" s="1" t="s">
        <v>735</v>
      </c>
      <c r="B84" s="14">
        <v>1039656.0</v>
      </c>
      <c r="D84" s="6">
        <v>36.52</v>
      </c>
      <c r="E84" s="1">
        <v>1.86</v>
      </c>
      <c r="F84" s="6">
        <v>22.48</v>
      </c>
      <c r="G84" s="1">
        <v>15.95</v>
      </c>
      <c r="H84" s="1">
        <v>16.01</v>
      </c>
      <c r="I84">
        <f t="shared" si="1"/>
        <v>92.82</v>
      </c>
      <c r="K84">
        <f t="shared" si="2"/>
        <v>39.34496876</v>
      </c>
      <c r="L84">
        <f t="shared" si="3"/>
        <v>2.003878474</v>
      </c>
      <c r="M84">
        <f t="shared" si="4"/>
        <v>24.21891834</v>
      </c>
      <c r="N84">
        <f t="shared" si="5"/>
        <v>17.1837966</v>
      </c>
      <c r="O84">
        <f>DIVIDE(100*H84,I84)</f>
        <v>17.24843784</v>
      </c>
      <c r="Q84" s="5">
        <f t="shared" si="7"/>
        <v>60.54729584</v>
      </c>
      <c r="R84" s="48">
        <f t="shared" si="16"/>
        <v>36.83742728</v>
      </c>
      <c r="S84" s="48">
        <f t="shared" si="9"/>
        <v>59.02553329</v>
      </c>
      <c r="T84">
        <f t="shared" si="14"/>
        <v>44.41391941</v>
      </c>
      <c r="U84">
        <f>O84+0.75*M84+0.5*L84+0.25*N84</f>
        <v>40.71051498</v>
      </c>
      <c r="V84" s="1"/>
      <c r="W84" s="65"/>
    </row>
    <row r="85">
      <c r="A85" s="1" t="s">
        <v>736</v>
      </c>
      <c r="B85" s="14">
        <v>854749.0</v>
      </c>
      <c r="D85" s="6">
        <v>45.83</v>
      </c>
      <c r="E85" s="1">
        <v>4.89</v>
      </c>
      <c r="F85" s="6">
        <v>18.68</v>
      </c>
      <c r="G85" s="1">
        <v>18.66</v>
      </c>
      <c r="H85" s="6">
        <v>7.72</v>
      </c>
      <c r="I85">
        <f t="shared" si="1"/>
        <v>95.78</v>
      </c>
      <c r="K85">
        <f t="shared" si="2"/>
        <v>47.84923784</v>
      </c>
      <c r="L85">
        <f t="shared" si="3"/>
        <v>5.10544999</v>
      </c>
      <c r="M85">
        <f t="shared" si="4"/>
        <v>19.50302777</v>
      </c>
      <c r="N85">
        <f t="shared" si="5"/>
        <v>19.48214659</v>
      </c>
      <c r="O85" s="1">
        <v>0.0</v>
      </c>
      <c r="Q85" s="5">
        <f t="shared" si="7"/>
        <v>68.61818751</v>
      </c>
      <c r="R85" s="48">
        <f t="shared" si="16"/>
        <v>41.43088327</v>
      </c>
      <c r="S85" s="48">
        <f t="shared" si="9"/>
        <v>62.81321779</v>
      </c>
      <c r="T85">
        <f t="shared" si="14"/>
        <v>52.11160994</v>
      </c>
      <c r="U85" s="1">
        <v>0.0</v>
      </c>
      <c r="V85" s="1"/>
      <c r="W85" s="65"/>
    </row>
    <row r="86">
      <c r="A86" s="1" t="s">
        <v>737</v>
      </c>
      <c r="B86" s="14">
        <v>942211.0</v>
      </c>
      <c r="D86" s="6">
        <v>38.18</v>
      </c>
      <c r="E86" s="6">
        <v>1.43</v>
      </c>
      <c r="F86" s="1">
        <v>15.04</v>
      </c>
      <c r="G86" s="1">
        <v>23.38</v>
      </c>
      <c r="H86" s="1">
        <v>17.4</v>
      </c>
      <c r="I86">
        <f t="shared" si="1"/>
        <v>95.43</v>
      </c>
      <c r="K86">
        <f t="shared" si="2"/>
        <v>40.00838311</v>
      </c>
      <c r="L86">
        <f t="shared" si="3"/>
        <v>1.498480562</v>
      </c>
      <c r="M86">
        <f t="shared" si="4"/>
        <v>15.76024311</v>
      </c>
      <c r="N86">
        <f t="shared" si="5"/>
        <v>24.49963324</v>
      </c>
      <c r="O86">
        <f t="shared" ref="O86:O87" si="19">DIVIDE(100*H86,I86)</f>
        <v>18.23325998</v>
      </c>
      <c r="Q86" s="5">
        <f t="shared" si="7"/>
        <v>60.51294142</v>
      </c>
      <c r="R86" s="48">
        <f t="shared" si="16"/>
        <v>37.75542282</v>
      </c>
      <c r="S86" s="48">
        <f t="shared" si="9"/>
        <v>52.64067903</v>
      </c>
      <c r="T86">
        <f t="shared" si="14"/>
        <v>49.56774599</v>
      </c>
      <c r="U86">
        <f t="shared" ref="U86:U87" si="20">O86+0.75*M86+0.5*L86+0.25*N86</f>
        <v>36.9275909</v>
      </c>
      <c r="V86" s="1"/>
      <c r="W86" s="65"/>
    </row>
    <row r="87">
      <c r="A87" s="1" t="s">
        <v>738</v>
      </c>
      <c r="B87" s="14">
        <v>1007143.0</v>
      </c>
      <c r="D87" s="1">
        <v>36.45</v>
      </c>
      <c r="E87" s="1">
        <v>4.25</v>
      </c>
      <c r="F87" s="6">
        <v>21.93</v>
      </c>
      <c r="G87" s="6">
        <v>17.87</v>
      </c>
      <c r="H87" s="1">
        <f>SUM(6.47,4.32,1.95,2.07)
</f>
        <v>14.81</v>
      </c>
      <c r="I87">
        <f t="shared" si="1"/>
        <v>95.31</v>
      </c>
      <c r="K87">
        <f t="shared" si="2"/>
        <v>38.24362606</v>
      </c>
      <c r="L87">
        <f t="shared" si="3"/>
        <v>4.459133354</v>
      </c>
      <c r="M87">
        <f t="shared" si="4"/>
        <v>23.00912811</v>
      </c>
      <c r="N87">
        <f t="shared" si="5"/>
        <v>18.74934425</v>
      </c>
      <c r="O87">
        <f t="shared" si="19"/>
        <v>15.53876823</v>
      </c>
      <c r="Q87" s="5">
        <f t="shared" si="7"/>
        <v>60.23764558</v>
      </c>
      <c r="R87" s="48">
        <f t="shared" si="16"/>
        <v>39.58661211</v>
      </c>
      <c r="S87" s="48">
        <f t="shared" si="9"/>
        <v>58.60875039</v>
      </c>
      <c r="T87">
        <f t="shared" si="14"/>
        <v>46.96778932</v>
      </c>
      <c r="U87">
        <f t="shared" si="20"/>
        <v>39.71251705</v>
      </c>
      <c r="V87" s="1"/>
      <c r="W87" s="65"/>
    </row>
    <row r="88">
      <c r="A88" s="1" t="s">
        <v>739</v>
      </c>
      <c r="B88" s="14">
        <v>997902.0</v>
      </c>
      <c r="D88" s="6">
        <v>43.91</v>
      </c>
      <c r="E88" s="1">
        <v>3.64</v>
      </c>
      <c r="F88" s="6">
        <v>26.66</v>
      </c>
      <c r="G88" s="1">
        <v>19.18</v>
      </c>
      <c r="H88" s="1">
        <v>1.88</v>
      </c>
      <c r="I88">
        <f t="shared" si="1"/>
        <v>95.27</v>
      </c>
      <c r="K88">
        <f t="shared" si="2"/>
        <v>46.09005983</v>
      </c>
      <c r="L88">
        <f t="shared" si="3"/>
        <v>3.820720059</v>
      </c>
      <c r="M88">
        <f t="shared" si="4"/>
        <v>27.98362549</v>
      </c>
      <c r="N88">
        <f t="shared" si="5"/>
        <v>20.13225569</v>
      </c>
      <c r="O88" s="1">
        <v>0.0</v>
      </c>
      <c r="Q88" s="5">
        <f t="shared" si="7"/>
        <v>71.10318043</v>
      </c>
      <c r="R88" s="48">
        <f t="shared" si="16"/>
        <v>44.43423953</v>
      </c>
      <c r="S88" s="48">
        <f t="shared" si="9"/>
        <v>69.49459431</v>
      </c>
      <c r="T88">
        <f t="shared" si="14"/>
        <v>53.03873202</v>
      </c>
      <c r="U88" s="1">
        <v>0.0</v>
      </c>
      <c r="V88" s="1"/>
      <c r="W88" s="65"/>
    </row>
    <row r="89">
      <c r="A89" s="1" t="s">
        <v>740</v>
      </c>
      <c r="B89" s="1">
        <v>986673.0</v>
      </c>
      <c r="D89" s="6">
        <v>31.11</v>
      </c>
      <c r="E89" s="1">
        <v>1.92</v>
      </c>
      <c r="F89" s="1">
        <v>24.49</v>
      </c>
      <c r="G89" s="6">
        <v>27.82</v>
      </c>
      <c r="H89" s="1">
        <f>SUM(6.03,3.46)</f>
        <v>9.49</v>
      </c>
      <c r="I89">
        <f t="shared" si="1"/>
        <v>94.83</v>
      </c>
      <c r="K89">
        <f t="shared" si="2"/>
        <v>32.80607403</v>
      </c>
      <c r="L89">
        <f t="shared" si="3"/>
        <v>2.024675736</v>
      </c>
      <c r="M89">
        <f t="shared" si="4"/>
        <v>25.82516081</v>
      </c>
      <c r="N89">
        <f t="shared" si="5"/>
        <v>29.33670779</v>
      </c>
      <c r="O89" s="1">
        <v>0.0</v>
      </c>
      <c r="Q89" s="5">
        <f t="shared" si="7"/>
        <v>60.89317726</v>
      </c>
      <c r="R89" s="48">
        <f t="shared" si="16"/>
        <v>45.14130549</v>
      </c>
      <c r="S89" s="48">
        <f t="shared" si="9"/>
        <v>58.77623115</v>
      </c>
      <c r="T89">
        <f t="shared" si="14"/>
        <v>53.71454181</v>
      </c>
      <c r="U89" s="1">
        <v>0.0</v>
      </c>
      <c r="V89" s="1"/>
      <c r="W89" s="65"/>
    </row>
    <row r="90">
      <c r="A90" s="1" t="s">
        <v>741</v>
      </c>
      <c r="B90" s="14">
        <v>980572.0</v>
      </c>
      <c r="D90" s="6">
        <v>42.23</v>
      </c>
      <c r="E90" s="1">
        <v>2.77</v>
      </c>
      <c r="F90" s="6">
        <v>26.25</v>
      </c>
      <c r="G90" s="1">
        <v>20.82</v>
      </c>
      <c r="H90" s="1">
        <v>0.0</v>
      </c>
      <c r="I90">
        <f t="shared" si="1"/>
        <v>92.07</v>
      </c>
      <c r="K90">
        <f t="shared" si="2"/>
        <v>45.8672749</v>
      </c>
      <c r="L90">
        <f t="shared" si="3"/>
        <v>3.008580428</v>
      </c>
      <c r="M90">
        <f t="shared" si="4"/>
        <v>28.51091561</v>
      </c>
      <c r="N90">
        <f t="shared" si="5"/>
        <v>22.61322906</v>
      </c>
      <c r="O90">
        <f t="shared" ref="O90:O91" si="21">DIVIDE(100*H90,I90)</f>
        <v>0</v>
      </c>
      <c r="Q90" s="5">
        <f t="shared" si="7"/>
        <v>72.18149234</v>
      </c>
      <c r="R90" s="48">
        <f t="shared" si="16"/>
        <v>45.69077876</v>
      </c>
      <c r="S90" s="48">
        <f t="shared" si="9"/>
        <v>70.06896926</v>
      </c>
      <c r="T90">
        <f t="shared" si="14"/>
        <v>54.93103074</v>
      </c>
      <c r="U90" s="1">
        <v>0.0</v>
      </c>
      <c r="V90" s="1"/>
      <c r="W90" s="65"/>
    </row>
    <row r="91">
      <c r="A91" s="1" t="s">
        <v>742</v>
      </c>
      <c r="B91" s="14">
        <v>1030685.0</v>
      </c>
      <c r="D91" s="6">
        <v>56.37</v>
      </c>
      <c r="E91" s="1">
        <v>7.34</v>
      </c>
      <c r="F91" s="6">
        <v>5.88</v>
      </c>
      <c r="G91" s="1">
        <v>4.39</v>
      </c>
      <c r="H91" s="1">
        <v>20.3</v>
      </c>
      <c r="I91">
        <f t="shared" si="1"/>
        <v>94.28</v>
      </c>
      <c r="K91">
        <f t="shared" si="2"/>
        <v>59.78998727</v>
      </c>
      <c r="L91">
        <f t="shared" si="3"/>
        <v>7.785320322</v>
      </c>
      <c r="M91">
        <f t="shared" si="4"/>
        <v>6.236741621</v>
      </c>
      <c r="N91">
        <f t="shared" si="5"/>
        <v>4.656342809</v>
      </c>
      <c r="O91">
        <f t="shared" si="21"/>
        <v>21.53160798</v>
      </c>
      <c r="Q91" s="5">
        <f t="shared" si="7"/>
        <v>67.18285957</v>
      </c>
      <c r="R91" s="48">
        <f t="shared" si="16"/>
        <v>29.34344506</v>
      </c>
      <c r="S91" s="48">
        <f t="shared" si="9"/>
        <v>56.13597794</v>
      </c>
      <c r="T91">
        <f t="shared" si="14"/>
        <v>41.94951209</v>
      </c>
      <c r="U91">
        <f>O91+0.75*M91+0.5*L91+0.25*N91</f>
        <v>31.26591006</v>
      </c>
      <c r="V91" s="1"/>
      <c r="W91" s="65"/>
    </row>
    <row r="92">
      <c r="A92" s="1" t="s">
        <v>743</v>
      </c>
      <c r="B92" s="14">
        <v>981866.0</v>
      </c>
      <c r="D92" s="1">
        <v>41.1</v>
      </c>
      <c r="E92" s="1">
        <v>2.3</v>
      </c>
      <c r="F92" s="1">
        <v>25.0</v>
      </c>
      <c r="G92" s="6">
        <v>24.3</v>
      </c>
      <c r="H92" s="1">
        <v>2.75</v>
      </c>
      <c r="I92">
        <f t="shared" si="1"/>
        <v>95.45</v>
      </c>
      <c r="K92">
        <f t="shared" si="2"/>
        <v>43.05919329</v>
      </c>
      <c r="L92">
        <f t="shared" si="3"/>
        <v>2.409638554</v>
      </c>
      <c r="M92">
        <f t="shared" si="4"/>
        <v>26.19172342</v>
      </c>
      <c r="N92">
        <f t="shared" si="5"/>
        <v>25.45835516</v>
      </c>
      <c r="O92" s="1">
        <v>0.0</v>
      </c>
      <c r="Q92" s="5">
        <f t="shared" si="7"/>
        <v>69.48664222</v>
      </c>
      <c r="R92" s="48">
        <f t="shared" si="16"/>
        <v>45.36406496</v>
      </c>
      <c r="S92" s="48">
        <f t="shared" si="9"/>
        <v>66.05552645</v>
      </c>
      <c r="T92">
        <f t="shared" si="14"/>
        <v>55.34311158</v>
      </c>
      <c r="U92" s="1">
        <v>0.0</v>
      </c>
      <c r="V92" s="1"/>
      <c r="W92" s="65"/>
    </row>
    <row r="93">
      <c r="A93" s="1" t="s">
        <v>744</v>
      </c>
      <c r="B93" s="14">
        <v>1007627.0</v>
      </c>
      <c r="D93" s="6">
        <v>43.32</v>
      </c>
      <c r="E93" s="6">
        <v>15.15</v>
      </c>
      <c r="F93" s="1">
        <v>21.58</v>
      </c>
      <c r="G93" s="1">
        <v>10.8</v>
      </c>
      <c r="H93" s="1">
        <v>1.12</v>
      </c>
      <c r="I93">
        <f t="shared" si="1"/>
        <v>91.97</v>
      </c>
      <c r="K93">
        <f t="shared" si="2"/>
        <v>47.10231597</v>
      </c>
      <c r="L93">
        <f t="shared" si="3"/>
        <v>16.47276286</v>
      </c>
      <c r="M93">
        <f t="shared" si="4"/>
        <v>23.4641731</v>
      </c>
      <c r="N93">
        <f t="shared" si="5"/>
        <v>11.74295966</v>
      </c>
      <c r="O93" s="1">
        <v>0.0</v>
      </c>
      <c r="Q93">
        <f t="shared" si="7"/>
        <v>68.82407307</v>
      </c>
      <c r="R93" s="48">
        <f t="shared" si="16"/>
        <v>48.78764815</v>
      </c>
      <c r="S93" s="50">
        <f t="shared" si="9"/>
        <v>69.96303142</v>
      </c>
      <c r="T93">
        <f t="shared" si="14"/>
        <v>53.51473307</v>
      </c>
      <c r="U93" s="1">
        <v>0.0</v>
      </c>
      <c r="V93" s="1"/>
      <c r="W93" s="65"/>
    </row>
    <row r="94">
      <c r="A94" s="1" t="s">
        <v>745</v>
      </c>
      <c r="B94" s="1">
        <v>885873.0</v>
      </c>
      <c r="D94" s="1">
        <v>42.69</v>
      </c>
      <c r="E94" s="1">
        <v>9.73</v>
      </c>
      <c r="F94" s="6">
        <v>21.19</v>
      </c>
      <c r="G94" s="6">
        <v>15.35</v>
      </c>
      <c r="H94" s="1">
        <v>2.75</v>
      </c>
      <c r="I94">
        <f t="shared" si="1"/>
        <v>91.71</v>
      </c>
      <c r="K94">
        <f t="shared" si="2"/>
        <v>46.54890415</v>
      </c>
      <c r="L94">
        <f t="shared" si="3"/>
        <v>10.60953004</v>
      </c>
      <c r="M94">
        <f t="shared" si="4"/>
        <v>23.10544106</v>
      </c>
      <c r="N94">
        <f t="shared" si="5"/>
        <v>16.73754225</v>
      </c>
      <c r="O94" s="1">
        <v>0.0</v>
      </c>
      <c r="Q94" s="5">
        <f t="shared" si="7"/>
        <v>69.12277832</v>
      </c>
      <c r="R94" s="48">
        <f t="shared" si="16"/>
        <v>46.3526333</v>
      </c>
      <c r="S94" s="48">
        <f t="shared" si="9"/>
        <v>67.50626976</v>
      </c>
      <c r="T94">
        <f t="shared" si="14"/>
        <v>53.74550213</v>
      </c>
      <c r="U94" s="1">
        <v>0.0</v>
      </c>
      <c r="V94" s="1"/>
      <c r="W94" s="65"/>
    </row>
    <row r="95">
      <c r="U95" s="1"/>
      <c r="V95" s="1"/>
      <c r="W95" s="65"/>
    </row>
    <row r="98">
      <c r="T98" s="12"/>
      <c r="U98" s="12"/>
      <c r="V98" s="12"/>
      <c r="W98" s="12"/>
    </row>
    <row r="99">
      <c r="T99" s="10"/>
      <c r="U99" s="10"/>
      <c r="V99" s="10"/>
      <c r="W99" s="12"/>
    </row>
    <row r="100">
      <c r="T100" s="12"/>
      <c r="U100" s="12"/>
      <c r="V100" s="12"/>
      <c r="W100" s="12"/>
    </row>
    <row r="101">
      <c r="T101" s="21"/>
      <c r="U101" s="21"/>
      <c r="V101" s="21"/>
      <c r="W101" s="12"/>
    </row>
    <row r="102">
      <c r="T102" s="21"/>
      <c r="U102" s="21"/>
      <c r="V102" s="21"/>
      <c r="W102" s="12"/>
    </row>
    <row r="103">
      <c r="T103" s="21"/>
      <c r="U103" s="21"/>
      <c r="V103" s="21"/>
      <c r="W103" s="12"/>
    </row>
    <row r="104">
      <c r="T104" s="21"/>
      <c r="U104" s="21"/>
      <c r="V104" s="21"/>
      <c r="W104" s="12"/>
    </row>
    <row r="105">
      <c r="T105" s="21"/>
      <c r="U105" s="21"/>
      <c r="V105" s="21"/>
      <c r="W105" s="12"/>
    </row>
    <row r="106">
      <c r="T106" s="21"/>
      <c r="U106" s="21"/>
      <c r="V106" s="21"/>
      <c r="W106" s="12"/>
    </row>
    <row r="107">
      <c r="T107" s="21"/>
      <c r="U107" s="21"/>
      <c r="V107" s="21"/>
      <c r="W107" s="12"/>
    </row>
    <row r="108">
      <c r="T108" s="21"/>
      <c r="U108" s="21"/>
      <c r="V108" s="21"/>
      <c r="W108" s="12"/>
    </row>
    <row r="109">
      <c r="T109" s="21"/>
      <c r="U109" s="21"/>
      <c r="V109" s="21"/>
      <c r="W109" s="12"/>
    </row>
    <row r="110">
      <c r="T110" s="21"/>
      <c r="U110" s="21"/>
      <c r="V110" s="21"/>
      <c r="W110" s="12"/>
    </row>
    <row r="111">
      <c r="T111" s="21"/>
      <c r="U111" s="21"/>
      <c r="V111" s="21"/>
      <c r="W111" s="12"/>
    </row>
    <row r="112">
      <c r="T112" s="21"/>
      <c r="U112" s="21"/>
      <c r="V112" s="21"/>
      <c r="W112" s="12"/>
    </row>
    <row r="113">
      <c r="T113" s="21"/>
      <c r="U113" s="21"/>
      <c r="V113" s="21"/>
      <c r="W113" s="12"/>
    </row>
    <row r="114">
      <c r="T114" s="21"/>
      <c r="U114" s="21"/>
      <c r="V114" s="21"/>
      <c r="W114" s="12"/>
    </row>
    <row r="115">
      <c r="T115" s="21"/>
      <c r="U115" s="21"/>
      <c r="V115" s="21"/>
      <c r="W115" s="12"/>
    </row>
    <row r="116">
      <c r="T116" s="21"/>
      <c r="U116" s="21"/>
      <c r="V116" s="21"/>
      <c r="W116" s="12"/>
    </row>
    <row r="117">
      <c r="T117" s="21"/>
      <c r="U117" s="21"/>
      <c r="V117" s="21"/>
      <c r="W117" s="12"/>
    </row>
    <row r="118">
      <c r="T118" s="21"/>
      <c r="U118" s="21"/>
      <c r="V118" s="21"/>
      <c r="W118" s="12"/>
    </row>
    <row r="119">
      <c r="T119" s="21"/>
      <c r="U119" s="21"/>
      <c r="V119" s="21"/>
      <c r="W119" s="12"/>
    </row>
    <row r="120">
      <c r="T120" s="21"/>
      <c r="U120" s="21"/>
      <c r="V120" s="21"/>
      <c r="W120" s="12"/>
    </row>
    <row r="121">
      <c r="T121" s="21"/>
      <c r="U121" s="21"/>
      <c r="V121" s="21"/>
      <c r="W121" s="12"/>
    </row>
    <row r="122">
      <c r="T122" s="21"/>
      <c r="U122" s="21"/>
      <c r="V122" s="21"/>
      <c r="W122" s="12"/>
    </row>
    <row r="123">
      <c r="T123" s="21"/>
      <c r="U123" s="21"/>
      <c r="V123" s="21"/>
      <c r="W123" s="12"/>
    </row>
    <row r="124">
      <c r="T124" s="21"/>
      <c r="U124" s="21"/>
      <c r="V124" s="21"/>
      <c r="W124" s="12"/>
    </row>
    <row r="125">
      <c r="T125" s="21"/>
      <c r="U125" s="21"/>
      <c r="V125" s="21"/>
      <c r="W125" s="12"/>
    </row>
    <row r="126">
      <c r="T126" s="21"/>
      <c r="U126" s="21"/>
      <c r="V126" s="21"/>
      <c r="W126" s="12"/>
    </row>
    <row r="127">
      <c r="T127" s="21"/>
      <c r="U127" s="21"/>
      <c r="V127" s="21"/>
      <c r="W127" s="12"/>
    </row>
    <row r="128">
      <c r="T128" s="21"/>
      <c r="U128" s="21"/>
      <c r="V128" s="21"/>
      <c r="W128" s="12"/>
    </row>
    <row r="129">
      <c r="T129" s="21"/>
      <c r="U129" s="21"/>
      <c r="V129" s="21"/>
      <c r="W129" s="12"/>
    </row>
    <row r="130">
      <c r="T130" s="21"/>
      <c r="U130" s="21"/>
      <c r="V130" s="21"/>
      <c r="W130" s="12"/>
    </row>
    <row r="131">
      <c r="T131" s="21"/>
      <c r="U131" s="21"/>
      <c r="V131" s="21"/>
      <c r="W131" s="12"/>
    </row>
    <row r="132">
      <c r="T132" s="21"/>
      <c r="U132" s="21"/>
      <c r="V132" s="21"/>
      <c r="W132" s="12"/>
    </row>
    <row r="133">
      <c r="T133" s="21"/>
      <c r="U133" s="21"/>
      <c r="V133" s="21"/>
      <c r="W133" s="12"/>
    </row>
    <row r="134">
      <c r="T134" s="21"/>
      <c r="U134" s="21"/>
      <c r="V134" s="21"/>
      <c r="W134" s="12"/>
    </row>
    <row r="135">
      <c r="T135" s="21"/>
      <c r="U135" s="21"/>
      <c r="V135" s="21"/>
      <c r="W135" s="12"/>
    </row>
    <row r="136">
      <c r="T136" s="21"/>
      <c r="U136" s="21"/>
      <c r="V136" s="21"/>
      <c r="W136" s="12"/>
    </row>
    <row r="137">
      <c r="T137" s="21"/>
      <c r="U137" s="21"/>
      <c r="V137" s="21"/>
      <c r="W137" s="12"/>
    </row>
    <row r="138">
      <c r="T138" s="21"/>
      <c r="U138" s="21"/>
      <c r="V138" s="21"/>
      <c r="W138" s="12"/>
    </row>
    <row r="139">
      <c r="T139" s="21"/>
      <c r="U139" s="21"/>
      <c r="V139" s="21"/>
      <c r="W139" s="12"/>
    </row>
    <row r="140">
      <c r="T140" s="21"/>
      <c r="U140" s="21"/>
      <c r="V140" s="21"/>
      <c r="W140" s="12"/>
    </row>
    <row r="141">
      <c r="T141" s="21"/>
      <c r="U141" s="21"/>
      <c r="V141" s="21"/>
      <c r="W141" s="12"/>
    </row>
    <row r="142">
      <c r="T142" s="21"/>
      <c r="U142" s="21"/>
      <c r="V142" s="21"/>
      <c r="W142" s="12"/>
    </row>
    <row r="143">
      <c r="T143" s="21"/>
      <c r="U143" s="21"/>
      <c r="V143" s="21"/>
      <c r="W143" s="12"/>
    </row>
    <row r="144">
      <c r="T144" s="21"/>
      <c r="U144" s="21"/>
      <c r="V144" s="21"/>
      <c r="W144" s="12"/>
    </row>
    <row r="145">
      <c r="T145" s="21"/>
      <c r="U145" s="21"/>
      <c r="V145" s="21"/>
      <c r="W145" s="12"/>
    </row>
    <row r="146">
      <c r="T146" s="21"/>
      <c r="U146" s="21"/>
      <c r="V146" s="21"/>
      <c r="W146" s="12"/>
    </row>
    <row r="147">
      <c r="T147" s="21"/>
      <c r="U147" s="21"/>
      <c r="V147" s="21"/>
      <c r="W147" s="12"/>
    </row>
    <row r="148">
      <c r="T148" s="21"/>
      <c r="U148" s="21"/>
      <c r="V148" s="21"/>
      <c r="W148" s="12"/>
    </row>
    <row r="149">
      <c r="T149" s="21"/>
      <c r="U149" s="21"/>
      <c r="V149" s="21"/>
      <c r="W149" s="12"/>
    </row>
    <row r="150">
      <c r="T150" s="21"/>
      <c r="U150" s="21"/>
      <c r="V150" s="21"/>
      <c r="W150" s="12"/>
    </row>
    <row r="151">
      <c r="T151" s="21"/>
      <c r="U151" s="21"/>
      <c r="V151" s="21"/>
      <c r="W151" s="12"/>
    </row>
    <row r="152">
      <c r="T152" s="21"/>
      <c r="U152" s="21"/>
      <c r="V152" s="21"/>
      <c r="W152" s="12"/>
    </row>
    <row r="153">
      <c r="T153" s="21"/>
      <c r="U153" s="21"/>
      <c r="V153" s="21"/>
      <c r="W153" s="12"/>
    </row>
    <row r="154">
      <c r="T154" s="21"/>
      <c r="U154" s="21"/>
      <c r="V154" s="21"/>
      <c r="W154" s="12"/>
    </row>
    <row r="155">
      <c r="T155" s="12"/>
      <c r="U155" s="12"/>
      <c r="V155" s="12"/>
      <c r="W155" s="12"/>
    </row>
    <row r="156">
      <c r="T156" s="12"/>
      <c r="U156" s="12"/>
      <c r="V156" s="12"/>
      <c r="W156" s="12"/>
    </row>
    <row r="157">
      <c r="T157" s="12"/>
      <c r="U157" s="12"/>
      <c r="V157" s="12"/>
      <c r="W157" s="12"/>
    </row>
    <row r="158">
      <c r="T158" s="12"/>
      <c r="U158" s="12"/>
      <c r="V158" s="12"/>
      <c r="W158" s="12"/>
    </row>
    <row r="159">
      <c r="T159" s="12"/>
      <c r="U159" s="12"/>
      <c r="V159" s="12"/>
      <c r="W159" s="12"/>
    </row>
    <row r="160">
      <c r="T160" s="12"/>
      <c r="U160" s="12"/>
      <c r="V160" s="12"/>
      <c r="W160" s="12"/>
    </row>
    <row r="161">
      <c r="T161" s="12"/>
      <c r="U161" s="12"/>
      <c r="V161" s="12"/>
      <c r="W161" s="12"/>
    </row>
    <row r="162">
      <c r="T162" s="12"/>
      <c r="U162" s="12"/>
      <c r="V162" s="12"/>
      <c r="W162" s="12"/>
    </row>
    <row r="163">
      <c r="T163" s="12"/>
      <c r="U163" s="12"/>
      <c r="V163" s="12"/>
      <c r="W163" s="12"/>
    </row>
    <row r="164">
      <c r="T164" s="12"/>
      <c r="U164" s="12"/>
      <c r="V164" s="12"/>
      <c r="W164" s="12"/>
    </row>
    <row r="165">
      <c r="T165" s="12"/>
      <c r="U165" s="12"/>
      <c r="V165" s="12"/>
      <c r="W165" s="12"/>
    </row>
    <row r="166">
      <c r="T166" s="12"/>
      <c r="U166" s="12"/>
      <c r="V166" s="12"/>
      <c r="W166" s="12"/>
    </row>
    <row r="167">
      <c r="T167" s="12"/>
      <c r="U167" s="12"/>
      <c r="V167" s="12"/>
      <c r="W167" s="12"/>
    </row>
    <row r="168">
      <c r="T168" s="12"/>
      <c r="U168" s="12"/>
      <c r="V168" s="12"/>
      <c r="W168" s="12"/>
    </row>
    <row r="169">
      <c r="T169" s="12"/>
      <c r="U169" s="12"/>
      <c r="V169" s="12"/>
      <c r="W169" s="12"/>
    </row>
    <row r="170">
      <c r="T170" s="12"/>
      <c r="U170" s="12"/>
      <c r="V170" s="12"/>
      <c r="W170" s="12"/>
    </row>
    <row r="171">
      <c r="T171" s="12"/>
      <c r="U171" s="12"/>
      <c r="V171" s="12"/>
      <c r="W171" s="12"/>
    </row>
    <row r="172">
      <c r="T172" s="12"/>
      <c r="U172" s="12"/>
      <c r="V172" s="12"/>
      <c r="W172" s="12"/>
    </row>
    <row r="173">
      <c r="T173" s="12"/>
      <c r="U173" s="12"/>
      <c r="V173" s="12"/>
      <c r="W173" s="12"/>
    </row>
    <row r="174">
      <c r="T174" s="12"/>
      <c r="U174" s="12"/>
      <c r="V174" s="12"/>
      <c r="W174" s="12"/>
    </row>
    <row r="175">
      <c r="T175" s="12"/>
      <c r="U175" s="12"/>
      <c r="V175" s="12"/>
      <c r="W175" s="12"/>
    </row>
    <row r="176">
      <c r="T176" s="12"/>
      <c r="U176" s="12"/>
      <c r="V176" s="12"/>
      <c r="W176" s="12"/>
    </row>
    <row r="177">
      <c r="T177" s="12"/>
      <c r="U177" s="12"/>
      <c r="V177" s="12"/>
      <c r="W177" s="12"/>
    </row>
    <row r="178">
      <c r="T178" s="12"/>
      <c r="U178" s="12"/>
      <c r="V178" s="12"/>
      <c r="W178" s="12"/>
    </row>
    <row r="179">
      <c r="T179" s="12"/>
      <c r="U179" s="12"/>
      <c r="V179" s="12"/>
      <c r="W179" s="12"/>
    </row>
    <row r="180">
      <c r="T180" s="12"/>
      <c r="U180" s="12"/>
      <c r="V180" s="12"/>
      <c r="W180" s="12"/>
    </row>
  </sheetData>
  <mergeCells count="3">
    <mergeCell ref="D12:F12"/>
    <mergeCell ref="K12:M12"/>
    <mergeCell ref="Q12:U1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0</v>
      </c>
      <c r="B2" s="1" t="s">
        <v>1</v>
      </c>
      <c r="C2" s="1" t="s">
        <v>17</v>
      </c>
      <c r="D2" s="1" t="s">
        <v>18</v>
      </c>
      <c r="J2" s="1" t="s">
        <v>3</v>
      </c>
      <c r="K2" s="1" t="s">
        <v>5</v>
      </c>
      <c r="L2" s="1" t="s">
        <v>164</v>
      </c>
    </row>
    <row r="3">
      <c r="A3" s="1" t="s">
        <v>3</v>
      </c>
      <c r="B3" s="1" t="s">
        <v>4</v>
      </c>
      <c r="C3" s="1">
        <v>5.0</v>
      </c>
      <c r="D3" s="1">
        <v>4.0</v>
      </c>
      <c r="I3" s="1" t="s">
        <v>3</v>
      </c>
      <c r="J3" s="1">
        <v>1.0</v>
      </c>
      <c r="K3" s="1">
        <v>3.0</v>
      </c>
      <c r="L3" s="1">
        <v>2.0</v>
      </c>
    </row>
    <row r="4">
      <c r="A4" s="1" t="s">
        <v>5</v>
      </c>
      <c r="B4" s="1" t="s">
        <v>6</v>
      </c>
      <c r="C4" s="1">
        <v>0.0</v>
      </c>
      <c r="D4" s="1">
        <v>0.0</v>
      </c>
      <c r="I4" s="1" t="s">
        <v>5</v>
      </c>
      <c r="J4" s="1">
        <v>3.0</v>
      </c>
      <c r="K4" s="1">
        <v>1.0</v>
      </c>
      <c r="L4" s="1">
        <v>2.0</v>
      </c>
    </row>
    <row r="5">
      <c r="A5" s="1" t="s">
        <v>164</v>
      </c>
      <c r="C5" s="1">
        <v>0.0</v>
      </c>
      <c r="D5" s="1">
        <v>1.0</v>
      </c>
      <c r="I5" s="1" t="s">
        <v>164</v>
      </c>
      <c r="J5" s="1">
        <v>3.0</v>
      </c>
      <c r="K5" s="1">
        <v>2.0</v>
      </c>
      <c r="L5" s="1">
        <v>1.0</v>
      </c>
    </row>
    <row r="6">
      <c r="A6" s="1"/>
    </row>
    <row r="8">
      <c r="A8" s="1" t="s">
        <v>8</v>
      </c>
      <c r="B8" s="1" t="s">
        <v>224</v>
      </c>
      <c r="C8" s="1"/>
      <c r="D8" s="1" t="s">
        <v>9</v>
      </c>
      <c r="G8" s="1"/>
      <c r="H8" s="1"/>
      <c r="I8" s="1" t="s">
        <v>11</v>
      </c>
      <c r="M8" s="1" t="s">
        <v>12</v>
      </c>
    </row>
    <row r="9">
      <c r="B9" s="1"/>
      <c r="C9" s="1"/>
      <c r="D9" s="1" t="s">
        <v>3</v>
      </c>
      <c r="E9" s="1" t="s">
        <v>13</v>
      </c>
      <c r="F9" s="1" t="s">
        <v>164</v>
      </c>
      <c r="G9" s="1" t="s">
        <v>45</v>
      </c>
      <c r="H9" s="1"/>
      <c r="I9" s="1" t="s">
        <v>3</v>
      </c>
      <c r="J9" s="1" t="s">
        <v>5</v>
      </c>
      <c r="K9" s="1" t="s">
        <v>164</v>
      </c>
      <c r="M9" s="1" t="s">
        <v>3</v>
      </c>
      <c r="N9" s="1" t="s">
        <v>5</v>
      </c>
      <c r="O9" s="1" t="s">
        <v>164</v>
      </c>
    </row>
    <row r="10">
      <c r="B10" s="1"/>
      <c r="C10" s="1"/>
      <c r="D10" s="1"/>
    </row>
    <row r="11">
      <c r="A11" s="1" t="s">
        <v>595</v>
      </c>
      <c r="B11" s="1">
        <v>776214.0</v>
      </c>
      <c r="C11" s="1"/>
      <c r="D11" s="1">
        <v>57.5</v>
      </c>
      <c r="E11" s="1">
        <v>32.72</v>
      </c>
      <c r="F11" s="1">
        <v>1.49</v>
      </c>
      <c r="G11">
        <f t="shared" ref="G11:G15" si="1">SUM(D11,E11,F11)</f>
        <v>91.71</v>
      </c>
      <c r="H11" s="1"/>
      <c r="I11">
        <f t="shared" ref="I11:I15" si="2">DIVIDE(100*D11,G11)</f>
        <v>62.69763385</v>
      </c>
      <c r="J11">
        <f t="shared" ref="J11:J15" si="3">DIVIDE(100*E11,G11)</f>
        <v>35.67767964</v>
      </c>
      <c r="K11">
        <f t="shared" ref="K11:K15" si="4">DIVIDE(100*F11,G11)</f>
        <v>1.624686512</v>
      </c>
      <c r="M11" s="5">
        <f t="shared" ref="M11:M15" si="5">1*I11 + 0.33*J11 + 0.33*K11</f>
        <v>75.00741468</v>
      </c>
      <c r="N11" s="48">
        <f t="shared" ref="N11:N15" si="6">0.33*I11 + 1*J11 + 0.66*K11</f>
        <v>57.44019191</v>
      </c>
      <c r="O11" s="48">
        <f t="shared" ref="O11:O15" si="7">0.66*I11 + 0.66*J11 + 1*K11</f>
        <v>66.55239341</v>
      </c>
    </row>
    <row r="12">
      <c r="A12" s="1" t="s">
        <v>615</v>
      </c>
      <c r="B12" s="1">
        <v>682024.0</v>
      </c>
      <c r="C12" s="1"/>
      <c r="D12" s="1">
        <v>59.31</v>
      </c>
      <c r="E12" s="1">
        <v>32.33</v>
      </c>
      <c r="F12" s="1">
        <v>1.35</v>
      </c>
      <c r="G12">
        <f t="shared" si="1"/>
        <v>92.99</v>
      </c>
      <c r="H12" s="1"/>
      <c r="I12">
        <f t="shared" si="2"/>
        <v>63.78105173</v>
      </c>
      <c r="J12">
        <f t="shared" si="3"/>
        <v>34.76717927</v>
      </c>
      <c r="K12">
        <f t="shared" si="4"/>
        <v>1.451769007</v>
      </c>
      <c r="M12" s="5">
        <f t="shared" si="5"/>
        <v>75.73330466</v>
      </c>
      <c r="N12" s="48">
        <f t="shared" si="6"/>
        <v>56.77309388</v>
      </c>
      <c r="O12" s="48">
        <f t="shared" si="7"/>
        <v>66.49360146</v>
      </c>
    </row>
    <row r="13">
      <c r="A13" s="1" t="s">
        <v>617</v>
      </c>
      <c r="B13" s="1">
        <v>656525.0</v>
      </c>
      <c r="D13" s="1">
        <v>53.0</v>
      </c>
      <c r="E13" s="1">
        <v>38.44</v>
      </c>
      <c r="F13" s="1">
        <v>2.15</v>
      </c>
      <c r="G13">
        <f t="shared" si="1"/>
        <v>93.59</v>
      </c>
      <c r="H13" s="1"/>
      <c r="I13">
        <f t="shared" si="2"/>
        <v>56.62998184</v>
      </c>
      <c r="J13">
        <f t="shared" si="3"/>
        <v>41.07276418</v>
      </c>
      <c r="K13">
        <f t="shared" si="4"/>
        <v>2.29725398</v>
      </c>
      <c r="M13" s="5">
        <f t="shared" si="5"/>
        <v>70.94208783</v>
      </c>
      <c r="N13" s="48">
        <f t="shared" si="6"/>
        <v>61.27684582</v>
      </c>
      <c r="O13" s="48">
        <f t="shared" si="7"/>
        <v>66.78106635</v>
      </c>
    </row>
    <row r="14">
      <c r="A14" s="1" t="s">
        <v>619</v>
      </c>
      <c r="B14" s="1">
        <v>1101435.0</v>
      </c>
      <c r="D14" s="1">
        <v>57.79</v>
      </c>
      <c r="E14" s="1">
        <v>31.95</v>
      </c>
      <c r="F14" s="1">
        <v>5.38</v>
      </c>
      <c r="G14">
        <f t="shared" si="1"/>
        <v>95.12</v>
      </c>
      <c r="H14" s="1"/>
      <c r="I14">
        <f t="shared" si="2"/>
        <v>60.754836</v>
      </c>
      <c r="J14">
        <f t="shared" si="3"/>
        <v>33.58915055</v>
      </c>
      <c r="K14">
        <f t="shared" si="4"/>
        <v>5.656013457</v>
      </c>
      <c r="M14" s="5">
        <f t="shared" si="5"/>
        <v>73.70574012</v>
      </c>
      <c r="N14" s="48">
        <f t="shared" si="6"/>
        <v>57.37121531</v>
      </c>
      <c r="O14" s="48">
        <f t="shared" si="7"/>
        <v>67.92304458</v>
      </c>
    </row>
    <row r="15">
      <c r="A15" s="1" t="s">
        <v>621</v>
      </c>
      <c r="B15" s="1">
        <v>1175692.0</v>
      </c>
      <c r="D15" s="1">
        <v>50.38</v>
      </c>
      <c r="E15" s="1">
        <v>35.25</v>
      </c>
      <c r="F15" s="1">
        <v>9.67</v>
      </c>
      <c r="G15">
        <f t="shared" si="1"/>
        <v>95.3</v>
      </c>
      <c r="H15" s="1"/>
      <c r="I15">
        <f t="shared" si="2"/>
        <v>52.86463799</v>
      </c>
      <c r="J15">
        <f t="shared" si="3"/>
        <v>36.9884575</v>
      </c>
      <c r="K15">
        <f t="shared" si="4"/>
        <v>10.14690451</v>
      </c>
      <c r="M15">
        <f t="shared" si="5"/>
        <v>68.41930745</v>
      </c>
      <c r="N15" s="48">
        <f t="shared" si="6"/>
        <v>61.13074502</v>
      </c>
      <c r="O15" s="50">
        <f t="shared" si="7"/>
        <v>69.44994753</v>
      </c>
    </row>
  </sheetData>
  <mergeCells count="3">
    <mergeCell ref="D8:F8"/>
    <mergeCell ref="I8:K8"/>
    <mergeCell ref="M8:Q8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O2" s="1" t="s">
        <v>3</v>
      </c>
      <c r="P2" s="1" t="s">
        <v>382</v>
      </c>
      <c r="Q2" s="1" t="s">
        <v>5</v>
      </c>
      <c r="R2" s="1" t="s">
        <v>609</v>
      </c>
    </row>
    <row r="3">
      <c r="A3" s="1" t="s">
        <v>3</v>
      </c>
      <c r="B3" s="1" t="s">
        <v>4</v>
      </c>
      <c r="C3" s="1">
        <v>0.0</v>
      </c>
      <c r="N3" s="1" t="s">
        <v>3</v>
      </c>
      <c r="O3" s="1">
        <v>1.0</v>
      </c>
      <c r="P3" s="1">
        <v>3.0</v>
      </c>
      <c r="Q3" s="1">
        <v>2.0</v>
      </c>
      <c r="R3" s="1">
        <v>4.0</v>
      </c>
    </row>
    <row r="4">
      <c r="A4" s="1" t="s">
        <v>609</v>
      </c>
      <c r="B4" s="1" t="s">
        <v>610</v>
      </c>
      <c r="C4" s="1">
        <v>0.0</v>
      </c>
      <c r="N4" s="1" t="s">
        <v>382</v>
      </c>
      <c r="O4" s="1">
        <v>3.0</v>
      </c>
      <c r="P4" s="1">
        <v>1.0</v>
      </c>
      <c r="Q4" s="1">
        <v>4.0</v>
      </c>
      <c r="R4" s="1">
        <v>2.0</v>
      </c>
    </row>
    <row r="5">
      <c r="A5" s="1" t="s">
        <v>5</v>
      </c>
      <c r="B5" s="1" t="s">
        <v>6</v>
      </c>
      <c r="C5" s="1">
        <v>0.0</v>
      </c>
      <c r="N5" s="1" t="s">
        <v>5</v>
      </c>
      <c r="O5" s="1">
        <v>3.0</v>
      </c>
      <c r="P5" s="1">
        <v>2.0</v>
      </c>
      <c r="Q5" s="1">
        <v>1.0</v>
      </c>
      <c r="R5" s="1">
        <v>4.0</v>
      </c>
    </row>
    <row r="6">
      <c r="A6" s="1" t="s">
        <v>382</v>
      </c>
      <c r="C6" s="1">
        <v>0.0</v>
      </c>
      <c r="N6" s="1" t="s">
        <v>609</v>
      </c>
      <c r="O6" s="1">
        <v>4.0</v>
      </c>
      <c r="P6" s="1">
        <v>2.0</v>
      </c>
      <c r="Q6" s="1">
        <v>3.0</v>
      </c>
      <c r="R6" s="1">
        <v>1.0</v>
      </c>
    </row>
    <row r="7">
      <c r="A7" s="1"/>
    </row>
    <row r="9">
      <c r="A9" s="1" t="s">
        <v>8</v>
      </c>
      <c r="B9" s="1" t="s">
        <v>41</v>
      </c>
      <c r="C9" s="1"/>
      <c r="D9" s="1" t="s">
        <v>9</v>
      </c>
      <c r="F9" s="1"/>
      <c r="G9" s="1"/>
      <c r="H9" s="1"/>
      <c r="I9" s="1"/>
      <c r="J9" s="1" t="s">
        <v>11</v>
      </c>
      <c r="L9" s="1"/>
      <c r="M9" s="1"/>
      <c r="N9" s="1"/>
      <c r="O9" s="1" t="s">
        <v>12</v>
      </c>
      <c r="R9" s="13"/>
      <c r="S9" s="13"/>
    </row>
    <row r="10">
      <c r="B10" s="1"/>
      <c r="C10" s="1"/>
      <c r="D10" s="1" t="s">
        <v>3</v>
      </c>
      <c r="E10" s="1" t="s">
        <v>382</v>
      </c>
      <c r="F10" s="1" t="s">
        <v>5</v>
      </c>
      <c r="G10" s="1" t="s">
        <v>609</v>
      </c>
      <c r="H10" s="1" t="s">
        <v>45</v>
      </c>
      <c r="I10" s="1"/>
      <c r="J10" s="1" t="s">
        <v>3</v>
      </c>
      <c r="K10" s="1" t="s">
        <v>382</v>
      </c>
      <c r="L10" s="1" t="s">
        <v>5</v>
      </c>
      <c r="M10" s="1" t="s">
        <v>609</v>
      </c>
      <c r="N10" s="1"/>
      <c r="O10" s="1" t="s">
        <v>3</v>
      </c>
      <c r="P10" s="1" t="s">
        <v>382</v>
      </c>
      <c r="Q10" s="1" t="s">
        <v>5</v>
      </c>
      <c r="R10" s="1" t="s">
        <v>609</v>
      </c>
      <c r="S10" s="12"/>
    </row>
    <row r="11">
      <c r="A11" s="1" t="s">
        <v>611</v>
      </c>
      <c r="B11" s="1">
        <v>1613403.0</v>
      </c>
      <c r="C11" s="1"/>
      <c r="D11" s="1">
        <v>16.33</v>
      </c>
      <c r="E11" s="1">
        <v>39.5</v>
      </c>
      <c r="F11" s="1">
        <v>5.59</v>
      </c>
      <c r="G11" s="1">
        <v>32.96</v>
      </c>
      <c r="H11">
        <f t="shared" ref="H11:H52" si="1">D11+E11+F11+G11</f>
        <v>94.38</v>
      </c>
      <c r="J11">
        <f t="shared" ref="J11:J52" si="2">100*D11/H11</f>
        <v>17.30239458</v>
      </c>
      <c r="K11">
        <f t="shared" ref="K11:K52" si="3">100*E11/H11</f>
        <v>41.85208731</v>
      </c>
      <c r="L11">
        <f t="shared" ref="L11:L52" si="4">100*F11/H11</f>
        <v>5.922865014</v>
      </c>
      <c r="M11">
        <f t="shared" ref="M11:M52" si="5">100*G11/H11</f>
        <v>34.9226531</v>
      </c>
      <c r="O11" s="21">
        <f t="shared" ref="O11:O52" si="6">J11+L11*0.5+K11*0.5+M11*0.25</f>
        <v>49.92053401</v>
      </c>
      <c r="P11" s="28">
        <f t="shared" ref="P11:P52" si="7">K11+M11*0.75+J11*0.5+L11*0.75</f>
        <v>81.13742318</v>
      </c>
      <c r="Q11" s="21">
        <f t="shared" ref="Q11:Q52" si="8">L11+K11*0.25+J11*0.75+M11*0.5</f>
        <v>46.82400932</v>
      </c>
      <c r="R11" s="21">
        <f t="shared" ref="R11:R52" si="9">M11+K11*0.75+L11*0.25+J11*0.25</f>
        <v>72.11803348</v>
      </c>
      <c r="S11" s="12"/>
    </row>
    <row r="12">
      <c r="A12" s="1" t="s">
        <v>612</v>
      </c>
      <c r="B12" s="1">
        <v>1470911.0</v>
      </c>
      <c r="C12" s="1"/>
      <c r="D12" s="6">
        <v>27.41</v>
      </c>
      <c r="E12" s="6">
        <v>29.58</v>
      </c>
      <c r="F12" s="6">
        <v>9.53</v>
      </c>
      <c r="G12" s="6">
        <v>27.84</v>
      </c>
      <c r="H12">
        <f t="shared" si="1"/>
        <v>94.36</v>
      </c>
      <c r="I12" s="6"/>
      <c r="J12">
        <f t="shared" si="2"/>
        <v>29.04832556</v>
      </c>
      <c r="K12">
        <f t="shared" si="3"/>
        <v>31.34802883</v>
      </c>
      <c r="L12">
        <f t="shared" si="4"/>
        <v>10.09961848</v>
      </c>
      <c r="M12">
        <f t="shared" si="5"/>
        <v>29.50402713</v>
      </c>
      <c r="O12" s="21">
        <f t="shared" si="6"/>
        <v>57.148156</v>
      </c>
      <c r="P12" s="28">
        <f t="shared" si="7"/>
        <v>75.57492582</v>
      </c>
      <c r="Q12" s="21">
        <f t="shared" si="8"/>
        <v>54.47488343</v>
      </c>
      <c r="R12" s="21">
        <f t="shared" si="9"/>
        <v>62.80203476</v>
      </c>
      <c r="S12" s="12"/>
    </row>
    <row r="13">
      <c r="A13" s="14" t="s">
        <v>613</v>
      </c>
      <c r="B13" s="1">
        <v>1531469.0</v>
      </c>
      <c r="C13" s="1"/>
      <c r="D13" s="6">
        <v>16.99</v>
      </c>
      <c r="E13" s="6">
        <v>37.93</v>
      </c>
      <c r="F13" s="1">
        <v>6.72</v>
      </c>
      <c r="G13" s="1">
        <v>32.6</v>
      </c>
      <c r="H13">
        <f t="shared" si="1"/>
        <v>94.24</v>
      </c>
      <c r="I13" s="6"/>
      <c r="J13">
        <f t="shared" si="2"/>
        <v>18.02843803</v>
      </c>
      <c r="K13">
        <f t="shared" si="3"/>
        <v>40.24830221</v>
      </c>
      <c r="L13">
        <f t="shared" si="4"/>
        <v>7.130730051</v>
      </c>
      <c r="M13">
        <f t="shared" si="5"/>
        <v>34.59252971</v>
      </c>
      <c r="O13" s="21">
        <f t="shared" si="6"/>
        <v>50.36608659</v>
      </c>
      <c r="P13" s="28">
        <f t="shared" si="7"/>
        <v>80.55496604</v>
      </c>
      <c r="Q13" s="21">
        <f t="shared" si="8"/>
        <v>48.01039898</v>
      </c>
      <c r="R13" s="21">
        <f t="shared" si="9"/>
        <v>71.06854839</v>
      </c>
      <c r="S13" s="12"/>
    </row>
    <row r="14">
      <c r="A14" s="1" t="s">
        <v>614</v>
      </c>
      <c r="B14" s="1">
        <v>1437154.0</v>
      </c>
      <c r="D14" s="6">
        <v>42.73</v>
      </c>
      <c r="E14" s="6">
        <v>25.47</v>
      </c>
      <c r="F14" s="6">
        <v>7.88</v>
      </c>
      <c r="G14" s="6">
        <v>14.63</v>
      </c>
      <c r="H14">
        <f t="shared" si="1"/>
        <v>90.71</v>
      </c>
      <c r="I14" s="6"/>
      <c r="J14">
        <f t="shared" si="2"/>
        <v>47.1061625</v>
      </c>
      <c r="K14">
        <f t="shared" si="3"/>
        <v>28.0784919</v>
      </c>
      <c r="L14">
        <f t="shared" si="4"/>
        <v>8.687024584</v>
      </c>
      <c r="M14">
        <f t="shared" si="5"/>
        <v>16.12832102</v>
      </c>
      <c r="O14" s="21">
        <f t="shared" si="6"/>
        <v>69.52100099</v>
      </c>
      <c r="P14" s="28">
        <f t="shared" si="7"/>
        <v>70.24308235</v>
      </c>
      <c r="Q14" s="21">
        <f t="shared" si="8"/>
        <v>59.10042994</v>
      </c>
      <c r="R14" s="21">
        <f t="shared" si="9"/>
        <v>51.13548672</v>
      </c>
      <c r="S14" s="12"/>
    </row>
    <row r="15">
      <c r="A15" s="1" t="s">
        <v>616</v>
      </c>
      <c r="B15" s="1">
        <v>1387526.0</v>
      </c>
      <c r="D15" s="6">
        <v>18.32</v>
      </c>
      <c r="E15" s="6">
        <v>17.38</v>
      </c>
      <c r="F15" s="6">
        <v>28.5</v>
      </c>
      <c r="G15" s="6">
        <v>28.64</v>
      </c>
      <c r="H15">
        <f t="shared" si="1"/>
        <v>92.84</v>
      </c>
      <c r="I15" s="6"/>
      <c r="J15">
        <f t="shared" si="2"/>
        <v>19.73287376</v>
      </c>
      <c r="K15">
        <f t="shared" si="3"/>
        <v>18.72037915</v>
      </c>
      <c r="L15">
        <f t="shared" si="4"/>
        <v>30.69797501</v>
      </c>
      <c r="M15">
        <f t="shared" si="5"/>
        <v>30.84877208</v>
      </c>
      <c r="O15" s="21">
        <f t="shared" si="6"/>
        <v>52.15424386</v>
      </c>
      <c r="P15" s="28">
        <f t="shared" si="7"/>
        <v>74.74687635</v>
      </c>
      <c r="Q15" s="21">
        <f t="shared" si="8"/>
        <v>65.60211116</v>
      </c>
      <c r="R15" s="21">
        <f t="shared" si="9"/>
        <v>57.49676863</v>
      </c>
      <c r="S15" s="12"/>
    </row>
    <row r="16">
      <c r="A16" s="14" t="s">
        <v>618</v>
      </c>
      <c r="B16" s="1">
        <v>1254497.0</v>
      </c>
      <c r="D16" s="6">
        <v>20.97</v>
      </c>
      <c r="E16" s="6">
        <v>38.52</v>
      </c>
      <c r="F16" s="6">
        <v>7.59</v>
      </c>
      <c r="G16" s="6">
        <v>28.46</v>
      </c>
      <c r="H16">
        <f t="shared" si="1"/>
        <v>95.54</v>
      </c>
      <c r="I16" s="1"/>
      <c r="J16">
        <f t="shared" si="2"/>
        <v>21.94892192</v>
      </c>
      <c r="K16">
        <f t="shared" si="3"/>
        <v>40.31819133</v>
      </c>
      <c r="L16">
        <f t="shared" si="4"/>
        <v>7.944316517</v>
      </c>
      <c r="M16">
        <f t="shared" si="5"/>
        <v>29.78857023</v>
      </c>
      <c r="O16" s="21">
        <f t="shared" si="6"/>
        <v>53.5273184</v>
      </c>
      <c r="P16" s="28">
        <f t="shared" si="7"/>
        <v>79.59231735</v>
      </c>
      <c r="Q16" s="21">
        <f t="shared" si="8"/>
        <v>49.3798409</v>
      </c>
      <c r="R16" s="21">
        <f t="shared" si="9"/>
        <v>67.50052334</v>
      </c>
      <c r="S16" s="12"/>
    </row>
    <row r="17">
      <c r="A17" s="1" t="s">
        <v>620</v>
      </c>
      <c r="B17" s="1">
        <v>1425428.0</v>
      </c>
      <c r="D17" s="6">
        <v>15.39</v>
      </c>
      <c r="E17" s="6">
        <v>16.96</v>
      </c>
      <c r="F17" s="6">
        <v>33.41</v>
      </c>
      <c r="G17" s="6">
        <v>27.78</v>
      </c>
      <c r="H17">
        <f t="shared" si="1"/>
        <v>93.54</v>
      </c>
      <c r="I17" s="6"/>
      <c r="J17">
        <f t="shared" si="2"/>
        <v>16.45285439</v>
      </c>
      <c r="K17">
        <f t="shared" si="3"/>
        <v>18.13128074</v>
      </c>
      <c r="L17">
        <f t="shared" si="4"/>
        <v>35.71734018</v>
      </c>
      <c r="M17">
        <f t="shared" si="5"/>
        <v>29.6985247</v>
      </c>
      <c r="O17" s="21">
        <f t="shared" si="6"/>
        <v>50.80179602</v>
      </c>
      <c r="P17" s="28">
        <f t="shared" si="7"/>
        <v>75.41960659</v>
      </c>
      <c r="Q17" s="21">
        <f t="shared" si="8"/>
        <v>67.4390635</v>
      </c>
      <c r="R17" s="21">
        <f t="shared" si="9"/>
        <v>56.33953389</v>
      </c>
      <c r="S17" s="12"/>
    </row>
    <row r="18">
      <c r="A18" s="14" t="s">
        <v>622</v>
      </c>
      <c r="B18" s="1">
        <v>1347143.0</v>
      </c>
      <c r="D18" s="6">
        <v>19.79</v>
      </c>
      <c r="E18" s="6">
        <v>17.63</v>
      </c>
      <c r="F18" s="6">
        <v>34.81</v>
      </c>
      <c r="G18" s="6">
        <v>19.17</v>
      </c>
      <c r="H18">
        <f t="shared" si="1"/>
        <v>91.4</v>
      </c>
      <c r="I18" s="1"/>
      <c r="J18">
        <f t="shared" si="2"/>
        <v>21.65207877</v>
      </c>
      <c r="K18">
        <f t="shared" si="3"/>
        <v>19.28884026</v>
      </c>
      <c r="L18">
        <f t="shared" si="4"/>
        <v>38.08533917</v>
      </c>
      <c r="M18">
        <f t="shared" si="5"/>
        <v>20.97374179</v>
      </c>
      <c r="O18" s="21">
        <f t="shared" si="6"/>
        <v>55.58260394</v>
      </c>
      <c r="P18" s="28">
        <f t="shared" si="7"/>
        <v>74.40919037</v>
      </c>
      <c r="Q18" s="21">
        <f t="shared" si="8"/>
        <v>69.63347921</v>
      </c>
      <c r="R18" s="21">
        <f t="shared" si="9"/>
        <v>50.37472648</v>
      </c>
      <c r="S18" s="12"/>
    </row>
    <row r="19">
      <c r="A19" s="1" t="s">
        <v>623</v>
      </c>
      <c r="B19" s="1">
        <v>1391656.0</v>
      </c>
      <c r="D19" s="6">
        <v>8.64</v>
      </c>
      <c r="E19" s="6">
        <v>18.53</v>
      </c>
      <c r="F19" s="6">
        <v>55.79</v>
      </c>
      <c r="G19" s="6">
        <v>33.06</v>
      </c>
      <c r="H19">
        <f t="shared" si="1"/>
        <v>116.02</v>
      </c>
      <c r="I19" s="6"/>
      <c r="J19">
        <f t="shared" si="2"/>
        <v>7.446991898</v>
      </c>
      <c r="K19">
        <f t="shared" si="3"/>
        <v>15.97138424</v>
      </c>
      <c r="L19">
        <f t="shared" si="4"/>
        <v>48.0865368</v>
      </c>
      <c r="M19">
        <f t="shared" si="5"/>
        <v>28.49508705</v>
      </c>
      <c r="O19" s="21">
        <f t="shared" si="6"/>
        <v>46.59972419</v>
      </c>
      <c r="P19" s="28">
        <f t="shared" si="7"/>
        <v>77.13109809</v>
      </c>
      <c r="Q19" s="21">
        <f t="shared" si="8"/>
        <v>71.91217032</v>
      </c>
      <c r="R19" s="21">
        <f t="shared" si="9"/>
        <v>54.35700741</v>
      </c>
      <c r="S19" s="12"/>
    </row>
    <row r="20">
      <c r="A20" s="14" t="s">
        <v>624</v>
      </c>
      <c r="B20" s="1">
        <v>1453783.0</v>
      </c>
      <c r="D20" s="6">
        <v>7.07</v>
      </c>
      <c r="E20" s="6">
        <v>19.66</v>
      </c>
      <c r="F20" s="6">
        <v>50.54</v>
      </c>
      <c r="G20" s="6">
        <v>19.55</v>
      </c>
      <c r="H20">
        <f t="shared" si="1"/>
        <v>96.82</v>
      </c>
      <c r="I20" s="6"/>
      <c r="J20">
        <f t="shared" si="2"/>
        <v>7.302210287</v>
      </c>
      <c r="K20">
        <f t="shared" si="3"/>
        <v>20.30572196</v>
      </c>
      <c r="L20">
        <f t="shared" si="4"/>
        <v>52.19995869</v>
      </c>
      <c r="M20">
        <f t="shared" si="5"/>
        <v>20.19210907</v>
      </c>
      <c r="O20" s="21">
        <f t="shared" si="6"/>
        <v>48.60307788</v>
      </c>
      <c r="P20" s="28">
        <f t="shared" si="7"/>
        <v>78.25087792</v>
      </c>
      <c r="Q20" s="21">
        <f t="shared" si="8"/>
        <v>72.84910143</v>
      </c>
      <c r="R20" s="21">
        <f t="shared" si="9"/>
        <v>50.29694278</v>
      </c>
      <c r="S20" s="12"/>
    </row>
    <row r="21">
      <c r="A21" s="1" t="s">
        <v>625</v>
      </c>
      <c r="B21" s="1">
        <v>1512098.0</v>
      </c>
      <c r="D21" s="6">
        <v>7.84</v>
      </c>
      <c r="E21" s="6">
        <v>22.43</v>
      </c>
      <c r="F21" s="6">
        <v>31.7</v>
      </c>
      <c r="G21" s="6">
        <v>33.13</v>
      </c>
      <c r="H21">
        <f t="shared" si="1"/>
        <v>95.1</v>
      </c>
      <c r="I21" s="6"/>
      <c r="J21">
        <f t="shared" si="2"/>
        <v>8.243953733</v>
      </c>
      <c r="K21">
        <f t="shared" si="3"/>
        <v>23.58569926</v>
      </c>
      <c r="L21">
        <f t="shared" si="4"/>
        <v>33.33333333</v>
      </c>
      <c r="M21">
        <f t="shared" si="5"/>
        <v>34.83701367</v>
      </c>
      <c r="O21" s="21">
        <f t="shared" si="6"/>
        <v>45.41272345</v>
      </c>
      <c r="P21" s="28">
        <f t="shared" si="7"/>
        <v>78.83543638</v>
      </c>
      <c r="Q21" s="21">
        <f t="shared" si="8"/>
        <v>62.83123028</v>
      </c>
      <c r="R21" s="21">
        <f t="shared" si="9"/>
        <v>62.92060988</v>
      </c>
      <c r="S21" s="12"/>
    </row>
    <row r="22">
      <c r="A22" s="14" t="s">
        <v>626</v>
      </c>
      <c r="B22" s="1">
        <v>1476783.0</v>
      </c>
      <c r="D22" s="6">
        <v>26.38</v>
      </c>
      <c r="E22" s="6">
        <v>35.14</v>
      </c>
      <c r="F22" s="6">
        <v>5.99</v>
      </c>
      <c r="G22" s="6">
        <v>29.43</v>
      </c>
      <c r="H22">
        <f t="shared" si="1"/>
        <v>96.94</v>
      </c>
      <c r="I22" s="6"/>
      <c r="J22">
        <f t="shared" si="2"/>
        <v>27.21270889</v>
      </c>
      <c r="K22">
        <f t="shared" si="3"/>
        <v>36.24922633</v>
      </c>
      <c r="L22">
        <f t="shared" si="4"/>
        <v>6.179079843</v>
      </c>
      <c r="M22">
        <f t="shared" si="5"/>
        <v>30.35898494</v>
      </c>
      <c r="O22" s="21">
        <f t="shared" si="6"/>
        <v>56.01660821</v>
      </c>
      <c r="P22" s="28">
        <f t="shared" si="7"/>
        <v>77.25912936</v>
      </c>
      <c r="Q22" s="21">
        <f t="shared" si="8"/>
        <v>50.83041056</v>
      </c>
      <c r="R22" s="21">
        <f t="shared" si="9"/>
        <v>65.89385187</v>
      </c>
      <c r="S22" s="12"/>
    </row>
    <row r="23">
      <c r="A23" s="14" t="s">
        <v>627</v>
      </c>
      <c r="B23" s="1">
        <v>1602849.0</v>
      </c>
      <c r="D23" s="6">
        <v>17.26</v>
      </c>
      <c r="E23" s="6">
        <v>43.62</v>
      </c>
      <c r="F23" s="6">
        <v>6.81</v>
      </c>
      <c r="G23" s="6">
        <v>28.71</v>
      </c>
      <c r="H23">
        <f t="shared" si="1"/>
        <v>96.4</v>
      </c>
      <c r="I23" s="6"/>
      <c r="J23">
        <f t="shared" si="2"/>
        <v>17.90456432</v>
      </c>
      <c r="K23">
        <f t="shared" si="3"/>
        <v>45.24896266</v>
      </c>
      <c r="L23">
        <f t="shared" si="4"/>
        <v>7.064315353</v>
      </c>
      <c r="M23">
        <f t="shared" si="5"/>
        <v>29.78215768</v>
      </c>
      <c r="O23" s="21">
        <f t="shared" si="6"/>
        <v>51.50674274</v>
      </c>
      <c r="P23" s="28">
        <f t="shared" si="7"/>
        <v>81.83609959</v>
      </c>
      <c r="Q23" s="21">
        <f t="shared" si="8"/>
        <v>46.69605809</v>
      </c>
      <c r="R23" s="21">
        <f t="shared" si="9"/>
        <v>69.96109959</v>
      </c>
      <c r="S23" s="12"/>
    </row>
    <row r="24">
      <c r="A24" s="1" t="s">
        <v>628</v>
      </c>
      <c r="B24" s="1">
        <v>1540713.0</v>
      </c>
      <c r="D24" s="6">
        <v>19.06</v>
      </c>
      <c r="E24" s="6">
        <v>42.92</v>
      </c>
      <c r="F24" s="6">
        <v>3.42</v>
      </c>
      <c r="G24" s="6">
        <v>31.5</v>
      </c>
      <c r="H24">
        <f t="shared" si="1"/>
        <v>96.9</v>
      </c>
      <c r="I24" s="6"/>
      <c r="J24">
        <f t="shared" si="2"/>
        <v>19.66976264</v>
      </c>
      <c r="K24">
        <f t="shared" si="3"/>
        <v>44.29308566</v>
      </c>
      <c r="L24">
        <f t="shared" si="4"/>
        <v>3.529411765</v>
      </c>
      <c r="M24">
        <f t="shared" si="5"/>
        <v>32.50773994</v>
      </c>
      <c r="O24" s="21">
        <f t="shared" si="6"/>
        <v>51.70794634</v>
      </c>
      <c r="P24" s="28">
        <f t="shared" si="7"/>
        <v>81.15583075</v>
      </c>
      <c r="Q24" s="21">
        <f t="shared" si="8"/>
        <v>45.60887513</v>
      </c>
      <c r="R24" s="21">
        <f t="shared" si="9"/>
        <v>71.52734778</v>
      </c>
      <c r="S24" s="12"/>
    </row>
    <row r="25">
      <c r="A25" s="1" t="s">
        <v>629</v>
      </c>
      <c r="B25" s="1">
        <v>1287222.0</v>
      </c>
      <c r="D25" s="1">
        <v>21.89</v>
      </c>
      <c r="E25" s="1">
        <v>45.53</v>
      </c>
      <c r="F25" s="1">
        <v>2.9</v>
      </c>
      <c r="G25" s="6">
        <v>25.88</v>
      </c>
      <c r="H25">
        <f t="shared" si="1"/>
        <v>96.2</v>
      </c>
      <c r="J25">
        <f t="shared" si="2"/>
        <v>22.75467775</v>
      </c>
      <c r="K25">
        <f t="shared" si="3"/>
        <v>47.32848233</v>
      </c>
      <c r="L25">
        <f t="shared" si="4"/>
        <v>3.014553015</v>
      </c>
      <c r="M25">
        <f t="shared" si="5"/>
        <v>26.9022869</v>
      </c>
      <c r="O25" s="21">
        <f t="shared" si="6"/>
        <v>54.65176715</v>
      </c>
      <c r="P25" s="28">
        <f t="shared" si="7"/>
        <v>81.14345114</v>
      </c>
      <c r="Q25" s="21">
        <f t="shared" si="8"/>
        <v>45.36382536</v>
      </c>
      <c r="R25" s="21">
        <f t="shared" si="9"/>
        <v>68.84095634</v>
      </c>
      <c r="S25" s="12"/>
    </row>
    <row r="26">
      <c r="A26" s="1" t="s">
        <v>630</v>
      </c>
      <c r="B26" s="1">
        <v>1405981.0</v>
      </c>
      <c r="D26" s="1">
        <v>22.47</v>
      </c>
      <c r="E26" s="1">
        <v>42.62</v>
      </c>
      <c r="F26" s="1">
        <v>3.01</v>
      </c>
      <c r="G26" s="6">
        <v>28.96</v>
      </c>
      <c r="H26">
        <f t="shared" si="1"/>
        <v>97.06</v>
      </c>
      <c r="J26">
        <f t="shared" si="2"/>
        <v>23.15062848</v>
      </c>
      <c r="K26">
        <f t="shared" si="3"/>
        <v>43.9109829</v>
      </c>
      <c r="L26">
        <f t="shared" si="4"/>
        <v>3.101174531</v>
      </c>
      <c r="M26">
        <f t="shared" si="5"/>
        <v>29.83721409</v>
      </c>
      <c r="O26" s="21">
        <f t="shared" si="6"/>
        <v>54.11601072</v>
      </c>
      <c r="P26" s="28">
        <f t="shared" si="7"/>
        <v>80.1900886</v>
      </c>
      <c r="Q26" s="21">
        <f t="shared" si="8"/>
        <v>46.36049866</v>
      </c>
      <c r="R26" s="21">
        <f t="shared" si="9"/>
        <v>69.33340202</v>
      </c>
      <c r="S26" s="12"/>
    </row>
    <row r="27">
      <c r="A27" s="1" t="s">
        <v>631</v>
      </c>
      <c r="B27" s="1">
        <v>1512792.0</v>
      </c>
      <c r="D27" s="1">
        <v>23.35</v>
      </c>
      <c r="E27" s="1">
        <v>41.36</v>
      </c>
      <c r="F27" s="1">
        <v>3.2</v>
      </c>
      <c r="G27" s="6">
        <v>27.73</v>
      </c>
      <c r="H27">
        <f t="shared" si="1"/>
        <v>95.64</v>
      </c>
      <c r="J27">
        <f t="shared" si="2"/>
        <v>24.41447093</v>
      </c>
      <c r="K27">
        <f t="shared" si="3"/>
        <v>43.24550397</v>
      </c>
      <c r="L27">
        <f t="shared" si="4"/>
        <v>3.345880385</v>
      </c>
      <c r="M27">
        <f t="shared" si="5"/>
        <v>28.99414471</v>
      </c>
      <c r="O27" s="21">
        <f t="shared" si="6"/>
        <v>54.95869929</v>
      </c>
      <c r="P27" s="28">
        <f t="shared" si="7"/>
        <v>79.70775826</v>
      </c>
      <c r="Q27" s="21">
        <f t="shared" si="8"/>
        <v>46.96518193</v>
      </c>
      <c r="R27" s="21">
        <f t="shared" si="9"/>
        <v>68.36836052</v>
      </c>
      <c r="S27" s="12"/>
    </row>
    <row r="28">
      <c r="A28" s="1" t="s">
        <v>632</v>
      </c>
      <c r="B28" s="1">
        <v>1490596.0</v>
      </c>
      <c r="D28" s="1">
        <v>18.36</v>
      </c>
      <c r="E28" s="1">
        <v>38.64</v>
      </c>
      <c r="F28" s="1">
        <v>8.02</v>
      </c>
      <c r="G28" s="1">
        <v>30.03</v>
      </c>
      <c r="H28">
        <f t="shared" si="1"/>
        <v>95.05</v>
      </c>
      <c r="J28">
        <f t="shared" si="2"/>
        <v>19.3161494</v>
      </c>
      <c r="K28">
        <f t="shared" si="3"/>
        <v>40.65228827</v>
      </c>
      <c r="L28">
        <f t="shared" si="4"/>
        <v>8.437664387</v>
      </c>
      <c r="M28">
        <f t="shared" si="5"/>
        <v>31.59389795</v>
      </c>
      <c r="O28" s="21">
        <f t="shared" si="6"/>
        <v>51.75960021</v>
      </c>
      <c r="P28" s="28">
        <f t="shared" si="7"/>
        <v>80.33403472</v>
      </c>
      <c r="Q28" s="21">
        <f t="shared" si="8"/>
        <v>48.88479748</v>
      </c>
      <c r="R28" s="21">
        <f t="shared" si="9"/>
        <v>69.0215676</v>
      </c>
      <c r="S28" s="12"/>
    </row>
    <row r="29">
      <c r="A29" s="1" t="s">
        <v>633</v>
      </c>
      <c r="B29" s="1">
        <v>1458724.0</v>
      </c>
      <c r="D29" s="1">
        <v>9.52</v>
      </c>
      <c r="E29" s="1">
        <v>41.6</v>
      </c>
      <c r="F29" s="1">
        <v>3.24</v>
      </c>
      <c r="G29" s="1">
        <v>32.49</v>
      </c>
      <c r="H29">
        <f t="shared" si="1"/>
        <v>86.85</v>
      </c>
      <c r="J29">
        <f t="shared" si="2"/>
        <v>10.96142775</v>
      </c>
      <c r="K29">
        <f t="shared" si="3"/>
        <v>47.89867588</v>
      </c>
      <c r="L29">
        <f t="shared" si="4"/>
        <v>3.730569948</v>
      </c>
      <c r="M29">
        <f t="shared" si="5"/>
        <v>37.40932642</v>
      </c>
      <c r="O29" s="21">
        <f t="shared" si="6"/>
        <v>46.12838227</v>
      </c>
      <c r="P29" s="28">
        <f t="shared" si="7"/>
        <v>84.23431203</v>
      </c>
      <c r="Q29" s="21">
        <f t="shared" si="8"/>
        <v>42.63097294</v>
      </c>
      <c r="R29" s="21">
        <f t="shared" si="9"/>
        <v>77.00633276</v>
      </c>
      <c r="S29" s="12"/>
    </row>
    <row r="30">
      <c r="A30" s="1" t="s">
        <v>634</v>
      </c>
      <c r="B30" s="1">
        <v>1488785.0</v>
      </c>
      <c r="D30" s="1">
        <v>5.23</v>
      </c>
      <c r="E30" s="1">
        <v>49.58</v>
      </c>
      <c r="F30" s="1">
        <v>3.73</v>
      </c>
      <c r="G30" s="1">
        <v>38.66</v>
      </c>
      <c r="H30">
        <f t="shared" si="1"/>
        <v>97.2</v>
      </c>
      <c r="J30">
        <f t="shared" si="2"/>
        <v>5.380658436</v>
      </c>
      <c r="K30">
        <f t="shared" si="3"/>
        <v>51.00823045</v>
      </c>
      <c r="L30">
        <f t="shared" si="4"/>
        <v>3.83744856</v>
      </c>
      <c r="M30">
        <f t="shared" si="5"/>
        <v>39.77366255</v>
      </c>
      <c r="O30" s="21">
        <f t="shared" si="6"/>
        <v>42.74691358</v>
      </c>
      <c r="P30" s="28">
        <f t="shared" si="7"/>
        <v>86.406893</v>
      </c>
      <c r="Q30" s="21">
        <f t="shared" si="8"/>
        <v>40.51183128</v>
      </c>
      <c r="R30" s="21">
        <f t="shared" si="9"/>
        <v>80.33436214</v>
      </c>
      <c r="S30" s="12"/>
    </row>
    <row r="31">
      <c r="A31" s="1" t="s">
        <v>635</v>
      </c>
      <c r="B31" s="1">
        <v>1555914.0</v>
      </c>
      <c r="D31" s="1">
        <v>15.92</v>
      </c>
      <c r="E31" s="1">
        <v>40.31</v>
      </c>
      <c r="F31" s="1">
        <v>5.0</v>
      </c>
      <c r="G31" s="1">
        <v>34.66</v>
      </c>
      <c r="H31">
        <f t="shared" si="1"/>
        <v>95.89</v>
      </c>
      <c r="J31">
        <f t="shared" si="2"/>
        <v>16.60235687</v>
      </c>
      <c r="K31">
        <f t="shared" si="3"/>
        <v>42.03775159</v>
      </c>
      <c r="L31">
        <f t="shared" si="4"/>
        <v>5.214308061</v>
      </c>
      <c r="M31">
        <f t="shared" si="5"/>
        <v>36.14558348</v>
      </c>
      <c r="O31" s="21">
        <f t="shared" si="6"/>
        <v>49.26478256</v>
      </c>
      <c r="P31" s="28">
        <f t="shared" si="7"/>
        <v>81.35884868</v>
      </c>
      <c r="Q31" s="21">
        <f t="shared" si="8"/>
        <v>46.24830535</v>
      </c>
      <c r="R31" s="21">
        <f t="shared" si="9"/>
        <v>73.12806341</v>
      </c>
      <c r="S31" s="12"/>
    </row>
    <row r="32">
      <c r="A32" s="1" t="s">
        <v>636</v>
      </c>
      <c r="B32" s="1">
        <v>1595746.0</v>
      </c>
      <c r="D32" s="1">
        <v>12.2</v>
      </c>
      <c r="E32" s="1">
        <v>45.83</v>
      </c>
      <c r="F32" s="1">
        <v>2.07</v>
      </c>
      <c r="G32" s="1">
        <v>36.01</v>
      </c>
      <c r="H32">
        <f t="shared" si="1"/>
        <v>96.11</v>
      </c>
      <c r="J32">
        <f t="shared" si="2"/>
        <v>12.69378837</v>
      </c>
      <c r="K32">
        <f t="shared" si="3"/>
        <v>47.68494433</v>
      </c>
      <c r="L32">
        <f t="shared" si="4"/>
        <v>2.153782125</v>
      </c>
      <c r="M32">
        <f t="shared" si="5"/>
        <v>37.46748517</v>
      </c>
      <c r="O32" s="21">
        <f t="shared" si="6"/>
        <v>46.98002289</v>
      </c>
      <c r="P32" s="28">
        <f t="shared" si="7"/>
        <v>83.74778899</v>
      </c>
      <c r="Q32" s="21">
        <f t="shared" si="8"/>
        <v>42.32910207</v>
      </c>
      <c r="R32" s="21">
        <f t="shared" si="9"/>
        <v>76.94308605</v>
      </c>
      <c r="S32" s="12"/>
    </row>
    <row r="33">
      <c r="A33" s="1" t="s">
        <v>637</v>
      </c>
      <c r="B33" s="1">
        <v>1685296.0</v>
      </c>
      <c r="D33" s="1">
        <v>25.28</v>
      </c>
      <c r="E33" s="1">
        <v>36.95</v>
      </c>
      <c r="F33" s="1">
        <v>9.71</v>
      </c>
      <c r="G33" s="1">
        <v>23.83</v>
      </c>
      <c r="H33">
        <f t="shared" si="1"/>
        <v>95.77</v>
      </c>
      <c r="J33">
        <f t="shared" si="2"/>
        <v>26.39657513</v>
      </c>
      <c r="K33">
        <f t="shared" si="3"/>
        <v>38.58201942</v>
      </c>
      <c r="L33">
        <f t="shared" si="4"/>
        <v>10.13887439</v>
      </c>
      <c r="M33">
        <f t="shared" si="5"/>
        <v>24.88253106</v>
      </c>
      <c r="O33" s="21">
        <f t="shared" si="6"/>
        <v>56.9776548</v>
      </c>
      <c r="P33" s="28">
        <f t="shared" si="7"/>
        <v>78.04636107</v>
      </c>
      <c r="Q33" s="21">
        <f t="shared" si="8"/>
        <v>52.02307612</v>
      </c>
      <c r="R33" s="21">
        <f t="shared" si="9"/>
        <v>62.95290801</v>
      </c>
      <c r="S33" s="12"/>
    </row>
    <row r="34">
      <c r="A34" s="1" t="s">
        <v>638</v>
      </c>
      <c r="B34" s="1">
        <v>1433985.0</v>
      </c>
      <c r="D34" s="1">
        <v>25.88</v>
      </c>
      <c r="E34" s="1">
        <v>35.94</v>
      </c>
      <c r="F34" s="1">
        <v>13.68</v>
      </c>
      <c r="G34" s="1">
        <v>20.5</v>
      </c>
      <c r="H34">
        <f t="shared" si="1"/>
        <v>96</v>
      </c>
      <c r="J34">
        <f t="shared" si="2"/>
        <v>26.95833333</v>
      </c>
      <c r="K34">
        <f t="shared" si="3"/>
        <v>37.4375</v>
      </c>
      <c r="L34">
        <f t="shared" si="4"/>
        <v>14.25</v>
      </c>
      <c r="M34">
        <f t="shared" si="5"/>
        <v>21.35416667</v>
      </c>
      <c r="O34" s="21">
        <f t="shared" si="6"/>
        <v>58.140625</v>
      </c>
      <c r="P34" s="28">
        <f t="shared" si="7"/>
        <v>77.61979167</v>
      </c>
      <c r="Q34" s="21">
        <f t="shared" si="8"/>
        <v>54.50520833</v>
      </c>
      <c r="R34" s="21">
        <f t="shared" si="9"/>
        <v>59.734375</v>
      </c>
      <c r="S34" s="12"/>
    </row>
    <row r="35">
      <c r="A35" s="1" t="s">
        <v>639</v>
      </c>
      <c r="B35" s="1">
        <v>1505099.0</v>
      </c>
      <c r="D35" s="1">
        <v>22.04</v>
      </c>
      <c r="E35" s="1">
        <v>43.99</v>
      </c>
      <c r="F35" s="1">
        <v>5.62</v>
      </c>
      <c r="G35" s="1">
        <v>25.89</v>
      </c>
      <c r="H35">
        <f t="shared" si="1"/>
        <v>97.54</v>
      </c>
      <c r="J35">
        <f t="shared" si="2"/>
        <v>22.59585811</v>
      </c>
      <c r="K35">
        <f t="shared" si="3"/>
        <v>45.09944638</v>
      </c>
      <c r="L35">
        <f t="shared" si="4"/>
        <v>5.761738774</v>
      </c>
      <c r="M35">
        <f t="shared" si="5"/>
        <v>26.54295674</v>
      </c>
      <c r="O35" s="21">
        <f t="shared" si="6"/>
        <v>54.66218987</v>
      </c>
      <c r="P35" s="28">
        <f t="shared" si="7"/>
        <v>80.62589707</v>
      </c>
      <c r="Q35" s="21">
        <f t="shared" si="8"/>
        <v>47.25497232</v>
      </c>
      <c r="R35" s="21">
        <f t="shared" si="9"/>
        <v>67.45694074</v>
      </c>
      <c r="S35" s="12"/>
    </row>
    <row r="36">
      <c r="A36" s="1" t="s">
        <v>640</v>
      </c>
      <c r="B36" s="1">
        <v>1448632.0</v>
      </c>
      <c r="D36" s="1">
        <v>11.55</v>
      </c>
      <c r="E36" s="1">
        <v>48.08</v>
      </c>
      <c r="F36" s="1">
        <v>5.71</v>
      </c>
      <c r="G36" s="1">
        <v>31.13</v>
      </c>
      <c r="H36">
        <f t="shared" si="1"/>
        <v>96.47</v>
      </c>
      <c r="J36">
        <f t="shared" si="2"/>
        <v>11.97263398</v>
      </c>
      <c r="K36">
        <f t="shared" si="3"/>
        <v>49.83932829</v>
      </c>
      <c r="L36">
        <f t="shared" si="4"/>
        <v>5.91893853</v>
      </c>
      <c r="M36">
        <f t="shared" si="5"/>
        <v>32.2690992</v>
      </c>
      <c r="O36" s="21">
        <f t="shared" si="6"/>
        <v>47.91904219</v>
      </c>
      <c r="P36" s="28">
        <f t="shared" si="7"/>
        <v>84.46667358</v>
      </c>
      <c r="Q36" s="21">
        <f t="shared" si="8"/>
        <v>43.49279569</v>
      </c>
      <c r="R36" s="21">
        <f t="shared" si="9"/>
        <v>74.12148855</v>
      </c>
      <c r="S36" s="12"/>
    </row>
    <row r="37">
      <c r="A37" s="1" t="s">
        <v>641</v>
      </c>
      <c r="B37" s="1">
        <v>1624038.0</v>
      </c>
      <c r="D37" s="1">
        <v>22.28</v>
      </c>
      <c r="E37" s="1">
        <v>39.88</v>
      </c>
      <c r="F37" s="1">
        <v>6.67</v>
      </c>
      <c r="G37" s="1">
        <v>28.07</v>
      </c>
      <c r="H37">
        <f t="shared" si="1"/>
        <v>96.9</v>
      </c>
      <c r="J37">
        <f t="shared" si="2"/>
        <v>22.99277606</v>
      </c>
      <c r="K37">
        <f t="shared" si="3"/>
        <v>41.15583075</v>
      </c>
      <c r="L37">
        <f t="shared" si="4"/>
        <v>6.883384933</v>
      </c>
      <c r="M37">
        <f t="shared" si="5"/>
        <v>28.96800826</v>
      </c>
      <c r="O37" s="21">
        <f t="shared" si="6"/>
        <v>54.25438596</v>
      </c>
      <c r="P37" s="28">
        <f t="shared" si="7"/>
        <v>79.54076367</v>
      </c>
      <c r="Q37" s="21">
        <f t="shared" si="8"/>
        <v>48.90092879</v>
      </c>
      <c r="R37" s="21">
        <f t="shared" si="9"/>
        <v>67.30392157</v>
      </c>
      <c r="S37" s="12"/>
    </row>
    <row r="38">
      <c r="A38" s="1" t="s">
        <v>642</v>
      </c>
      <c r="B38" s="1">
        <v>1630042.0</v>
      </c>
      <c r="D38" s="1">
        <v>16.38</v>
      </c>
      <c r="E38" s="1">
        <v>45.47</v>
      </c>
      <c r="F38" s="1">
        <v>3.13</v>
      </c>
      <c r="G38" s="1">
        <v>31.48</v>
      </c>
      <c r="H38">
        <f t="shared" si="1"/>
        <v>96.46</v>
      </c>
      <c r="J38">
        <f t="shared" si="2"/>
        <v>16.98113208</v>
      </c>
      <c r="K38">
        <f t="shared" si="3"/>
        <v>47.13871035</v>
      </c>
      <c r="L38">
        <f t="shared" si="4"/>
        <v>3.244868339</v>
      </c>
      <c r="M38">
        <f t="shared" si="5"/>
        <v>32.63528924</v>
      </c>
      <c r="O38" s="21">
        <f t="shared" si="6"/>
        <v>50.33174373</v>
      </c>
      <c r="P38" s="28">
        <f t="shared" si="7"/>
        <v>82.53939457</v>
      </c>
      <c r="Q38" s="21">
        <f t="shared" si="8"/>
        <v>44.0830396</v>
      </c>
      <c r="R38" s="21">
        <f t="shared" si="9"/>
        <v>73.0458221</v>
      </c>
      <c r="S38" s="12"/>
    </row>
    <row r="39">
      <c r="A39" s="1" t="s">
        <v>643</v>
      </c>
      <c r="B39" s="1">
        <v>1600293.0</v>
      </c>
      <c r="D39" s="1">
        <v>11.63</v>
      </c>
      <c r="E39" s="1">
        <v>54.94</v>
      </c>
      <c r="F39" s="1">
        <v>2.05</v>
      </c>
      <c r="G39" s="1">
        <v>29.49</v>
      </c>
      <c r="H39">
        <f t="shared" si="1"/>
        <v>98.11</v>
      </c>
      <c r="J39">
        <f t="shared" si="2"/>
        <v>11.85404138</v>
      </c>
      <c r="K39">
        <f t="shared" si="3"/>
        <v>55.99836918</v>
      </c>
      <c r="L39">
        <f t="shared" si="4"/>
        <v>2.089491387</v>
      </c>
      <c r="M39">
        <f t="shared" si="5"/>
        <v>30.05809805</v>
      </c>
      <c r="O39" s="21">
        <f t="shared" si="6"/>
        <v>48.41249618</v>
      </c>
      <c r="P39" s="28">
        <f t="shared" si="7"/>
        <v>86.03608195</v>
      </c>
      <c r="Q39" s="21">
        <f t="shared" si="8"/>
        <v>40.00866374</v>
      </c>
      <c r="R39" s="21">
        <f t="shared" si="9"/>
        <v>75.54275813</v>
      </c>
      <c r="S39" s="12"/>
    </row>
    <row r="40">
      <c r="A40" s="1" t="s">
        <v>644</v>
      </c>
      <c r="B40" s="1">
        <v>1527273.0</v>
      </c>
      <c r="D40" s="1">
        <v>6.45</v>
      </c>
      <c r="E40" s="1">
        <v>53.57</v>
      </c>
      <c r="F40" s="1">
        <v>2.22</v>
      </c>
      <c r="G40" s="1">
        <v>35.15</v>
      </c>
      <c r="H40">
        <f t="shared" si="1"/>
        <v>97.39</v>
      </c>
      <c r="J40">
        <f t="shared" si="2"/>
        <v>6.622856556</v>
      </c>
      <c r="K40">
        <f t="shared" si="3"/>
        <v>55.0056474</v>
      </c>
      <c r="L40">
        <f t="shared" si="4"/>
        <v>2.279494815</v>
      </c>
      <c r="M40">
        <f t="shared" si="5"/>
        <v>36.09200123</v>
      </c>
      <c r="O40" s="21">
        <f t="shared" si="6"/>
        <v>44.28842797</v>
      </c>
      <c r="P40" s="28">
        <f t="shared" si="7"/>
        <v>87.09569771</v>
      </c>
      <c r="Q40" s="21">
        <f t="shared" si="8"/>
        <v>39.0440497</v>
      </c>
      <c r="R40" s="21">
        <f t="shared" si="9"/>
        <v>79.57182462</v>
      </c>
      <c r="S40" s="12"/>
    </row>
    <row r="41">
      <c r="A41" s="1" t="s">
        <v>645</v>
      </c>
      <c r="B41" s="1">
        <v>1490409.0</v>
      </c>
      <c r="D41" s="1">
        <v>8.6</v>
      </c>
      <c r="E41" s="1">
        <v>52.36</v>
      </c>
      <c r="F41" s="1">
        <v>2.11</v>
      </c>
      <c r="G41" s="1">
        <v>34.61</v>
      </c>
      <c r="H41">
        <f t="shared" si="1"/>
        <v>97.68</v>
      </c>
      <c r="J41">
        <f t="shared" si="2"/>
        <v>8.804258804</v>
      </c>
      <c r="K41">
        <f t="shared" si="3"/>
        <v>53.6036036</v>
      </c>
      <c r="L41">
        <f t="shared" si="4"/>
        <v>2.16011466</v>
      </c>
      <c r="M41">
        <f t="shared" si="5"/>
        <v>35.43202293</v>
      </c>
      <c r="O41" s="21">
        <f t="shared" si="6"/>
        <v>45.54412367</v>
      </c>
      <c r="P41" s="28">
        <f t="shared" si="7"/>
        <v>86.1998362</v>
      </c>
      <c r="Q41" s="21">
        <f t="shared" si="8"/>
        <v>39.88022113</v>
      </c>
      <c r="R41" s="21">
        <f t="shared" si="9"/>
        <v>78.375819</v>
      </c>
      <c r="S41" s="12"/>
    </row>
    <row r="42">
      <c r="A42" s="1" t="s">
        <v>646</v>
      </c>
      <c r="B42" s="1">
        <v>1610489.0</v>
      </c>
      <c r="D42" s="1">
        <v>6.93</v>
      </c>
      <c r="E42" s="1">
        <v>50.14</v>
      </c>
      <c r="F42" s="1">
        <v>9.0</v>
      </c>
      <c r="G42" s="1">
        <v>31.06</v>
      </c>
      <c r="H42">
        <f t="shared" si="1"/>
        <v>97.13</v>
      </c>
      <c r="J42">
        <f t="shared" si="2"/>
        <v>7.134767837</v>
      </c>
      <c r="K42">
        <f t="shared" si="3"/>
        <v>51.62153814</v>
      </c>
      <c r="L42">
        <f t="shared" si="4"/>
        <v>9.265932256</v>
      </c>
      <c r="M42">
        <f t="shared" si="5"/>
        <v>31.97776176</v>
      </c>
      <c r="O42" s="21">
        <f t="shared" si="6"/>
        <v>45.57294348</v>
      </c>
      <c r="P42" s="28">
        <f t="shared" si="7"/>
        <v>86.12169258</v>
      </c>
      <c r="Q42" s="21">
        <f t="shared" si="8"/>
        <v>43.51127355</v>
      </c>
      <c r="R42" s="21">
        <f t="shared" si="9"/>
        <v>74.79409039</v>
      </c>
      <c r="S42" s="12"/>
    </row>
    <row r="43">
      <c r="A43" s="1" t="s">
        <v>647</v>
      </c>
      <c r="B43" s="1">
        <v>1475112.0</v>
      </c>
      <c r="D43" s="1">
        <v>8.3</v>
      </c>
      <c r="E43" s="1">
        <v>53.63</v>
      </c>
      <c r="F43" s="1">
        <v>3.22</v>
      </c>
      <c r="G43" s="1">
        <v>25.97</v>
      </c>
      <c r="H43">
        <f t="shared" si="1"/>
        <v>91.12</v>
      </c>
      <c r="J43">
        <f t="shared" si="2"/>
        <v>9.108867428</v>
      </c>
      <c r="K43">
        <f t="shared" si="3"/>
        <v>58.85645303</v>
      </c>
      <c r="L43">
        <f t="shared" si="4"/>
        <v>3.53380158</v>
      </c>
      <c r="M43">
        <f t="shared" si="5"/>
        <v>28.50087796</v>
      </c>
      <c r="O43" s="21">
        <f t="shared" si="6"/>
        <v>47.42921422</v>
      </c>
      <c r="P43" s="28">
        <f t="shared" si="7"/>
        <v>87.4368964</v>
      </c>
      <c r="Q43" s="21">
        <f t="shared" si="8"/>
        <v>39.33000439</v>
      </c>
      <c r="R43" s="21">
        <f t="shared" si="9"/>
        <v>75.80388499</v>
      </c>
      <c r="S43" s="12"/>
    </row>
    <row r="44">
      <c r="A44" s="1" t="s">
        <v>648</v>
      </c>
      <c r="B44" s="1">
        <v>1499673.0</v>
      </c>
      <c r="D44" s="1">
        <v>14.26</v>
      </c>
      <c r="E44" s="1">
        <v>45.95</v>
      </c>
      <c r="F44" s="1">
        <v>3.87</v>
      </c>
      <c r="G44" s="1">
        <v>31.3</v>
      </c>
      <c r="H44">
        <f t="shared" si="1"/>
        <v>95.38</v>
      </c>
      <c r="J44">
        <f t="shared" si="2"/>
        <v>14.95072342</v>
      </c>
      <c r="K44">
        <f t="shared" si="3"/>
        <v>48.17571818</v>
      </c>
      <c r="L44">
        <f t="shared" si="4"/>
        <v>4.057454393</v>
      </c>
      <c r="M44">
        <f t="shared" si="5"/>
        <v>32.81610401</v>
      </c>
      <c r="O44" s="21">
        <f t="shared" si="6"/>
        <v>49.27133571</v>
      </c>
      <c r="P44" s="28">
        <f t="shared" si="7"/>
        <v>83.30624869</v>
      </c>
      <c r="Q44" s="21">
        <f t="shared" si="8"/>
        <v>43.72247851</v>
      </c>
      <c r="R44" s="21">
        <f t="shared" si="9"/>
        <v>73.69993709</v>
      </c>
      <c r="S44" s="12"/>
    </row>
    <row r="45">
      <c r="A45" s="1" t="s">
        <v>649</v>
      </c>
      <c r="B45" s="1">
        <v>1471933.0</v>
      </c>
      <c r="D45" s="1">
        <v>7.15</v>
      </c>
      <c r="E45" s="1">
        <v>38.81</v>
      </c>
      <c r="F45" s="1">
        <v>21.38</v>
      </c>
      <c r="G45" s="1">
        <v>26.06</v>
      </c>
      <c r="H45">
        <f t="shared" si="1"/>
        <v>93.4</v>
      </c>
      <c r="J45">
        <f t="shared" si="2"/>
        <v>7.655246253</v>
      </c>
      <c r="K45">
        <f t="shared" si="3"/>
        <v>41.55246253</v>
      </c>
      <c r="L45">
        <f t="shared" si="4"/>
        <v>22.89079229</v>
      </c>
      <c r="M45">
        <f t="shared" si="5"/>
        <v>27.90149893</v>
      </c>
      <c r="O45" s="21">
        <f t="shared" si="6"/>
        <v>46.85224839</v>
      </c>
      <c r="P45" s="28">
        <f t="shared" si="7"/>
        <v>83.47430407</v>
      </c>
      <c r="Q45" s="21">
        <f t="shared" si="8"/>
        <v>52.97109208</v>
      </c>
      <c r="R45" s="21">
        <f t="shared" si="9"/>
        <v>66.70235546</v>
      </c>
      <c r="S45" s="12"/>
    </row>
    <row r="46">
      <c r="A46" s="1" t="s">
        <v>650</v>
      </c>
      <c r="B46" s="1">
        <v>1503812.0</v>
      </c>
      <c r="D46" s="1">
        <v>20.31</v>
      </c>
      <c r="E46" s="1">
        <v>39.1</v>
      </c>
      <c r="F46" s="1">
        <v>1.78</v>
      </c>
      <c r="G46" s="1">
        <v>31.13</v>
      </c>
      <c r="H46">
        <f t="shared" si="1"/>
        <v>92.32</v>
      </c>
      <c r="J46">
        <f t="shared" si="2"/>
        <v>21.99956672</v>
      </c>
      <c r="K46">
        <f t="shared" si="3"/>
        <v>42.35268631</v>
      </c>
      <c r="L46">
        <f t="shared" si="4"/>
        <v>1.928076256</v>
      </c>
      <c r="M46">
        <f t="shared" si="5"/>
        <v>33.71967071</v>
      </c>
      <c r="O46" s="21">
        <f t="shared" si="6"/>
        <v>52.56986568</v>
      </c>
      <c r="P46" s="28">
        <f t="shared" si="7"/>
        <v>80.0882799</v>
      </c>
      <c r="Q46" s="21">
        <f t="shared" si="8"/>
        <v>45.87575823</v>
      </c>
      <c r="R46" s="21">
        <f t="shared" si="9"/>
        <v>71.46609619</v>
      </c>
      <c r="S46" s="12"/>
    </row>
    <row r="47">
      <c r="A47" s="1" t="s">
        <v>651</v>
      </c>
      <c r="B47" s="1">
        <v>1466921.0</v>
      </c>
      <c r="D47" s="1">
        <v>14.11</v>
      </c>
      <c r="E47" s="1">
        <v>45.51</v>
      </c>
      <c r="F47" s="1">
        <v>2.13</v>
      </c>
      <c r="G47" s="1">
        <v>33.74</v>
      </c>
      <c r="H47">
        <f t="shared" si="1"/>
        <v>95.49</v>
      </c>
      <c r="J47">
        <f t="shared" si="2"/>
        <v>14.77641638</v>
      </c>
      <c r="K47">
        <f t="shared" si="3"/>
        <v>47.65944078</v>
      </c>
      <c r="L47">
        <f t="shared" si="4"/>
        <v>2.230600063</v>
      </c>
      <c r="M47">
        <f t="shared" si="5"/>
        <v>35.33354278</v>
      </c>
      <c r="O47" s="21">
        <f t="shared" si="6"/>
        <v>48.55482249</v>
      </c>
      <c r="P47" s="28">
        <f t="shared" si="7"/>
        <v>83.2207561</v>
      </c>
      <c r="Q47" s="21">
        <f t="shared" si="8"/>
        <v>42.89454393</v>
      </c>
      <c r="R47" s="21">
        <f t="shared" si="9"/>
        <v>75.32987747</v>
      </c>
      <c r="S47" s="12"/>
    </row>
    <row r="48">
      <c r="A48" s="1" t="s">
        <v>652</v>
      </c>
      <c r="B48" s="1">
        <v>1532244.0</v>
      </c>
      <c r="D48" s="1">
        <v>12.93</v>
      </c>
      <c r="E48" s="1">
        <v>43.49</v>
      </c>
      <c r="F48" s="1">
        <v>5.21</v>
      </c>
      <c r="G48" s="1">
        <v>34.83</v>
      </c>
      <c r="H48">
        <f t="shared" si="1"/>
        <v>96.46</v>
      </c>
      <c r="J48">
        <f t="shared" si="2"/>
        <v>13.40452001</v>
      </c>
      <c r="K48">
        <f t="shared" si="3"/>
        <v>45.08604603</v>
      </c>
      <c r="L48">
        <f t="shared" si="4"/>
        <v>5.401202571</v>
      </c>
      <c r="M48">
        <f t="shared" si="5"/>
        <v>36.10823139</v>
      </c>
      <c r="O48" s="21">
        <f t="shared" si="6"/>
        <v>47.67520216</v>
      </c>
      <c r="P48" s="28">
        <f t="shared" si="7"/>
        <v>82.92038151</v>
      </c>
      <c r="Q48" s="21">
        <f t="shared" si="8"/>
        <v>44.78021978</v>
      </c>
      <c r="R48" s="21">
        <f t="shared" si="9"/>
        <v>74.62419656</v>
      </c>
      <c r="S48" s="12"/>
    </row>
    <row r="49">
      <c r="A49" s="1" t="s">
        <v>653</v>
      </c>
      <c r="B49" s="1">
        <v>1583495.0</v>
      </c>
      <c r="D49" s="1">
        <v>17.81</v>
      </c>
      <c r="E49" s="1">
        <v>41.64</v>
      </c>
      <c r="F49" s="1">
        <v>3.33</v>
      </c>
      <c r="G49" s="1">
        <v>33.58</v>
      </c>
      <c r="H49">
        <f t="shared" si="1"/>
        <v>96.36</v>
      </c>
      <c r="J49">
        <f t="shared" si="2"/>
        <v>18.48277293</v>
      </c>
      <c r="K49">
        <f t="shared" si="3"/>
        <v>43.21295143</v>
      </c>
      <c r="L49">
        <f t="shared" si="4"/>
        <v>3.455790785</v>
      </c>
      <c r="M49">
        <f t="shared" si="5"/>
        <v>34.84848485</v>
      </c>
      <c r="O49" s="21">
        <f t="shared" si="6"/>
        <v>50.52926526</v>
      </c>
      <c r="P49" s="28">
        <f t="shared" si="7"/>
        <v>81.18254462</v>
      </c>
      <c r="Q49" s="21">
        <f t="shared" si="8"/>
        <v>45.54535077</v>
      </c>
      <c r="R49" s="21">
        <f t="shared" si="9"/>
        <v>72.74283935</v>
      </c>
      <c r="S49" s="12"/>
    </row>
    <row r="50">
      <c r="A50" s="1" t="s">
        <v>654</v>
      </c>
      <c r="B50" s="1">
        <v>1469684.0</v>
      </c>
      <c r="D50" s="1">
        <v>36.75</v>
      </c>
      <c r="E50" s="1">
        <v>30.58</v>
      </c>
      <c r="F50" s="1">
        <v>4.24</v>
      </c>
      <c r="G50" s="1">
        <v>22.39</v>
      </c>
      <c r="H50">
        <f t="shared" si="1"/>
        <v>93.96</v>
      </c>
      <c r="J50">
        <f t="shared" si="2"/>
        <v>39.11238825</v>
      </c>
      <c r="K50">
        <f t="shared" si="3"/>
        <v>32.54576415</v>
      </c>
      <c r="L50">
        <f t="shared" si="4"/>
        <v>4.512558536</v>
      </c>
      <c r="M50">
        <f t="shared" si="5"/>
        <v>23.82928906</v>
      </c>
      <c r="O50" s="21">
        <f t="shared" si="6"/>
        <v>63.59887186</v>
      </c>
      <c r="P50" s="28">
        <f t="shared" si="7"/>
        <v>73.35834398</v>
      </c>
      <c r="Q50" s="21">
        <f t="shared" si="8"/>
        <v>53.89793529</v>
      </c>
      <c r="R50" s="21">
        <f t="shared" si="9"/>
        <v>59.14484887</v>
      </c>
      <c r="S50" s="12"/>
    </row>
    <row r="51">
      <c r="A51" s="1" t="s">
        <v>655</v>
      </c>
      <c r="B51" s="1">
        <v>1538421.0</v>
      </c>
      <c r="D51" s="1">
        <v>15.13</v>
      </c>
      <c r="E51" s="1">
        <v>48.33</v>
      </c>
      <c r="F51" s="1">
        <v>3.6</v>
      </c>
      <c r="G51" s="1">
        <v>30.23</v>
      </c>
      <c r="H51">
        <f t="shared" si="1"/>
        <v>97.29</v>
      </c>
      <c r="J51">
        <f t="shared" si="2"/>
        <v>15.55144414</v>
      </c>
      <c r="K51">
        <f t="shared" si="3"/>
        <v>49.67622572</v>
      </c>
      <c r="L51">
        <f t="shared" si="4"/>
        <v>3.700277521</v>
      </c>
      <c r="M51">
        <f t="shared" si="5"/>
        <v>31.07205263</v>
      </c>
      <c r="O51" s="21">
        <f t="shared" si="6"/>
        <v>50.00770891</v>
      </c>
      <c r="P51" s="28">
        <f t="shared" si="7"/>
        <v>83.5311954</v>
      </c>
      <c r="Q51" s="21">
        <f t="shared" si="8"/>
        <v>43.31894337</v>
      </c>
      <c r="R51" s="21">
        <f t="shared" si="9"/>
        <v>73.14215233</v>
      </c>
      <c r="S51" s="12"/>
    </row>
    <row r="52">
      <c r="A52" s="1" t="s">
        <v>656</v>
      </c>
      <c r="B52" s="1">
        <v>1495089.0</v>
      </c>
      <c r="D52" s="1">
        <v>18.48</v>
      </c>
      <c r="E52" s="1">
        <v>36.1</v>
      </c>
      <c r="F52" s="1">
        <v>10.35</v>
      </c>
      <c r="G52" s="1">
        <v>30.82</v>
      </c>
      <c r="H52">
        <f t="shared" si="1"/>
        <v>95.75</v>
      </c>
      <c r="J52">
        <f t="shared" si="2"/>
        <v>19.3002611</v>
      </c>
      <c r="K52">
        <f t="shared" si="3"/>
        <v>37.70234987</v>
      </c>
      <c r="L52">
        <f t="shared" si="4"/>
        <v>10.80939948</v>
      </c>
      <c r="M52">
        <f t="shared" si="5"/>
        <v>32.18798956</v>
      </c>
      <c r="O52" s="21">
        <f t="shared" si="6"/>
        <v>51.60313316</v>
      </c>
      <c r="P52" s="28">
        <f t="shared" si="7"/>
        <v>79.60052219</v>
      </c>
      <c r="Q52" s="21">
        <f t="shared" si="8"/>
        <v>50.80417755</v>
      </c>
      <c r="R52" s="21">
        <f t="shared" si="9"/>
        <v>67.9921671</v>
      </c>
      <c r="S52" s="12"/>
    </row>
    <row r="53">
      <c r="G53" s="1"/>
    </row>
  </sheetData>
  <mergeCells count="2">
    <mergeCell ref="D9:E9"/>
    <mergeCell ref="J9:K9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657</v>
      </c>
    </row>
    <row r="2">
      <c r="A2" s="3" t="s">
        <v>0</v>
      </c>
      <c r="C2" s="4" t="s">
        <v>18</v>
      </c>
    </row>
    <row r="3">
      <c r="A3" s="12"/>
      <c r="C3" s="12"/>
    </row>
    <row r="4">
      <c r="A4" s="66" t="s">
        <v>3</v>
      </c>
      <c r="B4" s="1">
        <v>31.3</v>
      </c>
      <c r="C4" s="67"/>
    </row>
    <row r="5">
      <c r="A5" s="66" t="s">
        <v>5</v>
      </c>
      <c r="B5" s="1">
        <v>19.5</v>
      </c>
      <c r="C5" s="67"/>
    </row>
    <row r="6">
      <c r="A6" s="22" t="s">
        <v>164</v>
      </c>
      <c r="B6" s="1">
        <v>4.2</v>
      </c>
      <c r="C6" s="21"/>
    </row>
    <row r="7">
      <c r="A7" s="22" t="s">
        <v>382</v>
      </c>
      <c r="B7" s="1">
        <v>3.8</v>
      </c>
      <c r="C7" s="21"/>
    </row>
    <row r="8">
      <c r="A8" s="22" t="s">
        <v>658</v>
      </c>
      <c r="B8" s="1">
        <v>3.3</v>
      </c>
      <c r="C8" s="21"/>
    </row>
    <row r="9">
      <c r="A9" s="22" t="s">
        <v>659</v>
      </c>
      <c r="B9" s="1">
        <v>3.2</v>
      </c>
      <c r="C9" s="21"/>
    </row>
    <row r="10">
      <c r="A10" s="22" t="s">
        <v>330</v>
      </c>
      <c r="B10" s="1">
        <v>3.2</v>
      </c>
      <c r="C10" s="21"/>
    </row>
    <row r="11">
      <c r="A11" s="22" t="s">
        <v>440</v>
      </c>
      <c r="B11" s="1">
        <v>1.7</v>
      </c>
      <c r="C11" s="21"/>
    </row>
    <row r="12">
      <c r="A12" s="22" t="s">
        <v>286</v>
      </c>
      <c r="B12">
        <f>100-SUM(B4:B11)</f>
        <v>29.8</v>
      </c>
      <c r="C12" s="21"/>
    </row>
    <row r="13">
      <c r="A13" s="10"/>
      <c r="C13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Q2" s="1" t="s">
        <v>3</v>
      </c>
      <c r="R2" s="1" t="s">
        <v>5</v>
      </c>
      <c r="S2" s="1" t="s">
        <v>61</v>
      </c>
    </row>
    <row r="3">
      <c r="A3" s="1"/>
      <c r="B3" s="1"/>
      <c r="C3" s="1"/>
      <c r="P3" s="1" t="s">
        <v>3</v>
      </c>
      <c r="Q3" s="1">
        <v>1.0</v>
      </c>
      <c r="R3" s="1">
        <v>3.0</v>
      </c>
      <c r="S3" s="1">
        <v>2.0</v>
      </c>
    </row>
    <row r="4">
      <c r="A4" s="1" t="s">
        <v>3</v>
      </c>
      <c r="B4" s="1" t="s">
        <v>4</v>
      </c>
      <c r="C4" s="1">
        <v>1.0</v>
      </c>
      <c r="P4" s="1" t="s">
        <v>5</v>
      </c>
      <c r="Q4" s="1">
        <v>3.0</v>
      </c>
      <c r="R4" s="1">
        <v>1.0</v>
      </c>
      <c r="S4" s="1">
        <v>2.0</v>
      </c>
    </row>
    <row r="5">
      <c r="A5" s="1" t="s">
        <v>5</v>
      </c>
      <c r="B5" s="1" t="s">
        <v>6</v>
      </c>
      <c r="C5" s="1">
        <v>0.0</v>
      </c>
      <c r="P5" s="1" t="s">
        <v>61</v>
      </c>
      <c r="Q5" s="1">
        <v>2.0</v>
      </c>
      <c r="R5" s="1">
        <v>3.0</v>
      </c>
      <c r="S5" s="1">
        <v>1.0</v>
      </c>
    </row>
    <row r="6">
      <c r="A6" s="1" t="s">
        <v>61</v>
      </c>
      <c r="C6" s="1">
        <v>1.0</v>
      </c>
    </row>
    <row r="7">
      <c r="A7" s="1"/>
    </row>
    <row r="9">
      <c r="A9" s="1" t="s">
        <v>8</v>
      </c>
      <c r="B9" s="1" t="s">
        <v>41</v>
      </c>
      <c r="C9" s="1"/>
      <c r="D9" s="1" t="s">
        <v>9</v>
      </c>
      <c r="F9" s="1"/>
      <c r="G9" s="1"/>
      <c r="H9" s="1"/>
      <c r="I9" s="1" t="s">
        <v>10</v>
      </c>
      <c r="K9" s="1"/>
      <c r="L9" s="1"/>
      <c r="M9" s="1" t="s">
        <v>11</v>
      </c>
      <c r="O9" s="1"/>
      <c r="Q9" s="1" t="s">
        <v>12</v>
      </c>
      <c r="AA9" s="1" t="s">
        <v>67</v>
      </c>
      <c r="AB9" s="1"/>
      <c r="AC9" s="1"/>
      <c r="AD9" s="1"/>
      <c r="AE9" s="1"/>
    </row>
    <row r="10">
      <c r="B10" s="1"/>
      <c r="C10" s="1"/>
      <c r="D10" s="1" t="s">
        <v>3</v>
      </c>
      <c r="E10" s="1" t="s">
        <v>5</v>
      </c>
      <c r="F10" s="1" t="s">
        <v>61</v>
      </c>
      <c r="G10" s="1" t="s">
        <v>45</v>
      </c>
      <c r="H10" s="1"/>
      <c r="I10" s="1" t="s">
        <v>3</v>
      </c>
      <c r="J10" s="1" t="s">
        <v>5</v>
      </c>
      <c r="K10" s="1" t="s">
        <v>61</v>
      </c>
      <c r="L10" s="1"/>
      <c r="M10" s="1" t="s">
        <v>3</v>
      </c>
      <c r="N10" s="1" t="s">
        <v>5</v>
      </c>
      <c r="O10" s="1" t="s">
        <v>61</v>
      </c>
      <c r="Q10" s="1" t="s">
        <v>3</v>
      </c>
      <c r="R10" s="1" t="s">
        <v>5</v>
      </c>
      <c r="S10" s="1" t="s">
        <v>61</v>
      </c>
    </row>
    <row r="11">
      <c r="A11" s="1" t="s">
        <v>68</v>
      </c>
      <c r="B11" s="1"/>
      <c r="C11" s="1"/>
      <c r="D11" s="1">
        <v>50.16</v>
      </c>
      <c r="E11" s="1">
        <v>37.8</v>
      </c>
      <c r="F11" s="1">
        <v>4.34</v>
      </c>
      <c r="G11">
        <f t="shared" ref="G11:G12" si="1">D11+E11+F11</f>
        <v>92.3</v>
      </c>
      <c r="I11" s="1">
        <v>169367.0</v>
      </c>
      <c r="J11" s="1">
        <v>127629.0</v>
      </c>
      <c r="K11" s="1">
        <v>14664.0</v>
      </c>
      <c r="M11">
        <f t="shared" ref="M11:M12" si="2">100*D11/G11</f>
        <v>54.34452871</v>
      </c>
      <c r="N11">
        <f t="shared" ref="N11:N12" si="3">100*E11/G11</f>
        <v>40.95341278</v>
      </c>
      <c r="O11">
        <f t="shared" ref="O11:O12" si="4">100*F11/G11</f>
        <v>4.702058505</v>
      </c>
      <c r="Q11" s="5">
        <f t="shared" ref="Q11:Q12" si="5">M11+O11*0.67+N11*0.33</f>
        <v>71.00953413</v>
      </c>
      <c r="R11">
        <f t="shared" ref="R11:R12" si="6">N11+M11*0.33+O11*0.33</f>
        <v>60.43878657</v>
      </c>
      <c r="S11">
        <f t="shared" ref="S11:S12" si="7">O11+N11*0.67+M11*0.67</f>
        <v>68.55167931</v>
      </c>
    </row>
    <row r="12">
      <c r="A12" s="1" t="s">
        <v>74</v>
      </c>
      <c r="B12" s="1"/>
      <c r="C12" s="1"/>
      <c r="D12" s="6">
        <v>40.27</v>
      </c>
      <c r="E12" s="6">
        <v>45.01</v>
      </c>
      <c r="F12" s="6">
        <v>12.29</v>
      </c>
      <c r="G12">
        <f t="shared" si="1"/>
        <v>97.57</v>
      </c>
      <c r="H12" s="6"/>
      <c r="I12" s="6">
        <v>105977.0</v>
      </c>
      <c r="J12" s="1">
        <v>118455.0</v>
      </c>
      <c r="K12" s="6">
        <v>32354.0</v>
      </c>
      <c r="M12">
        <f t="shared" si="2"/>
        <v>41.27293225</v>
      </c>
      <c r="N12">
        <f t="shared" si="3"/>
        <v>46.13098288</v>
      </c>
      <c r="O12">
        <f t="shared" si="4"/>
        <v>12.59608486</v>
      </c>
      <c r="Q12">
        <f t="shared" si="5"/>
        <v>64.93553346</v>
      </c>
      <c r="R12">
        <f t="shared" si="6"/>
        <v>63.90775853</v>
      </c>
      <c r="S12" s="5">
        <f t="shared" si="7"/>
        <v>71.156708</v>
      </c>
    </row>
    <row r="13">
      <c r="A13" s="14"/>
      <c r="B13" s="1"/>
      <c r="C13" s="1"/>
      <c r="D13" s="6"/>
      <c r="E13" s="6"/>
      <c r="F13" s="1"/>
      <c r="H13" s="6"/>
      <c r="I13" s="6"/>
      <c r="J13" s="6"/>
      <c r="K13" s="1"/>
    </row>
    <row r="14">
      <c r="A14" s="1"/>
      <c r="B14" s="1"/>
      <c r="D14" s="6"/>
      <c r="E14" s="6"/>
      <c r="F14" s="6"/>
      <c r="H14" s="6"/>
      <c r="I14" s="6"/>
      <c r="J14" s="6"/>
      <c r="K14" s="6"/>
    </row>
    <row r="15">
      <c r="A15" s="1"/>
      <c r="B15" s="1"/>
      <c r="D15" s="6"/>
      <c r="E15" s="6"/>
      <c r="F15" s="6"/>
      <c r="H15" s="6"/>
      <c r="I15" s="6"/>
      <c r="J15" s="6"/>
      <c r="K15" s="6"/>
    </row>
    <row r="16">
      <c r="A16" s="14"/>
      <c r="B16" s="1"/>
      <c r="D16" s="6"/>
      <c r="E16" s="6"/>
      <c r="F16" s="6"/>
      <c r="H16" s="1"/>
      <c r="I16" s="1"/>
      <c r="J16" s="6"/>
      <c r="K16" s="6"/>
    </row>
    <row r="17">
      <c r="A17" s="1"/>
      <c r="D17" s="6"/>
      <c r="E17" s="6"/>
      <c r="F17" s="6"/>
      <c r="H17" s="6"/>
      <c r="I17" s="6"/>
      <c r="J17" s="6"/>
      <c r="K17" s="6"/>
    </row>
    <row r="18">
      <c r="A18" s="14"/>
      <c r="D18" s="6"/>
      <c r="E18" s="6"/>
      <c r="F18" s="6"/>
      <c r="H18" s="1"/>
      <c r="I18" s="1"/>
      <c r="J18" s="6"/>
      <c r="K18" s="6"/>
    </row>
    <row r="19">
      <c r="A19" s="1"/>
      <c r="D19" s="6"/>
      <c r="E19" s="6"/>
      <c r="F19" s="6"/>
      <c r="H19" s="6"/>
      <c r="I19" s="6"/>
      <c r="J19" s="6"/>
      <c r="K19" s="6"/>
    </row>
    <row r="20">
      <c r="A20" s="14"/>
      <c r="D20" s="6"/>
      <c r="E20" s="6"/>
      <c r="F20" s="6"/>
      <c r="H20" s="6"/>
      <c r="I20" s="6"/>
      <c r="J20" s="6"/>
      <c r="K20" s="6"/>
    </row>
    <row r="21">
      <c r="A21" s="1"/>
      <c r="B21" s="1"/>
      <c r="D21" s="6"/>
      <c r="E21" s="6"/>
      <c r="F21" s="6"/>
      <c r="H21" s="6"/>
      <c r="I21" s="6"/>
      <c r="J21" s="6"/>
      <c r="K21" s="6"/>
    </row>
    <row r="22">
      <c r="A22" s="14"/>
      <c r="B22" s="1"/>
      <c r="D22" s="6"/>
      <c r="E22" s="6"/>
      <c r="F22" s="6"/>
      <c r="H22" s="6"/>
      <c r="I22" s="6"/>
      <c r="J22" s="6"/>
      <c r="K22" s="6"/>
    </row>
    <row r="23">
      <c r="A23" s="14"/>
      <c r="B23" s="1"/>
      <c r="D23" s="6"/>
      <c r="E23" s="6"/>
      <c r="F23" s="6"/>
      <c r="H23" s="6"/>
      <c r="I23" s="6"/>
      <c r="J23" s="6"/>
      <c r="K23" s="6"/>
    </row>
    <row r="24">
      <c r="A24" s="1"/>
      <c r="B24" s="1"/>
      <c r="D24" s="6"/>
      <c r="E24" s="6"/>
      <c r="F24" s="6"/>
      <c r="H24" s="6"/>
      <c r="I24" s="6"/>
      <c r="J24" s="6"/>
      <c r="K24" s="6"/>
    </row>
    <row r="25">
      <c r="A25" s="1"/>
      <c r="B25" s="1"/>
      <c r="D25" s="1"/>
      <c r="E25" s="1"/>
      <c r="F25" s="1"/>
      <c r="I25" s="6"/>
      <c r="J25" s="6"/>
      <c r="K25" s="6"/>
    </row>
    <row r="26">
      <c r="A26" s="1"/>
      <c r="B26" s="1"/>
      <c r="D26" s="1"/>
      <c r="E26" s="1"/>
      <c r="F26" s="1"/>
      <c r="I26" s="6"/>
      <c r="J26" s="6"/>
      <c r="K26" s="6"/>
    </row>
    <row r="27">
      <c r="A27" s="1"/>
      <c r="B27" s="1"/>
      <c r="D27" s="1"/>
      <c r="E27" s="1"/>
      <c r="F27" s="1"/>
      <c r="I27" s="6"/>
      <c r="J27" s="6"/>
      <c r="K27" s="6"/>
    </row>
    <row r="28">
      <c r="A28" s="1"/>
      <c r="B28" s="1"/>
      <c r="D28" s="1"/>
      <c r="E28" s="1"/>
      <c r="F28" s="1"/>
      <c r="I28" s="6"/>
      <c r="J28" s="6"/>
      <c r="K28" s="6"/>
    </row>
    <row r="29">
      <c r="A29" s="1"/>
      <c r="B29" s="1"/>
      <c r="D29" s="1"/>
      <c r="E29" s="1"/>
      <c r="F29" s="1"/>
      <c r="I29" s="6"/>
      <c r="J29" s="6"/>
      <c r="K29" s="6"/>
    </row>
    <row r="30">
      <c r="A30" s="1"/>
      <c r="B30" s="1"/>
      <c r="D30" s="1"/>
      <c r="E30" s="1"/>
      <c r="F30" s="1"/>
      <c r="I30" s="6"/>
      <c r="J30" s="6"/>
      <c r="K30" s="6"/>
    </row>
    <row r="31">
      <c r="A31" s="1"/>
      <c r="B31" s="1"/>
      <c r="D31" s="1"/>
      <c r="E31" s="1"/>
      <c r="F31" s="1"/>
      <c r="I31" s="6"/>
      <c r="J31" s="6"/>
      <c r="K31" s="6"/>
    </row>
    <row r="32">
      <c r="A32" s="1"/>
      <c r="B32" s="1"/>
      <c r="D32" s="1"/>
      <c r="E32" s="1"/>
      <c r="F32" s="1"/>
      <c r="I32" s="6"/>
      <c r="J32" s="6"/>
      <c r="K32" s="6"/>
    </row>
    <row r="33">
      <c r="A33" s="1"/>
      <c r="B33" s="1"/>
      <c r="D33" s="1"/>
      <c r="E33" s="1"/>
      <c r="F33" s="1"/>
      <c r="I33" s="6"/>
      <c r="J33" s="6"/>
      <c r="K33" s="6"/>
    </row>
    <row r="34">
      <c r="A34" s="1"/>
      <c r="B34" s="1"/>
      <c r="D34" s="1"/>
      <c r="E34" s="1"/>
      <c r="F34" s="1"/>
      <c r="I34" s="6"/>
      <c r="J34" s="6"/>
      <c r="K34" s="6"/>
    </row>
    <row r="35">
      <c r="A35" s="1"/>
      <c r="B35" s="1"/>
      <c r="D35" s="1"/>
      <c r="E35" s="1"/>
      <c r="F35" s="1"/>
      <c r="I35" s="6"/>
      <c r="J35" s="6"/>
      <c r="K35" s="6"/>
    </row>
    <row r="36">
      <c r="A36" s="1"/>
      <c r="B36" s="1"/>
      <c r="D36" s="1"/>
      <c r="E36" s="1"/>
      <c r="F36" s="1"/>
      <c r="I36" s="6"/>
      <c r="J36" s="6"/>
      <c r="K36" s="6"/>
    </row>
    <row r="37">
      <c r="A37" s="1"/>
      <c r="B37" s="1"/>
      <c r="D37" s="1"/>
      <c r="E37" s="1"/>
      <c r="F37" s="1"/>
      <c r="I37" s="6"/>
      <c r="J37" s="6"/>
      <c r="K37" s="6"/>
    </row>
    <row r="38">
      <c r="A38" s="1"/>
      <c r="B38" s="1"/>
      <c r="D38" s="1"/>
      <c r="E38" s="1"/>
      <c r="F38" s="1"/>
      <c r="I38" s="6"/>
      <c r="J38" s="6"/>
      <c r="K38" s="6"/>
    </row>
    <row r="39">
      <c r="A39" s="1"/>
      <c r="B39" s="1"/>
      <c r="D39" s="1"/>
      <c r="E39" s="1"/>
      <c r="F39" s="1"/>
      <c r="J39" s="6"/>
      <c r="K39" s="6"/>
    </row>
    <row r="40">
      <c r="A40" s="1"/>
      <c r="B40" s="1"/>
      <c r="D40" s="1"/>
      <c r="E40" s="1"/>
      <c r="F40" s="1"/>
      <c r="J40" s="6"/>
      <c r="K40" s="6"/>
    </row>
    <row r="41">
      <c r="A41" s="1"/>
      <c r="B41" s="1"/>
      <c r="D41" s="1"/>
      <c r="E41" s="1"/>
      <c r="F41" s="1"/>
      <c r="J41" s="6"/>
      <c r="K41" s="6"/>
    </row>
    <row r="42">
      <c r="A42" s="1"/>
      <c r="B42" s="1"/>
      <c r="D42" s="1"/>
      <c r="E42" s="1"/>
      <c r="F42" s="1"/>
      <c r="J42" s="6"/>
      <c r="K42" s="6"/>
    </row>
    <row r="43">
      <c r="A43" s="1"/>
      <c r="B43" s="1"/>
      <c r="D43" s="1"/>
      <c r="E43" s="1"/>
      <c r="F43" s="1"/>
      <c r="J43" s="6"/>
      <c r="K43" s="6"/>
    </row>
    <row r="44">
      <c r="A44" s="1"/>
      <c r="B44" s="1"/>
      <c r="D44" s="1"/>
      <c r="E44" s="1"/>
      <c r="F44" s="1"/>
      <c r="J44" s="6"/>
      <c r="K44" s="6"/>
    </row>
    <row r="45">
      <c r="A45" s="1"/>
      <c r="B45" s="1"/>
      <c r="D45" s="1"/>
      <c r="E45" s="1"/>
      <c r="F45" s="1"/>
      <c r="J45" s="6"/>
      <c r="K45" s="6"/>
    </row>
    <row r="46">
      <c r="A46" s="1"/>
      <c r="B46" s="1"/>
      <c r="D46" s="1"/>
      <c r="E46" s="1"/>
      <c r="F46" s="1"/>
      <c r="J46" s="6"/>
      <c r="K46" s="6"/>
    </row>
    <row r="47">
      <c r="A47" s="1"/>
      <c r="B47" s="1"/>
      <c r="D47" s="1"/>
      <c r="E47" s="1"/>
      <c r="F47" s="1"/>
      <c r="J47" s="6"/>
      <c r="K47" s="6"/>
    </row>
    <row r="48">
      <c r="A48" s="1"/>
      <c r="B48" s="1"/>
      <c r="D48" s="1"/>
      <c r="E48" s="1"/>
      <c r="F48" s="1"/>
      <c r="J48" s="6"/>
      <c r="K48" s="6"/>
    </row>
    <row r="49">
      <c r="A49" s="1"/>
      <c r="B49" s="1"/>
      <c r="D49" s="1"/>
      <c r="E49" s="1"/>
      <c r="F49" s="1"/>
      <c r="J49" s="6"/>
      <c r="K49" s="6"/>
    </row>
    <row r="50">
      <c r="A50" s="1"/>
      <c r="B50" s="1"/>
      <c r="D50" s="1"/>
      <c r="E50" s="1"/>
      <c r="F50" s="1"/>
      <c r="J50" s="6"/>
      <c r="K50" s="6"/>
    </row>
    <row r="51">
      <c r="A51" s="1"/>
      <c r="B51" s="1"/>
      <c r="D51" s="1"/>
      <c r="E51" s="1"/>
      <c r="F51" s="1"/>
      <c r="J51" s="6"/>
      <c r="K51" s="6"/>
    </row>
    <row r="52">
      <c r="J52" s="6"/>
      <c r="K52" s="6"/>
    </row>
    <row r="53">
      <c r="J53" s="6"/>
      <c r="K53" s="6"/>
    </row>
    <row r="54">
      <c r="J54" s="6"/>
      <c r="K54" s="6"/>
    </row>
    <row r="55">
      <c r="J55" s="6"/>
      <c r="K55" s="6"/>
    </row>
    <row r="56">
      <c r="J56" s="6"/>
      <c r="K56" s="6"/>
    </row>
    <row r="57">
      <c r="J57" s="6"/>
      <c r="K57" s="6"/>
    </row>
    <row r="58">
      <c r="J58" s="6"/>
    </row>
  </sheetData>
  <mergeCells count="3">
    <mergeCell ref="D9:E9"/>
    <mergeCell ref="I9:J9"/>
    <mergeCell ref="M9:N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J2" s="1"/>
      <c r="P2" s="1" t="s">
        <v>3</v>
      </c>
      <c r="Q2" s="1" t="s">
        <v>104</v>
      </c>
      <c r="R2" s="1" t="s">
        <v>5</v>
      </c>
    </row>
    <row r="3">
      <c r="A3" s="1" t="s">
        <v>105</v>
      </c>
      <c r="B3" s="1" t="s">
        <v>4</v>
      </c>
      <c r="C3" s="1">
        <v>0.0</v>
      </c>
      <c r="O3" s="1" t="s">
        <v>3</v>
      </c>
      <c r="P3" s="1">
        <v>1.0</v>
      </c>
      <c r="Q3" s="1">
        <v>3.0</v>
      </c>
      <c r="R3" s="1">
        <v>2.0</v>
      </c>
    </row>
    <row r="4">
      <c r="A4" s="1" t="s">
        <v>104</v>
      </c>
      <c r="B4" s="1"/>
      <c r="C4" s="1">
        <v>0.0</v>
      </c>
      <c r="O4" s="1" t="s">
        <v>104</v>
      </c>
      <c r="P4" s="1">
        <v>3.0</v>
      </c>
      <c r="Q4" s="1">
        <v>1.0</v>
      </c>
      <c r="R4" s="1">
        <v>2.0</v>
      </c>
    </row>
    <row r="5">
      <c r="A5" s="1" t="s">
        <v>5</v>
      </c>
      <c r="B5" s="1" t="s">
        <v>6</v>
      </c>
      <c r="C5" s="1">
        <v>13.0</v>
      </c>
      <c r="O5" s="1" t="s">
        <v>5</v>
      </c>
      <c r="P5" s="1">
        <v>3.0</v>
      </c>
      <c r="Q5" s="1">
        <v>2.0</v>
      </c>
      <c r="R5" s="1">
        <v>1.0</v>
      </c>
    </row>
    <row r="6">
      <c r="A6" s="1" t="s">
        <v>107</v>
      </c>
      <c r="C6" s="1">
        <v>1.0</v>
      </c>
    </row>
    <row r="7">
      <c r="A7" s="1"/>
    </row>
    <row r="9">
      <c r="A9" s="1" t="s">
        <v>8</v>
      </c>
      <c r="B9" s="1" t="s">
        <v>41</v>
      </c>
      <c r="C9" s="1"/>
      <c r="D9" s="1" t="s">
        <v>9</v>
      </c>
      <c r="F9" s="1"/>
      <c r="G9" s="1"/>
      <c r="H9" s="1"/>
      <c r="I9" s="1"/>
      <c r="J9" s="1" t="s">
        <v>10</v>
      </c>
      <c r="L9" s="1"/>
      <c r="M9" s="1"/>
      <c r="N9" s="1"/>
      <c r="O9" s="1" t="s">
        <v>11</v>
      </c>
      <c r="Q9" s="1"/>
      <c r="R9" s="1"/>
      <c r="S9" s="15"/>
      <c r="T9" s="22" t="s">
        <v>12</v>
      </c>
      <c r="W9" s="1"/>
      <c r="X9" s="1"/>
    </row>
    <row r="10">
      <c r="B10" s="1"/>
      <c r="C10" s="1"/>
      <c r="D10" s="1" t="s">
        <v>3</v>
      </c>
      <c r="E10" s="1" t="s">
        <v>104</v>
      </c>
      <c r="F10" s="1" t="s">
        <v>5</v>
      </c>
      <c r="G10" s="1" t="s">
        <v>110</v>
      </c>
      <c r="H10" s="1" t="s">
        <v>45</v>
      </c>
      <c r="I10" s="1"/>
      <c r="J10" s="1" t="s">
        <v>3</v>
      </c>
      <c r="K10" s="1" t="s">
        <v>104</v>
      </c>
      <c r="L10" s="1" t="s">
        <v>5</v>
      </c>
      <c r="M10" s="1" t="s">
        <v>107</v>
      </c>
      <c r="N10" s="1"/>
      <c r="O10" s="1" t="s">
        <v>3</v>
      </c>
      <c r="P10" s="1" t="s">
        <v>104</v>
      </c>
      <c r="Q10" s="1" t="s">
        <v>5</v>
      </c>
      <c r="R10" s="1" t="s">
        <v>107</v>
      </c>
      <c r="S10" s="10"/>
      <c r="T10" s="1" t="s">
        <v>3</v>
      </c>
      <c r="U10" s="1" t="s">
        <v>104</v>
      </c>
      <c r="V10" s="1" t="s">
        <v>5</v>
      </c>
      <c r="W10" s="1" t="s">
        <v>107</v>
      </c>
    </row>
    <row r="11">
      <c r="A11" s="1" t="s">
        <v>111</v>
      </c>
      <c r="B11" s="1">
        <v>1165997.0</v>
      </c>
      <c r="C11" s="1"/>
      <c r="D11" s="1">
        <v>29.37</v>
      </c>
      <c r="E11" s="1">
        <v>40.87</v>
      </c>
      <c r="F11" s="1">
        <v>25.52</v>
      </c>
      <c r="G11" s="1">
        <v>0.0</v>
      </c>
      <c r="H11">
        <f t="shared" ref="H11:H14" si="1">D11+E11+F11+G11</f>
        <v>95.76</v>
      </c>
      <c r="J11" s="6">
        <f t="shared" ref="J11:J24" si="2">B11*D11/100</f>
        <v>342453.3189</v>
      </c>
      <c r="K11" s="6">
        <f t="shared" ref="K11:K24" si="3">B11*E11/100</f>
        <v>476542.9739</v>
      </c>
      <c r="L11" s="6">
        <f t="shared" ref="L11:L24" si="4">B11*F11/100</f>
        <v>297562.4344</v>
      </c>
      <c r="M11" s="6">
        <f t="shared" ref="M11:M24" si="5">B11*G11/100</f>
        <v>0</v>
      </c>
      <c r="O11">
        <f t="shared" ref="O11:O24" si="6">100*D11/H11</f>
        <v>30.67042607</v>
      </c>
      <c r="P11">
        <f t="shared" ref="P11:P24" si="7">100*E11/H11</f>
        <v>42.67961571</v>
      </c>
      <c r="Q11">
        <f t="shared" ref="Q11:Q24" si="8">100*F11/H11</f>
        <v>26.64995823</v>
      </c>
      <c r="R11">
        <f t="shared" ref="R11:R24" si="9">100*G11/H11</f>
        <v>0</v>
      </c>
      <c r="S11" s="21"/>
      <c r="T11" s="19">
        <f t="shared" ref="T11:T12" si="10">O11+P11*0.33+Q11*0.33</f>
        <v>53.54918546</v>
      </c>
      <c r="U11" s="19">
        <f t="shared" ref="U11:U12" si="11">P11+Q11*0.67+O11*0.33</f>
        <v>70.65632832</v>
      </c>
      <c r="V11" s="30">
        <f t="shared" ref="V11:V12" si="12">Q11+P11*0.67+O11*0.67</f>
        <v>75.79448622</v>
      </c>
      <c r="W11" s="1">
        <v>0.0</v>
      </c>
    </row>
    <row r="12">
      <c r="A12" s="1" t="s">
        <v>115</v>
      </c>
      <c r="B12" s="1">
        <v>1060175.0</v>
      </c>
      <c r="C12" s="1"/>
      <c r="D12" s="6">
        <v>37.65</v>
      </c>
      <c r="E12" s="6">
        <v>10.69</v>
      </c>
      <c r="F12" s="6">
        <v>42.05</v>
      </c>
      <c r="G12" s="6">
        <v>0.0</v>
      </c>
      <c r="H12">
        <f t="shared" si="1"/>
        <v>90.39</v>
      </c>
      <c r="I12" s="6"/>
      <c r="J12" s="6">
        <f t="shared" si="2"/>
        <v>399155.8875</v>
      </c>
      <c r="K12" s="6">
        <f t="shared" si="3"/>
        <v>113332.7075</v>
      </c>
      <c r="L12" s="6">
        <f t="shared" si="4"/>
        <v>445803.5875</v>
      </c>
      <c r="M12" s="6">
        <f t="shared" si="5"/>
        <v>0</v>
      </c>
      <c r="O12">
        <f t="shared" si="6"/>
        <v>41.6528377</v>
      </c>
      <c r="P12">
        <f t="shared" si="7"/>
        <v>11.82652948</v>
      </c>
      <c r="Q12">
        <f t="shared" si="8"/>
        <v>46.52063281</v>
      </c>
      <c r="R12">
        <f t="shared" si="9"/>
        <v>0</v>
      </c>
      <c r="S12" s="21"/>
      <c r="T12" s="19">
        <f t="shared" si="10"/>
        <v>60.90740126</v>
      </c>
      <c r="U12" s="19">
        <f t="shared" si="11"/>
        <v>56.74078991</v>
      </c>
      <c r="V12" s="30">
        <f t="shared" si="12"/>
        <v>82.35180883</v>
      </c>
      <c r="W12" s="1">
        <v>0.0</v>
      </c>
    </row>
    <row r="13">
      <c r="A13" s="14" t="s">
        <v>116</v>
      </c>
      <c r="B13" s="1">
        <v>702230.0</v>
      </c>
      <c r="C13" s="1"/>
      <c r="D13" s="6">
        <v>34.77</v>
      </c>
      <c r="E13" s="6">
        <v>0.0</v>
      </c>
      <c r="F13" s="1">
        <v>39.2</v>
      </c>
      <c r="G13" s="1">
        <v>19.92</v>
      </c>
      <c r="H13">
        <f t="shared" si="1"/>
        <v>93.89</v>
      </c>
      <c r="I13" s="6"/>
      <c r="J13" s="6">
        <f t="shared" si="2"/>
        <v>244165.371</v>
      </c>
      <c r="K13" s="6">
        <f t="shared" si="3"/>
        <v>0</v>
      </c>
      <c r="L13" s="6">
        <f t="shared" si="4"/>
        <v>275274.16</v>
      </c>
      <c r="M13" s="6">
        <f t="shared" si="5"/>
        <v>139884.216</v>
      </c>
      <c r="O13">
        <f t="shared" si="6"/>
        <v>37.03269784</v>
      </c>
      <c r="P13">
        <f t="shared" si="7"/>
        <v>0</v>
      </c>
      <c r="Q13">
        <f t="shared" si="8"/>
        <v>41.7509852</v>
      </c>
      <c r="R13">
        <f t="shared" si="9"/>
        <v>21.21631697</v>
      </c>
      <c r="S13" s="21"/>
      <c r="T13" s="19">
        <f>O13+R13*0.33+Q13*0.33</f>
        <v>57.81190755</v>
      </c>
      <c r="U13" s="19">
        <v>0.0</v>
      </c>
      <c r="V13" s="30">
        <f>Q13+R13*0.67+O13*0.67</f>
        <v>80.77782511</v>
      </c>
      <c r="W13" s="1">
        <f>R13+Q13*0.67+O13*0.33</f>
        <v>61.41026733</v>
      </c>
    </row>
    <row r="14">
      <c r="A14" s="1" t="s">
        <v>117</v>
      </c>
      <c r="B14" s="1">
        <v>1550166.0</v>
      </c>
      <c r="D14" s="6">
        <v>21.83</v>
      </c>
      <c r="E14" s="6">
        <v>43.26</v>
      </c>
      <c r="F14" s="6">
        <v>26.49</v>
      </c>
      <c r="G14" s="6">
        <v>0.0</v>
      </c>
      <c r="H14">
        <f t="shared" si="1"/>
        <v>91.58</v>
      </c>
      <c r="I14" s="6"/>
      <c r="J14" s="6">
        <f t="shared" si="2"/>
        <v>338401.2378</v>
      </c>
      <c r="K14" s="6">
        <f t="shared" si="3"/>
        <v>670601.8116</v>
      </c>
      <c r="L14" s="6">
        <f t="shared" si="4"/>
        <v>410638.9734</v>
      </c>
      <c r="M14" s="6">
        <f t="shared" si="5"/>
        <v>0</v>
      </c>
      <c r="O14">
        <f t="shared" si="6"/>
        <v>23.83708233</v>
      </c>
      <c r="P14">
        <f t="shared" si="7"/>
        <v>47.23738808</v>
      </c>
      <c r="Q14">
        <f t="shared" si="8"/>
        <v>28.92552959</v>
      </c>
      <c r="R14">
        <f t="shared" si="9"/>
        <v>0</v>
      </c>
      <c r="S14" s="21"/>
      <c r="T14" s="19">
        <f t="shared" ref="T14:T24" si="13">O14+P14*0.33+Q14*0.33</f>
        <v>48.97084516</v>
      </c>
      <c r="U14" s="19">
        <f t="shared" ref="U14:U24" si="14">P14+Q14*0.67+O14*0.33</f>
        <v>74.48373007</v>
      </c>
      <c r="V14" s="30">
        <f t="shared" ref="V14:V24" si="15">Q14+P14*0.67+O14*0.67</f>
        <v>76.54542477</v>
      </c>
      <c r="W14" s="19">
        <f>R11</f>
        <v>0</v>
      </c>
    </row>
    <row r="15">
      <c r="A15" s="1" t="s">
        <v>118</v>
      </c>
      <c r="B15" s="1">
        <v>1505472.0</v>
      </c>
      <c r="D15" s="6">
        <v>0.0</v>
      </c>
      <c r="E15" s="6">
        <v>0.0</v>
      </c>
      <c r="F15" s="6">
        <v>0.0</v>
      </c>
      <c r="G15" s="6">
        <v>51.82</v>
      </c>
      <c r="H15" s="1">
        <v>51.82</v>
      </c>
      <c r="I15" s="6"/>
      <c r="J15" s="6">
        <f t="shared" si="2"/>
        <v>0</v>
      </c>
      <c r="K15" s="6">
        <f t="shared" si="3"/>
        <v>0</v>
      </c>
      <c r="L15" s="6">
        <f t="shared" si="4"/>
        <v>0</v>
      </c>
      <c r="M15" s="6">
        <f t="shared" si="5"/>
        <v>780135.5904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100</v>
      </c>
      <c r="S15" s="21"/>
      <c r="T15" s="19">
        <f t="shared" si="13"/>
        <v>0</v>
      </c>
      <c r="U15" s="19">
        <f t="shared" si="14"/>
        <v>0</v>
      </c>
      <c r="V15" s="19">
        <f t="shared" si="15"/>
        <v>0</v>
      </c>
      <c r="W15" s="1">
        <v>0.0</v>
      </c>
    </row>
    <row r="16">
      <c r="A16" s="14" t="s">
        <v>119</v>
      </c>
      <c r="B16" s="1">
        <v>1430188.0</v>
      </c>
      <c r="D16" s="6">
        <v>29.19</v>
      </c>
      <c r="E16" s="6">
        <v>32.7</v>
      </c>
      <c r="F16" s="6">
        <v>23.02</v>
      </c>
      <c r="G16" s="6">
        <v>6.11</v>
      </c>
      <c r="H16">
        <f t="shared" ref="H16:H24" si="16">D16+E16+F16+G16</f>
        <v>91.02</v>
      </c>
      <c r="I16" s="1"/>
      <c r="J16" s="6">
        <f t="shared" si="2"/>
        <v>417471.8772</v>
      </c>
      <c r="K16" s="6">
        <f t="shared" si="3"/>
        <v>467671.476</v>
      </c>
      <c r="L16" s="6">
        <f t="shared" si="4"/>
        <v>329229.2776</v>
      </c>
      <c r="M16" s="6">
        <f t="shared" si="5"/>
        <v>87384.4868</v>
      </c>
      <c r="O16">
        <f t="shared" si="6"/>
        <v>32.06987475</v>
      </c>
      <c r="P16">
        <f t="shared" si="7"/>
        <v>35.92617007</v>
      </c>
      <c r="Q16">
        <f t="shared" si="8"/>
        <v>25.2911448</v>
      </c>
      <c r="R16">
        <f t="shared" si="9"/>
        <v>6.712810371</v>
      </c>
      <c r="S16" s="21"/>
      <c r="T16" s="19">
        <f t="shared" si="13"/>
        <v>52.27158866</v>
      </c>
      <c r="U16" s="19">
        <f t="shared" si="14"/>
        <v>63.45429576</v>
      </c>
      <c r="V16" s="30">
        <f t="shared" si="15"/>
        <v>70.84849484</v>
      </c>
      <c r="W16" s="1">
        <v>0.0</v>
      </c>
    </row>
    <row r="17">
      <c r="A17" s="1" t="s">
        <v>120</v>
      </c>
      <c r="B17" s="1">
        <v>1922270.0</v>
      </c>
      <c r="D17" s="6">
        <v>50.59</v>
      </c>
      <c r="E17" s="6">
        <v>9.08</v>
      </c>
      <c r="F17" s="6">
        <v>29.7</v>
      </c>
      <c r="G17" s="6">
        <v>5.72</v>
      </c>
      <c r="H17">
        <f t="shared" si="16"/>
        <v>95.09</v>
      </c>
      <c r="I17" s="6"/>
      <c r="J17" s="6">
        <f t="shared" si="2"/>
        <v>972476.393</v>
      </c>
      <c r="K17" s="6">
        <f t="shared" si="3"/>
        <v>174542.116</v>
      </c>
      <c r="L17" s="6">
        <f t="shared" si="4"/>
        <v>570914.19</v>
      </c>
      <c r="M17" s="6">
        <f t="shared" si="5"/>
        <v>109953.844</v>
      </c>
      <c r="O17">
        <f t="shared" si="6"/>
        <v>53.20222947</v>
      </c>
      <c r="P17">
        <f t="shared" si="7"/>
        <v>9.548848459</v>
      </c>
      <c r="Q17">
        <f t="shared" si="8"/>
        <v>31.2335682</v>
      </c>
      <c r="R17">
        <f t="shared" si="9"/>
        <v>6.015353875</v>
      </c>
      <c r="S17" s="21"/>
      <c r="T17" s="19">
        <f t="shared" si="13"/>
        <v>66.66042696</v>
      </c>
      <c r="U17" s="19">
        <f t="shared" si="14"/>
        <v>48.03207488</v>
      </c>
      <c r="V17" s="30">
        <f t="shared" si="15"/>
        <v>73.27679041</v>
      </c>
      <c r="W17" s="1">
        <v>0.0</v>
      </c>
    </row>
    <row r="18">
      <c r="A18" s="14" t="s">
        <v>121</v>
      </c>
      <c r="B18" s="1">
        <v>1515676.0</v>
      </c>
      <c r="D18" s="6">
        <v>39.43</v>
      </c>
      <c r="E18" s="6">
        <v>6.06</v>
      </c>
      <c r="F18" s="6">
        <v>37.57</v>
      </c>
      <c r="G18" s="6">
        <v>7.0</v>
      </c>
      <c r="H18">
        <f t="shared" si="16"/>
        <v>90.06</v>
      </c>
      <c r="I18" s="1"/>
      <c r="J18" s="6">
        <f t="shared" si="2"/>
        <v>597631.0468</v>
      </c>
      <c r="K18" s="6">
        <f t="shared" si="3"/>
        <v>91849.9656</v>
      </c>
      <c r="L18" s="6">
        <f t="shared" si="4"/>
        <v>569439.4732</v>
      </c>
      <c r="M18" s="6">
        <f t="shared" si="5"/>
        <v>106097.32</v>
      </c>
      <c r="O18">
        <f t="shared" si="6"/>
        <v>43.78192316</v>
      </c>
      <c r="P18">
        <f t="shared" si="7"/>
        <v>6.728847435</v>
      </c>
      <c r="Q18">
        <f t="shared" si="8"/>
        <v>41.71663336</v>
      </c>
      <c r="R18">
        <f t="shared" si="9"/>
        <v>7.772596047</v>
      </c>
      <c r="S18" s="21"/>
      <c r="T18" s="19">
        <f t="shared" si="13"/>
        <v>59.76893182</v>
      </c>
      <c r="U18" s="19">
        <f t="shared" si="14"/>
        <v>49.12702643</v>
      </c>
      <c r="V18" s="30">
        <f t="shared" si="15"/>
        <v>75.55884966</v>
      </c>
      <c r="W18" s="1">
        <v>0.0</v>
      </c>
    </row>
    <row r="19">
      <c r="A19" s="1" t="s">
        <v>127</v>
      </c>
      <c r="B19" s="1">
        <v>1259568.0</v>
      </c>
      <c r="D19" s="6">
        <v>45.52</v>
      </c>
      <c r="E19" s="6">
        <v>0.0</v>
      </c>
      <c r="F19" s="6">
        <v>36.75</v>
      </c>
      <c r="G19" s="6">
        <v>6.4</v>
      </c>
      <c r="H19">
        <f t="shared" si="16"/>
        <v>88.67</v>
      </c>
      <c r="I19" s="6"/>
      <c r="J19" s="6">
        <f t="shared" si="2"/>
        <v>573355.3536</v>
      </c>
      <c r="K19" s="6">
        <f t="shared" si="3"/>
        <v>0</v>
      </c>
      <c r="L19" s="6">
        <f t="shared" si="4"/>
        <v>462891.24</v>
      </c>
      <c r="M19" s="6">
        <f t="shared" si="5"/>
        <v>80612.352</v>
      </c>
      <c r="O19">
        <f t="shared" si="6"/>
        <v>51.33641592</v>
      </c>
      <c r="P19">
        <f t="shared" si="7"/>
        <v>0</v>
      </c>
      <c r="Q19">
        <f t="shared" si="8"/>
        <v>41.44581031</v>
      </c>
      <c r="R19">
        <f t="shared" si="9"/>
        <v>7.217773768</v>
      </c>
      <c r="T19" s="19">
        <f t="shared" si="13"/>
        <v>65.01353333</v>
      </c>
      <c r="U19" s="19">
        <f t="shared" si="14"/>
        <v>44.70971016</v>
      </c>
      <c r="V19" s="30">
        <f t="shared" si="15"/>
        <v>75.84120898</v>
      </c>
      <c r="W19" s="1">
        <v>0.0</v>
      </c>
    </row>
    <row r="20">
      <c r="A20" s="14" t="s">
        <v>128</v>
      </c>
      <c r="B20" s="1">
        <v>1523881.0</v>
      </c>
      <c r="D20" s="6">
        <v>40.16</v>
      </c>
      <c r="E20" s="6">
        <v>25.52</v>
      </c>
      <c r="F20" s="6">
        <v>28.49</v>
      </c>
      <c r="G20" s="6">
        <v>2.86</v>
      </c>
      <c r="H20">
        <f t="shared" si="16"/>
        <v>97.03</v>
      </c>
      <c r="I20" s="6"/>
      <c r="J20" s="6">
        <f t="shared" si="2"/>
        <v>611990.6096</v>
      </c>
      <c r="K20" s="6">
        <f t="shared" si="3"/>
        <v>388894.4312</v>
      </c>
      <c r="L20" s="6">
        <f t="shared" si="4"/>
        <v>434153.6969</v>
      </c>
      <c r="M20" s="6">
        <f t="shared" si="5"/>
        <v>43582.9966</v>
      </c>
      <c r="O20">
        <f t="shared" si="6"/>
        <v>41.38926105</v>
      </c>
      <c r="P20">
        <f t="shared" si="7"/>
        <v>26.30114398</v>
      </c>
      <c r="Q20">
        <f t="shared" si="8"/>
        <v>29.36205297</v>
      </c>
      <c r="R20">
        <f t="shared" si="9"/>
        <v>2.947541997</v>
      </c>
      <c r="T20" s="19">
        <f t="shared" si="13"/>
        <v>59.75811605</v>
      </c>
      <c r="U20" s="19">
        <f t="shared" si="14"/>
        <v>59.63217562</v>
      </c>
      <c r="V20" s="30">
        <f t="shared" si="15"/>
        <v>74.71462434</v>
      </c>
      <c r="W20" s="1">
        <v>0.0</v>
      </c>
    </row>
    <row r="21">
      <c r="A21" s="1" t="s">
        <v>129</v>
      </c>
      <c r="B21" s="1">
        <v>1457219.0</v>
      </c>
      <c r="D21" s="6">
        <v>29.93</v>
      </c>
      <c r="E21" s="6">
        <v>19.81</v>
      </c>
      <c r="F21" s="6">
        <v>37.97</v>
      </c>
      <c r="G21" s="6">
        <v>6.69</v>
      </c>
      <c r="H21">
        <f t="shared" si="16"/>
        <v>94.4</v>
      </c>
      <c r="I21" s="6"/>
      <c r="J21" s="6">
        <f t="shared" si="2"/>
        <v>436145.6467</v>
      </c>
      <c r="K21" s="6">
        <f t="shared" si="3"/>
        <v>288675.0839</v>
      </c>
      <c r="L21" s="6">
        <f t="shared" si="4"/>
        <v>553306.0543</v>
      </c>
      <c r="M21" s="6">
        <f t="shared" si="5"/>
        <v>97487.9511</v>
      </c>
      <c r="O21">
        <f t="shared" si="6"/>
        <v>31.70550847</v>
      </c>
      <c r="P21">
        <f t="shared" si="7"/>
        <v>20.98516949</v>
      </c>
      <c r="Q21">
        <f t="shared" si="8"/>
        <v>40.22245763</v>
      </c>
      <c r="R21">
        <f t="shared" si="9"/>
        <v>7.086864407</v>
      </c>
      <c r="T21" s="19">
        <f t="shared" si="13"/>
        <v>51.90402542</v>
      </c>
      <c r="U21" s="19">
        <f t="shared" si="14"/>
        <v>58.3970339</v>
      </c>
      <c r="V21" s="30">
        <f t="shared" si="15"/>
        <v>75.52521186</v>
      </c>
      <c r="W21" s="1">
        <v>0.0</v>
      </c>
    </row>
    <row r="22">
      <c r="A22" s="14" t="s">
        <v>131</v>
      </c>
      <c r="B22" s="1">
        <v>1189486.0</v>
      </c>
      <c r="D22" s="6">
        <v>48.99</v>
      </c>
      <c r="E22" s="6">
        <v>0.79</v>
      </c>
      <c r="F22" s="6">
        <v>38.0</v>
      </c>
      <c r="G22" s="6">
        <v>5.01</v>
      </c>
      <c r="H22">
        <f t="shared" si="16"/>
        <v>92.79</v>
      </c>
      <c r="I22" s="6"/>
      <c r="J22" s="6">
        <f t="shared" si="2"/>
        <v>582729.1914</v>
      </c>
      <c r="K22" s="6">
        <f t="shared" si="3"/>
        <v>9396.9394</v>
      </c>
      <c r="L22" s="6">
        <f t="shared" si="4"/>
        <v>452004.68</v>
      </c>
      <c r="M22" s="6">
        <f t="shared" si="5"/>
        <v>59593.2486</v>
      </c>
      <c r="O22">
        <f t="shared" si="6"/>
        <v>52.79663757</v>
      </c>
      <c r="P22">
        <f t="shared" si="7"/>
        <v>0.8513848475</v>
      </c>
      <c r="Q22">
        <f t="shared" si="8"/>
        <v>40.95268887</v>
      </c>
      <c r="R22">
        <f t="shared" si="9"/>
        <v>5.399288716</v>
      </c>
      <c r="T22" s="19">
        <f t="shared" si="13"/>
        <v>66.59198189</v>
      </c>
      <c r="U22" s="19">
        <f t="shared" si="14"/>
        <v>45.71257679</v>
      </c>
      <c r="V22" s="30">
        <f t="shared" si="15"/>
        <v>76.89686389</v>
      </c>
      <c r="W22" s="1">
        <v>0.0</v>
      </c>
    </row>
    <row r="23">
      <c r="A23" s="14" t="s">
        <v>132</v>
      </c>
      <c r="B23" s="1">
        <v>1124305.0</v>
      </c>
      <c r="D23" s="6">
        <v>55.48</v>
      </c>
      <c r="E23" s="6">
        <v>0.0</v>
      </c>
      <c r="F23" s="6">
        <v>34.68</v>
      </c>
      <c r="G23" s="6">
        <v>5.13</v>
      </c>
      <c r="H23">
        <f t="shared" si="16"/>
        <v>95.29</v>
      </c>
      <c r="I23" s="6"/>
      <c r="J23" s="6">
        <f t="shared" si="2"/>
        <v>623764.414</v>
      </c>
      <c r="K23" s="6">
        <f t="shared" si="3"/>
        <v>0</v>
      </c>
      <c r="L23" s="6">
        <f t="shared" si="4"/>
        <v>389908.974</v>
      </c>
      <c r="M23" s="6">
        <f t="shared" si="5"/>
        <v>57676.8465</v>
      </c>
      <c r="O23">
        <f t="shared" si="6"/>
        <v>58.22226886</v>
      </c>
      <c r="P23">
        <f t="shared" si="7"/>
        <v>0</v>
      </c>
      <c r="Q23">
        <f t="shared" si="8"/>
        <v>36.39416518</v>
      </c>
      <c r="R23">
        <f t="shared" si="9"/>
        <v>5.383565957</v>
      </c>
      <c r="T23" s="19">
        <f t="shared" si="13"/>
        <v>70.23234337</v>
      </c>
      <c r="U23" s="19">
        <f t="shared" si="14"/>
        <v>43.5974394</v>
      </c>
      <c r="V23" s="30">
        <f t="shared" si="15"/>
        <v>75.40308532</v>
      </c>
      <c r="W23" s="1">
        <v>0.0</v>
      </c>
    </row>
    <row r="24">
      <c r="A24" s="13" t="s">
        <v>133</v>
      </c>
      <c r="B24" s="31">
        <v>1111975.0</v>
      </c>
      <c r="C24" s="12"/>
      <c r="D24" s="32">
        <v>55.05</v>
      </c>
      <c r="E24" s="31">
        <v>3.36</v>
      </c>
      <c r="F24" s="32">
        <v>28.8</v>
      </c>
      <c r="G24" s="31">
        <v>7.35</v>
      </c>
      <c r="H24">
        <f t="shared" si="16"/>
        <v>94.56</v>
      </c>
      <c r="I24" s="6"/>
      <c r="J24" s="6">
        <f t="shared" si="2"/>
        <v>612142.2375</v>
      </c>
      <c r="K24" s="6">
        <f t="shared" si="3"/>
        <v>37362.36</v>
      </c>
      <c r="L24" s="6">
        <f t="shared" si="4"/>
        <v>320248.8</v>
      </c>
      <c r="M24" s="6">
        <f t="shared" si="5"/>
        <v>81730.1625</v>
      </c>
      <c r="O24">
        <f t="shared" si="6"/>
        <v>58.21700508</v>
      </c>
      <c r="P24">
        <f t="shared" si="7"/>
        <v>3.553299492</v>
      </c>
      <c r="Q24">
        <f t="shared" si="8"/>
        <v>30.45685279</v>
      </c>
      <c r="R24">
        <f t="shared" si="9"/>
        <v>7.77284264</v>
      </c>
      <c r="T24" s="19">
        <f t="shared" si="13"/>
        <v>69.44035533</v>
      </c>
      <c r="U24" s="19">
        <f t="shared" si="14"/>
        <v>43.17100254</v>
      </c>
      <c r="V24" s="30">
        <f t="shared" si="15"/>
        <v>71.84295685</v>
      </c>
      <c r="W24" s="1">
        <v>0.0</v>
      </c>
    </row>
    <row r="25">
      <c r="A25" s="1"/>
      <c r="B25" s="1"/>
      <c r="D25" s="1"/>
      <c r="E25" s="1"/>
      <c r="F25" s="1"/>
      <c r="G25" s="1"/>
      <c r="J25" s="6"/>
      <c r="K25" s="6"/>
      <c r="L25" s="6"/>
      <c r="M25" s="6"/>
    </row>
    <row r="26">
      <c r="A26" s="1"/>
      <c r="B26" s="1"/>
      <c r="D26" s="1"/>
      <c r="E26" s="1"/>
      <c r="F26" s="1"/>
      <c r="G26" s="1"/>
      <c r="J26" s="6"/>
      <c r="K26" s="6"/>
      <c r="L26" s="6"/>
      <c r="M26" s="6"/>
    </row>
    <row r="27">
      <c r="A27" s="1"/>
      <c r="B27" s="1"/>
      <c r="D27" s="1"/>
      <c r="E27" s="1"/>
      <c r="F27" s="1"/>
      <c r="G27" s="1"/>
      <c r="J27" s="6"/>
      <c r="K27" s="6"/>
      <c r="L27" s="6"/>
      <c r="M27" s="6"/>
    </row>
    <row r="28">
      <c r="A28" s="1"/>
      <c r="B28" s="1"/>
      <c r="D28" s="1"/>
      <c r="E28" s="1"/>
      <c r="F28" s="1"/>
      <c r="G28" s="1"/>
      <c r="J28" s="6"/>
      <c r="K28" s="6"/>
      <c r="L28" s="6"/>
      <c r="M28" s="6"/>
    </row>
    <row r="29">
      <c r="A29" s="1"/>
      <c r="B29" s="1"/>
      <c r="D29" s="1"/>
      <c r="E29" s="1"/>
      <c r="F29" s="1"/>
      <c r="G29" s="1"/>
      <c r="J29" s="6"/>
      <c r="K29" s="6"/>
      <c r="L29" s="6"/>
      <c r="M29" s="6"/>
    </row>
    <row r="30">
      <c r="A30" s="1"/>
      <c r="B30" s="1"/>
      <c r="D30" s="1"/>
      <c r="E30" s="1"/>
      <c r="F30" s="1"/>
      <c r="G30" s="1"/>
      <c r="J30" s="6"/>
      <c r="K30" s="6"/>
      <c r="L30" s="6"/>
      <c r="M30" s="6"/>
    </row>
    <row r="31">
      <c r="A31" s="1"/>
      <c r="B31" s="1"/>
      <c r="D31" s="1"/>
      <c r="E31" s="1"/>
      <c r="F31" s="1"/>
      <c r="G31" s="1"/>
      <c r="J31" s="6"/>
      <c r="K31" s="6"/>
      <c r="L31" s="6"/>
      <c r="M31" s="6"/>
    </row>
    <row r="32">
      <c r="A32" s="1"/>
      <c r="B32" s="1"/>
      <c r="D32" s="1"/>
      <c r="E32" s="1"/>
      <c r="F32" s="1"/>
      <c r="G32" s="1"/>
      <c r="J32" s="6"/>
      <c r="K32" s="6"/>
      <c r="L32" s="6"/>
      <c r="M32" s="6"/>
    </row>
    <row r="33">
      <c r="A33" s="1"/>
      <c r="B33" s="1"/>
      <c r="D33" s="1"/>
      <c r="E33" s="1"/>
      <c r="F33" s="1"/>
      <c r="G33" s="1"/>
      <c r="J33" s="6"/>
      <c r="K33" s="6"/>
      <c r="L33" s="6"/>
      <c r="M33" s="6"/>
    </row>
    <row r="34">
      <c r="A34" s="1"/>
      <c r="B34" s="1"/>
      <c r="D34" s="1"/>
      <c r="E34" s="1"/>
      <c r="F34" s="1"/>
      <c r="G34" s="1"/>
      <c r="J34" s="6"/>
      <c r="K34" s="6"/>
      <c r="L34" s="6"/>
      <c r="M34" s="6"/>
    </row>
    <row r="35">
      <c r="A35" s="1"/>
      <c r="B35" s="1"/>
      <c r="D35" s="1"/>
      <c r="E35" s="1"/>
      <c r="F35" s="1"/>
      <c r="G35" s="1"/>
      <c r="J35" s="6"/>
      <c r="K35" s="6"/>
      <c r="L35" s="6"/>
      <c r="M35" s="6"/>
    </row>
    <row r="36">
      <c r="A36" s="1"/>
      <c r="B36" s="1"/>
      <c r="D36" s="1"/>
      <c r="E36" s="1"/>
      <c r="F36" s="1"/>
      <c r="G36" s="1"/>
      <c r="J36" s="6"/>
      <c r="K36" s="6"/>
      <c r="L36" s="6"/>
      <c r="M36" s="6"/>
    </row>
    <row r="37">
      <c r="A37" s="1"/>
      <c r="B37" s="1"/>
      <c r="D37" s="1"/>
      <c r="E37" s="1"/>
      <c r="F37" s="1"/>
      <c r="G37" s="1"/>
      <c r="J37" s="6"/>
      <c r="K37" s="6"/>
      <c r="L37" s="6"/>
      <c r="M37" s="6"/>
    </row>
    <row r="38">
      <c r="A38" s="1"/>
      <c r="B38" s="1"/>
      <c r="D38" s="1"/>
      <c r="E38" s="1"/>
      <c r="F38" s="1"/>
      <c r="G38" s="1"/>
      <c r="J38" s="6"/>
      <c r="K38" s="6"/>
      <c r="L38" s="6"/>
      <c r="M38" s="6"/>
    </row>
    <row r="39">
      <c r="A39" s="1"/>
      <c r="B39" s="1"/>
      <c r="D39" s="1"/>
      <c r="E39" s="1"/>
      <c r="F39" s="1"/>
      <c r="G39" s="1"/>
      <c r="K39" s="6"/>
      <c r="L39" s="6"/>
      <c r="M39" s="6"/>
    </row>
    <row r="40">
      <c r="A40" s="1"/>
      <c r="B40" s="1"/>
      <c r="D40" s="1"/>
      <c r="E40" s="1"/>
      <c r="F40" s="1"/>
      <c r="G40" s="1"/>
      <c r="K40" s="6"/>
      <c r="L40" s="6"/>
      <c r="M40" s="6"/>
    </row>
    <row r="41">
      <c r="A41" s="1"/>
      <c r="B41" s="1"/>
      <c r="D41" s="1"/>
      <c r="E41" s="1"/>
      <c r="F41" s="1"/>
      <c r="G41" s="1"/>
      <c r="K41" s="6"/>
      <c r="L41" s="6"/>
      <c r="M41" s="6"/>
    </row>
    <row r="42">
      <c r="A42" s="1"/>
      <c r="B42" s="1"/>
      <c r="D42" s="1"/>
      <c r="E42" s="1"/>
      <c r="F42" s="1"/>
      <c r="G42" s="1"/>
      <c r="K42" s="6"/>
      <c r="L42" s="6"/>
      <c r="M42" s="6"/>
    </row>
    <row r="43">
      <c r="A43" s="1"/>
      <c r="B43" s="1"/>
      <c r="D43" s="1"/>
      <c r="E43" s="1"/>
      <c r="F43" s="1"/>
      <c r="G43" s="1"/>
      <c r="K43" s="6"/>
      <c r="L43" s="6"/>
      <c r="M43" s="6"/>
    </row>
    <row r="44">
      <c r="A44" s="1"/>
      <c r="B44" s="1"/>
      <c r="D44" s="1"/>
      <c r="E44" s="1"/>
      <c r="F44" s="1"/>
      <c r="G44" s="1"/>
      <c r="K44" s="6"/>
      <c r="L44" s="6"/>
      <c r="M44" s="6"/>
    </row>
    <row r="45">
      <c r="A45" s="1"/>
      <c r="B45" s="1"/>
      <c r="D45" s="1"/>
      <c r="E45" s="1"/>
      <c r="F45" s="1"/>
      <c r="G45" s="1"/>
      <c r="K45" s="6"/>
      <c r="L45" s="6"/>
      <c r="M45" s="6"/>
    </row>
    <row r="46">
      <c r="A46" s="1"/>
      <c r="B46" s="1"/>
      <c r="D46" s="1"/>
      <c r="E46" s="1"/>
      <c r="F46" s="1"/>
      <c r="G46" s="1"/>
      <c r="K46" s="6"/>
      <c r="L46" s="6"/>
      <c r="M46" s="6"/>
    </row>
    <row r="47">
      <c r="A47" s="1"/>
      <c r="B47" s="1"/>
      <c r="D47" s="1"/>
      <c r="E47" s="1"/>
      <c r="F47" s="1"/>
      <c r="G47" s="1"/>
      <c r="K47" s="6"/>
      <c r="L47" s="6"/>
      <c r="M47" s="6"/>
    </row>
    <row r="48">
      <c r="A48" s="1"/>
      <c r="B48" s="1"/>
      <c r="D48" s="1"/>
      <c r="E48" s="1"/>
      <c r="F48" s="1"/>
      <c r="G48" s="1"/>
      <c r="K48" s="6"/>
      <c r="L48" s="6"/>
      <c r="M48" s="6"/>
    </row>
    <row r="49">
      <c r="A49" s="1"/>
      <c r="B49" s="1"/>
      <c r="D49" s="1"/>
      <c r="E49" s="1"/>
      <c r="F49" s="1"/>
      <c r="G49" s="1"/>
      <c r="K49" s="6"/>
      <c r="L49" s="6"/>
      <c r="M49" s="6"/>
    </row>
    <row r="50">
      <c r="A50" s="1"/>
      <c r="B50" s="1"/>
      <c r="D50" s="1"/>
      <c r="E50" s="1"/>
      <c r="F50" s="1"/>
      <c r="G50" s="1"/>
      <c r="K50" s="6"/>
      <c r="L50" s="6"/>
      <c r="M50" s="6"/>
    </row>
    <row r="51">
      <c r="A51" s="1"/>
      <c r="B51" s="1"/>
      <c r="D51" s="1"/>
      <c r="E51" s="1"/>
      <c r="F51" s="1"/>
      <c r="G51" s="1"/>
      <c r="K51" s="6"/>
      <c r="L51" s="6"/>
      <c r="M51" s="6"/>
    </row>
    <row r="52">
      <c r="K52" s="6"/>
      <c r="L52" s="6"/>
      <c r="M52" s="6"/>
    </row>
    <row r="53">
      <c r="K53" s="6"/>
      <c r="L53" s="6"/>
      <c r="M53" s="6"/>
    </row>
    <row r="54">
      <c r="K54" s="6"/>
      <c r="L54" s="6"/>
      <c r="M54" s="6"/>
    </row>
    <row r="55">
      <c r="K55" s="6"/>
      <c r="L55" s="6"/>
      <c r="M55" s="6"/>
    </row>
    <row r="56">
      <c r="K56" s="6"/>
      <c r="L56" s="6"/>
      <c r="M56" s="6"/>
    </row>
    <row r="57">
      <c r="K57" s="6"/>
      <c r="L57" s="6"/>
      <c r="M57" s="6"/>
    </row>
    <row r="58">
      <c r="K58" s="6"/>
      <c r="M58" s="6"/>
    </row>
  </sheetData>
  <mergeCells count="4">
    <mergeCell ref="D9:E9"/>
    <mergeCell ref="J9:K9"/>
    <mergeCell ref="O9:P9"/>
    <mergeCell ref="T9:V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T2" s="1" t="s">
        <v>4</v>
      </c>
      <c r="U2" s="1" t="s">
        <v>122</v>
      </c>
      <c r="V2" s="1" t="s">
        <v>6</v>
      </c>
    </row>
    <row r="3">
      <c r="A3" s="1" t="s">
        <v>123</v>
      </c>
      <c r="B3" s="1" t="s">
        <v>4</v>
      </c>
      <c r="C3" s="1">
        <v>0.0</v>
      </c>
      <c r="S3" s="1" t="s">
        <v>4</v>
      </c>
      <c r="T3" s="1">
        <v>1.0</v>
      </c>
      <c r="U3" s="1">
        <v>2.0</v>
      </c>
      <c r="V3" s="1">
        <v>3.0</v>
      </c>
    </row>
    <row r="4">
      <c r="A4" s="1" t="s">
        <v>124</v>
      </c>
      <c r="B4" s="1"/>
      <c r="C4" s="1">
        <v>0.0</v>
      </c>
      <c r="S4" s="1" t="s">
        <v>122</v>
      </c>
      <c r="T4" s="1">
        <v>2.0</v>
      </c>
      <c r="U4" s="1">
        <v>1.0</v>
      </c>
      <c r="V4" s="1">
        <v>3.0</v>
      </c>
    </row>
    <row r="5">
      <c r="A5" s="1" t="s">
        <v>125</v>
      </c>
      <c r="B5" s="1" t="s">
        <v>6</v>
      </c>
      <c r="C5" s="1">
        <v>0.0</v>
      </c>
      <c r="S5" s="1" t="s">
        <v>6</v>
      </c>
      <c r="T5" s="1">
        <v>3.0</v>
      </c>
      <c r="U5" s="1">
        <v>2.0</v>
      </c>
      <c r="V5" s="1">
        <v>1.0</v>
      </c>
    </row>
    <row r="6">
      <c r="A6" s="1" t="s">
        <v>126</v>
      </c>
      <c r="C6" s="1">
        <v>0.0</v>
      </c>
    </row>
    <row r="7">
      <c r="A7" s="1"/>
    </row>
    <row r="9">
      <c r="A9" s="1" t="s">
        <v>8</v>
      </c>
      <c r="B9" s="1" t="s">
        <v>41</v>
      </c>
      <c r="C9" s="1"/>
      <c r="D9" s="1" t="s">
        <v>9</v>
      </c>
      <c r="F9" s="1"/>
      <c r="G9" s="1"/>
      <c r="H9" s="1"/>
      <c r="I9" s="1"/>
      <c r="J9" s="1" t="s">
        <v>10</v>
      </c>
      <c r="L9" s="1"/>
      <c r="M9" s="1"/>
      <c r="N9" s="1"/>
      <c r="O9" s="1" t="s">
        <v>11</v>
      </c>
      <c r="Q9" s="1"/>
      <c r="R9" s="1"/>
      <c r="S9" s="1"/>
      <c r="T9" s="1" t="s">
        <v>12</v>
      </c>
      <c r="U9" s="1"/>
      <c r="V9" s="1"/>
      <c r="W9" s="1"/>
    </row>
    <row r="10">
      <c r="B10" s="1"/>
      <c r="C10" s="1"/>
      <c r="D10" s="1" t="s">
        <v>123</v>
      </c>
      <c r="E10" s="1" t="s">
        <v>122</v>
      </c>
      <c r="F10" s="1" t="s">
        <v>125</v>
      </c>
      <c r="G10" s="1" t="s">
        <v>126</v>
      </c>
      <c r="H10" s="1" t="s">
        <v>45</v>
      </c>
      <c r="I10" s="1"/>
      <c r="J10" s="1" t="s">
        <v>123</v>
      </c>
      <c r="K10" s="1" t="s">
        <v>124</v>
      </c>
      <c r="L10" s="1" t="s">
        <v>125</v>
      </c>
      <c r="M10" s="1" t="s">
        <v>126</v>
      </c>
      <c r="N10" s="1"/>
      <c r="O10" s="1" t="s">
        <v>123</v>
      </c>
      <c r="P10" s="1" t="s">
        <v>124</v>
      </c>
      <c r="Q10" s="1" t="s">
        <v>125</v>
      </c>
      <c r="R10" s="1" t="s">
        <v>126</v>
      </c>
      <c r="T10" s="1" t="s">
        <v>123</v>
      </c>
      <c r="U10" s="1" t="s">
        <v>124</v>
      </c>
      <c r="V10" s="1" t="s">
        <v>125</v>
      </c>
      <c r="W10" s="1" t="s">
        <v>126</v>
      </c>
    </row>
    <row r="11">
      <c r="A11" s="1" t="s">
        <v>130</v>
      </c>
      <c r="B11" s="1">
        <v>1456598.0</v>
      </c>
      <c r="C11" s="1"/>
      <c r="D11" s="1">
        <v>40.44</v>
      </c>
      <c r="E11" s="1">
        <v>9.07</v>
      </c>
      <c r="F11" s="1">
        <v>27.35</v>
      </c>
      <c r="G11" s="1">
        <v>6.53</v>
      </c>
      <c r="H11">
        <f t="shared" ref="H11:H50" si="1">D11+E11+F11+G11</f>
        <v>83.39</v>
      </c>
      <c r="J11" s="6">
        <f t="shared" ref="J11:J50" si="2">B11*D11/100</f>
        <v>589048.2312</v>
      </c>
      <c r="K11" s="6">
        <f t="shared" ref="K11:K50" si="3">B11*E11/100</f>
        <v>132113.4386</v>
      </c>
      <c r="L11" s="6">
        <f t="shared" ref="L11:L50" si="4">B11*F11/100</f>
        <v>398379.553</v>
      </c>
      <c r="M11" s="6">
        <f t="shared" ref="M11:M50" si="5">B11*G11/100</f>
        <v>95115.8494</v>
      </c>
      <c r="O11">
        <f t="shared" ref="O11:O50" si="6">100*D11/H11</f>
        <v>48.49502338</v>
      </c>
      <c r="P11">
        <f t="shared" ref="P11:P50" si="7">100*E11/H11</f>
        <v>10.87660391</v>
      </c>
      <c r="Q11">
        <f t="shared" ref="Q11:Q50" si="8">100*F11/H11</f>
        <v>32.79769757</v>
      </c>
      <c r="R11">
        <f t="shared" ref="R11:R50" si="9">100*G11/H11</f>
        <v>7.830675141</v>
      </c>
      <c r="T11" s="5">
        <f t="shared" ref="T11:T42" si="10">O11+P11*0.67+Q11*0.33</f>
        <v>66.6055882</v>
      </c>
      <c r="U11">
        <f t="shared" ref="U11:U42" si="11">P11+O11*0.67+Q11*0.67</f>
        <v>65.34272695</v>
      </c>
      <c r="V11" s="1">
        <f t="shared" ref="V11:V42" si="12">Q11+P11*0.33+O11*0.33</f>
        <v>52.39033457</v>
      </c>
      <c r="W11" s="1">
        <v>0.0</v>
      </c>
    </row>
    <row r="12">
      <c r="A12" s="1" t="s">
        <v>134</v>
      </c>
      <c r="B12" s="1">
        <v>1413148.0</v>
      </c>
      <c r="C12" s="1"/>
      <c r="D12" s="6">
        <v>43.43</v>
      </c>
      <c r="E12" s="6">
        <v>30.53</v>
      </c>
      <c r="F12" s="6">
        <v>14.25</v>
      </c>
      <c r="G12" s="6">
        <v>0.0</v>
      </c>
      <c r="H12">
        <f t="shared" si="1"/>
        <v>88.21</v>
      </c>
      <c r="I12" s="6"/>
      <c r="J12" s="6">
        <f t="shared" si="2"/>
        <v>613730.1764</v>
      </c>
      <c r="K12" s="6">
        <f t="shared" si="3"/>
        <v>431434.0844</v>
      </c>
      <c r="L12" s="6">
        <f t="shared" si="4"/>
        <v>201373.59</v>
      </c>
      <c r="M12" s="6">
        <f t="shared" si="5"/>
        <v>0</v>
      </c>
      <c r="O12">
        <f t="shared" si="6"/>
        <v>49.23478064</v>
      </c>
      <c r="P12">
        <f t="shared" si="7"/>
        <v>34.61058837</v>
      </c>
      <c r="Q12">
        <f t="shared" si="8"/>
        <v>16.15463099</v>
      </c>
      <c r="R12">
        <f t="shared" si="9"/>
        <v>0</v>
      </c>
      <c r="T12">
        <f t="shared" si="10"/>
        <v>77.75490307</v>
      </c>
      <c r="U12" s="5">
        <f t="shared" si="11"/>
        <v>78.42149416</v>
      </c>
      <c r="V12" s="1">
        <f t="shared" si="12"/>
        <v>43.82360277</v>
      </c>
      <c r="W12" s="1">
        <v>0.0</v>
      </c>
    </row>
    <row r="13">
      <c r="A13" s="14" t="s">
        <v>135</v>
      </c>
      <c r="B13" s="1">
        <v>1439253.0</v>
      </c>
      <c r="C13" s="1"/>
      <c r="D13" s="6">
        <v>48.68</v>
      </c>
      <c r="E13" s="6">
        <v>15.63</v>
      </c>
      <c r="F13" s="1">
        <v>25.32</v>
      </c>
      <c r="G13" s="1">
        <v>0.0</v>
      </c>
      <c r="H13">
        <f t="shared" si="1"/>
        <v>89.63</v>
      </c>
      <c r="I13" s="6"/>
      <c r="J13" s="6">
        <f t="shared" si="2"/>
        <v>700628.3604</v>
      </c>
      <c r="K13" s="6">
        <f t="shared" si="3"/>
        <v>224955.2439</v>
      </c>
      <c r="L13" s="6">
        <f t="shared" si="4"/>
        <v>364418.8596</v>
      </c>
      <c r="M13" s="6">
        <f t="shared" si="5"/>
        <v>0</v>
      </c>
      <c r="O13">
        <f t="shared" si="6"/>
        <v>54.31217226</v>
      </c>
      <c r="P13">
        <f t="shared" si="7"/>
        <v>17.43835769</v>
      </c>
      <c r="Q13">
        <f t="shared" si="8"/>
        <v>28.24947004</v>
      </c>
      <c r="R13">
        <f t="shared" si="9"/>
        <v>0</v>
      </c>
      <c r="T13" s="5">
        <f t="shared" si="10"/>
        <v>75.31819703</v>
      </c>
      <c r="U13">
        <f t="shared" si="11"/>
        <v>72.75465804</v>
      </c>
      <c r="V13" s="1">
        <f t="shared" si="12"/>
        <v>51.92714493</v>
      </c>
      <c r="W13" s="1">
        <v>0.0</v>
      </c>
    </row>
    <row r="14">
      <c r="A14" s="1" t="s">
        <v>136</v>
      </c>
      <c r="B14" s="1">
        <v>1485801.0</v>
      </c>
      <c r="D14" s="6">
        <v>44.19</v>
      </c>
      <c r="E14" s="6">
        <v>9.38</v>
      </c>
      <c r="F14" s="6">
        <v>28.03</v>
      </c>
      <c r="G14" s="6">
        <v>5.46</v>
      </c>
      <c r="H14">
        <f t="shared" si="1"/>
        <v>87.06</v>
      </c>
      <c r="I14" s="6"/>
      <c r="J14" s="6">
        <f t="shared" si="2"/>
        <v>656575.4619</v>
      </c>
      <c r="K14" s="6">
        <f t="shared" si="3"/>
        <v>139368.1338</v>
      </c>
      <c r="L14" s="6">
        <f t="shared" si="4"/>
        <v>416470.0203</v>
      </c>
      <c r="M14" s="6">
        <f t="shared" si="5"/>
        <v>81124.7346</v>
      </c>
      <c r="O14">
        <f t="shared" si="6"/>
        <v>50.75809786</v>
      </c>
      <c r="P14">
        <f t="shared" si="7"/>
        <v>10.77417873</v>
      </c>
      <c r="Q14">
        <f t="shared" si="8"/>
        <v>32.19618654</v>
      </c>
      <c r="R14">
        <f t="shared" si="9"/>
        <v>6.271536871</v>
      </c>
      <c r="T14" s="5">
        <f t="shared" si="10"/>
        <v>68.60153917</v>
      </c>
      <c r="U14">
        <f t="shared" si="11"/>
        <v>66.35354928</v>
      </c>
      <c r="V14" s="1">
        <f t="shared" si="12"/>
        <v>52.50183781</v>
      </c>
      <c r="W14" s="1">
        <v>0.0</v>
      </c>
    </row>
    <row r="15">
      <c r="A15" s="1" t="s">
        <v>137</v>
      </c>
      <c r="B15" s="1">
        <v>1574914.0</v>
      </c>
      <c r="D15" s="6">
        <v>45.67</v>
      </c>
      <c r="E15" s="6">
        <v>10.79</v>
      </c>
      <c r="F15" s="6">
        <v>29.24</v>
      </c>
      <c r="G15" s="6">
        <v>0.0</v>
      </c>
      <c r="H15">
        <f t="shared" si="1"/>
        <v>85.7</v>
      </c>
      <c r="I15" s="6"/>
      <c r="J15" s="6">
        <f t="shared" si="2"/>
        <v>719263.2238</v>
      </c>
      <c r="K15" s="6">
        <f t="shared" si="3"/>
        <v>169933.2206</v>
      </c>
      <c r="L15" s="6">
        <f t="shared" si="4"/>
        <v>460504.8536</v>
      </c>
      <c r="M15" s="6">
        <f t="shared" si="5"/>
        <v>0</v>
      </c>
      <c r="O15">
        <f t="shared" si="6"/>
        <v>53.29054842</v>
      </c>
      <c r="P15">
        <f t="shared" si="7"/>
        <v>12.59043174</v>
      </c>
      <c r="Q15">
        <f t="shared" si="8"/>
        <v>34.11901984</v>
      </c>
      <c r="R15">
        <f t="shared" si="9"/>
        <v>0</v>
      </c>
      <c r="T15" s="5">
        <f t="shared" si="10"/>
        <v>72.98541424</v>
      </c>
      <c r="U15">
        <f t="shared" si="11"/>
        <v>71.15484247</v>
      </c>
      <c r="V15" s="1">
        <f t="shared" si="12"/>
        <v>55.85974329</v>
      </c>
      <c r="W15" s="1">
        <v>0.0</v>
      </c>
    </row>
    <row r="16">
      <c r="A16" s="14" t="s">
        <v>138</v>
      </c>
      <c r="B16" s="1">
        <v>1627832.0</v>
      </c>
      <c r="D16" s="6">
        <v>41.61</v>
      </c>
      <c r="E16" s="6">
        <v>6.55</v>
      </c>
      <c r="F16" s="6">
        <v>39.22</v>
      </c>
      <c r="G16" s="6">
        <v>0.0</v>
      </c>
      <c r="H16">
        <f t="shared" si="1"/>
        <v>87.38</v>
      </c>
      <c r="I16" s="1"/>
      <c r="J16" s="6">
        <f t="shared" si="2"/>
        <v>677340.8952</v>
      </c>
      <c r="K16" s="6">
        <f t="shared" si="3"/>
        <v>106622.996</v>
      </c>
      <c r="L16" s="6">
        <f t="shared" si="4"/>
        <v>638435.7104</v>
      </c>
      <c r="M16" s="6">
        <f t="shared" si="5"/>
        <v>0</v>
      </c>
      <c r="O16">
        <f t="shared" si="6"/>
        <v>47.61959258</v>
      </c>
      <c r="P16">
        <f t="shared" si="7"/>
        <v>7.495994507</v>
      </c>
      <c r="Q16">
        <f t="shared" si="8"/>
        <v>44.88441291</v>
      </c>
      <c r="R16">
        <f t="shared" si="9"/>
        <v>0</v>
      </c>
      <c r="T16">
        <f t="shared" si="10"/>
        <v>67.45376516</v>
      </c>
      <c r="U16" s="5">
        <f t="shared" si="11"/>
        <v>69.47367819</v>
      </c>
      <c r="V16" s="1">
        <f t="shared" si="12"/>
        <v>63.07255665</v>
      </c>
      <c r="W16" s="1">
        <v>0.0</v>
      </c>
    </row>
    <row r="17">
      <c r="A17" s="1" t="s">
        <v>139</v>
      </c>
      <c r="B17" s="1">
        <v>1668405.0</v>
      </c>
      <c r="D17" s="6">
        <v>35.64</v>
      </c>
      <c r="E17" s="6">
        <v>19.5</v>
      </c>
      <c r="F17" s="6">
        <v>29.75</v>
      </c>
      <c r="G17" s="6">
        <v>0.0</v>
      </c>
      <c r="H17">
        <f t="shared" si="1"/>
        <v>84.89</v>
      </c>
      <c r="I17" s="6"/>
      <c r="J17" s="6">
        <f t="shared" si="2"/>
        <v>594619.542</v>
      </c>
      <c r="K17" s="6">
        <f t="shared" si="3"/>
        <v>325338.975</v>
      </c>
      <c r="L17" s="6">
        <f t="shared" si="4"/>
        <v>496350.4875</v>
      </c>
      <c r="M17" s="6">
        <f t="shared" si="5"/>
        <v>0</v>
      </c>
      <c r="O17">
        <f t="shared" si="6"/>
        <v>41.98374367</v>
      </c>
      <c r="P17">
        <f t="shared" si="7"/>
        <v>22.97090352</v>
      </c>
      <c r="Q17">
        <f t="shared" si="8"/>
        <v>35.04535281</v>
      </c>
      <c r="R17">
        <f t="shared" si="9"/>
        <v>0</v>
      </c>
      <c r="T17">
        <f t="shared" si="10"/>
        <v>68.93921546</v>
      </c>
      <c r="U17" s="5">
        <f t="shared" si="11"/>
        <v>74.58039816</v>
      </c>
      <c r="V17" s="1">
        <f t="shared" si="12"/>
        <v>56.48038638</v>
      </c>
      <c r="W17" s="1">
        <v>0.0</v>
      </c>
    </row>
    <row r="18">
      <c r="A18" s="14" t="s">
        <v>140</v>
      </c>
      <c r="B18" s="1">
        <v>1525583.0</v>
      </c>
      <c r="D18" s="6">
        <v>25.73</v>
      </c>
      <c r="E18" s="6">
        <v>28.15</v>
      </c>
      <c r="F18" s="6">
        <v>34.3</v>
      </c>
      <c r="G18" s="6">
        <v>0.0</v>
      </c>
      <c r="H18">
        <f t="shared" si="1"/>
        <v>88.18</v>
      </c>
      <c r="I18" s="1"/>
      <c r="J18" s="6">
        <f t="shared" si="2"/>
        <v>392532.5059</v>
      </c>
      <c r="K18" s="6">
        <f t="shared" si="3"/>
        <v>429451.6145</v>
      </c>
      <c r="L18" s="6">
        <f t="shared" si="4"/>
        <v>523274.969</v>
      </c>
      <c r="M18" s="6">
        <f t="shared" si="5"/>
        <v>0</v>
      </c>
      <c r="O18">
        <f t="shared" si="6"/>
        <v>29.17895214</v>
      </c>
      <c r="P18">
        <f t="shared" si="7"/>
        <v>31.92333863</v>
      </c>
      <c r="Q18">
        <f t="shared" si="8"/>
        <v>38.89770923</v>
      </c>
      <c r="R18">
        <f t="shared" si="9"/>
        <v>0</v>
      </c>
      <c r="T18">
        <f t="shared" si="10"/>
        <v>63.40383307</v>
      </c>
      <c r="U18" s="5">
        <f t="shared" si="11"/>
        <v>77.53470175</v>
      </c>
      <c r="V18" s="1">
        <f t="shared" si="12"/>
        <v>59.06146518</v>
      </c>
      <c r="W18" s="1">
        <v>0.0</v>
      </c>
    </row>
    <row r="19">
      <c r="A19" s="1" t="s">
        <v>141</v>
      </c>
      <c r="B19" s="1">
        <v>1587332.0</v>
      </c>
      <c r="D19" s="6">
        <v>26.8</v>
      </c>
      <c r="E19" s="6">
        <v>22.73</v>
      </c>
      <c r="F19" s="6">
        <v>41.81</v>
      </c>
      <c r="G19" s="6">
        <v>0.0</v>
      </c>
      <c r="H19">
        <f t="shared" si="1"/>
        <v>91.34</v>
      </c>
      <c r="I19" s="6"/>
      <c r="J19" s="6">
        <f t="shared" si="2"/>
        <v>425404.976</v>
      </c>
      <c r="K19" s="6">
        <f t="shared" si="3"/>
        <v>360800.5636</v>
      </c>
      <c r="L19" s="6">
        <f t="shared" si="4"/>
        <v>663663.5092</v>
      </c>
      <c r="M19" s="6">
        <f t="shared" si="5"/>
        <v>0</v>
      </c>
      <c r="O19">
        <f t="shared" si="6"/>
        <v>29.34092402</v>
      </c>
      <c r="P19">
        <f t="shared" si="7"/>
        <v>24.88504489</v>
      </c>
      <c r="Q19">
        <f t="shared" si="8"/>
        <v>45.77403109</v>
      </c>
      <c r="R19">
        <f t="shared" si="9"/>
        <v>0</v>
      </c>
      <c r="T19">
        <f t="shared" si="10"/>
        <v>61.11933436</v>
      </c>
      <c r="U19" s="5">
        <f t="shared" si="11"/>
        <v>75.21206481</v>
      </c>
      <c r="V19" s="1">
        <f t="shared" si="12"/>
        <v>63.66860083</v>
      </c>
      <c r="W19" s="1">
        <v>0.0</v>
      </c>
    </row>
    <row r="20">
      <c r="A20" s="14" t="s">
        <v>142</v>
      </c>
      <c r="B20" s="1">
        <v>1438990.0</v>
      </c>
      <c r="D20" s="6">
        <v>32.19</v>
      </c>
      <c r="E20" s="6">
        <v>6.01</v>
      </c>
      <c r="F20" s="6">
        <v>53.15</v>
      </c>
      <c r="G20" s="6">
        <v>0.0</v>
      </c>
      <c r="H20">
        <f t="shared" si="1"/>
        <v>91.35</v>
      </c>
      <c r="I20" s="6"/>
      <c r="J20" s="6">
        <f t="shared" si="2"/>
        <v>463210.881</v>
      </c>
      <c r="K20" s="6">
        <f t="shared" si="3"/>
        <v>86483.299</v>
      </c>
      <c r="L20" s="6">
        <f t="shared" si="4"/>
        <v>764823.185</v>
      </c>
      <c r="M20" s="6">
        <f t="shared" si="5"/>
        <v>0</v>
      </c>
      <c r="O20">
        <f t="shared" si="6"/>
        <v>35.23809524</v>
      </c>
      <c r="P20">
        <f t="shared" si="7"/>
        <v>6.579091407</v>
      </c>
      <c r="Q20">
        <f t="shared" si="8"/>
        <v>58.18281336</v>
      </c>
      <c r="R20">
        <f t="shared" si="9"/>
        <v>0</v>
      </c>
      <c r="T20">
        <f t="shared" si="10"/>
        <v>58.84641489</v>
      </c>
      <c r="U20">
        <f t="shared" si="11"/>
        <v>69.17110016</v>
      </c>
      <c r="V20" s="33">
        <f t="shared" si="12"/>
        <v>71.98248495</v>
      </c>
      <c r="W20" s="1">
        <v>0.0</v>
      </c>
    </row>
    <row r="21">
      <c r="A21" s="1" t="s">
        <v>144</v>
      </c>
      <c r="B21" s="1">
        <v>1446478.0</v>
      </c>
      <c r="D21" s="6">
        <v>32.37</v>
      </c>
      <c r="E21" s="6">
        <v>10.3</v>
      </c>
      <c r="F21" s="6">
        <v>44.11</v>
      </c>
      <c r="G21" s="6">
        <v>0.0</v>
      </c>
      <c r="H21">
        <f t="shared" si="1"/>
        <v>86.78</v>
      </c>
      <c r="I21" s="6"/>
      <c r="J21" s="6">
        <f t="shared" si="2"/>
        <v>468224.9286</v>
      </c>
      <c r="K21" s="6">
        <f t="shared" si="3"/>
        <v>148987.234</v>
      </c>
      <c r="L21" s="6">
        <f t="shared" si="4"/>
        <v>638041.4458</v>
      </c>
      <c r="M21" s="6">
        <f t="shared" si="5"/>
        <v>0</v>
      </c>
      <c r="O21">
        <f t="shared" si="6"/>
        <v>37.30122148</v>
      </c>
      <c r="P21">
        <f t="shared" si="7"/>
        <v>11.86909426</v>
      </c>
      <c r="Q21">
        <f t="shared" si="8"/>
        <v>50.82968426</v>
      </c>
      <c r="R21">
        <f t="shared" si="9"/>
        <v>0</v>
      </c>
      <c r="T21">
        <f t="shared" si="10"/>
        <v>62.02731044</v>
      </c>
      <c r="U21" s="5">
        <f t="shared" si="11"/>
        <v>70.91680111</v>
      </c>
      <c r="V21" s="1">
        <f t="shared" si="12"/>
        <v>67.05588845</v>
      </c>
      <c r="W21" s="1">
        <v>0.0</v>
      </c>
    </row>
    <row r="22">
      <c r="A22" s="14" t="s">
        <v>145</v>
      </c>
      <c r="B22" s="1">
        <v>1582626.0</v>
      </c>
      <c r="D22" s="6">
        <v>29.69</v>
      </c>
      <c r="E22" s="6">
        <v>41.15</v>
      </c>
      <c r="F22" s="6">
        <v>12.22</v>
      </c>
      <c r="G22" s="6">
        <v>0.0</v>
      </c>
      <c r="H22">
        <f t="shared" si="1"/>
        <v>83.06</v>
      </c>
      <c r="I22" s="6"/>
      <c r="J22" s="6">
        <f t="shared" si="2"/>
        <v>469881.6594</v>
      </c>
      <c r="K22" s="6">
        <f t="shared" si="3"/>
        <v>651250.599</v>
      </c>
      <c r="L22" s="6">
        <f t="shared" si="4"/>
        <v>193396.8972</v>
      </c>
      <c r="M22" s="6">
        <f t="shared" si="5"/>
        <v>0</v>
      </c>
      <c r="O22">
        <f t="shared" si="6"/>
        <v>35.7452444</v>
      </c>
      <c r="P22">
        <f t="shared" si="7"/>
        <v>49.5424994</v>
      </c>
      <c r="Q22">
        <f t="shared" si="8"/>
        <v>14.7122562</v>
      </c>
      <c r="R22">
        <f t="shared" si="9"/>
        <v>0</v>
      </c>
      <c r="T22">
        <f t="shared" si="10"/>
        <v>73.79376354</v>
      </c>
      <c r="U22" s="5">
        <f t="shared" si="11"/>
        <v>83.3490248</v>
      </c>
      <c r="V22" s="1">
        <f t="shared" si="12"/>
        <v>42.85721165</v>
      </c>
      <c r="W22" s="1">
        <v>0.0</v>
      </c>
    </row>
    <row r="23">
      <c r="A23" s="14" t="s">
        <v>146</v>
      </c>
      <c r="B23" s="1">
        <v>1725693.0</v>
      </c>
      <c r="D23" s="6">
        <v>24.4</v>
      </c>
      <c r="E23" s="6">
        <v>30.22</v>
      </c>
      <c r="F23" s="6">
        <v>35.65</v>
      </c>
      <c r="G23" s="6">
        <v>0.0</v>
      </c>
      <c r="H23">
        <f t="shared" si="1"/>
        <v>90.27</v>
      </c>
      <c r="I23" s="6"/>
      <c r="J23" s="6">
        <f t="shared" si="2"/>
        <v>421069.092</v>
      </c>
      <c r="K23" s="6">
        <f t="shared" si="3"/>
        <v>521504.4246</v>
      </c>
      <c r="L23" s="6">
        <f t="shared" si="4"/>
        <v>615209.5545</v>
      </c>
      <c r="M23" s="6">
        <f t="shared" si="5"/>
        <v>0</v>
      </c>
      <c r="O23">
        <f t="shared" si="6"/>
        <v>27.03002105</v>
      </c>
      <c r="P23">
        <f t="shared" si="7"/>
        <v>33.47734574</v>
      </c>
      <c r="Q23">
        <f t="shared" si="8"/>
        <v>39.49263321</v>
      </c>
      <c r="R23">
        <f t="shared" si="9"/>
        <v>0</v>
      </c>
      <c r="T23">
        <f t="shared" si="10"/>
        <v>62.49241165</v>
      </c>
      <c r="U23" s="5">
        <f t="shared" si="11"/>
        <v>78.04752409</v>
      </c>
      <c r="V23" s="1">
        <f t="shared" si="12"/>
        <v>59.46006425</v>
      </c>
      <c r="W23" s="1">
        <v>0.0</v>
      </c>
    </row>
    <row r="24">
      <c r="A24" s="1" t="s">
        <v>147</v>
      </c>
      <c r="B24" s="1">
        <v>1495445.0</v>
      </c>
      <c r="D24" s="6">
        <v>37.98</v>
      </c>
      <c r="E24" s="6">
        <v>12.6</v>
      </c>
      <c r="F24" s="6">
        <v>33.75</v>
      </c>
      <c r="G24" s="6">
        <v>0.0</v>
      </c>
      <c r="H24">
        <f t="shared" si="1"/>
        <v>84.33</v>
      </c>
      <c r="I24" s="6"/>
      <c r="J24" s="6">
        <f t="shared" si="2"/>
        <v>567970.011</v>
      </c>
      <c r="K24" s="6">
        <f t="shared" si="3"/>
        <v>188426.07</v>
      </c>
      <c r="L24" s="6">
        <f t="shared" si="4"/>
        <v>504712.6875</v>
      </c>
      <c r="M24" s="6">
        <f t="shared" si="5"/>
        <v>0</v>
      </c>
      <c r="O24">
        <f t="shared" si="6"/>
        <v>45.03735326</v>
      </c>
      <c r="P24">
        <f t="shared" si="7"/>
        <v>14.94130203</v>
      </c>
      <c r="Q24">
        <f t="shared" si="8"/>
        <v>40.02134472</v>
      </c>
      <c r="R24">
        <f t="shared" si="9"/>
        <v>0</v>
      </c>
      <c r="T24">
        <f t="shared" si="10"/>
        <v>68.25506937</v>
      </c>
      <c r="U24" s="5">
        <f t="shared" si="11"/>
        <v>71.93062967</v>
      </c>
      <c r="V24" s="1">
        <f t="shared" si="12"/>
        <v>59.81430096</v>
      </c>
      <c r="W24" s="1">
        <v>0.0</v>
      </c>
    </row>
    <row r="25">
      <c r="A25" s="1" t="s">
        <v>148</v>
      </c>
      <c r="B25" s="1">
        <v>1551363.0</v>
      </c>
      <c r="D25" s="1">
        <v>49.46</v>
      </c>
      <c r="E25" s="1">
        <v>8.97</v>
      </c>
      <c r="F25" s="1">
        <v>26.02</v>
      </c>
      <c r="G25" s="6">
        <v>0.0</v>
      </c>
      <c r="H25">
        <f t="shared" si="1"/>
        <v>84.45</v>
      </c>
      <c r="J25" s="6">
        <f t="shared" si="2"/>
        <v>767304.1398</v>
      </c>
      <c r="K25" s="6">
        <f t="shared" si="3"/>
        <v>139157.2611</v>
      </c>
      <c r="L25" s="6">
        <f t="shared" si="4"/>
        <v>403664.6526</v>
      </c>
      <c r="M25" s="6">
        <f t="shared" si="5"/>
        <v>0</v>
      </c>
      <c r="O25">
        <f t="shared" si="6"/>
        <v>58.56719953</v>
      </c>
      <c r="P25">
        <f t="shared" si="7"/>
        <v>10.62166963</v>
      </c>
      <c r="Q25">
        <f t="shared" si="8"/>
        <v>30.81113085</v>
      </c>
      <c r="R25">
        <f t="shared" si="9"/>
        <v>0</v>
      </c>
      <c r="T25" s="5">
        <f t="shared" si="10"/>
        <v>75.85139136</v>
      </c>
      <c r="U25">
        <f t="shared" si="11"/>
        <v>70.50515098</v>
      </c>
      <c r="V25" s="1">
        <f t="shared" si="12"/>
        <v>53.64345767</v>
      </c>
      <c r="W25" s="1">
        <v>0.0</v>
      </c>
    </row>
    <row r="26">
      <c r="A26" s="1" t="s">
        <v>149</v>
      </c>
      <c r="B26" s="1">
        <v>1566321.0</v>
      </c>
      <c r="D26" s="1">
        <v>32.99</v>
      </c>
      <c r="E26" s="1">
        <v>15.68</v>
      </c>
      <c r="F26" s="1">
        <v>22.27</v>
      </c>
      <c r="G26" s="6">
        <v>11.26</v>
      </c>
      <c r="H26">
        <f t="shared" si="1"/>
        <v>82.2</v>
      </c>
      <c r="J26" s="6">
        <f t="shared" si="2"/>
        <v>516729.2979</v>
      </c>
      <c r="K26" s="6">
        <f t="shared" si="3"/>
        <v>245599.1328</v>
      </c>
      <c r="L26" s="6">
        <f t="shared" si="4"/>
        <v>348819.6867</v>
      </c>
      <c r="M26" s="6">
        <f t="shared" si="5"/>
        <v>176367.7446</v>
      </c>
      <c r="O26">
        <f t="shared" si="6"/>
        <v>40.13381995</v>
      </c>
      <c r="P26">
        <f t="shared" si="7"/>
        <v>19.07542579</v>
      </c>
      <c r="Q26">
        <f t="shared" si="8"/>
        <v>27.09245742</v>
      </c>
      <c r="R26">
        <f t="shared" si="9"/>
        <v>13.69829684</v>
      </c>
      <c r="T26">
        <f t="shared" si="10"/>
        <v>61.85486618</v>
      </c>
      <c r="U26" s="5">
        <f t="shared" si="11"/>
        <v>64.11703163</v>
      </c>
      <c r="V26" s="1">
        <f t="shared" si="12"/>
        <v>46.63150852</v>
      </c>
      <c r="W26" s="1">
        <v>0.0</v>
      </c>
    </row>
    <row r="27">
      <c r="A27" s="1" t="s">
        <v>150</v>
      </c>
      <c r="B27" s="1">
        <v>1654838.0</v>
      </c>
      <c r="D27" s="1">
        <v>52.99</v>
      </c>
      <c r="E27" s="1">
        <v>11.11</v>
      </c>
      <c r="F27" s="1">
        <v>21.23</v>
      </c>
      <c r="G27" s="6">
        <v>0.0</v>
      </c>
      <c r="H27">
        <f t="shared" si="1"/>
        <v>85.33</v>
      </c>
      <c r="J27" s="6">
        <f t="shared" si="2"/>
        <v>876898.6562</v>
      </c>
      <c r="K27" s="6">
        <f t="shared" si="3"/>
        <v>183852.5018</v>
      </c>
      <c r="L27" s="6">
        <f t="shared" si="4"/>
        <v>351322.1074</v>
      </c>
      <c r="M27" s="6">
        <f t="shared" si="5"/>
        <v>0</v>
      </c>
      <c r="O27">
        <f t="shared" si="6"/>
        <v>62.10008203</v>
      </c>
      <c r="P27">
        <f t="shared" si="7"/>
        <v>13.02003985</v>
      </c>
      <c r="Q27">
        <f t="shared" si="8"/>
        <v>24.87987812</v>
      </c>
      <c r="R27">
        <f t="shared" si="9"/>
        <v>0</v>
      </c>
      <c r="T27" s="5">
        <f t="shared" si="10"/>
        <v>79.03386851</v>
      </c>
      <c r="U27">
        <f t="shared" si="11"/>
        <v>71.29661315</v>
      </c>
      <c r="V27" s="1">
        <f t="shared" si="12"/>
        <v>49.66951834</v>
      </c>
      <c r="W27" s="1">
        <v>0.0</v>
      </c>
    </row>
    <row r="28">
      <c r="A28" s="1" t="s">
        <v>151</v>
      </c>
      <c r="B28" s="1">
        <v>1563860.0</v>
      </c>
      <c r="D28" s="1">
        <v>42.16</v>
      </c>
      <c r="E28" s="1">
        <v>8.96</v>
      </c>
      <c r="F28" s="1">
        <v>29.28</v>
      </c>
      <c r="G28" s="1">
        <v>9.16</v>
      </c>
      <c r="H28">
        <f t="shared" si="1"/>
        <v>89.56</v>
      </c>
      <c r="J28" s="6">
        <f t="shared" si="2"/>
        <v>659323.376</v>
      </c>
      <c r="K28" s="6">
        <f t="shared" si="3"/>
        <v>140121.856</v>
      </c>
      <c r="L28" s="6">
        <f t="shared" si="4"/>
        <v>457898.208</v>
      </c>
      <c r="M28" s="6">
        <f t="shared" si="5"/>
        <v>143249.576</v>
      </c>
      <c r="O28">
        <f t="shared" si="6"/>
        <v>47.07458687</v>
      </c>
      <c r="P28">
        <f t="shared" si="7"/>
        <v>10.00446628</v>
      </c>
      <c r="Q28">
        <f t="shared" si="8"/>
        <v>32.69316659</v>
      </c>
      <c r="R28">
        <f t="shared" si="9"/>
        <v>10.22778026</v>
      </c>
      <c r="T28" s="5">
        <f t="shared" si="10"/>
        <v>64.56632425</v>
      </c>
      <c r="U28">
        <f t="shared" si="11"/>
        <v>63.4488611</v>
      </c>
      <c r="V28" s="1">
        <f t="shared" si="12"/>
        <v>51.52925413</v>
      </c>
      <c r="W28" s="1">
        <v>0.0</v>
      </c>
    </row>
    <row r="29">
      <c r="A29" s="1" t="s">
        <v>152</v>
      </c>
      <c r="B29" s="1">
        <v>1642068.0</v>
      </c>
      <c r="D29" s="1">
        <v>37.88</v>
      </c>
      <c r="E29" s="1">
        <v>17.65</v>
      </c>
      <c r="F29" s="1">
        <v>33.34</v>
      </c>
      <c r="G29" s="1">
        <v>0.0</v>
      </c>
      <c r="H29">
        <f t="shared" si="1"/>
        <v>88.87</v>
      </c>
      <c r="J29" s="6">
        <f t="shared" si="2"/>
        <v>622015.3584</v>
      </c>
      <c r="K29" s="6">
        <f t="shared" si="3"/>
        <v>289825.002</v>
      </c>
      <c r="L29" s="6">
        <f t="shared" si="4"/>
        <v>547465.4712</v>
      </c>
      <c r="M29" s="6">
        <f t="shared" si="5"/>
        <v>0</v>
      </c>
      <c r="O29">
        <f t="shared" si="6"/>
        <v>42.62405761</v>
      </c>
      <c r="P29">
        <f t="shared" si="7"/>
        <v>19.86047035</v>
      </c>
      <c r="Q29">
        <f t="shared" si="8"/>
        <v>37.51547204</v>
      </c>
      <c r="R29">
        <f t="shared" si="9"/>
        <v>0</v>
      </c>
      <c r="T29">
        <f t="shared" si="10"/>
        <v>68.31067852</v>
      </c>
      <c r="U29" s="5">
        <f t="shared" si="11"/>
        <v>73.55395522</v>
      </c>
      <c r="V29" s="1">
        <f t="shared" si="12"/>
        <v>58.13536627</v>
      </c>
      <c r="W29" s="1">
        <v>0.0</v>
      </c>
    </row>
    <row r="30">
      <c r="A30" s="1" t="s">
        <v>153</v>
      </c>
      <c r="B30" s="1">
        <v>1538740.0</v>
      </c>
      <c r="D30" s="1">
        <v>41.12</v>
      </c>
      <c r="E30" s="1">
        <v>12.39</v>
      </c>
      <c r="F30" s="1">
        <v>36.38</v>
      </c>
      <c r="G30" s="1"/>
      <c r="H30">
        <f t="shared" si="1"/>
        <v>89.89</v>
      </c>
      <c r="J30" s="6">
        <f t="shared" si="2"/>
        <v>632729.888</v>
      </c>
      <c r="K30" s="6">
        <f t="shared" si="3"/>
        <v>190649.886</v>
      </c>
      <c r="L30" s="6">
        <f t="shared" si="4"/>
        <v>559793.612</v>
      </c>
      <c r="M30" s="6">
        <f t="shared" si="5"/>
        <v>0</v>
      </c>
      <c r="O30">
        <f t="shared" si="6"/>
        <v>45.7447992</v>
      </c>
      <c r="P30">
        <f t="shared" si="7"/>
        <v>13.78351318</v>
      </c>
      <c r="Q30">
        <f t="shared" si="8"/>
        <v>40.47168762</v>
      </c>
      <c r="R30">
        <f t="shared" si="9"/>
        <v>0</v>
      </c>
      <c r="T30">
        <f t="shared" si="10"/>
        <v>68.33540995</v>
      </c>
      <c r="U30" s="5">
        <f t="shared" si="11"/>
        <v>71.54855935</v>
      </c>
      <c r="V30" s="1">
        <f t="shared" si="12"/>
        <v>60.1160307</v>
      </c>
      <c r="W30" s="1">
        <v>0.0</v>
      </c>
    </row>
    <row r="31">
      <c r="A31" s="1" t="s">
        <v>154</v>
      </c>
      <c r="B31" s="1">
        <v>1649547.0</v>
      </c>
      <c r="D31" s="1">
        <v>50.31</v>
      </c>
      <c r="E31" s="1">
        <v>10.58</v>
      </c>
      <c r="F31" s="1">
        <v>25.41</v>
      </c>
      <c r="G31" s="1">
        <v>5.81</v>
      </c>
      <c r="H31">
        <f t="shared" si="1"/>
        <v>92.11</v>
      </c>
      <c r="J31" s="6">
        <f t="shared" si="2"/>
        <v>829887.0957</v>
      </c>
      <c r="K31" s="6">
        <f t="shared" si="3"/>
        <v>174522.0726</v>
      </c>
      <c r="L31" s="6">
        <f t="shared" si="4"/>
        <v>419149.8927</v>
      </c>
      <c r="M31" s="6">
        <f t="shared" si="5"/>
        <v>95838.6807</v>
      </c>
      <c r="O31">
        <f t="shared" si="6"/>
        <v>54.61947671</v>
      </c>
      <c r="P31">
        <f t="shared" si="7"/>
        <v>11.48626642</v>
      </c>
      <c r="Q31">
        <f t="shared" si="8"/>
        <v>27.58658126</v>
      </c>
      <c r="R31">
        <f t="shared" si="9"/>
        <v>6.307675605</v>
      </c>
      <c r="T31" s="5">
        <f t="shared" si="10"/>
        <v>71.41884703</v>
      </c>
      <c r="U31">
        <f t="shared" si="11"/>
        <v>66.56432526</v>
      </c>
      <c r="V31" s="1">
        <f t="shared" si="12"/>
        <v>49.4014765</v>
      </c>
      <c r="W31" s="1">
        <v>0.0</v>
      </c>
    </row>
    <row r="32">
      <c r="A32" s="1" t="s">
        <v>155</v>
      </c>
      <c r="B32" s="1">
        <v>1426217.0</v>
      </c>
      <c r="D32" s="1">
        <v>36.95</v>
      </c>
      <c r="E32" s="1">
        <v>13.93</v>
      </c>
      <c r="F32" s="1">
        <v>29.91</v>
      </c>
      <c r="G32" s="1">
        <v>6.18</v>
      </c>
      <c r="H32">
        <f t="shared" si="1"/>
        <v>86.97</v>
      </c>
      <c r="J32" s="6">
        <f t="shared" si="2"/>
        <v>526987.1815</v>
      </c>
      <c r="K32" s="6">
        <f t="shared" si="3"/>
        <v>198672.0281</v>
      </c>
      <c r="L32" s="6">
        <f t="shared" si="4"/>
        <v>426581.5047</v>
      </c>
      <c r="M32" s="6">
        <f t="shared" si="5"/>
        <v>88140.2106</v>
      </c>
      <c r="O32">
        <f t="shared" si="6"/>
        <v>42.48591468</v>
      </c>
      <c r="P32">
        <f t="shared" si="7"/>
        <v>16.01701736</v>
      </c>
      <c r="Q32">
        <f t="shared" si="8"/>
        <v>34.39116937</v>
      </c>
      <c r="R32">
        <f t="shared" si="9"/>
        <v>7.105898586</v>
      </c>
      <c r="T32">
        <f t="shared" si="10"/>
        <v>64.56640221</v>
      </c>
      <c r="U32" s="5">
        <f t="shared" si="11"/>
        <v>67.52466368</v>
      </c>
      <c r="V32" s="1">
        <f t="shared" si="12"/>
        <v>53.69713694</v>
      </c>
      <c r="W32" s="1">
        <v>0.0</v>
      </c>
    </row>
    <row r="33">
      <c r="A33" s="1" t="s">
        <v>156</v>
      </c>
      <c r="B33" s="1">
        <v>1504451.0</v>
      </c>
      <c r="D33" s="1">
        <v>31.33</v>
      </c>
      <c r="E33" s="1">
        <v>23.18</v>
      </c>
      <c r="F33" s="1">
        <v>30.53</v>
      </c>
      <c r="G33" s="1">
        <v>0.0</v>
      </c>
      <c r="H33">
        <f t="shared" si="1"/>
        <v>85.04</v>
      </c>
      <c r="J33" s="6">
        <f t="shared" si="2"/>
        <v>471344.4983</v>
      </c>
      <c r="K33" s="6">
        <f t="shared" si="3"/>
        <v>348731.7418</v>
      </c>
      <c r="L33" s="6">
        <f t="shared" si="4"/>
        <v>459308.8903</v>
      </c>
      <c r="M33" s="6">
        <f t="shared" si="5"/>
        <v>0</v>
      </c>
      <c r="O33">
        <f t="shared" si="6"/>
        <v>36.84148636</v>
      </c>
      <c r="P33">
        <f t="shared" si="7"/>
        <v>27.25776105</v>
      </c>
      <c r="Q33">
        <f t="shared" si="8"/>
        <v>35.90075259</v>
      </c>
      <c r="R33">
        <f t="shared" si="9"/>
        <v>0</v>
      </c>
      <c r="T33">
        <f t="shared" si="10"/>
        <v>66.95143462</v>
      </c>
      <c r="U33" s="5">
        <f t="shared" si="11"/>
        <v>75.99506115</v>
      </c>
      <c r="V33" s="1">
        <f t="shared" si="12"/>
        <v>57.05350423</v>
      </c>
      <c r="W33" s="1">
        <v>0.0</v>
      </c>
    </row>
    <row r="34">
      <c r="A34" s="1" t="s">
        <v>157</v>
      </c>
      <c r="B34" s="1">
        <v>1778759.0</v>
      </c>
      <c r="D34" s="1">
        <v>39.72</v>
      </c>
      <c r="E34" s="1">
        <v>17.87</v>
      </c>
      <c r="F34" s="1">
        <v>34.31</v>
      </c>
      <c r="G34" s="1">
        <v>0.0</v>
      </c>
      <c r="H34">
        <f t="shared" si="1"/>
        <v>91.9</v>
      </c>
      <c r="J34" s="6">
        <f t="shared" si="2"/>
        <v>706523.0748</v>
      </c>
      <c r="K34" s="6">
        <f t="shared" si="3"/>
        <v>317864.2333</v>
      </c>
      <c r="L34" s="6">
        <f t="shared" si="4"/>
        <v>610292.2129</v>
      </c>
      <c r="M34" s="6">
        <f t="shared" si="5"/>
        <v>0</v>
      </c>
      <c r="O34">
        <f t="shared" si="6"/>
        <v>43.22089227</v>
      </c>
      <c r="P34">
        <f t="shared" si="7"/>
        <v>19.44504897</v>
      </c>
      <c r="Q34">
        <f t="shared" si="8"/>
        <v>37.33405876</v>
      </c>
      <c r="R34">
        <f t="shared" si="9"/>
        <v>0</v>
      </c>
      <c r="T34">
        <f t="shared" si="10"/>
        <v>68.56931447</v>
      </c>
      <c r="U34" s="5">
        <f t="shared" si="11"/>
        <v>73.41686616</v>
      </c>
      <c r="V34" s="1">
        <f t="shared" si="12"/>
        <v>58.01381937</v>
      </c>
      <c r="W34" s="1">
        <v>0.0</v>
      </c>
    </row>
    <row r="35">
      <c r="A35" s="1" t="s">
        <v>158</v>
      </c>
      <c r="B35" s="1">
        <v>1506587.0</v>
      </c>
      <c r="D35" s="1">
        <v>35.01</v>
      </c>
      <c r="E35" s="1">
        <v>24.58</v>
      </c>
      <c r="F35" s="1">
        <v>26.53</v>
      </c>
      <c r="G35" s="1">
        <v>0.0</v>
      </c>
      <c r="H35">
        <f t="shared" si="1"/>
        <v>86.12</v>
      </c>
      <c r="J35" s="6">
        <f t="shared" si="2"/>
        <v>527456.1087</v>
      </c>
      <c r="K35" s="6">
        <f t="shared" si="3"/>
        <v>370319.0846</v>
      </c>
      <c r="L35" s="6">
        <f t="shared" si="4"/>
        <v>399697.5311</v>
      </c>
      <c r="M35" s="6">
        <f t="shared" si="5"/>
        <v>0</v>
      </c>
      <c r="O35">
        <f t="shared" si="6"/>
        <v>40.6525778</v>
      </c>
      <c r="P35">
        <f t="shared" si="7"/>
        <v>28.5415699</v>
      </c>
      <c r="Q35">
        <f t="shared" si="8"/>
        <v>30.8058523</v>
      </c>
      <c r="R35">
        <f t="shared" si="9"/>
        <v>0</v>
      </c>
      <c r="T35">
        <f t="shared" si="10"/>
        <v>69.94136089</v>
      </c>
      <c r="U35" s="5">
        <f t="shared" si="11"/>
        <v>76.41871807</v>
      </c>
      <c r="V35" s="1">
        <f t="shared" si="12"/>
        <v>53.63992104</v>
      </c>
      <c r="W35" s="1">
        <v>0.0</v>
      </c>
    </row>
    <row r="36">
      <c r="A36" s="1" t="s">
        <v>159</v>
      </c>
      <c r="B36" s="1">
        <v>1685339.0</v>
      </c>
      <c r="D36" s="1">
        <v>36.76</v>
      </c>
      <c r="E36" s="1">
        <v>13.58</v>
      </c>
      <c r="F36" s="1">
        <v>37.74</v>
      </c>
      <c r="G36" s="1">
        <v>0.0</v>
      </c>
      <c r="H36">
        <f t="shared" si="1"/>
        <v>88.08</v>
      </c>
      <c r="J36" s="6">
        <f t="shared" si="2"/>
        <v>619530.6164</v>
      </c>
      <c r="K36" s="6">
        <f t="shared" si="3"/>
        <v>228869.0362</v>
      </c>
      <c r="L36" s="6">
        <f t="shared" si="4"/>
        <v>636046.9386</v>
      </c>
      <c r="M36" s="6">
        <f t="shared" si="5"/>
        <v>0</v>
      </c>
      <c r="O36">
        <f t="shared" si="6"/>
        <v>41.73478656</v>
      </c>
      <c r="P36">
        <f t="shared" si="7"/>
        <v>15.417802</v>
      </c>
      <c r="Q36">
        <f t="shared" si="8"/>
        <v>42.84741144</v>
      </c>
      <c r="R36">
        <f t="shared" si="9"/>
        <v>0</v>
      </c>
      <c r="T36">
        <f t="shared" si="10"/>
        <v>66.20435967</v>
      </c>
      <c r="U36" s="5">
        <f t="shared" si="11"/>
        <v>72.08787466</v>
      </c>
      <c r="V36" s="1">
        <f t="shared" si="12"/>
        <v>61.70776567</v>
      </c>
      <c r="W36" s="1">
        <v>0.0</v>
      </c>
    </row>
    <row r="37">
      <c r="A37" s="1" t="s">
        <v>160</v>
      </c>
      <c r="B37" s="1">
        <v>1549456.0</v>
      </c>
      <c r="D37" s="1">
        <v>30.58</v>
      </c>
      <c r="E37" s="1">
        <v>24.54</v>
      </c>
      <c r="F37" s="1">
        <v>31.71</v>
      </c>
      <c r="G37" s="1">
        <v>0.0</v>
      </c>
      <c r="H37">
        <f t="shared" si="1"/>
        <v>86.83</v>
      </c>
      <c r="J37" s="6">
        <f t="shared" si="2"/>
        <v>473823.6448</v>
      </c>
      <c r="K37" s="6">
        <f t="shared" si="3"/>
        <v>380236.5024</v>
      </c>
      <c r="L37" s="6">
        <f t="shared" si="4"/>
        <v>491332.4976</v>
      </c>
      <c r="M37" s="6">
        <f t="shared" si="5"/>
        <v>0</v>
      </c>
      <c r="O37">
        <f t="shared" si="6"/>
        <v>35.21824254</v>
      </c>
      <c r="P37">
        <f t="shared" si="7"/>
        <v>28.26212139</v>
      </c>
      <c r="Q37">
        <f t="shared" si="8"/>
        <v>36.51963607</v>
      </c>
      <c r="R37">
        <f t="shared" si="9"/>
        <v>0</v>
      </c>
      <c r="T37">
        <f t="shared" si="10"/>
        <v>66.20534378</v>
      </c>
      <c r="U37" s="5">
        <f t="shared" si="11"/>
        <v>76.32650006</v>
      </c>
      <c r="V37" s="1">
        <f t="shared" si="12"/>
        <v>57.46815617</v>
      </c>
      <c r="W37" s="1">
        <v>0.0</v>
      </c>
    </row>
    <row r="38">
      <c r="A38" s="1" t="s">
        <v>161</v>
      </c>
      <c r="B38" s="1">
        <v>1719984.0</v>
      </c>
      <c r="D38" s="1">
        <v>38.59</v>
      </c>
      <c r="E38" s="1">
        <v>26.66</v>
      </c>
      <c r="F38" s="1">
        <v>20.01</v>
      </c>
      <c r="G38" s="1">
        <v>0.0</v>
      </c>
      <c r="H38">
        <f t="shared" si="1"/>
        <v>85.26</v>
      </c>
      <c r="J38" s="6">
        <f t="shared" si="2"/>
        <v>663741.8256</v>
      </c>
      <c r="K38" s="6">
        <f t="shared" si="3"/>
        <v>458547.7344</v>
      </c>
      <c r="L38" s="6">
        <f t="shared" si="4"/>
        <v>344168.7984</v>
      </c>
      <c r="M38" s="6">
        <f t="shared" si="5"/>
        <v>0</v>
      </c>
      <c r="O38">
        <f t="shared" si="6"/>
        <v>45.2615529</v>
      </c>
      <c r="P38">
        <f t="shared" si="7"/>
        <v>31.26905935</v>
      </c>
      <c r="Q38">
        <f t="shared" si="8"/>
        <v>23.46938776</v>
      </c>
      <c r="R38">
        <f t="shared" si="9"/>
        <v>0</v>
      </c>
      <c r="T38">
        <f t="shared" si="10"/>
        <v>73.95672062</v>
      </c>
      <c r="U38" s="5">
        <f t="shared" si="11"/>
        <v>77.31878958</v>
      </c>
      <c r="V38" s="1">
        <f t="shared" si="12"/>
        <v>48.7244898</v>
      </c>
      <c r="W38" s="1">
        <v>0.0</v>
      </c>
    </row>
    <row r="39">
      <c r="A39" s="1" t="s">
        <v>163</v>
      </c>
      <c r="B39" s="1">
        <v>1951967.0</v>
      </c>
      <c r="D39" s="1">
        <v>33.88</v>
      </c>
      <c r="E39" s="1">
        <v>34.93</v>
      </c>
      <c r="F39" s="1">
        <v>13.81</v>
      </c>
      <c r="G39" s="1">
        <v>0.0</v>
      </c>
      <c r="H39">
        <f t="shared" si="1"/>
        <v>82.62</v>
      </c>
      <c r="J39" s="6">
        <f t="shared" si="2"/>
        <v>661326.4196</v>
      </c>
      <c r="K39" s="6">
        <f t="shared" si="3"/>
        <v>681822.0731</v>
      </c>
      <c r="L39" s="6">
        <f t="shared" si="4"/>
        <v>269566.6427</v>
      </c>
      <c r="M39" s="6">
        <f t="shared" si="5"/>
        <v>0</v>
      </c>
      <c r="O39">
        <f t="shared" si="6"/>
        <v>41.00702009</v>
      </c>
      <c r="P39">
        <f t="shared" si="7"/>
        <v>42.27789881</v>
      </c>
      <c r="Q39">
        <f t="shared" si="8"/>
        <v>16.71508109</v>
      </c>
      <c r="R39">
        <f t="shared" si="9"/>
        <v>0</v>
      </c>
      <c r="T39">
        <f t="shared" si="10"/>
        <v>74.84918906</v>
      </c>
      <c r="U39" s="5">
        <f t="shared" si="11"/>
        <v>80.95170661</v>
      </c>
      <c r="V39" s="1">
        <f t="shared" si="12"/>
        <v>44.19910433</v>
      </c>
      <c r="W39" s="1">
        <v>0.0</v>
      </c>
    </row>
    <row r="40">
      <c r="A40" s="1" t="s">
        <v>166</v>
      </c>
      <c r="B40" s="1">
        <v>1946249.0</v>
      </c>
      <c r="D40" s="1">
        <v>55.04</v>
      </c>
      <c r="E40" s="1">
        <v>10.31</v>
      </c>
      <c r="F40" s="1">
        <v>24.93</v>
      </c>
      <c r="G40" s="1">
        <v>0.0</v>
      </c>
      <c r="H40">
        <f t="shared" si="1"/>
        <v>90.28</v>
      </c>
      <c r="J40" s="6">
        <f t="shared" si="2"/>
        <v>1071215.45</v>
      </c>
      <c r="K40" s="6">
        <f t="shared" si="3"/>
        <v>200658.2719</v>
      </c>
      <c r="L40" s="6">
        <f t="shared" si="4"/>
        <v>485199.8757</v>
      </c>
      <c r="M40" s="6">
        <f t="shared" si="5"/>
        <v>0</v>
      </c>
      <c r="O40">
        <f t="shared" si="6"/>
        <v>60.96588392</v>
      </c>
      <c r="P40">
        <f t="shared" si="7"/>
        <v>11.42002658</v>
      </c>
      <c r="Q40">
        <f t="shared" si="8"/>
        <v>27.6140895</v>
      </c>
      <c r="R40">
        <f t="shared" si="9"/>
        <v>0</v>
      </c>
      <c r="T40" s="5">
        <f t="shared" si="10"/>
        <v>77.72995126</v>
      </c>
      <c r="U40">
        <f t="shared" si="11"/>
        <v>70.76860877</v>
      </c>
      <c r="V40" s="1">
        <f t="shared" si="12"/>
        <v>51.50143996</v>
      </c>
      <c r="W40" s="1">
        <v>0.0</v>
      </c>
    </row>
    <row r="41">
      <c r="A41" s="1" t="s">
        <v>167</v>
      </c>
      <c r="B41" s="1">
        <v>1736074.0</v>
      </c>
      <c r="D41" s="1">
        <v>39.16</v>
      </c>
      <c r="E41" s="1">
        <v>9.93</v>
      </c>
      <c r="F41" s="1">
        <v>35.04</v>
      </c>
      <c r="G41" s="1">
        <v>5.27</v>
      </c>
      <c r="H41">
        <f t="shared" si="1"/>
        <v>89.4</v>
      </c>
      <c r="J41" s="6">
        <f t="shared" si="2"/>
        <v>679846.5784</v>
      </c>
      <c r="K41" s="6">
        <f t="shared" si="3"/>
        <v>172392.1482</v>
      </c>
      <c r="L41" s="6">
        <f t="shared" si="4"/>
        <v>608320.3296</v>
      </c>
      <c r="M41" s="6">
        <f t="shared" si="5"/>
        <v>91491.0998</v>
      </c>
      <c r="O41">
        <f t="shared" si="6"/>
        <v>43.80313199</v>
      </c>
      <c r="P41">
        <f t="shared" si="7"/>
        <v>11.10738255</v>
      </c>
      <c r="Q41">
        <f t="shared" si="8"/>
        <v>39.19463087</v>
      </c>
      <c r="R41">
        <f t="shared" si="9"/>
        <v>5.894854586</v>
      </c>
      <c r="T41">
        <f t="shared" si="10"/>
        <v>64.17930649</v>
      </c>
      <c r="U41" s="5">
        <f t="shared" si="11"/>
        <v>66.71588367</v>
      </c>
      <c r="V41" s="1">
        <f t="shared" si="12"/>
        <v>57.31510067</v>
      </c>
      <c r="W41" s="1">
        <v>0.0</v>
      </c>
    </row>
    <row r="42">
      <c r="A42" s="1" t="s">
        <v>169</v>
      </c>
      <c r="B42" s="1">
        <v>1824515.0</v>
      </c>
      <c r="D42" s="1">
        <v>43.78</v>
      </c>
      <c r="E42" s="1">
        <v>8.5</v>
      </c>
      <c r="F42" s="1">
        <v>28.57</v>
      </c>
      <c r="G42" s="1">
        <v>11.06</v>
      </c>
      <c r="H42">
        <f t="shared" si="1"/>
        <v>91.91</v>
      </c>
      <c r="J42" s="6">
        <f t="shared" si="2"/>
        <v>798772.667</v>
      </c>
      <c r="K42" s="6">
        <f t="shared" si="3"/>
        <v>155083.775</v>
      </c>
      <c r="L42" s="6">
        <f t="shared" si="4"/>
        <v>521263.9355</v>
      </c>
      <c r="M42" s="6">
        <f t="shared" si="5"/>
        <v>201791.359</v>
      </c>
      <c r="O42">
        <f t="shared" si="6"/>
        <v>47.63355456</v>
      </c>
      <c r="P42">
        <f t="shared" si="7"/>
        <v>9.248177565</v>
      </c>
      <c r="Q42">
        <f t="shared" si="8"/>
        <v>31.08475683</v>
      </c>
      <c r="R42">
        <f t="shared" si="9"/>
        <v>12.03351104</v>
      </c>
      <c r="T42" s="5">
        <f t="shared" si="10"/>
        <v>64.08780329</v>
      </c>
      <c r="U42">
        <f t="shared" si="11"/>
        <v>61.9894462</v>
      </c>
      <c r="V42" s="1">
        <f t="shared" si="12"/>
        <v>49.85572843</v>
      </c>
      <c r="W42" s="1">
        <v>0.0</v>
      </c>
    </row>
    <row r="43">
      <c r="A43" s="1" t="s">
        <v>171</v>
      </c>
      <c r="B43" s="1">
        <v>1640671.0</v>
      </c>
      <c r="D43" s="1">
        <v>35.88</v>
      </c>
      <c r="E43" s="1">
        <v>13.16</v>
      </c>
      <c r="F43" s="1">
        <v>20.99</v>
      </c>
      <c r="G43" s="1">
        <v>20.78</v>
      </c>
      <c r="H43">
        <f t="shared" si="1"/>
        <v>90.81</v>
      </c>
      <c r="J43" s="6">
        <f t="shared" si="2"/>
        <v>588672.7548</v>
      </c>
      <c r="K43" s="6">
        <f t="shared" si="3"/>
        <v>215912.3036</v>
      </c>
      <c r="L43" s="6">
        <f t="shared" si="4"/>
        <v>344376.8429</v>
      </c>
      <c r="M43" s="6">
        <f t="shared" si="5"/>
        <v>340931.4338</v>
      </c>
      <c r="O43">
        <f t="shared" si="6"/>
        <v>39.51106706</v>
      </c>
      <c r="P43">
        <f t="shared" si="7"/>
        <v>14.49179606</v>
      </c>
      <c r="Q43">
        <f t="shared" si="8"/>
        <v>23.11419447</v>
      </c>
      <c r="R43">
        <f t="shared" si="9"/>
        <v>22.88294241</v>
      </c>
      <c r="T43" s="5">
        <f>O43+P43*0.75+Q43*0.5+R43*0.75</f>
        <v>79.09921815</v>
      </c>
      <c r="U43">
        <f>P43+O43*0.75+Q43*0.75+R43*0.5</f>
        <v>72.90221341</v>
      </c>
      <c r="V43" s="1">
        <f>Q43+P43*0.5+O43*0.5+R43*0.25</f>
        <v>55.83636163</v>
      </c>
      <c r="W43" s="1">
        <f>0.25*(O43+P43+Q43)</f>
        <v>19.2792644</v>
      </c>
    </row>
    <row r="44">
      <c r="A44" s="1" t="s">
        <v>175</v>
      </c>
      <c r="B44" s="1">
        <v>1607747.0</v>
      </c>
      <c r="D44" s="1">
        <v>43.19</v>
      </c>
      <c r="E44" s="1">
        <v>11.01</v>
      </c>
      <c r="F44" s="1">
        <v>35.72</v>
      </c>
      <c r="G44" s="1">
        <v>0.0</v>
      </c>
      <c r="H44">
        <f t="shared" si="1"/>
        <v>89.92</v>
      </c>
      <c r="J44" s="6">
        <f t="shared" si="2"/>
        <v>694385.9293</v>
      </c>
      <c r="K44" s="6">
        <f t="shared" si="3"/>
        <v>177012.9447</v>
      </c>
      <c r="L44" s="6">
        <f t="shared" si="4"/>
        <v>574287.2284</v>
      </c>
      <c r="M44" s="6">
        <f t="shared" si="5"/>
        <v>0</v>
      </c>
      <c r="O44">
        <f t="shared" si="6"/>
        <v>48.03158363</v>
      </c>
      <c r="P44">
        <f t="shared" si="7"/>
        <v>12.24421708</v>
      </c>
      <c r="Q44">
        <f t="shared" si="8"/>
        <v>39.72419929</v>
      </c>
      <c r="R44">
        <f t="shared" si="9"/>
        <v>0</v>
      </c>
      <c r="T44">
        <f t="shared" ref="T44:T50" si="13">O44+P44*0.67+Q44*0.33</f>
        <v>69.34419484</v>
      </c>
      <c r="U44" s="5">
        <f t="shared" ref="U44:U50" si="14">P44+O44*0.67+Q44*0.67</f>
        <v>71.04059164</v>
      </c>
      <c r="V44" s="1">
        <f t="shared" ref="V44:V50" si="15">Q44+P44*0.33+O44*0.33</f>
        <v>59.61521352</v>
      </c>
      <c r="W44" s="1">
        <v>0.0</v>
      </c>
    </row>
    <row r="45">
      <c r="A45" s="1" t="s">
        <v>179</v>
      </c>
      <c r="B45" s="1">
        <v>1580558.0</v>
      </c>
      <c r="D45" s="1">
        <v>42.88</v>
      </c>
      <c r="E45" s="1">
        <v>9.71</v>
      </c>
      <c r="F45" s="1">
        <v>29.56</v>
      </c>
      <c r="G45" s="1">
        <v>0.0</v>
      </c>
      <c r="H45">
        <f t="shared" si="1"/>
        <v>82.15</v>
      </c>
      <c r="J45" s="6">
        <f t="shared" si="2"/>
        <v>677743.2704</v>
      </c>
      <c r="K45" s="6">
        <f t="shared" si="3"/>
        <v>153472.1818</v>
      </c>
      <c r="L45" s="6">
        <f t="shared" si="4"/>
        <v>467212.9448</v>
      </c>
      <c r="M45" s="6">
        <f t="shared" si="5"/>
        <v>0</v>
      </c>
      <c r="O45">
        <f t="shared" si="6"/>
        <v>52.19720024</v>
      </c>
      <c r="P45">
        <f t="shared" si="7"/>
        <v>11.81984175</v>
      </c>
      <c r="Q45">
        <f t="shared" si="8"/>
        <v>35.982958</v>
      </c>
      <c r="R45">
        <f t="shared" si="9"/>
        <v>0</v>
      </c>
      <c r="T45" s="5">
        <f t="shared" si="13"/>
        <v>71.99087036</v>
      </c>
      <c r="U45">
        <f t="shared" si="14"/>
        <v>70.90054778</v>
      </c>
      <c r="V45" s="1">
        <f t="shared" si="15"/>
        <v>57.10858186</v>
      </c>
      <c r="W45" s="1">
        <v>0.0</v>
      </c>
    </row>
    <row r="46">
      <c r="A46" s="1" t="s">
        <v>181</v>
      </c>
      <c r="B46" s="1">
        <v>1423246.0</v>
      </c>
      <c r="D46" s="1">
        <v>39.74</v>
      </c>
      <c r="E46" s="1">
        <v>12.42</v>
      </c>
      <c r="F46" s="1">
        <v>34.53</v>
      </c>
      <c r="G46" s="1">
        <v>0.0</v>
      </c>
      <c r="H46">
        <f t="shared" si="1"/>
        <v>86.69</v>
      </c>
      <c r="J46" s="6">
        <f t="shared" si="2"/>
        <v>565597.9604</v>
      </c>
      <c r="K46" s="6">
        <f t="shared" si="3"/>
        <v>176767.1532</v>
      </c>
      <c r="L46" s="6">
        <f t="shared" si="4"/>
        <v>491446.8438</v>
      </c>
      <c r="M46" s="6">
        <f t="shared" si="5"/>
        <v>0</v>
      </c>
      <c r="O46">
        <f t="shared" si="6"/>
        <v>45.84150421</v>
      </c>
      <c r="P46">
        <f t="shared" si="7"/>
        <v>14.32691199</v>
      </c>
      <c r="Q46">
        <f t="shared" si="8"/>
        <v>39.8315838</v>
      </c>
      <c r="R46">
        <f t="shared" si="9"/>
        <v>0</v>
      </c>
      <c r="T46">
        <f t="shared" si="13"/>
        <v>68.5849579</v>
      </c>
      <c r="U46" s="5">
        <f t="shared" si="14"/>
        <v>71.72788096</v>
      </c>
      <c r="V46" s="1">
        <f t="shared" si="15"/>
        <v>59.68716115</v>
      </c>
      <c r="W46" s="1">
        <v>0.0</v>
      </c>
    </row>
    <row r="47">
      <c r="A47" s="1" t="s">
        <v>183</v>
      </c>
      <c r="B47" s="1">
        <v>1536153.0</v>
      </c>
      <c r="D47" s="1">
        <v>39.16</v>
      </c>
      <c r="E47" s="1">
        <v>17.31</v>
      </c>
      <c r="F47" s="1">
        <v>30.72</v>
      </c>
      <c r="G47" s="1">
        <v>0.0</v>
      </c>
      <c r="H47">
        <f t="shared" si="1"/>
        <v>87.19</v>
      </c>
      <c r="J47" s="6">
        <f t="shared" si="2"/>
        <v>601557.5148</v>
      </c>
      <c r="K47" s="6">
        <f t="shared" si="3"/>
        <v>265908.0843</v>
      </c>
      <c r="L47" s="6">
        <f t="shared" si="4"/>
        <v>471906.2016</v>
      </c>
      <c r="M47" s="6">
        <f t="shared" si="5"/>
        <v>0</v>
      </c>
      <c r="O47">
        <f t="shared" si="6"/>
        <v>44.9134075</v>
      </c>
      <c r="P47">
        <f t="shared" si="7"/>
        <v>19.85319417</v>
      </c>
      <c r="Q47">
        <f t="shared" si="8"/>
        <v>35.23339833</v>
      </c>
      <c r="R47">
        <f t="shared" si="9"/>
        <v>0</v>
      </c>
      <c r="T47">
        <f t="shared" si="13"/>
        <v>69.84206904</v>
      </c>
      <c r="U47" s="5">
        <f t="shared" si="14"/>
        <v>73.55155408</v>
      </c>
      <c r="V47" s="1">
        <f t="shared" si="15"/>
        <v>56.60637688</v>
      </c>
      <c r="W47" s="1">
        <v>0.0</v>
      </c>
    </row>
    <row r="48">
      <c r="A48" s="1" t="s">
        <v>184</v>
      </c>
      <c r="B48" s="1">
        <v>1501521.0</v>
      </c>
      <c r="D48" s="1">
        <v>40.3</v>
      </c>
      <c r="E48" s="1">
        <v>16.28</v>
      </c>
      <c r="F48" s="1">
        <v>26.03</v>
      </c>
      <c r="G48" s="1">
        <v>0.0</v>
      </c>
      <c r="H48">
        <f t="shared" si="1"/>
        <v>82.61</v>
      </c>
      <c r="J48" s="6">
        <f t="shared" si="2"/>
        <v>605112.963</v>
      </c>
      <c r="K48" s="6">
        <f t="shared" si="3"/>
        <v>244447.6188</v>
      </c>
      <c r="L48" s="6">
        <f t="shared" si="4"/>
        <v>390845.9163</v>
      </c>
      <c r="M48" s="6">
        <f t="shared" si="5"/>
        <v>0</v>
      </c>
      <c r="O48">
        <f t="shared" si="6"/>
        <v>48.78344026</v>
      </c>
      <c r="P48">
        <f t="shared" si="7"/>
        <v>19.70705726</v>
      </c>
      <c r="Q48">
        <f t="shared" si="8"/>
        <v>31.50950248</v>
      </c>
      <c r="R48">
        <f t="shared" si="9"/>
        <v>0</v>
      </c>
      <c r="T48">
        <f t="shared" si="13"/>
        <v>72.38530444</v>
      </c>
      <c r="U48" s="5">
        <f t="shared" si="14"/>
        <v>73.50332889</v>
      </c>
      <c r="V48" s="1">
        <f t="shared" si="15"/>
        <v>54.11136666</v>
      </c>
      <c r="W48" s="1">
        <v>0.0</v>
      </c>
    </row>
    <row r="49">
      <c r="A49" s="1" t="s">
        <v>185</v>
      </c>
      <c r="B49" s="1">
        <v>1694895.0</v>
      </c>
      <c r="D49" s="1">
        <v>44.12</v>
      </c>
      <c r="E49" s="1">
        <v>19.02</v>
      </c>
      <c r="F49" s="1">
        <v>28.28</v>
      </c>
      <c r="G49" s="1">
        <v>0.0</v>
      </c>
      <c r="H49">
        <f t="shared" si="1"/>
        <v>91.42</v>
      </c>
      <c r="J49" s="6">
        <f t="shared" si="2"/>
        <v>747787.674</v>
      </c>
      <c r="K49" s="6">
        <f t="shared" si="3"/>
        <v>322369.029</v>
      </c>
      <c r="L49" s="6">
        <f t="shared" si="4"/>
        <v>479316.306</v>
      </c>
      <c r="M49" s="6">
        <f t="shared" si="5"/>
        <v>0</v>
      </c>
      <c r="O49">
        <f t="shared" si="6"/>
        <v>48.26077445</v>
      </c>
      <c r="P49">
        <f t="shared" si="7"/>
        <v>20.80507548</v>
      </c>
      <c r="Q49">
        <f t="shared" si="8"/>
        <v>30.93415008</v>
      </c>
      <c r="R49">
        <f t="shared" si="9"/>
        <v>0</v>
      </c>
      <c r="T49">
        <f t="shared" si="13"/>
        <v>72.40844454</v>
      </c>
      <c r="U49" s="5">
        <f t="shared" si="14"/>
        <v>73.86567491</v>
      </c>
      <c r="V49" s="1">
        <f t="shared" si="15"/>
        <v>53.72588055</v>
      </c>
      <c r="W49" s="1">
        <v>0.0</v>
      </c>
    </row>
    <row r="50">
      <c r="A50" s="1" t="s">
        <v>186</v>
      </c>
      <c r="B50" s="1">
        <v>1550936.0</v>
      </c>
      <c r="D50" s="1">
        <v>36.79</v>
      </c>
      <c r="E50" s="1">
        <v>25.6</v>
      </c>
      <c r="F50" s="1">
        <v>25.71</v>
      </c>
      <c r="G50" s="1">
        <v>0.0</v>
      </c>
      <c r="H50">
        <f t="shared" si="1"/>
        <v>88.1</v>
      </c>
      <c r="J50" s="6">
        <f t="shared" si="2"/>
        <v>570589.3544</v>
      </c>
      <c r="K50" s="6">
        <f t="shared" si="3"/>
        <v>397039.616</v>
      </c>
      <c r="L50" s="6">
        <f t="shared" si="4"/>
        <v>398745.6456</v>
      </c>
      <c r="M50" s="6">
        <f t="shared" si="5"/>
        <v>0</v>
      </c>
      <c r="O50">
        <f t="shared" si="6"/>
        <v>41.75936436</v>
      </c>
      <c r="P50">
        <f t="shared" si="7"/>
        <v>29.05788876</v>
      </c>
      <c r="Q50">
        <f t="shared" si="8"/>
        <v>29.18274688</v>
      </c>
      <c r="R50">
        <f t="shared" si="9"/>
        <v>0</v>
      </c>
      <c r="T50">
        <f t="shared" si="13"/>
        <v>70.8584563</v>
      </c>
      <c r="U50" s="5">
        <f t="shared" si="14"/>
        <v>76.58910329</v>
      </c>
      <c r="V50" s="1">
        <f t="shared" si="15"/>
        <v>52.55244041</v>
      </c>
      <c r="W50" s="1">
        <v>0.0</v>
      </c>
    </row>
    <row r="51">
      <c r="A51" s="1"/>
      <c r="B51" s="1"/>
      <c r="D51" s="1"/>
      <c r="E51" s="1"/>
      <c r="F51" s="1"/>
      <c r="G51" s="1"/>
      <c r="J51" s="6"/>
      <c r="K51" s="6"/>
      <c r="L51" s="6"/>
      <c r="M51" s="6"/>
    </row>
    <row r="52">
      <c r="G52" s="1"/>
      <c r="J52" s="6"/>
      <c r="K52" s="6"/>
      <c r="L52" s="6"/>
      <c r="M52" s="6"/>
    </row>
    <row r="53">
      <c r="G53" s="1"/>
      <c r="J53" s="6"/>
      <c r="K53" s="6"/>
      <c r="L53" s="6"/>
      <c r="M53" s="6"/>
    </row>
    <row r="54">
      <c r="J54" s="6"/>
      <c r="K54" s="6"/>
      <c r="L54" s="6"/>
      <c r="M54" s="6"/>
    </row>
    <row r="55">
      <c r="J55" s="6"/>
      <c r="K55" s="6"/>
      <c r="L55" s="6"/>
      <c r="M55" s="6"/>
    </row>
    <row r="56">
      <c r="K56" s="6"/>
      <c r="L56" s="6"/>
      <c r="M56" s="6"/>
    </row>
    <row r="57">
      <c r="K57" s="6"/>
      <c r="L57" s="6"/>
      <c r="M57" s="6"/>
    </row>
    <row r="58">
      <c r="K58" s="6"/>
      <c r="M58" s="6"/>
    </row>
  </sheetData>
  <mergeCells count="3">
    <mergeCell ref="D9:E9"/>
    <mergeCell ref="J9:K9"/>
    <mergeCell ref="O9:P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R2" s="1" t="s">
        <v>3</v>
      </c>
      <c r="S2" s="1" t="s">
        <v>5</v>
      </c>
      <c r="T2" s="1" t="s">
        <v>143</v>
      </c>
    </row>
    <row r="3">
      <c r="A3" s="1" t="s">
        <v>105</v>
      </c>
      <c r="B3" s="1" t="s">
        <v>4</v>
      </c>
      <c r="C3" s="1">
        <v>0.0</v>
      </c>
      <c r="Q3" s="1" t="s">
        <v>3</v>
      </c>
      <c r="R3" s="1">
        <v>1.0</v>
      </c>
      <c r="S3" s="1">
        <v>3.0</v>
      </c>
      <c r="T3" s="1">
        <v>2.0</v>
      </c>
    </row>
    <row r="4">
      <c r="A4" s="1" t="s">
        <v>5</v>
      </c>
      <c r="B4" s="1" t="s">
        <v>6</v>
      </c>
      <c r="C4" s="1">
        <v>0.0</v>
      </c>
      <c r="Q4" s="1" t="s">
        <v>5</v>
      </c>
      <c r="R4" s="1">
        <v>3.0</v>
      </c>
      <c r="S4" s="1">
        <v>1.0</v>
      </c>
      <c r="T4" s="1">
        <v>2.0</v>
      </c>
    </row>
    <row r="5">
      <c r="A5" s="1" t="s">
        <v>143</v>
      </c>
      <c r="C5" s="1">
        <v>1.0</v>
      </c>
      <c r="Q5" s="1" t="s">
        <v>143</v>
      </c>
      <c r="R5" s="1">
        <v>2.0</v>
      </c>
      <c r="S5" s="1">
        <v>3.0</v>
      </c>
      <c r="T5" s="1">
        <v>1.0</v>
      </c>
    </row>
    <row r="7">
      <c r="A7" s="1" t="s">
        <v>8</v>
      </c>
      <c r="B7" s="1" t="s">
        <v>41</v>
      </c>
      <c r="C7" s="1"/>
      <c r="D7" s="1" t="s">
        <v>9</v>
      </c>
      <c r="E7" s="1"/>
      <c r="F7" s="1"/>
      <c r="G7" s="1"/>
      <c r="H7" s="1"/>
      <c r="I7" s="1" t="s">
        <v>10</v>
      </c>
      <c r="J7" s="1"/>
      <c r="K7" s="1"/>
      <c r="L7" s="1"/>
      <c r="M7" s="1" t="s">
        <v>11</v>
      </c>
      <c r="N7" s="1"/>
      <c r="O7" s="1"/>
      <c r="P7" s="1"/>
      <c r="Q7" s="22" t="s">
        <v>12</v>
      </c>
      <c r="T7" s="34"/>
      <c r="U7" s="35"/>
    </row>
    <row r="8">
      <c r="B8" s="1"/>
      <c r="C8" s="1"/>
      <c r="D8" s="1" t="s">
        <v>3</v>
      </c>
      <c r="E8" s="1" t="s">
        <v>5</v>
      </c>
      <c r="F8" s="1" t="s">
        <v>143</v>
      </c>
      <c r="G8" s="1" t="s">
        <v>45</v>
      </c>
      <c r="H8" s="1"/>
      <c r="I8" s="1" t="s">
        <v>3</v>
      </c>
      <c r="J8" s="1" t="s">
        <v>5</v>
      </c>
      <c r="K8" s="1" t="s">
        <v>143</v>
      </c>
      <c r="L8" s="1"/>
      <c r="M8" s="1" t="s">
        <v>3</v>
      </c>
      <c r="N8" s="1" t="s">
        <v>5</v>
      </c>
      <c r="O8" s="1" t="s">
        <v>143</v>
      </c>
      <c r="P8" s="1"/>
      <c r="Q8" s="1" t="s">
        <v>3</v>
      </c>
      <c r="R8" s="1" t="s">
        <v>5</v>
      </c>
      <c r="S8" s="1" t="s">
        <v>143</v>
      </c>
    </row>
    <row r="9">
      <c r="A9" s="1" t="s">
        <v>40</v>
      </c>
      <c r="B9" s="1">
        <v>615214.0</v>
      </c>
      <c r="C9" s="1"/>
      <c r="D9" s="1">
        <v>42.2</v>
      </c>
      <c r="E9" s="1">
        <v>26.84</v>
      </c>
      <c r="F9" s="1">
        <v>23.97</v>
      </c>
      <c r="G9">
        <f>D9+E9+F9</f>
        <v>93.01</v>
      </c>
      <c r="I9" s="6">
        <f>B9*D9/100</f>
        <v>259620.308</v>
      </c>
      <c r="J9" s="6">
        <f>B9*E9/100</f>
        <v>165123.4376</v>
      </c>
      <c r="K9" s="6">
        <f>B9*F9/100</f>
        <v>147466.7958</v>
      </c>
      <c r="M9">
        <f>100*D9/G9</f>
        <v>45.37146543</v>
      </c>
      <c r="N9">
        <f>100*E9/G9</f>
        <v>28.85711214</v>
      </c>
      <c r="O9">
        <f>100*F9/G9</f>
        <v>25.77142243</v>
      </c>
      <c r="Q9" s="21">
        <f>M9+O9*0.67+N9*0.33</f>
        <v>72.16116547</v>
      </c>
      <c r="R9" s="21">
        <f>N9+M9*0.33+O9*0.33</f>
        <v>52.33426513</v>
      </c>
      <c r="S9" s="28">
        <f>O9+N9*0.67+M9*0.67</f>
        <v>75.5045694</v>
      </c>
    </row>
    <row r="10">
      <c r="A10" s="14"/>
      <c r="B10" s="1"/>
      <c r="C10" s="1"/>
      <c r="D10" s="6"/>
      <c r="E10" s="1"/>
      <c r="H10" s="6"/>
      <c r="I10" s="6"/>
      <c r="J10" s="6"/>
      <c r="K10" s="6"/>
    </row>
    <row r="11">
      <c r="A11" s="1"/>
      <c r="B11" s="1"/>
      <c r="D11" s="6"/>
      <c r="E11" s="6"/>
      <c r="H11" s="6"/>
      <c r="I11" s="6"/>
      <c r="J11" s="6"/>
      <c r="K11" s="6"/>
    </row>
    <row r="12">
      <c r="A12" s="1"/>
      <c r="B12" s="1"/>
      <c r="D12" s="6"/>
      <c r="E12" s="6"/>
      <c r="H12" s="6"/>
      <c r="I12" s="6"/>
      <c r="J12" s="6"/>
      <c r="K12" s="6"/>
    </row>
    <row r="13">
      <c r="A13" s="14"/>
      <c r="B13" s="1"/>
      <c r="D13" s="6"/>
      <c r="E13" s="6"/>
      <c r="H13" s="1"/>
      <c r="I13" s="6"/>
      <c r="J13" s="6"/>
      <c r="K13" s="6"/>
    </row>
    <row r="14">
      <c r="A14" s="1"/>
      <c r="B14" s="1"/>
      <c r="D14" s="6"/>
      <c r="E14" s="6"/>
      <c r="H14" s="6"/>
      <c r="I14" s="6"/>
      <c r="J14" s="6"/>
      <c r="K14" s="6"/>
    </row>
    <row r="15">
      <c r="A15" s="14"/>
      <c r="B15" s="1"/>
      <c r="D15" s="6"/>
      <c r="E15" s="6"/>
      <c r="H15" s="1"/>
      <c r="I15" s="6"/>
      <c r="J15" s="6"/>
      <c r="K15" s="6"/>
    </row>
    <row r="16">
      <c r="A16" s="1"/>
      <c r="B16" s="1"/>
      <c r="D16" s="6"/>
      <c r="E16" s="6"/>
      <c r="H16" s="6"/>
      <c r="I16" s="6"/>
      <c r="J16" s="6"/>
      <c r="K16" s="6"/>
    </row>
    <row r="17">
      <c r="A17" s="14"/>
      <c r="B17" s="1"/>
      <c r="D17" s="6"/>
      <c r="E17" s="6"/>
      <c r="H17" s="6"/>
      <c r="I17" s="6"/>
      <c r="J17" s="6"/>
      <c r="K17" s="6"/>
    </row>
    <row r="18">
      <c r="A18" s="1"/>
      <c r="B18" s="1"/>
      <c r="D18" s="6"/>
      <c r="E18" s="6"/>
      <c r="H18" s="6"/>
      <c r="I18" s="6"/>
      <c r="J18" s="6"/>
      <c r="K18" s="6"/>
    </row>
    <row r="19">
      <c r="A19" s="14"/>
      <c r="B19" s="1"/>
      <c r="D19" s="6"/>
      <c r="E19" s="6"/>
      <c r="H19" s="6"/>
      <c r="I19" s="6"/>
      <c r="J19" s="6"/>
      <c r="K19" s="6"/>
    </row>
    <row r="20">
      <c r="A20" s="14"/>
      <c r="B20" s="1"/>
      <c r="D20" s="6"/>
      <c r="E20" s="6"/>
      <c r="H20" s="6"/>
      <c r="I20" s="6"/>
      <c r="J20" s="6"/>
      <c r="K20" s="6"/>
    </row>
    <row r="21">
      <c r="A21" s="1"/>
      <c r="B21" s="1"/>
      <c r="D21" s="6"/>
      <c r="E21" s="6"/>
      <c r="H21" s="6"/>
      <c r="I21" s="6"/>
      <c r="J21" s="6"/>
      <c r="K21" s="6"/>
    </row>
    <row r="22">
      <c r="A22" s="1"/>
      <c r="B22" s="1"/>
      <c r="D22" s="1"/>
      <c r="E22" s="1"/>
      <c r="I22" s="6"/>
      <c r="J22" s="6"/>
      <c r="K22" s="6"/>
    </row>
    <row r="23">
      <c r="A23" s="1"/>
      <c r="B23" s="1"/>
      <c r="D23" s="1"/>
      <c r="E23" s="1"/>
      <c r="I23" s="6"/>
      <c r="J23" s="6"/>
      <c r="K23" s="6"/>
    </row>
    <row r="24">
      <c r="A24" s="1"/>
      <c r="B24" s="1"/>
      <c r="D24" s="1"/>
      <c r="E24" s="1"/>
      <c r="I24" s="6"/>
      <c r="J24" s="6"/>
      <c r="K24" s="6"/>
    </row>
    <row r="25">
      <c r="A25" s="1"/>
      <c r="B25" s="1"/>
      <c r="D25" s="1"/>
      <c r="E25" s="1"/>
      <c r="I25" s="6"/>
      <c r="J25" s="6"/>
      <c r="K25" s="6"/>
    </row>
    <row r="26">
      <c r="A26" s="1"/>
      <c r="B26" s="1"/>
      <c r="D26" s="1"/>
      <c r="E26" s="1"/>
      <c r="I26" s="6"/>
      <c r="J26" s="6"/>
      <c r="K26" s="6"/>
    </row>
    <row r="27">
      <c r="A27" s="1"/>
      <c r="B27" s="1"/>
      <c r="D27" s="1"/>
      <c r="E27" s="1"/>
      <c r="I27" s="6"/>
      <c r="J27" s="6"/>
      <c r="K27" s="6"/>
    </row>
    <row r="28">
      <c r="A28" s="1"/>
      <c r="B28" s="1"/>
      <c r="D28" s="1"/>
      <c r="E28" s="1"/>
      <c r="I28" s="6"/>
      <c r="J28" s="6"/>
      <c r="K28" s="6"/>
    </row>
    <row r="29">
      <c r="A29" s="1"/>
      <c r="B29" s="1"/>
      <c r="D29" s="1"/>
      <c r="E29" s="1"/>
      <c r="I29" s="6"/>
      <c r="J29" s="6"/>
      <c r="K29" s="6"/>
    </row>
    <row r="30">
      <c r="A30" s="1"/>
      <c r="B30" s="1"/>
      <c r="D30" s="1"/>
      <c r="E30" s="1"/>
      <c r="I30" s="6"/>
      <c r="J30" s="6"/>
      <c r="K30" s="6"/>
    </row>
    <row r="31">
      <c r="A31" s="1"/>
      <c r="B31" s="1"/>
      <c r="D31" s="1"/>
      <c r="E31" s="1"/>
      <c r="I31" s="6"/>
      <c r="J31" s="6"/>
      <c r="K31" s="6"/>
    </row>
    <row r="32">
      <c r="A32" s="1"/>
      <c r="B32" s="1"/>
      <c r="D32" s="1"/>
      <c r="E32" s="1"/>
      <c r="I32" s="6"/>
      <c r="J32" s="6"/>
      <c r="K32" s="6"/>
    </row>
    <row r="33">
      <c r="A33" s="1"/>
      <c r="B33" s="1"/>
      <c r="D33" s="1"/>
      <c r="E33" s="1"/>
      <c r="I33" s="6"/>
      <c r="J33" s="6"/>
      <c r="K33" s="6"/>
    </row>
    <row r="34">
      <c r="A34" s="1"/>
      <c r="B34" s="1"/>
      <c r="D34" s="1"/>
      <c r="E34" s="1"/>
      <c r="I34" s="6"/>
      <c r="J34" s="6"/>
      <c r="K34" s="6"/>
    </row>
    <row r="35">
      <c r="A35" s="1"/>
      <c r="B35" s="1"/>
      <c r="D35" s="1"/>
      <c r="E35" s="1"/>
      <c r="I35" s="6"/>
      <c r="J35" s="6"/>
      <c r="K35" s="6"/>
    </row>
    <row r="36">
      <c r="A36" s="1"/>
      <c r="B36" s="1"/>
      <c r="D36" s="1"/>
      <c r="E36" s="1"/>
      <c r="J36" s="6"/>
      <c r="K36" s="6"/>
    </row>
    <row r="37">
      <c r="A37" s="1"/>
      <c r="B37" s="1"/>
      <c r="D37" s="1"/>
      <c r="E37" s="1"/>
      <c r="J37" s="6"/>
      <c r="K37" s="6"/>
    </row>
    <row r="38">
      <c r="A38" s="1"/>
      <c r="B38" s="1"/>
      <c r="D38" s="1"/>
      <c r="E38" s="1"/>
      <c r="J38" s="6"/>
      <c r="K38" s="6"/>
    </row>
    <row r="39">
      <c r="A39" s="1"/>
      <c r="B39" s="1"/>
      <c r="D39" s="1"/>
      <c r="E39" s="1"/>
      <c r="J39" s="6"/>
      <c r="K39" s="6"/>
    </row>
    <row r="40">
      <c r="A40" s="1"/>
      <c r="B40" s="1"/>
      <c r="D40" s="1"/>
      <c r="E40" s="1"/>
      <c r="J40" s="6"/>
      <c r="K40" s="6"/>
    </row>
    <row r="41">
      <c r="A41" s="1"/>
      <c r="B41" s="1"/>
      <c r="D41" s="1"/>
      <c r="E41" s="1"/>
      <c r="J41" s="6"/>
      <c r="K41" s="6"/>
    </row>
    <row r="42">
      <c r="A42" s="1"/>
      <c r="B42" s="1"/>
      <c r="D42" s="1"/>
      <c r="E42" s="1"/>
      <c r="J42" s="6"/>
      <c r="K42" s="6"/>
    </row>
    <row r="43">
      <c r="A43" s="1"/>
      <c r="B43" s="1"/>
      <c r="D43" s="1"/>
      <c r="E43" s="1"/>
      <c r="J43" s="6"/>
      <c r="K43" s="6"/>
    </row>
    <row r="44">
      <c r="A44" s="1"/>
      <c r="B44" s="1"/>
      <c r="D44" s="1"/>
      <c r="E44" s="1"/>
      <c r="J44" s="6"/>
      <c r="K44" s="6"/>
    </row>
    <row r="45">
      <c r="A45" s="1"/>
      <c r="B45" s="1"/>
      <c r="D45" s="1"/>
      <c r="E45" s="1"/>
      <c r="J45" s="6"/>
      <c r="K45" s="6"/>
    </row>
    <row r="46">
      <c r="A46" s="1"/>
      <c r="B46" s="1"/>
      <c r="D46" s="1"/>
      <c r="E46" s="1"/>
      <c r="J46" s="6"/>
      <c r="K46" s="6"/>
    </row>
    <row r="47">
      <c r="A47" s="1"/>
      <c r="B47" s="1"/>
      <c r="D47" s="1"/>
      <c r="E47" s="1"/>
      <c r="J47" s="6"/>
      <c r="K47" s="6"/>
    </row>
    <row r="48">
      <c r="A48" s="1"/>
      <c r="B48" s="1"/>
      <c r="D48" s="1"/>
      <c r="E48" s="1"/>
      <c r="J48" s="6"/>
      <c r="K48" s="6"/>
    </row>
    <row r="49">
      <c r="J49" s="6"/>
      <c r="K49" s="6"/>
    </row>
    <row r="50">
      <c r="J50" s="6"/>
      <c r="K50" s="6"/>
    </row>
    <row r="51">
      <c r="J51" s="6"/>
      <c r="K51" s="6"/>
    </row>
    <row r="52">
      <c r="J52" s="6"/>
      <c r="K52" s="6"/>
    </row>
    <row r="53">
      <c r="J53" s="6"/>
      <c r="K53" s="6"/>
    </row>
    <row r="54">
      <c r="J54" s="6"/>
      <c r="K54" s="6"/>
    </row>
  </sheetData>
  <mergeCells count="1">
    <mergeCell ref="Q7:S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F2" s="1" t="s">
        <v>3</v>
      </c>
      <c r="G2" s="1" t="s">
        <v>5</v>
      </c>
      <c r="H2" s="1"/>
    </row>
    <row r="3">
      <c r="A3" s="1" t="s">
        <v>3</v>
      </c>
      <c r="B3" s="1" t="s">
        <v>4</v>
      </c>
      <c r="C3" s="1">
        <v>10.0</v>
      </c>
      <c r="E3" s="1" t="s">
        <v>3</v>
      </c>
      <c r="F3" s="1">
        <v>1.0</v>
      </c>
      <c r="G3" s="1">
        <v>2.0</v>
      </c>
      <c r="L3" s="1"/>
    </row>
    <row r="4">
      <c r="A4" s="1" t="s">
        <v>5</v>
      </c>
      <c r="B4" s="1" t="s">
        <v>6</v>
      </c>
      <c r="C4" s="1">
        <v>1.0</v>
      </c>
      <c r="E4" s="1" t="s">
        <v>5</v>
      </c>
      <c r="F4" s="1">
        <v>2.0</v>
      </c>
      <c r="G4" s="1">
        <v>1.0</v>
      </c>
    </row>
    <row r="5">
      <c r="A5" s="1" t="s">
        <v>162</v>
      </c>
      <c r="C5" s="1">
        <v>0.0</v>
      </c>
      <c r="E5" s="1"/>
    </row>
    <row r="6">
      <c r="A6" s="1"/>
    </row>
    <row r="8">
      <c r="A8" s="1" t="s">
        <v>8</v>
      </c>
      <c r="B8" s="1" t="s">
        <v>41</v>
      </c>
      <c r="C8" s="1"/>
      <c r="D8" s="1" t="s">
        <v>9</v>
      </c>
      <c r="E8" s="1"/>
      <c r="F8" s="1"/>
      <c r="G8" s="1"/>
      <c r="H8" s="1"/>
      <c r="I8" s="1" t="s">
        <v>11</v>
      </c>
      <c r="J8" s="1"/>
      <c r="K8" s="1"/>
      <c r="L8" s="1" t="s">
        <v>12</v>
      </c>
    </row>
    <row r="9">
      <c r="B9" s="1"/>
      <c r="C9" s="1"/>
      <c r="D9" s="1" t="s">
        <v>3</v>
      </c>
      <c r="E9" s="1" t="s">
        <v>5</v>
      </c>
      <c r="F9" s="1" t="s">
        <v>162</v>
      </c>
      <c r="G9" s="1" t="s">
        <v>45</v>
      </c>
      <c r="H9" s="1"/>
      <c r="I9" s="1" t="s">
        <v>3</v>
      </c>
      <c r="J9" s="1" t="s">
        <v>5</v>
      </c>
      <c r="K9" s="1" t="s">
        <v>162</v>
      </c>
      <c r="L9" s="1" t="s">
        <v>3</v>
      </c>
      <c r="M9" s="1" t="s">
        <v>5</v>
      </c>
      <c r="N9" s="1" t="s">
        <v>164</v>
      </c>
    </row>
    <row r="10">
      <c r="A10" s="1" t="s">
        <v>165</v>
      </c>
      <c r="B10" s="1">
        <v>1523022.0</v>
      </c>
      <c r="C10" s="1"/>
      <c r="D10" s="1">
        <v>49.3</v>
      </c>
      <c r="E10" s="1">
        <v>36.9</v>
      </c>
      <c r="F10" s="1">
        <v>0.0</v>
      </c>
      <c r="G10">
        <f t="shared" ref="G10:G20" si="1">D10+E10+F10</f>
        <v>86.2</v>
      </c>
      <c r="I10">
        <f t="shared" ref="I10:I20" si="2">100*D10/G10</f>
        <v>57.19257541</v>
      </c>
      <c r="J10">
        <f t="shared" ref="J10:J20" si="3">100*E10/G10</f>
        <v>42.80742459</v>
      </c>
      <c r="K10">
        <f t="shared" ref="K10:K18" si="4">100*F10/G10</f>
        <v>0</v>
      </c>
      <c r="L10" s="5">
        <f t="shared" ref="L10:L11" si="5">I10+J10*0.5</f>
        <v>78.5962877</v>
      </c>
      <c r="M10">
        <f t="shared" ref="M10:M11" si="6">J10+I10*0.5</f>
        <v>71.4037123</v>
      </c>
      <c r="N10" s="1">
        <v>0.0</v>
      </c>
    </row>
    <row r="11">
      <c r="A11" s="1" t="s">
        <v>168</v>
      </c>
      <c r="B11" s="1">
        <v>1626949.0</v>
      </c>
      <c r="C11" s="1"/>
      <c r="D11" s="6">
        <v>53.16</v>
      </c>
      <c r="E11" s="6">
        <v>36.77</v>
      </c>
      <c r="F11" s="6">
        <v>0.0</v>
      </c>
      <c r="G11">
        <f t="shared" si="1"/>
        <v>89.93</v>
      </c>
      <c r="I11">
        <f t="shared" si="2"/>
        <v>59.11264317</v>
      </c>
      <c r="J11">
        <f t="shared" si="3"/>
        <v>40.88735683</v>
      </c>
      <c r="K11">
        <f t="shared" si="4"/>
        <v>0</v>
      </c>
      <c r="L11" s="5">
        <f t="shared" si="5"/>
        <v>79.55632158</v>
      </c>
      <c r="M11">
        <f t="shared" si="6"/>
        <v>70.44367842</v>
      </c>
      <c r="N11" s="1">
        <v>0.0</v>
      </c>
    </row>
    <row r="12">
      <c r="A12" s="14" t="s">
        <v>170</v>
      </c>
      <c r="B12" s="1">
        <v>1744201.0</v>
      </c>
      <c r="C12" s="1"/>
      <c r="D12" s="6">
        <v>48.34</v>
      </c>
      <c r="E12" s="1">
        <v>11.7</v>
      </c>
      <c r="F12" s="1">
        <v>32.04</v>
      </c>
      <c r="G12">
        <f t="shared" si="1"/>
        <v>92.08</v>
      </c>
      <c r="I12">
        <f t="shared" si="2"/>
        <v>52.49782798</v>
      </c>
      <c r="J12">
        <f t="shared" si="3"/>
        <v>12.70634231</v>
      </c>
      <c r="K12">
        <f t="shared" si="4"/>
        <v>34.79582971</v>
      </c>
      <c r="L12" s="5">
        <f>I12+K12*0.67+J12*0.33</f>
        <v>80.00412685</v>
      </c>
      <c r="M12">
        <f>J12+K12*0.33+I12*0.33</f>
        <v>41.51324935</v>
      </c>
      <c r="N12">
        <f>K12+I12*0.67+J12*0.67</f>
        <v>78.48262381</v>
      </c>
    </row>
    <row r="13">
      <c r="A13" s="1" t="s">
        <v>172</v>
      </c>
      <c r="B13" s="1">
        <v>1423729.0</v>
      </c>
      <c r="D13" s="6">
        <v>41.7</v>
      </c>
      <c r="E13" s="6">
        <v>41.29</v>
      </c>
      <c r="F13" s="6">
        <v>0.0</v>
      </c>
      <c r="G13">
        <f t="shared" si="1"/>
        <v>82.99</v>
      </c>
      <c r="I13">
        <f t="shared" si="2"/>
        <v>50.24701771</v>
      </c>
      <c r="J13">
        <f t="shared" si="3"/>
        <v>49.75298229</v>
      </c>
      <c r="K13">
        <f t="shared" si="4"/>
        <v>0</v>
      </c>
      <c r="L13" s="5">
        <f t="shared" ref="L13:L20" si="7">I13+J13*0.5</f>
        <v>75.12350886</v>
      </c>
      <c r="M13">
        <f t="shared" ref="M13:M20" si="8">J13+I13*0.5</f>
        <v>74.87649114</v>
      </c>
      <c r="N13" s="1">
        <v>0.0</v>
      </c>
    </row>
    <row r="14">
      <c r="A14" s="1" t="s">
        <v>173</v>
      </c>
      <c r="B14" s="1">
        <v>1729229.0</v>
      </c>
      <c r="D14" s="6">
        <v>51.48</v>
      </c>
      <c r="E14" s="6">
        <v>36.6</v>
      </c>
      <c r="F14" s="6">
        <v>0.0</v>
      </c>
      <c r="G14">
        <f t="shared" si="1"/>
        <v>88.08</v>
      </c>
      <c r="I14">
        <f t="shared" si="2"/>
        <v>58.44686649</v>
      </c>
      <c r="J14">
        <f t="shared" si="3"/>
        <v>41.55313351</v>
      </c>
      <c r="K14">
        <f t="shared" si="4"/>
        <v>0</v>
      </c>
      <c r="L14" s="5">
        <f t="shared" si="7"/>
        <v>79.22343324</v>
      </c>
      <c r="M14">
        <f t="shared" si="8"/>
        <v>70.77656676</v>
      </c>
      <c r="N14" s="1">
        <v>0.0</v>
      </c>
    </row>
    <row r="15">
      <c r="A15" s="14" t="s">
        <v>174</v>
      </c>
      <c r="B15" s="1">
        <v>1591373.0</v>
      </c>
      <c r="D15" s="6">
        <v>54.61</v>
      </c>
      <c r="E15" s="6">
        <v>34.59</v>
      </c>
      <c r="F15" s="6">
        <v>0.0</v>
      </c>
      <c r="G15">
        <f t="shared" si="1"/>
        <v>89.2</v>
      </c>
      <c r="I15">
        <f t="shared" si="2"/>
        <v>61.22197309</v>
      </c>
      <c r="J15">
        <f t="shared" si="3"/>
        <v>38.77802691</v>
      </c>
      <c r="K15">
        <f t="shared" si="4"/>
        <v>0</v>
      </c>
      <c r="L15" s="5">
        <f t="shared" si="7"/>
        <v>80.61098655</v>
      </c>
      <c r="M15">
        <f t="shared" si="8"/>
        <v>69.38901345</v>
      </c>
      <c r="N15" s="1">
        <v>0.0</v>
      </c>
    </row>
    <row r="16">
      <c r="A16" s="1" t="s">
        <v>176</v>
      </c>
      <c r="B16" s="1">
        <v>1858922.0</v>
      </c>
      <c r="D16" s="6">
        <v>43.99</v>
      </c>
      <c r="E16" s="6">
        <v>45.32</v>
      </c>
      <c r="F16" s="6">
        <v>0.0</v>
      </c>
      <c r="G16">
        <f t="shared" si="1"/>
        <v>89.31</v>
      </c>
      <c r="I16">
        <f t="shared" si="2"/>
        <v>49.25540253</v>
      </c>
      <c r="J16">
        <f t="shared" si="3"/>
        <v>50.74459747</v>
      </c>
      <c r="K16">
        <f t="shared" si="4"/>
        <v>0</v>
      </c>
      <c r="L16">
        <f t="shared" si="7"/>
        <v>74.62770127</v>
      </c>
      <c r="M16" s="5">
        <f t="shared" si="8"/>
        <v>75.37229873</v>
      </c>
      <c r="N16" s="1">
        <v>0.0</v>
      </c>
    </row>
    <row r="17">
      <c r="A17" s="14" t="s">
        <v>177</v>
      </c>
      <c r="B17" s="1">
        <v>1904460.0</v>
      </c>
      <c r="D17" s="6">
        <v>52.36</v>
      </c>
      <c r="E17" s="6">
        <v>38.64</v>
      </c>
      <c r="F17" s="6">
        <v>0.0</v>
      </c>
      <c r="G17">
        <f t="shared" si="1"/>
        <v>91</v>
      </c>
      <c r="I17">
        <f t="shared" si="2"/>
        <v>57.53846154</v>
      </c>
      <c r="J17">
        <f t="shared" si="3"/>
        <v>42.46153846</v>
      </c>
      <c r="K17">
        <f t="shared" si="4"/>
        <v>0</v>
      </c>
      <c r="L17" s="5">
        <f t="shared" si="7"/>
        <v>78.76923077</v>
      </c>
      <c r="M17">
        <f t="shared" si="8"/>
        <v>71.23076923</v>
      </c>
      <c r="N17" s="1">
        <v>0.0</v>
      </c>
    </row>
    <row r="18">
      <c r="A18" s="1" t="s">
        <v>178</v>
      </c>
      <c r="B18" s="1">
        <v>1516177.0</v>
      </c>
      <c r="D18" s="6">
        <v>44.71</v>
      </c>
      <c r="E18" s="6">
        <v>44.4</v>
      </c>
      <c r="F18" s="6">
        <v>0.0</v>
      </c>
      <c r="G18">
        <f t="shared" si="1"/>
        <v>89.11</v>
      </c>
      <c r="I18">
        <f t="shared" si="2"/>
        <v>50.17394232</v>
      </c>
      <c r="J18">
        <f t="shared" si="3"/>
        <v>49.82605768</v>
      </c>
      <c r="K18">
        <f t="shared" si="4"/>
        <v>0</v>
      </c>
      <c r="L18" s="5">
        <f t="shared" si="7"/>
        <v>75.08697116</v>
      </c>
      <c r="M18">
        <f t="shared" si="8"/>
        <v>74.91302884</v>
      </c>
      <c r="N18" s="1">
        <v>0.0</v>
      </c>
    </row>
    <row r="19">
      <c r="A19" s="14" t="s">
        <v>180</v>
      </c>
      <c r="B19" s="1">
        <v>1298083.0</v>
      </c>
      <c r="D19" s="6">
        <v>50.11</v>
      </c>
      <c r="E19" s="6">
        <v>33.96</v>
      </c>
      <c r="F19" s="6">
        <v>4.4</v>
      </c>
      <c r="G19">
        <f t="shared" si="1"/>
        <v>88.47</v>
      </c>
      <c r="I19">
        <f t="shared" si="2"/>
        <v>56.64066915</v>
      </c>
      <c r="J19">
        <f t="shared" si="3"/>
        <v>38.38589352</v>
      </c>
      <c r="K19" s="1">
        <v>0.0</v>
      </c>
      <c r="L19" s="5">
        <f t="shared" si="7"/>
        <v>75.83361591</v>
      </c>
      <c r="M19">
        <f t="shared" si="8"/>
        <v>66.7062281</v>
      </c>
      <c r="N19" s="1">
        <v>0.0</v>
      </c>
    </row>
    <row r="20">
      <c r="A20" s="1" t="s">
        <v>182</v>
      </c>
      <c r="B20" s="1">
        <v>1448375.0</v>
      </c>
      <c r="D20" s="6">
        <v>45.74</v>
      </c>
      <c r="E20" s="6">
        <v>42.28</v>
      </c>
      <c r="F20" s="6">
        <v>0.0</v>
      </c>
      <c r="G20">
        <f t="shared" si="1"/>
        <v>88.02</v>
      </c>
      <c r="I20">
        <f t="shared" si="2"/>
        <v>51.96546239</v>
      </c>
      <c r="J20">
        <f t="shared" si="3"/>
        <v>48.03453761</v>
      </c>
      <c r="K20">
        <f>100*F20/G20</f>
        <v>0</v>
      </c>
      <c r="L20" s="5">
        <f t="shared" si="7"/>
        <v>75.9827312</v>
      </c>
      <c r="M20">
        <f t="shared" si="8"/>
        <v>74.0172688</v>
      </c>
      <c r="N20" s="1">
        <v>0.0</v>
      </c>
    </row>
    <row r="21">
      <c r="A21" s="14"/>
      <c r="B21" s="1"/>
      <c r="D21" s="6"/>
      <c r="E21" s="6"/>
      <c r="F21" s="6"/>
    </row>
    <row r="22">
      <c r="A22" s="14"/>
      <c r="B22" s="1"/>
      <c r="D22" s="6"/>
      <c r="E22" s="6"/>
      <c r="F22" s="6"/>
    </row>
    <row r="23">
      <c r="A23" s="1"/>
      <c r="B23" s="1"/>
      <c r="D23" s="6"/>
      <c r="E23" s="6"/>
      <c r="F23" s="6"/>
    </row>
    <row r="24">
      <c r="A24" s="1"/>
      <c r="B24" s="1"/>
      <c r="D24" s="1"/>
      <c r="E24" s="1"/>
      <c r="F24" s="6"/>
    </row>
    <row r="25">
      <c r="A25" s="1"/>
      <c r="B25" s="1"/>
      <c r="D25" s="1"/>
      <c r="E25" s="1"/>
      <c r="F25" s="6"/>
    </row>
    <row r="26">
      <c r="A26" s="1"/>
      <c r="B26" s="1"/>
      <c r="D26" s="1"/>
      <c r="E26" s="1"/>
      <c r="F26" s="6"/>
    </row>
    <row r="27">
      <c r="A27" s="1"/>
      <c r="B27" s="1"/>
      <c r="D27" s="1"/>
      <c r="E27" s="1"/>
      <c r="F27" s="6"/>
    </row>
    <row r="28">
      <c r="A28" s="1"/>
      <c r="B28" s="1"/>
      <c r="D28" s="1"/>
      <c r="E28" s="1"/>
      <c r="F28" s="6"/>
    </row>
    <row r="29">
      <c r="A29" s="1"/>
      <c r="B29" s="1"/>
      <c r="D29" s="1"/>
      <c r="E29" s="1"/>
      <c r="F29" s="6"/>
    </row>
    <row r="30">
      <c r="A30" s="1"/>
      <c r="B30" s="1"/>
      <c r="D30" s="1"/>
      <c r="E30" s="1"/>
      <c r="F30" s="6"/>
    </row>
    <row r="31">
      <c r="A31" s="1"/>
      <c r="B31" s="1"/>
      <c r="D31" s="1"/>
      <c r="E31" s="1"/>
      <c r="F31" s="6"/>
    </row>
    <row r="32">
      <c r="A32" s="1"/>
      <c r="B32" s="1"/>
      <c r="D32" s="1"/>
      <c r="E32" s="1"/>
      <c r="F32" s="6"/>
    </row>
    <row r="33">
      <c r="A33" s="1"/>
      <c r="B33" s="1"/>
      <c r="D33" s="1"/>
      <c r="E33" s="1"/>
      <c r="F33" s="6"/>
    </row>
    <row r="34">
      <c r="A34" s="1"/>
      <c r="B34" s="1"/>
      <c r="D34" s="1"/>
      <c r="E34" s="1"/>
      <c r="F34" s="1"/>
    </row>
    <row r="35">
      <c r="A35" s="1"/>
      <c r="B35" s="1"/>
      <c r="D35" s="1"/>
      <c r="E35" s="1"/>
      <c r="F35" s="1"/>
    </row>
    <row r="36">
      <c r="A36" s="1"/>
      <c r="B36" s="1"/>
      <c r="D36" s="1"/>
      <c r="E36" s="1"/>
      <c r="F36" s="1"/>
    </row>
    <row r="37">
      <c r="A37" s="1"/>
      <c r="B37" s="1"/>
      <c r="D37" s="1"/>
      <c r="E37" s="1"/>
      <c r="F37" s="1"/>
    </row>
    <row r="38">
      <c r="A38" s="1"/>
      <c r="B38" s="1"/>
      <c r="D38" s="1"/>
      <c r="E38" s="1"/>
      <c r="F38" s="1"/>
    </row>
    <row r="39">
      <c r="A39" s="1"/>
      <c r="B39" s="1"/>
      <c r="D39" s="1"/>
      <c r="E39" s="1"/>
      <c r="F39" s="1"/>
    </row>
    <row r="40">
      <c r="A40" s="1"/>
      <c r="B40" s="1"/>
      <c r="D40" s="1"/>
      <c r="E40" s="1"/>
      <c r="F40" s="1"/>
    </row>
    <row r="41">
      <c r="A41" s="1"/>
      <c r="B41" s="1"/>
      <c r="D41" s="1"/>
      <c r="E41" s="1"/>
      <c r="F41" s="1"/>
    </row>
    <row r="42">
      <c r="A42" s="1"/>
      <c r="B42" s="1"/>
      <c r="D42" s="1"/>
      <c r="E42" s="1"/>
      <c r="F42" s="1"/>
    </row>
    <row r="43">
      <c r="A43" s="1"/>
      <c r="B43" s="1"/>
      <c r="D43" s="1"/>
      <c r="E43" s="1"/>
      <c r="F43" s="1"/>
    </row>
    <row r="44">
      <c r="A44" s="1"/>
      <c r="B44" s="1"/>
      <c r="D44" s="1"/>
      <c r="E44" s="1"/>
      <c r="F44" s="1"/>
    </row>
    <row r="45">
      <c r="A45" s="1"/>
      <c r="B45" s="1"/>
      <c r="D45" s="1"/>
      <c r="E45" s="1"/>
      <c r="F45" s="1"/>
    </row>
    <row r="46">
      <c r="A46" s="1"/>
      <c r="B46" s="1"/>
      <c r="D46" s="1"/>
      <c r="E46" s="1"/>
      <c r="F46" s="1"/>
    </row>
    <row r="47">
      <c r="A47" s="1"/>
      <c r="B47" s="1"/>
      <c r="D47" s="1"/>
      <c r="E47" s="1"/>
      <c r="F47" s="1"/>
    </row>
    <row r="48">
      <c r="A48" s="1"/>
      <c r="B48" s="1"/>
      <c r="D48" s="1"/>
      <c r="E48" s="1"/>
      <c r="F48" s="1"/>
    </row>
    <row r="49">
      <c r="A49" s="1"/>
      <c r="B49" s="1"/>
      <c r="D49" s="1"/>
      <c r="E49" s="1"/>
      <c r="F49" s="1"/>
    </row>
    <row r="50">
      <c r="A50" s="1"/>
      <c r="B50" s="1"/>
      <c r="D50" s="1"/>
      <c r="E50" s="1"/>
      <c r="F50" s="1"/>
    </row>
    <row r="51">
      <c r="F51" s="1"/>
    </row>
    <row r="52">
      <c r="F52" s="1"/>
    </row>
  </sheetData>
  <mergeCells count="1">
    <mergeCell ref="L3:P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58</v>
      </c>
    </row>
    <row r="2">
      <c r="A2" s="1" t="s">
        <v>59</v>
      </c>
      <c r="B2" s="1" t="s">
        <v>1</v>
      </c>
      <c r="E2" s="1" t="s">
        <v>67</v>
      </c>
      <c r="F2" s="1" t="s">
        <v>5</v>
      </c>
      <c r="G2" s="1" t="s">
        <v>3</v>
      </c>
      <c r="M2" s="1" t="s">
        <v>67</v>
      </c>
    </row>
    <row r="3">
      <c r="A3" s="1" t="s">
        <v>105</v>
      </c>
      <c r="B3" s="1" t="s">
        <v>4</v>
      </c>
      <c r="C3" s="1">
        <v>1.0</v>
      </c>
      <c r="E3" s="1" t="s">
        <v>5</v>
      </c>
      <c r="F3" s="1">
        <v>1.0</v>
      </c>
      <c r="G3" s="1">
        <v>2.0</v>
      </c>
    </row>
    <row r="4">
      <c r="A4" s="1" t="s">
        <v>5</v>
      </c>
      <c r="B4" s="1" t="s">
        <v>6</v>
      </c>
      <c r="C4" s="1">
        <v>0.0</v>
      </c>
      <c r="E4" s="1" t="s">
        <v>3</v>
      </c>
      <c r="F4" s="1">
        <v>2.0</v>
      </c>
      <c r="G4" s="1">
        <v>1.0</v>
      </c>
    </row>
    <row r="5">
      <c r="A5" s="1"/>
    </row>
    <row r="7">
      <c r="A7" s="1" t="s">
        <v>8</v>
      </c>
      <c r="B7" s="1" t="s">
        <v>41</v>
      </c>
      <c r="C7" s="1"/>
      <c r="D7" s="1" t="s">
        <v>9</v>
      </c>
      <c r="E7" s="1"/>
      <c r="F7" s="1"/>
      <c r="G7" s="1"/>
      <c r="H7" s="1" t="s">
        <v>10</v>
      </c>
      <c r="I7" s="1"/>
      <c r="J7" s="1"/>
      <c r="K7" s="1" t="s">
        <v>11</v>
      </c>
      <c r="L7" s="1"/>
      <c r="N7" s="1" t="s">
        <v>12</v>
      </c>
    </row>
    <row r="8">
      <c r="B8" s="1"/>
      <c r="C8" s="1"/>
      <c r="D8" s="1" t="s">
        <v>3</v>
      </c>
      <c r="E8" s="1" t="s">
        <v>5</v>
      </c>
      <c r="F8" s="1" t="s">
        <v>45</v>
      </c>
      <c r="G8" s="1"/>
      <c r="H8" s="1" t="s">
        <v>3</v>
      </c>
      <c r="I8" s="1" t="s">
        <v>5</v>
      </c>
      <c r="J8" s="1"/>
      <c r="K8" s="1" t="s">
        <v>3</v>
      </c>
      <c r="L8" s="1" t="s">
        <v>5</v>
      </c>
      <c r="N8" s="1" t="s">
        <v>3</v>
      </c>
      <c r="O8" s="1" t="s">
        <v>5</v>
      </c>
    </row>
    <row r="9">
      <c r="A9" s="1" t="s">
        <v>187</v>
      </c>
      <c r="B9" s="1">
        <v>196597.0</v>
      </c>
      <c r="C9" s="1"/>
      <c r="D9" s="1">
        <v>48.87</v>
      </c>
      <c r="E9" s="1">
        <v>45.11</v>
      </c>
      <c r="F9">
        <f>D9+E9</f>
        <v>93.98</v>
      </c>
      <c r="H9" s="6">
        <f>B9*D9/100</f>
        <v>96076.9539</v>
      </c>
      <c r="I9" s="6">
        <f>B9*E9/100</f>
        <v>88684.9067</v>
      </c>
      <c r="K9">
        <f>100*D9/F9</f>
        <v>52.00042562</v>
      </c>
      <c r="L9">
        <f>100*E9/F9</f>
        <v>47.99957438</v>
      </c>
      <c r="N9" s="5">
        <f>K9+L9*0.5</f>
        <v>76.00021281</v>
      </c>
      <c r="O9">
        <f>L9+K9*0.5</f>
        <v>73.99978719</v>
      </c>
    </row>
    <row r="10">
      <c r="A10" s="14"/>
      <c r="B10" s="1"/>
      <c r="C10" s="1"/>
      <c r="D10" s="6"/>
      <c r="E10" s="1"/>
      <c r="G10" s="6"/>
      <c r="H10" s="6"/>
      <c r="I10" s="6"/>
    </row>
    <row r="11">
      <c r="A11" s="1"/>
      <c r="B11" s="1"/>
      <c r="D11" s="6"/>
      <c r="E11" s="6"/>
      <c r="G11" s="6"/>
      <c r="H11" s="6"/>
      <c r="I11" s="6"/>
    </row>
    <row r="12">
      <c r="A12" s="1"/>
      <c r="B12" s="1"/>
      <c r="D12" s="6"/>
      <c r="E12" s="6"/>
      <c r="G12" s="6"/>
      <c r="H12" s="6"/>
      <c r="I12" s="6"/>
    </row>
    <row r="13">
      <c r="A13" s="14"/>
      <c r="B13" s="1"/>
      <c r="D13" s="6"/>
      <c r="E13" s="6"/>
      <c r="G13" s="1"/>
      <c r="H13" s="6"/>
      <c r="I13" s="6"/>
    </row>
    <row r="14">
      <c r="A14" s="1"/>
      <c r="B14" s="1"/>
      <c r="D14" s="6"/>
      <c r="E14" s="6"/>
      <c r="G14" s="6"/>
      <c r="H14" s="6"/>
      <c r="I14" s="6"/>
    </row>
    <row r="15">
      <c r="A15" s="14"/>
      <c r="B15" s="1"/>
      <c r="D15" s="6"/>
      <c r="E15" s="6"/>
      <c r="G15" s="1"/>
      <c r="H15" s="6"/>
      <c r="I15" s="6"/>
    </row>
    <row r="16">
      <c r="A16" s="1"/>
      <c r="B16" s="1"/>
      <c r="D16" s="6"/>
      <c r="E16" s="6"/>
      <c r="G16" s="6"/>
      <c r="H16" s="6"/>
      <c r="I16" s="6"/>
    </row>
    <row r="17">
      <c r="A17" s="14"/>
      <c r="B17" s="1"/>
      <c r="D17" s="6"/>
      <c r="E17" s="6"/>
      <c r="G17" s="6"/>
      <c r="H17" s="6"/>
      <c r="I17" s="6"/>
    </row>
    <row r="18">
      <c r="A18" s="1"/>
      <c r="B18" s="1"/>
      <c r="D18" s="6"/>
      <c r="E18" s="6"/>
      <c r="G18" s="6"/>
      <c r="H18" s="6"/>
      <c r="I18" s="6"/>
    </row>
    <row r="19">
      <c r="A19" s="14"/>
      <c r="B19" s="1"/>
      <c r="D19" s="6"/>
      <c r="E19" s="6"/>
      <c r="G19" s="6"/>
      <c r="H19" s="6"/>
      <c r="I19" s="6"/>
    </row>
    <row r="20">
      <c r="A20" s="14"/>
      <c r="B20" s="1"/>
      <c r="D20" s="6"/>
      <c r="E20" s="6"/>
      <c r="G20" s="6"/>
      <c r="H20" s="6"/>
      <c r="I20" s="6"/>
    </row>
    <row r="21">
      <c r="A21" s="1"/>
      <c r="B21" s="1"/>
      <c r="D21" s="6"/>
      <c r="E21" s="6"/>
      <c r="G21" s="6"/>
      <c r="H21" s="6"/>
      <c r="I21" s="6"/>
    </row>
    <row r="22">
      <c r="A22" s="1"/>
      <c r="B22" s="1"/>
      <c r="D22" s="1"/>
      <c r="E22" s="1"/>
      <c r="H22" s="6"/>
      <c r="I22" s="6"/>
    </row>
    <row r="23">
      <c r="A23" s="1"/>
      <c r="B23" s="1"/>
      <c r="D23" s="1"/>
      <c r="E23" s="1"/>
      <c r="H23" s="6"/>
      <c r="I23" s="6"/>
    </row>
    <row r="24">
      <c r="A24" s="1"/>
      <c r="B24" s="1"/>
      <c r="D24" s="1"/>
      <c r="E24" s="1"/>
      <c r="H24" s="6"/>
      <c r="I24" s="6"/>
    </row>
    <row r="25">
      <c r="A25" s="1"/>
      <c r="B25" s="1"/>
      <c r="D25" s="1"/>
      <c r="E25" s="1"/>
      <c r="H25" s="6"/>
      <c r="I25" s="6"/>
    </row>
    <row r="26">
      <c r="A26" s="1"/>
      <c r="B26" s="1"/>
      <c r="D26" s="1"/>
      <c r="E26" s="1"/>
      <c r="H26" s="6"/>
      <c r="I26" s="6"/>
    </row>
    <row r="27">
      <c r="A27" s="1"/>
      <c r="B27" s="1"/>
      <c r="D27" s="1"/>
      <c r="E27" s="1"/>
      <c r="H27" s="6"/>
      <c r="I27" s="6"/>
    </row>
    <row r="28">
      <c r="A28" s="1"/>
      <c r="B28" s="1"/>
      <c r="D28" s="1"/>
      <c r="E28" s="1"/>
      <c r="H28" s="6"/>
      <c r="I28" s="6"/>
    </row>
    <row r="29">
      <c r="A29" s="1"/>
      <c r="B29" s="1"/>
      <c r="D29" s="1"/>
      <c r="E29" s="1"/>
      <c r="H29" s="6"/>
      <c r="I29" s="6"/>
    </row>
    <row r="30">
      <c r="A30" s="1"/>
      <c r="B30" s="1"/>
      <c r="D30" s="1"/>
      <c r="E30" s="1"/>
      <c r="H30" s="6"/>
      <c r="I30" s="6"/>
    </row>
    <row r="31">
      <c r="A31" s="1"/>
      <c r="B31" s="1"/>
      <c r="D31" s="1"/>
      <c r="E31" s="1"/>
      <c r="H31" s="6"/>
      <c r="I31" s="6"/>
    </row>
    <row r="32">
      <c r="A32" s="1"/>
      <c r="B32" s="1"/>
      <c r="D32" s="1"/>
      <c r="E32" s="1"/>
      <c r="H32" s="6"/>
      <c r="I32" s="6"/>
    </row>
    <row r="33">
      <c r="A33" s="1"/>
      <c r="B33" s="1"/>
      <c r="D33" s="1"/>
      <c r="E33" s="1"/>
      <c r="H33" s="6"/>
      <c r="I33" s="6"/>
    </row>
    <row r="34">
      <c r="A34" s="1"/>
      <c r="B34" s="1"/>
      <c r="D34" s="1"/>
      <c r="E34" s="1"/>
      <c r="H34" s="6"/>
      <c r="I34" s="6"/>
    </row>
    <row r="35">
      <c r="A35" s="1"/>
      <c r="B35" s="1"/>
      <c r="D35" s="1"/>
      <c r="E35" s="1"/>
      <c r="H35" s="6"/>
      <c r="I35" s="6"/>
    </row>
    <row r="36">
      <c r="A36" s="1"/>
      <c r="B36" s="1"/>
      <c r="D36" s="1"/>
      <c r="E36" s="1"/>
      <c r="I36" s="6"/>
    </row>
    <row r="37">
      <c r="A37" s="1"/>
      <c r="B37" s="1"/>
      <c r="D37" s="1"/>
      <c r="E37" s="1"/>
      <c r="I37" s="6"/>
    </row>
    <row r="38">
      <c r="A38" s="1"/>
      <c r="B38" s="1"/>
      <c r="D38" s="1"/>
      <c r="E38" s="1"/>
      <c r="I38" s="6"/>
    </row>
    <row r="39">
      <c r="A39" s="1"/>
      <c r="B39" s="1"/>
      <c r="D39" s="1"/>
      <c r="E39" s="1"/>
      <c r="I39" s="6"/>
    </row>
    <row r="40">
      <c r="A40" s="1"/>
      <c r="B40" s="1"/>
      <c r="D40" s="1"/>
      <c r="E40" s="1"/>
      <c r="I40" s="6"/>
    </row>
    <row r="41">
      <c r="A41" s="1"/>
      <c r="B41" s="1"/>
      <c r="D41" s="1"/>
      <c r="E41" s="1"/>
      <c r="I41" s="6"/>
    </row>
    <row r="42">
      <c r="A42" s="1"/>
      <c r="B42" s="1"/>
      <c r="D42" s="1"/>
      <c r="E42" s="1"/>
      <c r="I42" s="6"/>
    </row>
    <row r="43">
      <c r="A43" s="1"/>
      <c r="B43" s="1"/>
      <c r="D43" s="1"/>
      <c r="E43" s="1"/>
      <c r="I43" s="6"/>
    </row>
    <row r="44">
      <c r="A44" s="1"/>
      <c r="B44" s="1"/>
      <c r="D44" s="1"/>
      <c r="E44" s="1"/>
      <c r="I44" s="6"/>
    </row>
    <row r="45">
      <c r="A45" s="1"/>
      <c r="B45" s="1"/>
      <c r="D45" s="1"/>
      <c r="E45" s="1"/>
      <c r="I45" s="6"/>
    </row>
    <row r="46">
      <c r="A46" s="1"/>
      <c r="B46" s="1"/>
      <c r="D46" s="1"/>
      <c r="E46" s="1"/>
      <c r="I46" s="6"/>
    </row>
    <row r="47">
      <c r="A47" s="1"/>
      <c r="B47" s="1"/>
      <c r="D47" s="1"/>
      <c r="E47" s="1"/>
      <c r="I47" s="6"/>
    </row>
    <row r="48">
      <c r="A48" s="1"/>
      <c r="B48" s="1"/>
      <c r="D48" s="1"/>
      <c r="E48" s="1"/>
      <c r="I48" s="6"/>
    </row>
    <row r="49"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</sheetData>
  <mergeCells count="1">
    <mergeCell ref="M2:Q2"/>
  </mergeCells>
  <drawing r:id="rId1"/>
</worksheet>
</file>