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aw Game Level Data - API Impor" sheetId="1" r:id="rId4"/>
    <sheet state="visible" name="Rules" sheetId="2" r:id="rId5"/>
    <sheet state="visible" name="Summary" sheetId="3" r:id="rId6"/>
    <sheet state="hidden" name="Timestamp" sheetId="4" r:id="rId7"/>
    <sheet state="visible" name="Wins by Team" sheetId="5" r:id="rId8"/>
    <sheet state="visible" name="Stats by Team by Week" sheetId="6" r:id="rId9"/>
    <sheet state="hidden" name="Commissioner Instructions" sheetId="7" r:id="rId10"/>
    <sheet state="hidden" name="Raw With Formulas" sheetId="8" r:id="rId11"/>
    <sheet state="visible" name="Player Stats - Current Week" sheetId="9" r:id="rId12"/>
    <sheet state="hidden" name="Week Date Mapping" sheetId="10" r:id="rId13"/>
  </sheets>
  <definedNames>
    <definedName name="Formulas">'Raw With Formulas'!$A:$I</definedName>
  </definedNames>
  <calcPr/>
</workbook>
</file>

<file path=xl/sharedStrings.xml><?xml version="1.0" encoding="utf-8"?>
<sst xmlns="http://schemas.openxmlformats.org/spreadsheetml/2006/main" count="1876" uniqueCount="492">
  <si>
    <t>Game</t>
  </si>
  <si>
    <t>Away_Team</t>
  </si>
  <si>
    <t>Home_Team</t>
  </si>
  <si>
    <t>Away_Pts</t>
  </si>
  <si>
    <t>Home_Pts</t>
  </si>
  <si>
    <t>Week</t>
  </si>
  <si>
    <t>Status</t>
  </si>
  <si>
    <t>20240909_NYJ@SF</t>
  </si>
  <si>
    <t>NYJ</t>
  </si>
  <si>
    <t>SF</t>
  </si>
  <si>
    <t>Week 1</t>
  </si>
  <si>
    <t>20240908_ARI@BUF</t>
  </si>
  <si>
    <t>ARI</t>
  </si>
  <si>
    <t>BUF</t>
  </si>
  <si>
    <t>20240908_NE@CIN</t>
  </si>
  <si>
    <t>NE</t>
  </si>
  <si>
    <t>CIN</t>
  </si>
  <si>
    <t>20240908_DEN@SEA</t>
  </si>
  <si>
    <t>DEN</t>
  </si>
  <si>
    <t>SEA</t>
  </si>
  <si>
    <t>20240908_DAL@CLE</t>
  </si>
  <si>
    <t>DAL</t>
  </si>
  <si>
    <t>CLE</t>
  </si>
  <si>
    <t>20240908_HOU@IND</t>
  </si>
  <si>
    <t>HOU</t>
  </si>
  <si>
    <t>IND</t>
  </si>
  <si>
    <t>20240908_LV@LAC</t>
  </si>
  <si>
    <t>LV</t>
  </si>
  <si>
    <t>LAC</t>
  </si>
  <si>
    <t>20240908_MIN@NYG</t>
  </si>
  <si>
    <t>MIN</t>
  </si>
  <si>
    <t>NYG</t>
  </si>
  <si>
    <t>20240908_CAR@NO</t>
  </si>
  <si>
    <t>CAR</t>
  </si>
  <si>
    <t>NO</t>
  </si>
  <si>
    <t>20240908_TEN@CHI</t>
  </si>
  <si>
    <t>TEN</t>
  </si>
  <si>
    <t>CHI</t>
  </si>
  <si>
    <t>20240908_WSH@TB</t>
  </si>
  <si>
    <t>WSH</t>
  </si>
  <si>
    <t>TB</t>
  </si>
  <si>
    <t>20240908_LAR@DET</t>
  </si>
  <si>
    <t>LAR</t>
  </si>
  <si>
    <t>DET</t>
  </si>
  <si>
    <t>20240908_JAX@MIA</t>
  </si>
  <si>
    <t>JAX</t>
  </si>
  <si>
    <t>MIA</t>
  </si>
  <si>
    <t>20240908_PIT@ATL</t>
  </si>
  <si>
    <t>PIT</t>
  </si>
  <si>
    <t>ATL</t>
  </si>
  <si>
    <t>20240906_GB@PHI</t>
  </si>
  <si>
    <t>GB</t>
  </si>
  <si>
    <t>PHI</t>
  </si>
  <si>
    <t>20240905_BAL@KC</t>
  </si>
  <si>
    <t>BAL</t>
  </si>
  <si>
    <t>KC</t>
  </si>
  <si>
    <t>20240916_ATL@PHI</t>
  </si>
  <si>
    <t>Week 2</t>
  </si>
  <si>
    <t>20240912_BUF@MIA</t>
  </si>
  <si>
    <t>20240915_PIT@DEN</t>
  </si>
  <si>
    <t>20240915_NYJ@TEN</t>
  </si>
  <si>
    <t>20240915_LV@BAL</t>
  </si>
  <si>
    <t>20240915_TB@DET</t>
  </si>
  <si>
    <t>20240915_SF@MIN</t>
  </si>
  <si>
    <t>20240915_NO@DAL</t>
  </si>
  <si>
    <t>20240915_IND@GB</t>
  </si>
  <si>
    <t>20240915_CHI@HOU</t>
  </si>
  <si>
    <t>20240915_LAC@CAR</t>
  </si>
  <si>
    <t>20240915_NYG@WSH</t>
  </si>
  <si>
    <t>20240915_SEA@NE</t>
  </si>
  <si>
    <t>20240915_LAR@ARI</t>
  </si>
  <si>
    <t>20240915_CLE@JAX</t>
  </si>
  <si>
    <t>20240915_CIN@KC</t>
  </si>
  <si>
    <t>20240923_JAX@BUF</t>
  </si>
  <si>
    <t>Week 3</t>
  </si>
  <si>
    <t>20240923_WSH@CIN</t>
  </si>
  <si>
    <t>20240922_DET@ARI</t>
  </si>
  <si>
    <t>20240922_HOU@MIN</t>
  </si>
  <si>
    <t>20240922_GB@TEN</t>
  </si>
  <si>
    <t>20240922_BAL@DAL</t>
  </si>
  <si>
    <t>20240922_MIA@SEA</t>
  </si>
  <si>
    <t>20240922_KC@ATL</t>
  </si>
  <si>
    <t>20240922_DEN@TB</t>
  </si>
  <si>
    <t>20240922_LAC@PIT</t>
  </si>
  <si>
    <t>20240922_PHI@NO</t>
  </si>
  <si>
    <t>20240922_SF@LAR</t>
  </si>
  <si>
    <t>20240922_CAR@LV</t>
  </si>
  <si>
    <t>20240922_CHI@IND</t>
  </si>
  <si>
    <t>20240922_NYG@CLE</t>
  </si>
  <si>
    <t>20240919_NE@NYJ</t>
  </si>
  <si>
    <t>20240930_TEN@MIA</t>
  </si>
  <si>
    <t>Week 4</t>
  </si>
  <si>
    <t>20240930_SEA@DET</t>
  </si>
  <si>
    <t>20240926_DAL@NYG</t>
  </si>
  <si>
    <t>20240929_MIN@GB</t>
  </si>
  <si>
    <t>20240929_DEN@NYJ</t>
  </si>
  <si>
    <t>20240929_CIN@CAR</t>
  </si>
  <si>
    <t>20240929_KC@LAC</t>
  </si>
  <si>
    <t>20240929_LAR@CHI</t>
  </si>
  <si>
    <t>20240929_PHI@TB</t>
  </si>
  <si>
    <t>20240929_CLE@LV</t>
  </si>
  <si>
    <t>20240929_WSH@ARI</t>
  </si>
  <si>
    <t>20240929_NO@ATL</t>
  </si>
  <si>
    <t>20240929_PIT@IND</t>
  </si>
  <si>
    <t>20240929_JAX@HOU</t>
  </si>
  <si>
    <t>20240929_NE@SF</t>
  </si>
  <si>
    <t>20240929_BUF@BAL</t>
  </si>
  <si>
    <t>20241003_TB@ATL</t>
  </si>
  <si>
    <t>Week 5</t>
  </si>
  <si>
    <t>20241007_NO@KC</t>
  </si>
  <si>
    <t>20241006_BUF@HOU</t>
  </si>
  <si>
    <t>20241006_BAL@CIN</t>
  </si>
  <si>
    <t>20241006_NYG@SEA</t>
  </si>
  <si>
    <t>20241006_IND@JAX</t>
  </si>
  <si>
    <t>20241006_DAL@PIT</t>
  </si>
  <si>
    <t>20241006_LV@DEN</t>
  </si>
  <si>
    <t>20241006_GB@LAR</t>
  </si>
  <si>
    <t>20241006_ARI@SF</t>
  </si>
  <si>
    <t>20241006_MIA@NE</t>
  </si>
  <si>
    <t>20241006_CAR@CHI</t>
  </si>
  <si>
    <t>20241006_NYJ@MIN</t>
  </si>
  <si>
    <t>20241006_CLE@WSH</t>
  </si>
  <si>
    <t>20241014_BUF@NYJ</t>
  </si>
  <si>
    <t>Week 6</t>
  </si>
  <si>
    <t>20241010_SF@SEA</t>
  </si>
  <si>
    <t>20241013_PIT@LV</t>
  </si>
  <si>
    <t>20241013_CLE@PHI</t>
  </si>
  <si>
    <t>20241013_DET@DAL</t>
  </si>
  <si>
    <t>20241013_ATL@CAR</t>
  </si>
  <si>
    <t>20241013_JAX@CHI</t>
  </si>
  <si>
    <t>20241013_LAC@DEN</t>
  </si>
  <si>
    <t>20241013_CIN@NYG</t>
  </si>
  <si>
    <t>20241013_TB@NO</t>
  </si>
  <si>
    <t>20241013_WSH@BAL</t>
  </si>
  <si>
    <t>20241013_HOU@NE</t>
  </si>
  <si>
    <t>20241013_IND@TEN</t>
  </si>
  <si>
    <t>20241013_ARI@GB</t>
  </si>
  <si>
    <t>20241021_LAC@ARI</t>
  </si>
  <si>
    <t>Week 7</t>
  </si>
  <si>
    <t>20241021_BAL@TB</t>
  </si>
  <si>
    <t>20241020_MIA@IND</t>
  </si>
  <si>
    <t>20241020_LV@LAR</t>
  </si>
  <si>
    <t>20241020_DET@MIN</t>
  </si>
  <si>
    <t>20241020_SEA@ATL</t>
  </si>
  <si>
    <t>20241020_CAR@WSH</t>
  </si>
  <si>
    <t>20241020_HOU@GB</t>
  </si>
  <si>
    <t>20241020_KC@SF</t>
  </si>
  <si>
    <t>20241020_CIN@CLE</t>
  </si>
  <si>
    <t>20241020_NE@JAX</t>
  </si>
  <si>
    <t>20241020_PHI@NYG</t>
  </si>
  <si>
    <t>20241020_NYJ@PIT</t>
  </si>
  <si>
    <t>20241020_TEN@BUF</t>
  </si>
  <si>
    <t>20241017_DEN@NO</t>
  </si>
  <si>
    <t>20241024_MIN@LAR</t>
  </si>
  <si>
    <t>Week 8</t>
  </si>
  <si>
    <t>20241028_NYG@PIT</t>
  </si>
  <si>
    <t>20241027_PHI@CIN</t>
  </si>
  <si>
    <t>20241027_NO@LAC</t>
  </si>
  <si>
    <t>20241027_DAL@SF</t>
  </si>
  <si>
    <t>20241027_GB@JAX</t>
  </si>
  <si>
    <t>20241027_BUF@SEA</t>
  </si>
  <si>
    <t>20241027_NYJ@NE</t>
  </si>
  <si>
    <t>20241027_KC@LV</t>
  </si>
  <si>
    <t>20241027_BAL@CLE</t>
  </si>
  <si>
    <t>20241027_ARI@MIA</t>
  </si>
  <si>
    <t>20241027_ATL@TB</t>
  </si>
  <si>
    <t>20241027_TEN@DET</t>
  </si>
  <si>
    <t>20241027_IND@HOU</t>
  </si>
  <si>
    <t>20241027_CHI@WSH</t>
  </si>
  <si>
    <t>20241027_CAR@DEN</t>
  </si>
  <si>
    <t>20241103_DAL@ATL</t>
  </si>
  <si>
    <t>Week 9</t>
  </si>
  <si>
    <t>20241103_DEN@BAL</t>
  </si>
  <si>
    <t>20241103_LAR@SEA</t>
  </si>
  <si>
    <t>20241103_NE@TEN</t>
  </si>
  <si>
    <t>20241103_JAX@PHI</t>
  </si>
  <si>
    <t>20241103_MIA@BUF</t>
  </si>
  <si>
    <t>20241103_LAC@CLE</t>
  </si>
  <si>
    <t>20241103_CHI@ARI</t>
  </si>
  <si>
    <t>20241103_WSH@NYG</t>
  </si>
  <si>
    <t>20241103_LV@CIN</t>
  </si>
  <si>
    <t>20241103_DET@GB</t>
  </si>
  <si>
    <t>20241103_NO@CAR</t>
  </si>
  <si>
    <t>20241103_IND@MIN</t>
  </si>
  <si>
    <t>20241031_HOU@NYJ</t>
  </si>
  <si>
    <t>20241104_TB@KC</t>
  </si>
  <si>
    <t>20241110_NE@CHI</t>
  </si>
  <si>
    <t>Week 10</t>
  </si>
  <si>
    <t>20241110_NYG@CAR</t>
  </si>
  <si>
    <t>20241110_DEN@KC</t>
  </si>
  <si>
    <t>20241110_TEN@LAC</t>
  </si>
  <si>
    <t>20241110_NYJ@ARI</t>
  </si>
  <si>
    <t>20241110_MIN@JAX</t>
  </si>
  <si>
    <t>20241110_ATL@NO</t>
  </si>
  <si>
    <t>20241110_BUF@IND</t>
  </si>
  <si>
    <t>20241110_PIT@WSH</t>
  </si>
  <si>
    <t>20241110_PHI@DAL</t>
  </si>
  <si>
    <t>20241110_DET@HOU</t>
  </si>
  <si>
    <t>20241110_SF@TB</t>
  </si>
  <si>
    <t>20241107_CIN@BAL</t>
  </si>
  <si>
    <t>20241111_MIA@LAR</t>
  </si>
  <si>
    <t>20241118_HOU@DAL</t>
  </si>
  <si>
    <t>Week 11</t>
  </si>
  <si>
    <t>20241114_WSH@PHI</t>
  </si>
  <si>
    <t>20241117_KC@BUF</t>
  </si>
  <si>
    <t>20241117_MIN@TEN</t>
  </si>
  <si>
    <t>20241117_BAL@PIT</t>
  </si>
  <si>
    <t>20241117_IND@NYJ</t>
  </si>
  <si>
    <t>20241117_SEA@SF</t>
  </si>
  <si>
    <t>20241117_LAR@NE</t>
  </si>
  <si>
    <t>20241117_CIN@LAC</t>
  </si>
  <si>
    <t>20241117_GB@CHI</t>
  </si>
  <si>
    <t>20241117_JAX@DET</t>
  </si>
  <si>
    <t>20241117_CLE@NO</t>
  </si>
  <si>
    <t>20241117_LV@MIA</t>
  </si>
  <si>
    <t>20241117_ATL@DEN</t>
  </si>
  <si>
    <t>20241125_BAL@LAC</t>
  </si>
  <si>
    <t>Week 12</t>
  </si>
  <si>
    <t>20241121_PIT@CLE</t>
  </si>
  <si>
    <t>20241124_ARI@SEA</t>
  </si>
  <si>
    <t>20241124_TB@NYG</t>
  </si>
  <si>
    <t>20241124_SF@GB</t>
  </si>
  <si>
    <t>20241124_MIN@CHI</t>
  </si>
  <si>
    <t>20241124_TEN@HOU</t>
  </si>
  <si>
    <t>20241124_PHI@LAR</t>
  </si>
  <si>
    <t>20241124_NE@MIA</t>
  </si>
  <si>
    <t>20241124_DAL@WSH</t>
  </si>
  <si>
    <t>20241124_DET@IND</t>
  </si>
  <si>
    <t>20241124_DEN@LV</t>
  </si>
  <si>
    <t>20241124_KC@CAR</t>
  </si>
  <si>
    <t>20241202_CLE@DEN</t>
  </si>
  <si>
    <t>Week 13</t>
  </si>
  <si>
    <t>20241201_TEN@WSH</t>
  </si>
  <si>
    <t>20241201_ARI@MIN</t>
  </si>
  <si>
    <t>20241201_IND@NE</t>
  </si>
  <si>
    <t>20241201_LAR@NO</t>
  </si>
  <si>
    <t>20241201_LAC@ATL</t>
  </si>
  <si>
    <t>20241201_SF@BUF</t>
  </si>
  <si>
    <t>20241201_HOU@JAX</t>
  </si>
  <si>
    <t>20241201_PHI@BAL</t>
  </si>
  <si>
    <t>20241201_PIT@CIN</t>
  </si>
  <si>
    <t>20241201_TB@CAR</t>
  </si>
  <si>
    <t>20241201_SEA@NYJ</t>
  </si>
  <si>
    <t>20241129_LV@KC</t>
  </si>
  <si>
    <t>20241128_NYG@DAL</t>
  </si>
  <si>
    <t>20241128_MIA@GB</t>
  </si>
  <si>
    <t>20241128_CHI@DET</t>
  </si>
  <si>
    <t>20241209_CIN@DAL</t>
  </si>
  <si>
    <t>Week 14</t>
  </si>
  <si>
    <t>20241205_GB@DET</t>
  </si>
  <si>
    <t>20241208_LV@TB</t>
  </si>
  <si>
    <t>20241208_NO@NYG</t>
  </si>
  <si>
    <t>20241208_NYJ@MIA</t>
  </si>
  <si>
    <t>20241208_BUF@LAR</t>
  </si>
  <si>
    <t>20241208_CLE@PIT</t>
  </si>
  <si>
    <t>20241208_LAC@KC</t>
  </si>
  <si>
    <t>20241208_ATL@MIN</t>
  </si>
  <si>
    <t>20241208_CAR@PHI</t>
  </si>
  <si>
    <t>20241208_CHI@SF</t>
  </si>
  <si>
    <t>20241208_SEA@ARI</t>
  </si>
  <si>
    <t>20241208_JAX@TEN</t>
  </si>
  <si>
    <t>20241216_ATL@LV</t>
  </si>
  <si>
    <t>Week 15</t>
  </si>
  <si>
    <t>20241216_CHI@MIN</t>
  </si>
  <si>
    <t>20241212_LAR@SF</t>
  </si>
  <si>
    <t>20241215_KC@CLE</t>
  </si>
  <si>
    <t>20241215_WSH@NO</t>
  </si>
  <si>
    <t>20241215_BUF@DET</t>
  </si>
  <si>
    <t>20241215_CIN@TEN</t>
  </si>
  <si>
    <t>20241215_TB@LAC</t>
  </si>
  <si>
    <t>20241215_DAL@CAR</t>
  </si>
  <si>
    <t>20241215_NE@ARI</t>
  </si>
  <si>
    <t>20241215_GB@SEA</t>
  </si>
  <si>
    <t>20241215_IND@DEN</t>
  </si>
  <si>
    <t>20241215_MIA@HOU</t>
  </si>
  <si>
    <t>20241215_PIT@PHI</t>
  </si>
  <si>
    <t>20241215_BAL@NYG</t>
  </si>
  <si>
    <t>20241215_NYJ@JAX</t>
  </si>
  <si>
    <t>20241223_NO@GB</t>
  </si>
  <si>
    <t>Week 16</t>
  </si>
  <si>
    <t>20241222_NE@BUF</t>
  </si>
  <si>
    <t>20241222_TB@DAL</t>
  </si>
  <si>
    <t>20241222_JAX@LV</t>
  </si>
  <si>
    <t>20241222_ARI@CAR</t>
  </si>
  <si>
    <t>20241222_LAR@NYJ</t>
  </si>
  <si>
    <t>20241222_SF@MIA</t>
  </si>
  <si>
    <t>20241222_TEN@IND</t>
  </si>
  <si>
    <t>20241222_NYG@ATL</t>
  </si>
  <si>
    <t>20241222_PHI@WSH</t>
  </si>
  <si>
    <t>20241222_DET@CHI</t>
  </si>
  <si>
    <t>20241222_DEN@LAC</t>
  </si>
  <si>
    <t>20241222_MIN@SEA</t>
  </si>
  <si>
    <t>20241219_CLE@CIN</t>
  </si>
  <si>
    <t>20241221_HOU@KC</t>
  </si>
  <si>
    <t>20241221_PIT@BAL</t>
  </si>
  <si>
    <t>20241229_GB@MIN</t>
  </si>
  <si>
    <t>Week 17</t>
  </si>
  <si>
    <t>20241229_LAC@NE</t>
  </si>
  <si>
    <t>20241229_DEN@CIN</t>
  </si>
  <si>
    <t>20241229_TEN@JAX</t>
  </si>
  <si>
    <t>20241229_LV@NO</t>
  </si>
  <si>
    <t>20241229_ATL@WSH</t>
  </si>
  <si>
    <t>20241229_MIA@CLE</t>
  </si>
  <si>
    <t>20241229_DAL@PHI</t>
  </si>
  <si>
    <t>20241229_IND@NYG</t>
  </si>
  <si>
    <t>20241229_CAR@TB</t>
  </si>
  <si>
    <t>20241229_ARI@LAR</t>
  </si>
  <si>
    <t>20241229_NYJ@BUF</t>
  </si>
  <si>
    <t>20241230_DET@SF</t>
  </si>
  <si>
    <t>20241226_SEA@CHI</t>
  </si>
  <si>
    <t>20241225_BAL@HOU</t>
  </si>
  <si>
    <t>20241225_KC@PIT</t>
  </si>
  <si>
    <t>20250105_CHI@GB</t>
  </si>
  <si>
    <t>Week 18</t>
  </si>
  <si>
    <t>20250105_NYG@PHI</t>
  </si>
  <si>
    <t>20250105_CAR@ATL</t>
  </si>
  <si>
    <t>20250105_MIA@NYJ</t>
  </si>
  <si>
    <t>20250105_SEA@LAR</t>
  </si>
  <si>
    <t>20250105_BUF@NE</t>
  </si>
  <si>
    <t>20250105_NO@TB</t>
  </si>
  <si>
    <t>20250105_CIN@PIT</t>
  </si>
  <si>
    <t>20250105_MIN@DET</t>
  </si>
  <si>
    <t>20250105_HOU@TEN</t>
  </si>
  <si>
    <t>20250105_KC@DEN</t>
  </si>
  <si>
    <t>20250105_LAC@LV</t>
  </si>
  <si>
    <t>20250105_CLE@BAL</t>
  </si>
  <si>
    <t>20250105_SF@ARI</t>
  </si>
  <si>
    <t>20250105_WSH@DAL</t>
  </si>
  <si>
    <t>20250105_JAX@IND</t>
  </si>
  <si>
    <t>Draft</t>
  </si>
  <si>
    <t>Buy-in</t>
  </si>
  <si>
    <t xml:space="preserve">Each owner(s) gets three teams. </t>
  </si>
  <si>
    <t>$200 per owner(s)</t>
  </si>
  <si>
    <t>Draft order will be randomized.</t>
  </si>
  <si>
    <t>Draft positions are as follows:</t>
  </si>
  <si>
    <t>Payouts</t>
  </si>
  <si>
    <t>$900 to owner(s) with most wins in aggregate across their three teams | Ties for first result in total pot split and no payout for 2nd place</t>
  </si>
  <si>
    <t>$200 to owner(s) with second most wins in aggregate across their three teams | Ties will split the $200 equally</t>
  </si>
  <si>
    <t>$50 weekly payout based on different stat each week. Stats will be specific to individual team/player and not aggregate across all three teams to make tracking simpler during games</t>
  </si>
  <si>
    <t>How to use this sheet</t>
  </si>
  <si>
    <r>
      <rPr>
        <color rgb="FF1155CC"/>
        <sz val="12.0"/>
      </rPr>
      <t xml:space="preserve">Summary tab </t>
    </r>
    <r>
      <rPr>
        <color rgb="FF000000"/>
        <sz val="12.0"/>
      </rPr>
      <t>will track total wins to date and earnings to date as well as winner for each weekly payout</t>
    </r>
  </si>
  <si>
    <r>
      <rPr>
        <color rgb="FF1155CC"/>
        <sz val="12.0"/>
      </rPr>
      <t xml:space="preserve">Wins by Team tab </t>
    </r>
    <r>
      <rPr>
        <color rgb="FF000000"/>
        <sz val="12.0"/>
      </rPr>
      <t>will track wins by individual NFL team</t>
    </r>
  </si>
  <si>
    <r>
      <rPr>
        <color rgb="FF1155CC"/>
        <sz val="12.0"/>
      </rPr>
      <t xml:space="preserve">Stats by Team by Week tab </t>
    </r>
    <r>
      <rPr>
        <color rgb="FF000000"/>
        <sz val="12.0"/>
      </rPr>
      <t>will track stat by week by NFL team. For individual player stats, this tab will show stats pertaining to the highest scoring player on the team.</t>
    </r>
  </si>
  <si>
    <r>
      <rPr>
        <color rgb="FF1155CC"/>
        <sz val="12.0"/>
      </rPr>
      <t>Player Stats - Current Week</t>
    </r>
    <r>
      <rPr>
        <sz val="12.0"/>
      </rPr>
      <t xml:space="preserve"> tab will show player level numbers for the CURRENT week.</t>
    </r>
  </si>
  <si>
    <r>
      <rPr>
        <rFont val="Arial"/>
        <b/>
        <color theme="1"/>
        <sz val="12.0"/>
      </rPr>
      <t>Freshness (</t>
    </r>
    <r>
      <rPr>
        <rFont val="Arial"/>
        <b/>
        <color rgb="FFFF0000"/>
        <sz val="12.0"/>
      </rPr>
      <t>In Progress</t>
    </r>
    <r>
      <rPr>
        <rFont val="Arial"/>
        <b/>
        <color theme="1"/>
        <sz val="12.0"/>
      </rPr>
      <t>)</t>
    </r>
  </si>
  <si>
    <t xml:space="preserve">The app is scheduled to run a refresh at the following cadence due to free tier API limits: Friday @ 7am; Sunday @ 4pm, 8:30pm, Monday @ 7am; Tuesday  @ 7am (all times ET) </t>
  </si>
  <si>
    <t>For Friday/Saturday games, script will run following morning at 7am ET; Commissioner can trigger refreshes manually as needed</t>
  </si>
  <si>
    <t>Rules</t>
  </si>
  <si>
    <t>Fantasy scoring rules:</t>
  </si>
  <si>
    <t>Statistic for each week:</t>
  </si>
  <si>
    <t>Scores will be based on standard ESPN Fantasy Football rules</t>
  </si>
  <si>
    <t>QB w/ Most Passing Yards</t>
  </si>
  <si>
    <t>Pass TD = 4pt</t>
  </si>
  <si>
    <t>Team w/ Most Points Scored</t>
  </si>
  <si>
    <t>Rush/rec TD = 6pt</t>
  </si>
  <si>
    <t>Def with Least Yards Against</t>
  </si>
  <si>
    <t>10 rush/rec yd = 1pt</t>
  </si>
  <si>
    <t>TE w/ Most Rec Yards</t>
  </si>
  <si>
    <t>25 pass yd = 1pt</t>
  </si>
  <si>
    <t>Receiver Most Fantasy Points</t>
  </si>
  <si>
    <t>INT, Fumble = -2pt</t>
  </si>
  <si>
    <t>DST w/ Most Points (XP, FG, TD)</t>
  </si>
  <si>
    <t>2pt conversion catch/pass/run = 2pt</t>
  </si>
  <si>
    <t>RB w/ Most Rush/Rec Yards</t>
  </si>
  <si>
    <t xml:space="preserve">Kicker Most Points (XP, FG) </t>
  </si>
  <si>
    <t>**Code for app can be found here**</t>
  </si>
  <si>
    <t>QB with Most Completions</t>
  </si>
  <si>
    <t>Def w/ Most Sacks</t>
  </si>
  <si>
    <t>TE Most Fantasy Points</t>
  </si>
  <si>
    <t>Def w/ Most Turnovers</t>
  </si>
  <si>
    <t>QB w/ Most Rush Yards</t>
  </si>
  <si>
    <t>Def w/ Least Points Against</t>
  </si>
  <si>
    <t>QB Most Fantasy Points</t>
  </si>
  <si>
    <t>Team w/ Least Points Scored</t>
  </si>
  <si>
    <t>Receiver w/ Most Rec Yards</t>
  </si>
  <si>
    <t>RB Most Fantasy Points</t>
  </si>
  <si>
    <t>Stat</t>
  </si>
  <si>
    <t>(Anticipated) Winner(s)</t>
  </si>
  <si>
    <t>Owners</t>
  </si>
  <si>
    <t>Accumulated Wins</t>
  </si>
  <si>
    <t>Earnings</t>
  </si>
  <si>
    <t>Budde</t>
  </si>
  <si>
    <t xml:space="preserve">QB with Most Completions </t>
  </si>
  <si>
    <t>Chris</t>
  </si>
  <si>
    <t>Grant|Rusty</t>
  </si>
  <si>
    <t>Jim</t>
  </si>
  <si>
    <t>Kyle</t>
  </si>
  <si>
    <t>Max</t>
  </si>
  <si>
    <t>Rob</t>
  </si>
  <si>
    <t>Sagar</t>
  </si>
  <si>
    <t>Steve|Sutter</t>
  </si>
  <si>
    <t>Wyatt</t>
  </si>
  <si>
    <t>2024-09-05 14:24:36.693868</t>
  </si>
  <si>
    <t>Team API</t>
  </si>
  <si>
    <t>Team</t>
  </si>
  <si>
    <t>Owner</t>
  </si>
  <si>
    <t>Wins</t>
  </si>
  <si>
    <t>CLT</t>
  </si>
  <si>
    <t>GNB</t>
  </si>
  <si>
    <t>KAN</t>
  </si>
  <si>
    <t>NOR</t>
  </si>
  <si>
    <t>NWE</t>
  </si>
  <si>
    <t>OTI</t>
  </si>
  <si>
    <t>RAI</t>
  </si>
  <si>
    <t>RAM</t>
  </si>
  <si>
    <t>RAV</t>
  </si>
  <si>
    <t>SDG</t>
  </si>
  <si>
    <t>SFO</t>
  </si>
  <si>
    <t>TAM</t>
  </si>
  <si>
    <t>WAS</t>
  </si>
  <si>
    <t>Week1 Helper</t>
  </si>
  <si>
    <t>Week1</t>
  </si>
  <si>
    <t>Column 23</t>
  </si>
  <si>
    <t>Week2</t>
  </si>
  <si>
    <t>Column 24</t>
  </si>
  <si>
    <t>Week3</t>
  </si>
  <si>
    <t>Column 25</t>
  </si>
  <si>
    <t>Week4</t>
  </si>
  <si>
    <t>Column 26</t>
  </si>
  <si>
    <t>Week5</t>
  </si>
  <si>
    <t>Column 27</t>
  </si>
  <si>
    <t>Week6</t>
  </si>
  <si>
    <t>Column 28</t>
  </si>
  <si>
    <t>Week7</t>
  </si>
  <si>
    <t>Column 29</t>
  </si>
  <si>
    <t>Week8</t>
  </si>
  <si>
    <t>Column 30</t>
  </si>
  <si>
    <t>Week9</t>
  </si>
  <si>
    <t>Column 31</t>
  </si>
  <si>
    <t>Week10</t>
  </si>
  <si>
    <t>Column 32</t>
  </si>
  <si>
    <t>Week11</t>
  </si>
  <si>
    <t>Column 33</t>
  </si>
  <si>
    <t>Week12</t>
  </si>
  <si>
    <t>Column 34</t>
  </si>
  <si>
    <t>Week13</t>
  </si>
  <si>
    <t>Column 35</t>
  </si>
  <si>
    <t>Week14</t>
  </si>
  <si>
    <t>Column 36</t>
  </si>
  <si>
    <t>Week15</t>
  </si>
  <si>
    <t>Column 37</t>
  </si>
  <si>
    <t>Week16</t>
  </si>
  <si>
    <t>Column 38</t>
  </si>
  <si>
    <t>Week17</t>
  </si>
  <si>
    <t>Column 39</t>
  </si>
  <si>
    <t>Week18</t>
  </si>
  <si>
    <t>Owner2</t>
  </si>
  <si>
    <t>BYE, GAME NOT STARTED, OR NO STATS YET</t>
  </si>
  <si>
    <t>TEAM NOT DRAFTED</t>
  </si>
  <si>
    <t>Before Season Starts</t>
  </si>
  <si>
    <t>Take formulas below, paste in two row two of the column associated with the week and drag down. This will reset the "Copy, Paste Values" done each week during the previous season. Look at Conditional Formatting formula before and make sure it persists after</t>
  </si>
  <si>
    <t>Validate API behavior hasn't changed</t>
  </si>
  <si>
    <t>Update owners in the "Summary" tab</t>
  </si>
  <si>
    <t>Remove Owners from the "Stats by Team by Week" tab</t>
  </si>
  <si>
    <t>Update "Week Date Mapping" tab with weeks and dates for the new season</t>
  </si>
  <si>
    <t>Setup Cron to run script based on available API calls and new schedule you'd like. Link to API documentation is here: https://rapidapi.com/tank01/api/tank01-nfl-live-in-game-real-time-statistics-nfl/playground/apiendpoint_170ffbd1-36a2-4570-9671-0888277ee728</t>
  </si>
  <si>
    <t xml:space="preserve">After the draft, whatever two teams weren't drafted, manually paste "BYE, GAME NOT STARTED, OR NO STATS YET" across all weeks in the "Stats by Team by Week" tab so teams aren't selected as winners for any weeks </t>
  </si>
  <si>
    <t>DONT REMOVE HEADERS FROM ANY OF THE API FIELDS!</t>
  </si>
  <si>
    <t>Columns H-N of the "Raw With Formulas" tab have formulas - don't delete!</t>
  </si>
  <si>
    <t>Formula Taken from Row 2 of "Stats by Team by Week" Tab</t>
  </si>
  <si>
    <t>Weekly</t>
  </si>
  <si>
    <r>
      <rPr>
        <rFont val="Arial"/>
        <color theme="1"/>
        <sz val="12.0"/>
      </rPr>
      <t xml:space="preserve">Copy/Paste values for the previous week in the Stats by Team by Week tab </t>
    </r>
    <r>
      <rPr>
        <rFont val="Arial"/>
        <b/>
        <color theme="1"/>
        <sz val="12.0"/>
      </rPr>
      <t>ON TUESDAY - CAN'T BE LATER OR THE PREVIOUS WEEK DATA WILL GET OVERRIDDEN AND YOU'LL NEED TO UPDATE SCRIPT TO REPAIR PREVIOUS WEEK</t>
    </r>
  </si>
  <si>
    <t>Winner</t>
  </si>
  <si>
    <t>Loser</t>
  </si>
  <si>
    <t>Concatenate_Away</t>
  </si>
  <si>
    <t>Concatenate_Home</t>
  </si>
  <si>
    <t>Away_Score</t>
  </si>
  <si>
    <t>Home_Score</t>
  </si>
  <si>
    <t>Concatenate_Away_Again</t>
  </si>
  <si>
    <t>player_id</t>
  </si>
  <si>
    <t>name</t>
  </si>
  <si>
    <t>team</t>
  </si>
  <si>
    <t>position</t>
  </si>
  <si>
    <t>recyds</t>
  </si>
  <si>
    <t>rectd</t>
  </si>
  <si>
    <t>rushyds</t>
  </si>
  <si>
    <t>rushtd</t>
  </si>
  <si>
    <t>passyds</t>
  </si>
  <si>
    <t>passtd</t>
  </si>
  <si>
    <t>int</t>
  </si>
  <si>
    <t>kicking_pts</t>
  </si>
  <si>
    <t>fumbles</t>
  </si>
  <si>
    <t>passcmp</t>
  </si>
  <si>
    <t>sacks</t>
  </si>
  <si>
    <t>defensiveints</t>
  </si>
  <si>
    <t>fantasy_points</t>
  </si>
  <si>
    <t>dst_td</t>
  </si>
  <si>
    <t>turnovers</t>
  </si>
  <si>
    <t>totalyds</t>
  </si>
  <si>
    <t>totalrushrecyds</t>
  </si>
  <si>
    <t>Start_Date</t>
  </si>
  <si>
    <t>End_Date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</si>
</sst>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 d, yy"/>
    <numFmt numFmtId="165" formatCode="&quot;$&quot;#,##0.00"/>
    <numFmt numFmtId="166" formatCode="yyyy-mm-dd"/>
  </numFmts>
  <fonts count="14">
    <font>
      <sz val="10.0"/>
      <color rgb="FF000000"/>
      <name val="Arial"/>
      <scheme val="minor"/>
    </font>
    <font>
      <color theme="1"/>
      <name val="Arial"/>
      <scheme val="minor"/>
    </font>
    <font>
      <b/>
      <sz val="12.0"/>
      <color theme="1"/>
      <name val="Arial"/>
      <scheme val="minor"/>
    </font>
    <font>
      <sz val="12.0"/>
      <color theme="1"/>
      <name val="Arial"/>
      <scheme val="minor"/>
    </font>
    <font>
      <sz val="10.0"/>
      <color theme="1"/>
      <name val="Arial"/>
      <scheme val="minor"/>
    </font>
    <font>
      <sz val="12.0"/>
      <color rgb="FF0000FF"/>
    </font>
    <font>
      <u/>
      <sz val="12.0"/>
      <color rgb="FF0000FF"/>
      <name val="Roboto"/>
    </font>
    <font>
      <b/>
      <i/>
      <color theme="1"/>
      <name val="Arial"/>
      <scheme val="minor"/>
    </font>
    <font/>
    <font>
      <color rgb="FF666666"/>
      <name val="Arial"/>
      <scheme val="minor"/>
    </font>
    <font>
      <b/>
      <color theme="1"/>
      <name val="Arial"/>
      <scheme val="minor"/>
    </font>
    <font>
      <color rgb="FF000000"/>
      <name val="Arial"/>
      <scheme val="minor"/>
    </font>
    <font>
      <strike/>
      <sz val="12.0"/>
      <color theme="1"/>
      <name val="Arial"/>
      <scheme val="minor"/>
    </font>
    <font>
      <u/>
      <sz val="12.0"/>
      <color rgb="FF0000FF"/>
      <name val="Roboto"/>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80D3FF"/>
        <bgColor rgb="FF80D3FF"/>
      </patternFill>
    </fill>
    <fill>
      <patternFill patternType="solid">
        <fgColor rgb="FFEFEFEF"/>
        <bgColor rgb="FFEFEFEF"/>
      </patternFill>
    </fill>
  </fills>
  <borders count="51">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top style="thin">
        <color rgb="FFFFFFFF"/>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thin">
        <color rgb="FF000000"/>
      </right>
    </border>
    <border>
      <left style="thin">
        <color rgb="FF000000"/>
      </left>
      <right style="thin">
        <color rgb="FF000000"/>
      </right>
      <bottom style="thin">
        <color rgb="FF000000"/>
      </bottom>
    </border>
    <border>
      <top style="thin">
        <color rgb="FFFFFFFF"/>
      </top>
    </border>
    <border>
      <left style="thin">
        <color rgb="FFFFFFFF"/>
      </left>
      <right style="thin">
        <color rgb="FFFFFFFF"/>
      </right>
    </border>
    <border>
      <right style="thin">
        <color rgb="FFFFFFFF"/>
      </right>
      <top style="thin">
        <color rgb="FFFFFFFF"/>
      </top>
    </border>
    <border>
      <left style="thin">
        <color rgb="FFFFFFFF"/>
      </left>
      <right style="thin">
        <color rgb="FFFFFFFF"/>
      </right>
      <bottom style="thin">
        <color rgb="FFFFFFFF"/>
      </bottom>
    </border>
    <border>
      <left style="thin">
        <color rgb="FFFFFFFF"/>
      </left>
      <bottom style="thin">
        <color rgb="FFFFFFFF"/>
      </bottom>
    </border>
    <border>
      <right style="thin">
        <color rgb="FFFFFFFF"/>
      </right>
      <bottom style="thin">
        <color rgb="FFFFFFFF"/>
      </bottom>
    </border>
    <border>
      <left style="thin">
        <color rgb="FFFFFFFF"/>
      </left>
      <top style="thin">
        <color rgb="FFFFFFFF"/>
      </top>
    </border>
    <border>
      <left style="thin">
        <color rgb="FF000000"/>
      </left>
      <top style="thin">
        <color rgb="FF000000"/>
      </top>
    </border>
    <border>
      <right style="thin">
        <color rgb="FF000000"/>
      </right>
      <top style="thin">
        <color rgb="FF000000"/>
      </top>
    </border>
    <border>
      <left style="thin">
        <color rgb="FF666666"/>
      </left>
      <right style="thin">
        <color rgb="FF666666"/>
      </right>
      <top style="thin">
        <color rgb="FF666666"/>
      </top>
    </border>
    <border>
      <left style="thin">
        <color rgb="FF000000"/>
      </left>
    </border>
    <border>
      <right style="thin">
        <color rgb="FF000000"/>
      </right>
    </border>
    <border>
      <left style="thin">
        <color rgb="FF666666"/>
      </left>
      <right style="thin">
        <color rgb="FF666666"/>
      </right>
    </border>
    <border>
      <left style="thin">
        <color rgb="FF666666"/>
      </left>
      <right style="thin">
        <color rgb="FF666666"/>
      </right>
      <bottom style="thin">
        <color rgb="FF666666"/>
      </bottom>
    </border>
    <border>
      <left style="thin">
        <color rgb="FF000000"/>
      </left>
      <bottom style="thin">
        <color rgb="FF000000"/>
      </bottom>
    </border>
    <border>
      <right style="thin">
        <color rgb="FF000000"/>
      </right>
      <bottom style="thin">
        <color rgb="FF000000"/>
      </bottom>
    </border>
    <border>
      <left style="thin">
        <color rgb="FF6AA5BF"/>
      </left>
      <right style="thin">
        <color rgb="FF8DDCFF"/>
      </right>
      <top style="thin">
        <color rgb="FF6AA5BF"/>
      </top>
      <bottom style="thin">
        <color rgb="FF6AA5BF"/>
      </bottom>
    </border>
    <border>
      <left style="thin">
        <color rgb="FF8DDCFF"/>
      </left>
      <right style="thin">
        <color rgb="FF8DDCFF"/>
      </right>
      <top style="thin">
        <color rgb="FF6AA5BF"/>
      </top>
      <bottom style="thin">
        <color rgb="FF6AA5BF"/>
      </bottom>
    </border>
    <border>
      <left style="thin">
        <color rgb="FF8DDCFF"/>
      </left>
      <right style="thin">
        <color rgb="FF6AA5BF"/>
      </right>
      <top style="thin">
        <color rgb="FF6AA5BF"/>
      </top>
      <bottom style="thin">
        <color rgb="FF6AA5BF"/>
      </bottom>
    </border>
    <border>
      <left style="thin">
        <color rgb="FF6AA5BF"/>
      </left>
      <right style="thin">
        <color rgb="FFFFFFFF"/>
      </right>
      <top style="thin">
        <color rgb="FFFFFFFF"/>
      </top>
      <bottom style="thin">
        <color rgb="FFFFFFFF"/>
      </bottom>
    </border>
    <border>
      <left style="thin">
        <color rgb="FFFFFFFF"/>
      </left>
      <right style="thin">
        <color rgb="FF6AA5BF"/>
      </right>
      <top style="thin">
        <color rgb="FFFFFFFF"/>
      </top>
      <bottom style="thin">
        <color rgb="FFFFFFFF"/>
      </bottom>
    </border>
    <border>
      <left style="thin">
        <color rgb="FF6AA5B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6AA5BF"/>
      </right>
      <top style="thin">
        <color rgb="FFF6F8F9"/>
      </top>
      <bottom style="thin">
        <color rgb="FFF6F8F9"/>
      </bottom>
    </border>
    <border>
      <left style="thin">
        <color rgb="FF80D3FF"/>
      </left>
      <right style="thin">
        <color rgb="FF80D3FF"/>
      </right>
      <top style="thin">
        <color rgb="FF6AA5BF"/>
      </top>
      <bottom style="thin">
        <color rgb="FF6AA5BF"/>
      </bottom>
    </border>
    <border>
      <left style="thin">
        <color rgb="FF80D3FF"/>
      </left>
      <right style="thin">
        <color rgb="FF6AA5BF"/>
      </right>
      <top style="thin">
        <color rgb="FF6AA5BF"/>
      </top>
      <bottom style="thin">
        <color rgb="FF6AA5BF"/>
      </bottom>
    </border>
    <border>
      <left style="thin">
        <color rgb="FFF7F7F7"/>
      </left>
      <right style="thin">
        <color rgb="FF6AA5BF"/>
      </right>
      <top style="thin">
        <color rgb="FFF7F7F7"/>
      </top>
      <bottom style="thin">
        <color rgb="FFF7F7F7"/>
      </bottom>
    </border>
    <border>
      <left style="thin">
        <color rgb="FFF7F7F7"/>
      </left>
      <right style="thin">
        <color rgb="FFF7F7F7"/>
      </right>
      <top style="thin">
        <color rgb="FFF7F7F7"/>
      </top>
      <bottom style="thin">
        <color rgb="FFF7F7F7"/>
      </bottom>
    </border>
    <border>
      <left style="thin">
        <color rgb="FF6AA5BF"/>
      </left>
      <right style="thin">
        <color rgb="FFF6F8F9"/>
      </right>
      <top style="thin">
        <color rgb="FFF6F8F9"/>
      </top>
      <bottom style="thin">
        <color rgb="FF6AA5BF"/>
      </bottom>
    </border>
    <border>
      <left style="thin">
        <color rgb="FFF7F7F7"/>
      </left>
      <right style="thin">
        <color rgb="FFF7F7F7"/>
      </right>
      <top style="thin">
        <color rgb="FFF7F7F7"/>
      </top>
      <bottom style="thin">
        <color rgb="FF6AA5BF"/>
      </bottom>
    </border>
    <border>
      <left style="thin">
        <color rgb="FFF7F7F7"/>
      </left>
      <right style="thin">
        <color rgb="FF6AA5BF"/>
      </right>
      <top style="thin">
        <color rgb="FFF7F7F7"/>
      </top>
      <bottom style="thin">
        <color rgb="FF6AA5BF"/>
      </bottom>
    </border>
    <border>
      <left style="thin">
        <color rgb="FFF6F8F9"/>
      </left>
      <right style="thin">
        <color rgb="FFF6F8F9"/>
      </right>
      <top style="thin">
        <color rgb="FFF6F8F9"/>
      </top>
      <bottom style="thin">
        <color rgb="FF6AA5BF"/>
      </bottom>
    </border>
    <border>
      <left style="thin">
        <color rgb="FFF6F8F9"/>
      </left>
      <right style="thin">
        <color rgb="FF6AA5BF"/>
      </right>
      <top style="thin">
        <color rgb="FFF6F8F9"/>
      </top>
      <bottom style="thin">
        <color rgb="FF6AA5BF"/>
      </bottom>
    </border>
    <border>
      <left style="thin">
        <color rgb="FF000000"/>
      </left>
      <right style="thin">
        <color rgb="FFFFFFFF"/>
      </right>
      <top style="thin">
        <color rgb="FF000000"/>
      </top>
    </border>
    <border>
      <left style="thin">
        <color rgb="FFFFFFFF"/>
      </left>
      <right style="thin">
        <color rgb="FFFFFFFF"/>
      </right>
      <top style="thin">
        <color rgb="FF000000"/>
      </top>
    </border>
    <border>
      <left style="thin">
        <color rgb="FFFFFFFF"/>
      </left>
      <right style="thin">
        <color rgb="FFFFFFFF"/>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rder>
    <border>
      <left style="thin">
        <color rgb="FFFFFFFF"/>
      </left>
      <right style="thin">
        <color rgb="FF000000"/>
      </right>
      <top style="thin">
        <color rgb="FFFFFFFF"/>
      </top>
      <bottom style="thin">
        <color rgb="FFFFFFFF"/>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000000"/>
      </right>
      <top style="thin">
        <color rgb="FFFFFFFF"/>
      </top>
      <bottom style="thin">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2" fillId="0" fontId="1" numFmtId="0" xfId="0" applyBorder="1" applyFont="1"/>
    <xf borderId="1" fillId="0" fontId="1" numFmtId="0" xfId="0" applyBorder="1" applyFont="1"/>
    <xf borderId="3" fillId="0" fontId="2" numFmtId="0" xfId="0" applyAlignment="1" applyBorder="1" applyFont="1">
      <alignment readingOrder="0"/>
    </xf>
    <xf borderId="1" fillId="0" fontId="3" numFmtId="0" xfId="0" applyAlignment="1" applyBorder="1" applyFont="1">
      <alignment readingOrder="0"/>
    </xf>
    <xf borderId="3" fillId="0" fontId="3" numFmtId="0" xfId="0" applyAlignment="1" applyBorder="1" applyFont="1">
      <alignment readingOrder="0"/>
    </xf>
    <xf borderId="3" fillId="0" fontId="3" numFmtId="0" xfId="0" applyBorder="1" applyFont="1"/>
    <xf borderId="4" fillId="0" fontId="3" numFmtId="0" xfId="0" applyAlignment="1" applyBorder="1" applyFont="1">
      <alignment readingOrder="0"/>
    </xf>
    <xf borderId="4" fillId="0" fontId="1" numFmtId="0" xfId="0" applyBorder="1" applyFont="1"/>
    <xf borderId="5" fillId="0" fontId="1" numFmtId="0" xfId="0" applyBorder="1" applyFont="1"/>
    <xf borderId="6" fillId="0" fontId="4" numFmtId="164" xfId="0" applyAlignment="1" applyBorder="1" applyFont="1" applyNumberFormat="1">
      <alignment horizontal="center" readingOrder="0"/>
    </xf>
    <xf borderId="7" fillId="0" fontId="1" numFmtId="164" xfId="0" applyAlignment="1" applyBorder="1" applyFont="1" applyNumberFormat="1">
      <alignment horizontal="center" readingOrder="0"/>
    </xf>
    <xf borderId="3" fillId="0" fontId="1" numFmtId="0" xfId="0" applyBorder="1" applyFont="1"/>
    <xf borderId="3" fillId="0" fontId="5" numFmtId="0" xfId="0" applyAlignment="1" applyBorder="1" applyFont="1">
      <alignment readingOrder="0"/>
    </xf>
    <xf borderId="8" fillId="0" fontId="1" numFmtId="164" xfId="0" applyAlignment="1" applyBorder="1" applyFont="1" applyNumberFormat="1">
      <alignment horizontal="center" readingOrder="0"/>
    </xf>
    <xf borderId="9" fillId="0" fontId="1" numFmtId="0" xfId="0" applyBorder="1" applyFont="1"/>
    <xf borderId="10" fillId="2" fontId="2" numFmtId="0" xfId="0" applyAlignment="1" applyBorder="1" applyFill="1" applyFont="1">
      <alignment readingOrder="0"/>
    </xf>
    <xf borderId="9" fillId="2" fontId="1" numFmtId="0" xfId="0" applyBorder="1" applyFont="1"/>
    <xf borderId="4" fillId="2" fontId="1" numFmtId="0" xfId="0" applyBorder="1" applyFont="1"/>
    <xf borderId="11" fillId="0" fontId="3" numFmtId="0" xfId="0" applyAlignment="1" applyBorder="1" applyFont="1">
      <alignment readingOrder="0"/>
    </xf>
    <xf borderId="1" fillId="2" fontId="1" numFmtId="0" xfId="0" applyBorder="1" applyFont="1"/>
    <xf borderId="11" fillId="2" fontId="1" numFmtId="0" xfId="0" applyBorder="1" applyFont="1"/>
    <xf borderId="12" fillId="2" fontId="2" numFmtId="0" xfId="0" applyAlignment="1" applyBorder="1" applyFont="1">
      <alignment readingOrder="0"/>
    </xf>
    <xf borderId="12" fillId="2" fontId="1" numFmtId="0" xfId="0" applyBorder="1" applyFont="1"/>
    <xf borderId="7" fillId="3" fontId="2" numFmtId="0" xfId="0" applyAlignment="1" applyBorder="1" applyFill="1" applyFont="1">
      <alignment readingOrder="0"/>
    </xf>
    <xf borderId="7" fillId="3" fontId="1" numFmtId="0" xfId="0" applyBorder="1" applyFont="1"/>
    <xf borderId="1" fillId="0" fontId="3" numFmtId="0" xfId="0" applyBorder="1" applyFont="1"/>
    <xf borderId="12" fillId="0" fontId="2" numFmtId="0" xfId="0" applyAlignment="1" applyBorder="1" applyFont="1">
      <alignment readingOrder="0"/>
    </xf>
    <xf borderId="13" fillId="0" fontId="3" numFmtId="0" xfId="0" applyBorder="1" applyFont="1"/>
    <xf borderId="12" fillId="0" fontId="3" numFmtId="0" xfId="0" applyBorder="1" applyFont="1"/>
    <xf borderId="14" fillId="0" fontId="2" numFmtId="0" xfId="0" applyAlignment="1" applyBorder="1" applyFont="1">
      <alignment readingOrder="0"/>
    </xf>
    <xf borderId="12" fillId="0" fontId="1" numFmtId="0" xfId="0" applyBorder="1" applyFont="1"/>
    <xf borderId="15" fillId="0" fontId="3" numFmtId="0" xfId="0" applyBorder="1" applyFont="1"/>
    <xf borderId="16" fillId="0" fontId="1" numFmtId="0" xfId="0" applyAlignment="1" applyBorder="1" applyFont="1">
      <alignment readingOrder="0"/>
    </xf>
    <xf borderId="17" fillId="0" fontId="1" numFmtId="0" xfId="0" applyAlignment="1" applyBorder="1" applyFont="1">
      <alignment readingOrder="0"/>
    </xf>
    <xf borderId="18" fillId="0" fontId="1" numFmtId="0" xfId="0" applyAlignment="1" applyBorder="1" applyFont="1">
      <alignment readingOrder="0"/>
    </xf>
    <xf borderId="19" fillId="0" fontId="1" numFmtId="0" xfId="0" applyAlignment="1" applyBorder="1" applyFont="1">
      <alignment readingOrder="0"/>
    </xf>
    <xf borderId="20" fillId="0" fontId="1" numFmtId="0" xfId="0" applyAlignment="1" applyBorder="1" applyFont="1">
      <alignment readingOrder="0"/>
    </xf>
    <xf borderId="21" fillId="0" fontId="1" numFmtId="0" xfId="0" applyAlignment="1" applyBorder="1" applyFont="1">
      <alignment readingOrder="0"/>
    </xf>
    <xf borderId="22" fillId="0" fontId="1" numFmtId="0" xfId="0" applyAlignment="1" applyBorder="1" applyFont="1">
      <alignment readingOrder="0"/>
    </xf>
    <xf borderId="3" fillId="0" fontId="6" numFmtId="0" xfId="0" applyAlignment="1" applyBorder="1" applyFont="1">
      <alignment readingOrder="0"/>
    </xf>
    <xf borderId="1" fillId="0" fontId="1" numFmtId="0" xfId="0" applyAlignment="1" applyBorder="1" applyFont="1">
      <alignment readingOrder="0"/>
    </xf>
    <xf borderId="23" fillId="0" fontId="1" numFmtId="0" xfId="0" applyAlignment="1" applyBorder="1" applyFont="1">
      <alignment readingOrder="0"/>
    </xf>
    <xf borderId="24" fillId="0" fontId="1" numFmtId="0" xfId="0" applyAlignment="1" applyBorder="1" applyFont="1">
      <alignment readingOrder="0"/>
    </xf>
    <xf borderId="2" fillId="0" fontId="7" numFmtId="0" xfId="0" applyAlignment="1" applyBorder="1" applyFont="1">
      <alignment horizontal="left" vertical="center"/>
    </xf>
    <xf borderId="5" fillId="0" fontId="8" numFmtId="0" xfId="0" applyBorder="1" applyFont="1"/>
    <xf borderId="3" fillId="0" fontId="8" numFmtId="0" xfId="0" applyBorder="1" applyFont="1"/>
    <xf borderId="1" fillId="0" fontId="1" numFmtId="0" xfId="0" applyAlignment="1" applyBorder="1" applyFont="1">
      <alignment horizontal="center" readingOrder="0"/>
    </xf>
    <xf borderId="1" fillId="0" fontId="1" numFmtId="0" xfId="0" applyAlignment="1" applyBorder="1" applyFont="1">
      <alignment horizontal="center"/>
    </xf>
    <xf borderId="25" fillId="0" fontId="9" numFmtId="0" xfId="0" applyAlignment="1" applyBorder="1" applyFont="1">
      <alignment horizontal="center" readingOrder="0" shrinkToFit="0" vertical="center" wrapText="0"/>
    </xf>
    <xf borderId="26" fillId="0" fontId="9" numFmtId="0" xfId="0" applyAlignment="1" applyBorder="1" applyFont="1">
      <alignment horizontal="center" readingOrder="0" shrinkToFit="0" vertical="center" wrapText="0"/>
    </xf>
    <xf borderId="27" fillId="0" fontId="9" numFmtId="0" xfId="0" applyAlignment="1" applyBorder="1" applyFont="1">
      <alignment horizontal="center" readingOrder="0" shrinkToFit="0" vertical="center" wrapText="0"/>
    </xf>
    <xf borderId="28" fillId="0" fontId="1" numFmtId="0" xfId="0" applyAlignment="1" applyBorder="1" applyFont="1">
      <alignment horizontal="center" readingOrder="0" shrinkToFit="0" vertical="center" wrapText="0"/>
    </xf>
    <xf borderId="1" fillId="0" fontId="1" numFmtId="0" xfId="0" applyAlignment="1" applyBorder="1" applyFont="1">
      <alignment horizontal="center" readingOrder="0" shrinkToFit="0" vertical="center" wrapText="0"/>
    </xf>
    <xf borderId="29" fillId="0" fontId="10" numFmtId="0" xfId="0" applyAlignment="1" applyBorder="1" applyFont="1">
      <alignment horizontal="center" readingOrder="0" shrinkToFit="0" vertical="center" wrapText="0"/>
    </xf>
    <xf borderId="30" fillId="0" fontId="1" numFmtId="0" xfId="0" applyAlignment="1" applyBorder="1" applyFont="1">
      <alignment horizontal="center" readingOrder="0" shrinkToFit="0" vertical="center" wrapText="0"/>
    </xf>
    <xf borderId="31" fillId="0" fontId="1" numFmtId="0" xfId="0" applyAlignment="1" applyBorder="1" applyFont="1">
      <alignment horizontal="center" readingOrder="0" shrinkToFit="0" vertical="center" wrapText="0"/>
    </xf>
    <xf borderId="32" fillId="0" fontId="10" numFmtId="0" xfId="0" applyAlignment="1" applyBorder="1" applyFont="1">
      <alignment horizontal="center" shrinkToFit="0" vertical="center" wrapText="0"/>
    </xf>
    <xf borderId="32" fillId="0" fontId="10" numFmtId="0" xfId="0" applyAlignment="1" applyBorder="1" applyFont="1">
      <alignment horizontal="center" readingOrder="0" shrinkToFit="0" vertical="center" wrapText="0"/>
    </xf>
    <xf borderId="0" fillId="0" fontId="1" numFmtId="0" xfId="0" applyAlignment="1" applyFont="1">
      <alignment horizontal="center"/>
    </xf>
    <xf borderId="1" fillId="0" fontId="11" numFmtId="0" xfId="0" applyAlignment="1" applyBorder="1" applyFont="1">
      <alignment horizontal="center"/>
    </xf>
    <xf borderId="25" fillId="0" fontId="9" numFmtId="0" xfId="0" applyAlignment="1" applyBorder="1" applyFont="1">
      <alignment horizontal="center" readingOrder="0" shrinkToFit="0" vertical="center" wrapText="0"/>
    </xf>
    <xf borderId="33" fillId="4" fontId="9" numFmtId="0" xfId="0" applyAlignment="1" applyBorder="1" applyFill="1" applyFont="1">
      <alignment horizontal="center" readingOrder="0" shrinkToFit="0" vertical="center" wrapText="0"/>
    </xf>
    <xf borderId="34" fillId="4" fontId="9" numFmtId="0" xfId="0" applyAlignment="1" applyBorder="1" applyFont="1">
      <alignment horizontal="center" readingOrder="0" shrinkToFit="0" vertical="center" wrapText="0"/>
    </xf>
    <xf borderId="28" fillId="0" fontId="10" numFmtId="0" xfId="0" applyAlignment="1" applyBorder="1" applyFont="1">
      <alignment horizontal="center" readingOrder="0" shrinkToFit="0" vertical="center" wrapText="0"/>
    </xf>
    <xf borderId="29" fillId="0" fontId="1" numFmtId="165" xfId="0" applyAlignment="1" applyBorder="1" applyFont="1" applyNumberFormat="1">
      <alignment horizontal="center" shrinkToFit="0" vertical="center" wrapText="0"/>
    </xf>
    <xf borderId="30" fillId="0" fontId="10" numFmtId="0" xfId="0" applyAlignment="1" applyBorder="1" applyFont="1">
      <alignment horizontal="center" readingOrder="0" shrinkToFit="0" vertical="center" wrapText="0"/>
    </xf>
    <xf borderId="35" fillId="5" fontId="1" numFmtId="165" xfId="0" applyAlignment="1" applyBorder="1" applyFill="1" applyFont="1" applyNumberFormat="1">
      <alignment horizontal="center" readingOrder="0" shrinkToFit="0" vertical="center" wrapText="0"/>
    </xf>
    <xf borderId="36" fillId="0" fontId="1" numFmtId="0" xfId="0" applyAlignment="1" applyBorder="1" applyFont="1">
      <alignment horizontal="center" readingOrder="0" shrinkToFit="0" vertical="center" wrapText="0"/>
    </xf>
    <xf borderId="35" fillId="0" fontId="1" numFmtId="165" xfId="0" applyAlignment="1" applyBorder="1" applyFont="1" applyNumberFormat="1">
      <alignment horizontal="center" readingOrder="0" shrinkToFit="0" vertical="center" wrapText="0"/>
    </xf>
    <xf borderId="35" fillId="0" fontId="1" numFmtId="165" xfId="0" applyAlignment="1" applyBorder="1" applyFont="1" applyNumberFormat="1">
      <alignment horizontal="center" shrinkToFit="0" vertical="center" wrapText="0"/>
    </xf>
    <xf borderId="29" fillId="0" fontId="1" numFmtId="165" xfId="0" applyAlignment="1" applyBorder="1" applyFont="1" applyNumberFormat="1">
      <alignment horizontal="center" readingOrder="0" shrinkToFit="0" vertical="center" wrapText="0"/>
    </xf>
    <xf borderId="0" fillId="0" fontId="1" numFmtId="0" xfId="0" applyAlignment="1" applyFont="1">
      <alignment horizontal="center" readingOrder="0"/>
    </xf>
    <xf borderId="37" fillId="0" fontId="10" numFmtId="0" xfId="0" applyAlignment="1" applyBorder="1" applyFont="1">
      <alignment horizontal="center" readingOrder="0" shrinkToFit="0" vertical="center" wrapText="0"/>
    </xf>
    <xf borderId="38" fillId="0" fontId="1" numFmtId="0" xfId="0" applyAlignment="1" applyBorder="1" applyFont="1">
      <alignment horizontal="center" readingOrder="0" shrinkToFit="0" vertical="center" wrapText="0"/>
    </xf>
    <xf borderId="39" fillId="0" fontId="1" numFmtId="165" xfId="0" applyAlignment="1" applyBorder="1" applyFont="1" applyNumberFormat="1">
      <alignment horizontal="center" shrinkToFit="0" vertical="center" wrapText="0"/>
    </xf>
    <xf borderId="37" fillId="0" fontId="1" numFmtId="0" xfId="0" applyAlignment="1" applyBorder="1" applyFont="1">
      <alignment horizontal="center" readingOrder="0" shrinkToFit="0" vertical="center" wrapText="0"/>
    </xf>
    <xf borderId="40" fillId="0" fontId="1" numFmtId="0" xfId="0" applyAlignment="1" applyBorder="1" applyFont="1">
      <alignment horizontal="center" readingOrder="0" shrinkToFit="0" vertical="center" wrapText="0"/>
    </xf>
    <xf borderId="41" fillId="0" fontId="10" numFmtId="0" xfId="0" applyAlignment="1" applyBorder="1" applyFont="1">
      <alignment horizontal="center" readingOrder="0" shrinkToFit="0" vertical="center" wrapText="0"/>
    </xf>
    <xf borderId="0" fillId="0" fontId="1" numFmtId="49" xfId="0" applyAlignment="1" applyFont="1" applyNumberFormat="1">
      <alignment readingOrder="0"/>
    </xf>
    <xf borderId="25" fillId="0" fontId="9" numFmtId="0" xfId="0" applyAlignment="1" applyBorder="1" applyFont="1">
      <alignment horizontal="left" readingOrder="0" shrinkToFit="0" vertical="center" wrapText="0"/>
    </xf>
    <xf borderId="26" fillId="0" fontId="9" numFmtId="49" xfId="0" applyAlignment="1" applyBorder="1" applyFont="1" applyNumberFormat="1">
      <alignment horizontal="left" readingOrder="0" shrinkToFit="0" vertical="center" wrapText="0"/>
    </xf>
    <xf borderId="26" fillId="0" fontId="9" numFmtId="0" xfId="0" applyAlignment="1" applyBorder="1" applyFont="1">
      <alignment horizontal="left" readingOrder="0" shrinkToFit="0" vertical="center" wrapText="0"/>
    </xf>
    <xf borderId="27" fillId="0" fontId="9" numFmtId="0" xfId="0" applyAlignment="1" applyBorder="1" applyFont="1">
      <alignment horizontal="left" readingOrder="0" shrinkToFit="0" vertical="center" wrapText="0"/>
    </xf>
    <xf borderId="28" fillId="0" fontId="1" numFmtId="0" xfId="0" applyAlignment="1" applyBorder="1" applyFont="1">
      <alignment readingOrder="0" shrinkToFit="0" vertical="center" wrapText="0"/>
    </xf>
    <xf borderId="1" fillId="0" fontId="1" numFmtId="0" xfId="0" applyAlignment="1" applyBorder="1" applyFont="1">
      <alignment readingOrder="0" shrinkToFit="0" vertical="center" wrapText="0"/>
    </xf>
    <xf borderId="29" fillId="0" fontId="1" numFmtId="0" xfId="0" applyAlignment="1" applyBorder="1" applyFont="1">
      <alignment readingOrder="0" shrinkToFit="0" vertical="center" wrapText="0"/>
    </xf>
    <xf borderId="30" fillId="0" fontId="1" numFmtId="0" xfId="0" applyAlignment="1" applyBorder="1" applyFont="1">
      <alignment readingOrder="0" shrinkToFit="0" vertical="center" wrapText="0"/>
    </xf>
    <xf borderId="31" fillId="0" fontId="1" numFmtId="0" xfId="0" applyAlignment="1" applyBorder="1" applyFont="1">
      <alignment readingOrder="0" shrinkToFit="0" vertical="center" wrapText="0"/>
    </xf>
    <xf borderId="35" fillId="0" fontId="1" numFmtId="0" xfId="0" applyAlignment="1" applyBorder="1" applyFont="1">
      <alignment readingOrder="0" shrinkToFit="0" vertical="center" wrapText="0"/>
    </xf>
    <xf borderId="29" fillId="0" fontId="1" numFmtId="0" xfId="0" applyAlignment="1" applyBorder="1" applyFont="1">
      <alignment shrinkToFit="0" vertical="center" wrapText="0"/>
    </xf>
    <xf borderId="35" fillId="0" fontId="1" numFmtId="0" xfId="0" applyAlignment="1" applyBorder="1" applyFont="1">
      <alignment shrinkToFit="0" vertical="center" wrapText="0"/>
    </xf>
    <xf borderId="1" fillId="0" fontId="1" numFmtId="0" xfId="0" applyAlignment="1" applyBorder="1" applyFont="1">
      <alignment shrinkToFit="0" vertical="center" wrapText="0"/>
    </xf>
    <xf borderId="37" fillId="0" fontId="1" numFmtId="0" xfId="0" applyAlignment="1" applyBorder="1" applyFont="1">
      <alignment readingOrder="0" shrinkToFit="0" vertical="center" wrapText="0"/>
    </xf>
    <xf borderId="40" fillId="0" fontId="1" numFmtId="0" xfId="0" applyAlignment="1" applyBorder="1" applyFont="1">
      <alignment readingOrder="0" shrinkToFit="0" vertical="center" wrapText="0"/>
    </xf>
    <xf borderId="39" fillId="0" fontId="1" numFmtId="0" xfId="0" applyAlignment="1" applyBorder="1" applyFont="1">
      <alignment shrinkToFit="0" vertical="center" wrapText="0"/>
    </xf>
    <xf borderId="1" fillId="0" fontId="1" numFmtId="0" xfId="0" applyAlignment="1" applyBorder="1" applyFont="1">
      <alignment horizontal="center" shrinkToFit="0" vertical="center" wrapText="0"/>
    </xf>
    <xf borderId="31" fillId="0" fontId="1" numFmtId="0" xfId="0" applyAlignment="1" applyBorder="1" applyFont="1">
      <alignment horizontal="center" shrinkToFit="0" vertical="center" wrapText="0"/>
    </xf>
    <xf borderId="32" fillId="0" fontId="1" numFmtId="0" xfId="0" applyAlignment="1" applyBorder="1" applyFont="1">
      <alignment readingOrder="0" shrinkToFit="0" vertical="center" wrapText="0"/>
    </xf>
    <xf borderId="31" fillId="0" fontId="1" numFmtId="0" xfId="0" applyAlignment="1" applyBorder="1" applyFont="1">
      <alignment shrinkToFit="0" vertical="center" wrapText="0"/>
    </xf>
    <xf borderId="32" fillId="0" fontId="1" numFmtId="0" xfId="0" applyAlignment="1" applyBorder="1" applyFont="1">
      <alignment shrinkToFit="0" vertical="center" wrapText="0"/>
    </xf>
    <xf borderId="40" fillId="0" fontId="1" numFmtId="0" xfId="0" applyAlignment="1" applyBorder="1" applyFont="1">
      <alignment shrinkToFit="0" vertical="center" wrapText="0"/>
    </xf>
    <xf borderId="40" fillId="0" fontId="1" numFmtId="0" xfId="0" applyAlignment="1" applyBorder="1" applyFont="1">
      <alignment horizontal="center" shrinkToFit="0" vertical="center" wrapText="0"/>
    </xf>
    <xf borderId="41" fillId="0" fontId="1" numFmtId="0" xfId="0" applyAlignment="1" applyBorder="1" applyFont="1">
      <alignment shrinkToFit="0" vertical="center" wrapText="0"/>
    </xf>
    <xf borderId="4" fillId="0" fontId="2" numFmtId="0" xfId="0" applyAlignment="1" applyBorder="1" applyFont="1">
      <alignment readingOrder="0"/>
    </xf>
    <xf borderId="15" fillId="0" fontId="1" numFmtId="0" xfId="0" applyBorder="1" applyFont="1"/>
    <xf borderId="11" fillId="0" fontId="2" numFmtId="0" xfId="0" applyAlignment="1" applyBorder="1" applyFont="1">
      <alignment readingOrder="0"/>
    </xf>
    <xf borderId="1" fillId="2" fontId="3" numFmtId="0" xfId="0" applyAlignment="1" applyBorder="1" applyFont="1">
      <alignment readingOrder="0"/>
    </xf>
    <xf borderId="1" fillId="2" fontId="3" numFmtId="0" xfId="0" applyBorder="1" applyFont="1"/>
    <xf borderId="1" fillId="2" fontId="2" numFmtId="0" xfId="0" applyAlignment="1" applyBorder="1" applyFont="1">
      <alignment readingOrder="0"/>
    </xf>
    <xf borderId="1" fillId="2" fontId="4" numFmtId="0" xfId="0" applyAlignment="1" applyBorder="1" applyFont="1">
      <alignment horizontal="center" readingOrder="0"/>
    </xf>
    <xf borderId="1" fillId="2" fontId="1" numFmtId="0" xfId="0" applyAlignment="1" applyBorder="1" applyFont="1">
      <alignment horizontal="center" readingOrder="0"/>
    </xf>
    <xf borderId="4" fillId="2" fontId="1" numFmtId="0" xfId="0" applyAlignment="1" applyBorder="1" applyFont="1">
      <alignment horizontal="center" readingOrder="0"/>
    </xf>
    <xf borderId="42" fillId="2" fontId="2" numFmtId="0" xfId="0" applyAlignment="1" applyBorder="1" applyFont="1">
      <alignment readingOrder="0"/>
    </xf>
    <xf borderId="43" fillId="2" fontId="2" numFmtId="0" xfId="0" applyAlignment="1" applyBorder="1" applyFont="1">
      <alignment readingOrder="0"/>
    </xf>
    <xf borderId="44" fillId="2" fontId="1" numFmtId="0" xfId="0" applyBorder="1" applyFont="1"/>
    <xf borderId="45" fillId="2" fontId="2" numFmtId="0" xfId="0" applyAlignment="1" applyBorder="1" applyFont="1">
      <alignment readingOrder="0"/>
    </xf>
    <xf borderId="3" fillId="2" fontId="1" numFmtId="0" xfId="0" applyBorder="1" applyFont="1"/>
    <xf borderId="46" fillId="2" fontId="3" numFmtId="0" xfId="0" applyAlignment="1" applyBorder="1" applyFont="1">
      <alignment readingOrder="0"/>
    </xf>
    <xf borderId="1" fillId="2" fontId="3" numFmtId="0" xfId="0" applyAlignment="1" applyBorder="1" applyFont="1">
      <alignment readingOrder="0"/>
    </xf>
    <xf borderId="47" fillId="2" fontId="3" numFmtId="0" xfId="0" applyAlignment="1" applyBorder="1" applyFont="1">
      <alignment readingOrder="0"/>
    </xf>
    <xf borderId="47" fillId="2" fontId="1" numFmtId="0" xfId="0" applyBorder="1" applyFont="1"/>
    <xf borderId="47" fillId="2" fontId="2" numFmtId="0" xfId="0" applyAlignment="1" applyBorder="1" applyFont="1">
      <alignment readingOrder="0"/>
    </xf>
    <xf borderId="47" fillId="2" fontId="12" numFmtId="0" xfId="0" applyAlignment="1" applyBorder="1" applyFont="1">
      <alignment readingOrder="0"/>
    </xf>
    <xf borderId="1" fillId="2" fontId="1" numFmtId="0" xfId="0" applyAlignment="1" applyBorder="1" applyFont="1">
      <alignment readingOrder="0"/>
    </xf>
    <xf borderId="47" fillId="2" fontId="3" numFmtId="0" xfId="0" applyAlignment="1" applyBorder="1" applyFont="1">
      <alignment readingOrder="0"/>
    </xf>
    <xf borderId="47" fillId="2" fontId="1" numFmtId="0" xfId="0" applyAlignment="1" applyBorder="1" applyFont="1">
      <alignment readingOrder="0"/>
    </xf>
    <xf borderId="48" fillId="2" fontId="3" numFmtId="0" xfId="0" applyAlignment="1" applyBorder="1" applyFont="1">
      <alignment readingOrder="0"/>
    </xf>
    <xf borderId="49" fillId="2" fontId="3" numFmtId="0" xfId="0" applyAlignment="1" applyBorder="1" applyFont="1">
      <alignment readingOrder="0"/>
    </xf>
    <xf borderId="49" fillId="2" fontId="1" numFmtId="0" xfId="0" applyBorder="1" applyFont="1"/>
    <xf borderId="50" fillId="2" fontId="1" numFmtId="0" xfId="0" applyAlignment="1" applyBorder="1" applyFont="1">
      <alignment readingOrder="0"/>
    </xf>
    <xf borderId="10" fillId="2" fontId="3" numFmtId="0" xfId="0" applyAlignment="1" applyBorder="1" applyFont="1">
      <alignment readingOrder="0"/>
    </xf>
    <xf borderId="12" fillId="2" fontId="3" numFmtId="0" xfId="0" applyAlignment="1" applyBorder="1" applyFont="1">
      <alignment readingOrder="0"/>
    </xf>
    <xf borderId="4" fillId="2" fontId="2" numFmtId="0" xfId="0" applyAlignment="1" applyBorder="1" applyFont="1">
      <alignment readingOrder="0"/>
    </xf>
    <xf borderId="1" fillId="2" fontId="13" numFmtId="0" xfId="0" applyAlignment="1" applyBorder="1" applyFont="1">
      <alignment readingOrder="0"/>
    </xf>
    <xf borderId="0" fillId="0" fontId="1" numFmtId="0" xfId="0" applyFont="1"/>
    <xf borderId="0" fillId="0" fontId="1" numFmtId="166" xfId="0" applyAlignment="1" applyFont="1" applyNumberFormat="1">
      <alignment readingOrder="0"/>
    </xf>
    <xf borderId="0" fillId="0" fontId="1" numFmtId="166" xfId="0" applyFont="1" applyNumberFormat="1"/>
  </cellXfs>
  <cellStyles count="1">
    <cellStyle xfId="0" name="Normal" builtinId="0"/>
  </cellStyles>
  <dxfs count="11">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FFFFF"/>
          <bgColor rgb="FFFFFFFF"/>
        </patternFill>
      </fill>
      <border/>
    </dxf>
    <dxf>
      <font/>
      <fill>
        <patternFill patternType="solid">
          <fgColor rgb="FF57BB8A"/>
          <bgColor rgb="FF57BB8A"/>
        </patternFill>
      </fill>
      <border/>
    </dxf>
    <dxf>
      <font/>
      <fill>
        <patternFill patternType="none"/>
      </fill>
      <border/>
    </dxf>
    <dxf>
      <font/>
      <fill>
        <patternFill patternType="solid">
          <fgColor rgb="FFF7F7F7"/>
          <bgColor rgb="FFF7F7F7"/>
        </patternFill>
      </fill>
      <border/>
    </dxf>
    <dxf>
      <font/>
      <fill>
        <patternFill patternType="solid">
          <fgColor rgb="FFB7E1CD"/>
          <bgColor rgb="FFB7E1CD"/>
        </patternFill>
      </fill>
      <border/>
    </dxf>
    <dxf>
      <font/>
      <fill>
        <patternFill patternType="solid">
          <fgColor rgb="FF8DDCFF"/>
          <bgColor rgb="FF8DDCFF"/>
        </patternFill>
      </fill>
      <border/>
    </dxf>
    <dxf>
      <font/>
      <fill>
        <patternFill patternType="solid">
          <fgColor rgb="FF8DDCFF"/>
          <bgColor rgb="FF8DDCFF"/>
        </patternFill>
      </fill>
      <border/>
    </dxf>
    <dxf>
      <font/>
      <fill>
        <patternFill patternType="solid">
          <fgColor rgb="FF34A853"/>
          <bgColor rgb="FF34A853"/>
        </patternFill>
      </fill>
      <border/>
    </dxf>
  </dxfs>
  <tableStyles count="10">
    <tableStyle count="2" pivot="0" name="Rules-style">
      <tableStyleElement dxfId="1" type="firstRowStripe"/>
      <tableStyleElement dxfId="2" type="secondRowStripe"/>
    </tableStyle>
    <tableStyle count="2" pivot="0" name="Rules-style 2">
      <tableStyleElement dxfId="1" type="firstRowStripe"/>
      <tableStyleElement dxfId="2" type="secondRowStripe"/>
    </tableStyle>
    <tableStyle count="2" pivot="0" name="Rules-style 3">
      <tableStyleElement dxfId="1" type="firstRowStripe"/>
      <tableStyleElement dxfId="2" type="secondRowStripe"/>
    </tableStyle>
    <tableStyle count="3" pivot="0" name="Summary-style">
      <tableStyleElement dxfId="9" type="headerRow"/>
      <tableStyleElement dxfId="1" type="firstRowStripe"/>
      <tableStyleElement dxfId="2" type="secondRowStripe"/>
    </tableStyle>
    <tableStyle count="3" pivot="0" name="Summary-style 2">
      <tableStyleElement dxfId="9" type="headerRow"/>
      <tableStyleElement dxfId="1" type="firstRowStripe"/>
      <tableStyleElement dxfId="2" type="secondRowStripe"/>
    </tableStyle>
    <tableStyle count="3" pivot="0" name="Wins by Team-style">
      <tableStyleElement dxfId="9" type="headerRow"/>
      <tableStyleElement dxfId="1" type="firstRowStripe"/>
      <tableStyleElement dxfId="2" type="secondRowStripe"/>
    </tableStyle>
    <tableStyle count="3" pivot="0" name="Stats by Team by Week-style">
      <tableStyleElement dxfId="9" type="headerRow"/>
      <tableStyleElement dxfId="1" type="firstRowStripe"/>
      <tableStyleElement dxfId="2" type="secondRowStripe"/>
    </tableStyle>
    <tableStyle count="2" pivot="0" name="Commissioner Instructions-style">
      <tableStyleElement dxfId="1" type="firstRowStripe"/>
      <tableStyleElement dxfId="2" type="secondRowStripe"/>
    </tableStyle>
    <tableStyle count="2" pivot="0" name="Commissioner Instructions-style 2">
      <tableStyleElement dxfId="1" type="firstRowStripe"/>
      <tableStyleElement dxfId="2" type="secondRowStripe"/>
    </tableStyle>
    <tableStyle count="2" pivot="0" name="Commissioner Instructions-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781050</xdr:colOff>
      <xdr:row>1</xdr:row>
      <xdr:rowOff>38100</xdr:rowOff>
    </xdr:from>
    <xdr:ext cx="2076450" cy="1981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A15" displayName="Table_1" name="Table_1" id="1">
  <tableColumns count="1">
    <tableColumn name="Column1" id="1"/>
  </tableColumns>
  <tableStyleInfo name="Rules-style" showColumnStripes="0" showFirstColumn="1" showLastColumn="1" showRowStripes="1"/>
</table>
</file>

<file path=xl/tables/table10.xml><?xml version="1.0" encoding="utf-8"?>
<table xmlns="http://schemas.openxmlformats.org/spreadsheetml/2006/main" headerRowCount="0" ref="D25:D30" displayName="Table_6" name="Table_6" id="10">
  <tableColumns count="1">
    <tableColumn name="Column1" id="1"/>
  </tableColumns>
  <tableStyleInfo name="Commissioner Instructions-style 3" showColumnStripes="0" showFirstColumn="1" showLastColumn="1" showRowStripes="1"/>
</table>
</file>

<file path=xl/tables/table2.xml><?xml version="1.0" encoding="utf-8"?>
<table xmlns="http://schemas.openxmlformats.org/spreadsheetml/2006/main" headerRowCount="0" ref="A23:B40" displayName="Table_2" name="Table_2" id="2">
  <tableColumns count="2">
    <tableColumn name="Column1" id="1"/>
    <tableColumn name="Column2" id="2"/>
  </tableColumns>
  <tableStyleInfo name="Rules-style 2" showColumnStripes="0" showFirstColumn="1" showLastColumn="1" showRowStripes="1"/>
</table>
</file>

<file path=xl/tables/table3.xml><?xml version="1.0" encoding="utf-8"?>
<table xmlns="http://schemas.openxmlformats.org/spreadsheetml/2006/main" headerRowCount="0" ref="D23:D28" displayName="Table_3" name="Table_3" id="3">
  <tableColumns count="1">
    <tableColumn name="Column1" id="1"/>
  </tableColumns>
  <tableStyleInfo name="Rules-style 3" showColumnStripes="0" showFirstColumn="1" showLastColumn="1" showRowStripes="1"/>
</table>
</file>

<file path=xl/tables/table4.xml><?xml version="1.0" encoding="utf-8"?>
<table xmlns="http://schemas.openxmlformats.org/spreadsheetml/2006/main" ref="E2:G20" displayName="Weekly_Winners" name="Weekly_Winners" id="4">
  <tableColumns count="3">
    <tableColumn name="Week" id="1"/>
    <tableColumn name="Stat" id="2"/>
    <tableColumn name="(Anticipated) Winner(s)" id="3"/>
  </tableColumns>
  <tableStyleInfo name="Summary-style" showColumnStripes="0" showFirstColumn="1" showLastColumn="1" showRowStripes="1"/>
</table>
</file>

<file path=xl/tables/table5.xml><?xml version="1.0" encoding="utf-8"?>
<table xmlns="http://schemas.openxmlformats.org/spreadsheetml/2006/main" ref="A10:C20" displayName="Summary" name="Summary" id="5">
  <tableColumns count="3">
    <tableColumn name="Owners" id="1"/>
    <tableColumn name="Accumulated Wins" id="2"/>
    <tableColumn name="Earnings" id="3"/>
  </tableColumns>
  <tableStyleInfo name="Summary-style 2" showColumnStripes="0" showFirstColumn="1" showLastColumn="1" showRowStripes="1"/>
</table>
</file>

<file path=xl/tables/table6.xml><?xml version="1.0" encoding="utf-8"?>
<table xmlns="http://schemas.openxmlformats.org/spreadsheetml/2006/main" ref="A1:D33" displayName="Wins_by_Team" name="Wins_by_Team" id="6">
  <tableColumns count="4">
    <tableColumn name="Team API" id="1"/>
    <tableColumn name="Team" id="2"/>
    <tableColumn name="Owner" id="3"/>
    <tableColumn name="Wins" id="4"/>
  </tableColumns>
  <tableStyleInfo name="Wins by Team-style" showColumnStripes="0" showFirstColumn="1" showLastColumn="1" showRowStripes="1"/>
</table>
</file>

<file path=xl/tables/table7.xml><?xml version="1.0" encoding="utf-8"?>
<table xmlns="http://schemas.openxmlformats.org/spreadsheetml/2006/main" ref="A1:AN33" displayName="Stats_by_Week" name="Stats_by_Week" id="7">
  <tableColumns count="40">
    <tableColumn name="Team API" id="1"/>
    <tableColumn name="Team" id="2"/>
    <tableColumn name="Owner" id="3"/>
    <tableColumn name="Week1 Helper" id="4"/>
    <tableColumn name="Week1" id="5"/>
    <tableColumn name="Column 23" id="6"/>
    <tableColumn name="Week2" id="7"/>
    <tableColumn name="Column 24" id="8"/>
    <tableColumn name="Week3" id="9"/>
    <tableColumn name="Column 25" id="10"/>
    <tableColumn name="Week4" id="11"/>
    <tableColumn name="Column 26" id="12"/>
    <tableColumn name="Week5" id="13"/>
    <tableColumn name="Column 27" id="14"/>
    <tableColumn name="Week6" id="15"/>
    <tableColumn name="Column 28" id="16"/>
    <tableColumn name="Week7" id="17"/>
    <tableColumn name="Column 29" id="18"/>
    <tableColumn name="Week8" id="19"/>
    <tableColumn name="Column 30" id="20"/>
    <tableColumn name="Week9" id="21"/>
    <tableColumn name="Column 31" id="22"/>
    <tableColumn name="Week10" id="23"/>
    <tableColumn name="Column 32" id="24"/>
    <tableColumn name="Week11" id="25"/>
    <tableColumn name="Column 33" id="26"/>
    <tableColumn name="Week12" id="27"/>
    <tableColumn name="Column 34" id="28"/>
    <tableColumn name="Week13" id="29"/>
    <tableColumn name="Column 35" id="30"/>
    <tableColumn name="Week14" id="31"/>
    <tableColumn name="Column 36" id="32"/>
    <tableColumn name="Week15" id="33"/>
    <tableColumn name="Column 37" id="34"/>
    <tableColumn name="Week16" id="35"/>
    <tableColumn name="Column 38" id="36"/>
    <tableColumn name="Week17" id="37"/>
    <tableColumn name="Column 39" id="38"/>
    <tableColumn name="Week18" id="39"/>
    <tableColumn name="Owner2" id="40"/>
  </tableColumns>
  <tableStyleInfo name="Stats by Team by Week-style" showColumnStripes="0" showFirstColumn="1" showLastColumn="1" showRowStripes="1"/>
</table>
</file>

<file path=xl/tables/table8.xml><?xml version="1.0" encoding="utf-8"?>
<table xmlns="http://schemas.openxmlformats.org/spreadsheetml/2006/main" headerRowCount="0" ref="A6:B18" displayName="Table_4" name="Table_4" id="8">
  <tableColumns count="2">
    <tableColumn name="Column1" id="1"/>
    <tableColumn name="Column2" id="2"/>
  </tableColumns>
  <tableStyleInfo name="Commissioner Instructions-style" showColumnStripes="0" showFirstColumn="1" showLastColumn="1" showRowStripes="1"/>
</table>
</file>

<file path=xl/tables/table9.xml><?xml version="1.0" encoding="utf-8"?>
<table xmlns="http://schemas.openxmlformats.org/spreadsheetml/2006/main" headerRowCount="0" ref="A25:B42" displayName="Table_5" name="Table_5" id="9">
  <tableColumns count="2">
    <tableColumn name="Column1" id="1"/>
    <tableColumn name="Column2" id="2"/>
  </tableColumns>
  <tableStyleInfo name="Commissioner Instruction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sagarsuri89/Weekly_NFL_Pool/blob/main/main.py" TargetMode="External"/><Relationship Id="rId2" Type="http://schemas.openxmlformats.org/officeDocument/2006/relationships/drawing" Target="../drawings/drawing2.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4.xml"/><Relationship Id="rId5"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5" Type="http://schemas.openxmlformats.org/officeDocument/2006/relationships/table" Target="../tables/table8.xml"/><Relationship Id="rId6" Type="http://schemas.openxmlformats.org/officeDocument/2006/relationships/table" Target="../tables/table9.xml"/><Relationship Id="rId7"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s>
  <sheetData>
    <row r="1">
      <c r="A1" s="1" t="s">
        <v>0</v>
      </c>
      <c r="B1" s="1" t="s">
        <v>1</v>
      </c>
      <c r="C1" s="1" t="s">
        <v>2</v>
      </c>
      <c r="D1" s="1" t="s">
        <v>3</v>
      </c>
      <c r="E1" s="1" t="s">
        <v>4</v>
      </c>
      <c r="F1" s="1" t="s">
        <v>5</v>
      </c>
      <c r="G1" s="1" t="s">
        <v>6</v>
      </c>
    </row>
    <row r="2">
      <c r="A2" s="1" t="s">
        <v>7</v>
      </c>
      <c r="B2" s="1" t="s">
        <v>8</v>
      </c>
      <c r="C2" s="1" t="s">
        <v>9</v>
      </c>
      <c r="F2" s="1" t="s">
        <v>10</v>
      </c>
      <c r="G2" s="1">
        <v>0.0</v>
      </c>
    </row>
    <row r="3">
      <c r="A3" s="1" t="s">
        <v>11</v>
      </c>
      <c r="B3" s="1" t="s">
        <v>12</v>
      </c>
      <c r="C3" s="1" t="s">
        <v>13</v>
      </c>
      <c r="F3" s="1" t="s">
        <v>10</v>
      </c>
      <c r="G3" s="1">
        <v>0.0</v>
      </c>
    </row>
    <row r="4">
      <c r="A4" s="1" t="s">
        <v>14</v>
      </c>
      <c r="B4" s="1" t="s">
        <v>15</v>
      </c>
      <c r="C4" s="1" t="s">
        <v>16</v>
      </c>
      <c r="F4" s="1" t="s">
        <v>10</v>
      </c>
      <c r="G4" s="1">
        <v>0.0</v>
      </c>
    </row>
    <row r="5">
      <c r="A5" s="1" t="s">
        <v>17</v>
      </c>
      <c r="B5" s="1" t="s">
        <v>18</v>
      </c>
      <c r="C5" s="1" t="s">
        <v>19</v>
      </c>
      <c r="F5" s="1" t="s">
        <v>10</v>
      </c>
      <c r="G5" s="1">
        <v>0.0</v>
      </c>
    </row>
    <row r="6">
      <c r="A6" s="1" t="s">
        <v>20</v>
      </c>
      <c r="B6" s="1" t="s">
        <v>21</v>
      </c>
      <c r="C6" s="1" t="s">
        <v>22</v>
      </c>
      <c r="F6" s="1" t="s">
        <v>10</v>
      </c>
      <c r="G6" s="1">
        <v>0.0</v>
      </c>
    </row>
    <row r="7">
      <c r="A7" s="1" t="s">
        <v>23</v>
      </c>
      <c r="B7" s="1" t="s">
        <v>24</v>
      </c>
      <c r="C7" s="1" t="s">
        <v>25</v>
      </c>
      <c r="F7" s="1" t="s">
        <v>10</v>
      </c>
      <c r="G7" s="1">
        <v>0.0</v>
      </c>
    </row>
    <row r="8">
      <c r="A8" s="1" t="s">
        <v>26</v>
      </c>
      <c r="B8" s="1" t="s">
        <v>27</v>
      </c>
      <c r="C8" s="1" t="s">
        <v>28</v>
      </c>
      <c r="F8" s="1" t="s">
        <v>10</v>
      </c>
      <c r="G8" s="1">
        <v>0.0</v>
      </c>
    </row>
    <row r="9">
      <c r="A9" s="1" t="s">
        <v>29</v>
      </c>
      <c r="B9" s="1" t="s">
        <v>30</v>
      </c>
      <c r="C9" s="1" t="s">
        <v>31</v>
      </c>
      <c r="F9" s="1" t="s">
        <v>10</v>
      </c>
      <c r="G9" s="1">
        <v>0.0</v>
      </c>
    </row>
    <row r="10">
      <c r="A10" s="1" t="s">
        <v>32</v>
      </c>
      <c r="B10" s="1" t="s">
        <v>33</v>
      </c>
      <c r="C10" s="1" t="s">
        <v>34</v>
      </c>
      <c r="F10" s="1" t="s">
        <v>10</v>
      </c>
      <c r="G10" s="1">
        <v>0.0</v>
      </c>
    </row>
    <row r="11">
      <c r="A11" s="1" t="s">
        <v>35</v>
      </c>
      <c r="B11" s="1" t="s">
        <v>36</v>
      </c>
      <c r="C11" s="1" t="s">
        <v>37</v>
      </c>
      <c r="F11" s="1" t="s">
        <v>10</v>
      </c>
      <c r="G11" s="1">
        <v>0.0</v>
      </c>
    </row>
    <row r="12">
      <c r="A12" s="1" t="s">
        <v>38</v>
      </c>
      <c r="B12" s="1" t="s">
        <v>39</v>
      </c>
      <c r="C12" s="1" t="s">
        <v>40</v>
      </c>
      <c r="F12" s="1" t="s">
        <v>10</v>
      </c>
      <c r="G12" s="1">
        <v>0.0</v>
      </c>
    </row>
    <row r="13">
      <c r="A13" s="1" t="s">
        <v>41</v>
      </c>
      <c r="B13" s="1" t="s">
        <v>42</v>
      </c>
      <c r="C13" s="1" t="s">
        <v>43</v>
      </c>
      <c r="F13" s="1" t="s">
        <v>10</v>
      </c>
      <c r="G13" s="1">
        <v>0.0</v>
      </c>
    </row>
    <row r="14">
      <c r="A14" s="1" t="s">
        <v>44</v>
      </c>
      <c r="B14" s="1" t="s">
        <v>45</v>
      </c>
      <c r="C14" s="1" t="s">
        <v>46</v>
      </c>
      <c r="F14" s="1" t="s">
        <v>10</v>
      </c>
      <c r="G14" s="1">
        <v>0.0</v>
      </c>
    </row>
    <row r="15">
      <c r="A15" s="1" t="s">
        <v>47</v>
      </c>
      <c r="B15" s="1" t="s">
        <v>48</v>
      </c>
      <c r="C15" s="1" t="s">
        <v>49</v>
      </c>
      <c r="F15" s="1" t="s">
        <v>10</v>
      </c>
      <c r="G15" s="1">
        <v>0.0</v>
      </c>
    </row>
    <row r="16">
      <c r="A16" s="1" t="s">
        <v>50</v>
      </c>
      <c r="B16" s="1" t="s">
        <v>51</v>
      </c>
      <c r="C16" s="1" t="s">
        <v>52</v>
      </c>
      <c r="F16" s="1" t="s">
        <v>10</v>
      </c>
      <c r="G16" s="1">
        <v>0.0</v>
      </c>
    </row>
    <row r="17">
      <c r="A17" s="1" t="s">
        <v>53</v>
      </c>
      <c r="B17" s="1" t="s">
        <v>54</v>
      </c>
      <c r="C17" s="1" t="s">
        <v>55</v>
      </c>
      <c r="F17" s="1" t="s">
        <v>10</v>
      </c>
      <c r="G17" s="1">
        <v>0.0</v>
      </c>
    </row>
    <row r="18">
      <c r="A18" s="1" t="s">
        <v>56</v>
      </c>
      <c r="B18" s="1" t="s">
        <v>49</v>
      </c>
      <c r="C18" s="1" t="s">
        <v>52</v>
      </c>
      <c r="F18" s="1" t="s">
        <v>57</v>
      </c>
      <c r="G18" s="1">
        <v>0.0</v>
      </c>
    </row>
    <row r="19">
      <c r="A19" s="1" t="s">
        <v>58</v>
      </c>
      <c r="B19" s="1" t="s">
        <v>13</v>
      </c>
      <c r="C19" s="1" t="s">
        <v>46</v>
      </c>
      <c r="F19" s="1" t="s">
        <v>57</v>
      </c>
      <c r="G19" s="1">
        <v>0.0</v>
      </c>
    </row>
    <row r="20">
      <c r="A20" s="1" t="s">
        <v>59</v>
      </c>
      <c r="B20" s="1" t="s">
        <v>48</v>
      </c>
      <c r="C20" s="1" t="s">
        <v>18</v>
      </c>
      <c r="F20" s="1" t="s">
        <v>57</v>
      </c>
      <c r="G20" s="1">
        <v>0.0</v>
      </c>
    </row>
    <row r="21">
      <c r="A21" s="1" t="s">
        <v>60</v>
      </c>
      <c r="B21" s="1" t="s">
        <v>8</v>
      </c>
      <c r="C21" s="1" t="s">
        <v>36</v>
      </c>
      <c r="F21" s="1" t="s">
        <v>57</v>
      </c>
      <c r="G21" s="1">
        <v>0.0</v>
      </c>
    </row>
    <row r="22">
      <c r="A22" s="1" t="s">
        <v>61</v>
      </c>
      <c r="B22" s="1" t="s">
        <v>27</v>
      </c>
      <c r="C22" s="1" t="s">
        <v>54</v>
      </c>
      <c r="F22" s="1" t="s">
        <v>57</v>
      </c>
      <c r="G22" s="1">
        <v>0.0</v>
      </c>
    </row>
    <row r="23">
      <c r="A23" s="1" t="s">
        <v>62</v>
      </c>
      <c r="B23" s="1" t="s">
        <v>40</v>
      </c>
      <c r="C23" s="1" t="s">
        <v>43</v>
      </c>
      <c r="F23" s="1" t="s">
        <v>57</v>
      </c>
      <c r="G23" s="1">
        <v>0.0</v>
      </c>
    </row>
    <row r="24">
      <c r="A24" s="1" t="s">
        <v>63</v>
      </c>
      <c r="B24" s="1" t="s">
        <v>9</v>
      </c>
      <c r="C24" s="1" t="s">
        <v>30</v>
      </c>
      <c r="F24" s="1" t="s">
        <v>57</v>
      </c>
      <c r="G24" s="1">
        <v>0.0</v>
      </c>
    </row>
    <row r="25">
      <c r="A25" s="1" t="s">
        <v>64</v>
      </c>
      <c r="B25" s="1" t="s">
        <v>34</v>
      </c>
      <c r="C25" s="1" t="s">
        <v>21</v>
      </c>
      <c r="F25" s="1" t="s">
        <v>57</v>
      </c>
      <c r="G25" s="1">
        <v>0.0</v>
      </c>
    </row>
    <row r="26">
      <c r="A26" s="1" t="s">
        <v>65</v>
      </c>
      <c r="B26" s="1" t="s">
        <v>25</v>
      </c>
      <c r="C26" s="1" t="s">
        <v>51</v>
      </c>
      <c r="F26" s="1" t="s">
        <v>57</v>
      </c>
      <c r="G26" s="1">
        <v>0.0</v>
      </c>
    </row>
    <row r="27">
      <c r="A27" s="1" t="s">
        <v>66</v>
      </c>
      <c r="B27" s="1" t="s">
        <v>37</v>
      </c>
      <c r="C27" s="1" t="s">
        <v>24</v>
      </c>
      <c r="F27" s="1" t="s">
        <v>57</v>
      </c>
      <c r="G27" s="1">
        <v>0.0</v>
      </c>
    </row>
    <row r="28">
      <c r="A28" s="1" t="s">
        <v>67</v>
      </c>
      <c r="B28" s="1" t="s">
        <v>28</v>
      </c>
      <c r="C28" s="1" t="s">
        <v>33</v>
      </c>
      <c r="F28" s="1" t="s">
        <v>57</v>
      </c>
      <c r="G28" s="1">
        <v>0.0</v>
      </c>
    </row>
    <row r="29">
      <c r="A29" s="1" t="s">
        <v>68</v>
      </c>
      <c r="B29" s="1" t="s">
        <v>31</v>
      </c>
      <c r="C29" s="1" t="s">
        <v>39</v>
      </c>
      <c r="F29" s="1" t="s">
        <v>57</v>
      </c>
      <c r="G29" s="1">
        <v>0.0</v>
      </c>
    </row>
    <row r="30">
      <c r="A30" s="1" t="s">
        <v>69</v>
      </c>
      <c r="B30" s="1" t="s">
        <v>19</v>
      </c>
      <c r="C30" s="1" t="s">
        <v>15</v>
      </c>
      <c r="F30" s="1" t="s">
        <v>57</v>
      </c>
      <c r="G30" s="1">
        <v>0.0</v>
      </c>
    </row>
    <row r="31">
      <c r="A31" s="1" t="s">
        <v>70</v>
      </c>
      <c r="B31" s="1" t="s">
        <v>42</v>
      </c>
      <c r="C31" s="1" t="s">
        <v>12</v>
      </c>
      <c r="F31" s="1" t="s">
        <v>57</v>
      </c>
      <c r="G31" s="1">
        <v>0.0</v>
      </c>
    </row>
    <row r="32">
      <c r="A32" s="1" t="s">
        <v>71</v>
      </c>
      <c r="B32" s="1" t="s">
        <v>22</v>
      </c>
      <c r="C32" s="1" t="s">
        <v>45</v>
      </c>
      <c r="F32" s="1" t="s">
        <v>57</v>
      </c>
      <c r="G32" s="1">
        <v>0.0</v>
      </c>
    </row>
    <row r="33">
      <c r="A33" s="1" t="s">
        <v>72</v>
      </c>
      <c r="B33" s="1" t="s">
        <v>16</v>
      </c>
      <c r="C33" s="1" t="s">
        <v>55</v>
      </c>
      <c r="F33" s="1" t="s">
        <v>57</v>
      </c>
      <c r="G33" s="1">
        <v>0.0</v>
      </c>
    </row>
    <row r="34">
      <c r="A34" s="1" t="s">
        <v>73</v>
      </c>
      <c r="B34" s="1" t="s">
        <v>45</v>
      </c>
      <c r="C34" s="1" t="s">
        <v>13</v>
      </c>
      <c r="F34" s="1" t="s">
        <v>74</v>
      </c>
      <c r="G34" s="1">
        <v>0.0</v>
      </c>
    </row>
    <row r="35">
      <c r="A35" s="1" t="s">
        <v>75</v>
      </c>
      <c r="B35" s="1" t="s">
        <v>39</v>
      </c>
      <c r="C35" s="1" t="s">
        <v>16</v>
      </c>
      <c r="F35" s="1" t="s">
        <v>74</v>
      </c>
      <c r="G35" s="1">
        <v>0.0</v>
      </c>
    </row>
    <row r="36">
      <c r="A36" s="1" t="s">
        <v>76</v>
      </c>
      <c r="B36" s="1" t="s">
        <v>43</v>
      </c>
      <c r="C36" s="1" t="s">
        <v>12</v>
      </c>
      <c r="F36" s="1" t="s">
        <v>74</v>
      </c>
      <c r="G36" s="1">
        <v>0.0</v>
      </c>
    </row>
    <row r="37">
      <c r="A37" s="1" t="s">
        <v>77</v>
      </c>
      <c r="B37" s="1" t="s">
        <v>24</v>
      </c>
      <c r="C37" s="1" t="s">
        <v>30</v>
      </c>
      <c r="F37" s="1" t="s">
        <v>74</v>
      </c>
      <c r="G37" s="1">
        <v>0.0</v>
      </c>
    </row>
    <row r="38">
      <c r="A38" s="1" t="s">
        <v>78</v>
      </c>
      <c r="B38" s="1" t="s">
        <v>51</v>
      </c>
      <c r="C38" s="1" t="s">
        <v>36</v>
      </c>
      <c r="F38" s="1" t="s">
        <v>74</v>
      </c>
      <c r="G38" s="1">
        <v>0.0</v>
      </c>
    </row>
    <row r="39">
      <c r="A39" s="1" t="s">
        <v>79</v>
      </c>
      <c r="B39" s="1" t="s">
        <v>54</v>
      </c>
      <c r="C39" s="1" t="s">
        <v>21</v>
      </c>
      <c r="F39" s="1" t="s">
        <v>74</v>
      </c>
      <c r="G39" s="1">
        <v>0.0</v>
      </c>
    </row>
    <row r="40">
      <c r="A40" s="1" t="s">
        <v>80</v>
      </c>
      <c r="B40" s="1" t="s">
        <v>46</v>
      </c>
      <c r="C40" s="1" t="s">
        <v>19</v>
      </c>
      <c r="F40" s="1" t="s">
        <v>74</v>
      </c>
      <c r="G40" s="1">
        <v>0.0</v>
      </c>
    </row>
    <row r="41">
      <c r="A41" s="1" t="s">
        <v>81</v>
      </c>
      <c r="B41" s="1" t="s">
        <v>55</v>
      </c>
      <c r="C41" s="1" t="s">
        <v>49</v>
      </c>
      <c r="F41" s="1" t="s">
        <v>74</v>
      </c>
      <c r="G41" s="1">
        <v>0.0</v>
      </c>
    </row>
    <row r="42">
      <c r="A42" s="1" t="s">
        <v>82</v>
      </c>
      <c r="B42" s="1" t="s">
        <v>18</v>
      </c>
      <c r="C42" s="1" t="s">
        <v>40</v>
      </c>
      <c r="F42" s="1" t="s">
        <v>74</v>
      </c>
      <c r="G42" s="1">
        <v>0.0</v>
      </c>
    </row>
    <row r="43">
      <c r="A43" s="1" t="s">
        <v>83</v>
      </c>
      <c r="B43" s="1" t="s">
        <v>28</v>
      </c>
      <c r="C43" s="1" t="s">
        <v>48</v>
      </c>
      <c r="F43" s="1" t="s">
        <v>74</v>
      </c>
      <c r="G43" s="1">
        <v>0.0</v>
      </c>
    </row>
    <row r="44">
      <c r="A44" s="1" t="s">
        <v>84</v>
      </c>
      <c r="B44" s="1" t="s">
        <v>52</v>
      </c>
      <c r="C44" s="1" t="s">
        <v>34</v>
      </c>
      <c r="F44" s="1" t="s">
        <v>74</v>
      </c>
      <c r="G44" s="1">
        <v>0.0</v>
      </c>
    </row>
    <row r="45">
      <c r="A45" s="1" t="s">
        <v>85</v>
      </c>
      <c r="B45" s="1" t="s">
        <v>9</v>
      </c>
      <c r="C45" s="1" t="s">
        <v>42</v>
      </c>
      <c r="F45" s="1" t="s">
        <v>74</v>
      </c>
      <c r="G45" s="1">
        <v>0.0</v>
      </c>
    </row>
    <row r="46">
      <c r="A46" s="1" t="s">
        <v>86</v>
      </c>
      <c r="B46" s="1" t="s">
        <v>33</v>
      </c>
      <c r="C46" s="1" t="s">
        <v>27</v>
      </c>
      <c r="F46" s="1" t="s">
        <v>74</v>
      </c>
      <c r="G46" s="1">
        <v>0.0</v>
      </c>
    </row>
    <row r="47">
      <c r="A47" s="1" t="s">
        <v>87</v>
      </c>
      <c r="B47" s="1" t="s">
        <v>37</v>
      </c>
      <c r="C47" s="1" t="s">
        <v>25</v>
      </c>
      <c r="F47" s="1" t="s">
        <v>74</v>
      </c>
      <c r="G47" s="1">
        <v>0.0</v>
      </c>
    </row>
    <row r="48">
      <c r="A48" s="1" t="s">
        <v>88</v>
      </c>
      <c r="B48" s="1" t="s">
        <v>31</v>
      </c>
      <c r="C48" s="1" t="s">
        <v>22</v>
      </c>
      <c r="F48" s="1" t="s">
        <v>74</v>
      </c>
      <c r="G48" s="1">
        <v>0.0</v>
      </c>
    </row>
    <row r="49">
      <c r="A49" s="1" t="s">
        <v>89</v>
      </c>
      <c r="B49" s="1" t="s">
        <v>15</v>
      </c>
      <c r="C49" s="1" t="s">
        <v>8</v>
      </c>
      <c r="F49" s="1" t="s">
        <v>74</v>
      </c>
      <c r="G49" s="1">
        <v>0.0</v>
      </c>
    </row>
    <row r="50">
      <c r="A50" s="1" t="s">
        <v>90</v>
      </c>
      <c r="B50" s="1" t="s">
        <v>36</v>
      </c>
      <c r="C50" s="1" t="s">
        <v>46</v>
      </c>
      <c r="F50" s="1" t="s">
        <v>91</v>
      </c>
      <c r="G50" s="1">
        <v>0.0</v>
      </c>
    </row>
    <row r="51">
      <c r="A51" s="1" t="s">
        <v>92</v>
      </c>
      <c r="B51" s="1" t="s">
        <v>19</v>
      </c>
      <c r="C51" s="1" t="s">
        <v>43</v>
      </c>
      <c r="F51" s="1" t="s">
        <v>91</v>
      </c>
      <c r="G51" s="1">
        <v>0.0</v>
      </c>
    </row>
    <row r="52">
      <c r="A52" s="1" t="s">
        <v>93</v>
      </c>
      <c r="B52" s="1" t="s">
        <v>21</v>
      </c>
      <c r="C52" s="1" t="s">
        <v>31</v>
      </c>
      <c r="F52" s="1" t="s">
        <v>91</v>
      </c>
      <c r="G52" s="1">
        <v>0.0</v>
      </c>
    </row>
    <row r="53">
      <c r="A53" s="1" t="s">
        <v>94</v>
      </c>
      <c r="B53" s="1" t="s">
        <v>30</v>
      </c>
      <c r="C53" s="1" t="s">
        <v>51</v>
      </c>
      <c r="F53" s="1" t="s">
        <v>91</v>
      </c>
      <c r="G53" s="1">
        <v>0.0</v>
      </c>
    </row>
    <row r="54">
      <c r="A54" s="1" t="s">
        <v>95</v>
      </c>
      <c r="B54" s="1" t="s">
        <v>18</v>
      </c>
      <c r="C54" s="1" t="s">
        <v>8</v>
      </c>
      <c r="F54" s="1" t="s">
        <v>91</v>
      </c>
      <c r="G54" s="1">
        <v>0.0</v>
      </c>
    </row>
    <row r="55">
      <c r="A55" s="1" t="s">
        <v>96</v>
      </c>
      <c r="B55" s="1" t="s">
        <v>16</v>
      </c>
      <c r="C55" s="1" t="s">
        <v>33</v>
      </c>
      <c r="F55" s="1" t="s">
        <v>91</v>
      </c>
      <c r="G55" s="1">
        <v>0.0</v>
      </c>
    </row>
    <row r="56">
      <c r="A56" s="1" t="s">
        <v>97</v>
      </c>
      <c r="B56" s="1" t="s">
        <v>55</v>
      </c>
      <c r="C56" s="1" t="s">
        <v>28</v>
      </c>
      <c r="F56" s="1" t="s">
        <v>91</v>
      </c>
      <c r="G56" s="1">
        <v>0.0</v>
      </c>
    </row>
    <row r="57">
      <c r="A57" s="1" t="s">
        <v>98</v>
      </c>
      <c r="B57" s="1" t="s">
        <v>42</v>
      </c>
      <c r="C57" s="1" t="s">
        <v>37</v>
      </c>
      <c r="F57" s="1" t="s">
        <v>91</v>
      </c>
      <c r="G57" s="1">
        <v>0.0</v>
      </c>
    </row>
    <row r="58">
      <c r="A58" s="1" t="s">
        <v>99</v>
      </c>
      <c r="B58" s="1" t="s">
        <v>52</v>
      </c>
      <c r="C58" s="1" t="s">
        <v>40</v>
      </c>
      <c r="F58" s="1" t="s">
        <v>91</v>
      </c>
      <c r="G58" s="1">
        <v>0.0</v>
      </c>
    </row>
    <row r="59">
      <c r="A59" s="1" t="s">
        <v>100</v>
      </c>
      <c r="B59" s="1" t="s">
        <v>22</v>
      </c>
      <c r="C59" s="1" t="s">
        <v>27</v>
      </c>
      <c r="F59" s="1" t="s">
        <v>91</v>
      </c>
      <c r="G59" s="1">
        <v>0.0</v>
      </c>
    </row>
    <row r="60">
      <c r="A60" s="1" t="s">
        <v>101</v>
      </c>
      <c r="B60" s="1" t="s">
        <v>39</v>
      </c>
      <c r="C60" s="1" t="s">
        <v>12</v>
      </c>
      <c r="F60" s="1" t="s">
        <v>91</v>
      </c>
      <c r="G60" s="1">
        <v>0.0</v>
      </c>
    </row>
    <row r="61">
      <c r="A61" s="1" t="s">
        <v>102</v>
      </c>
      <c r="B61" s="1" t="s">
        <v>34</v>
      </c>
      <c r="C61" s="1" t="s">
        <v>49</v>
      </c>
      <c r="F61" s="1" t="s">
        <v>91</v>
      </c>
      <c r="G61" s="1">
        <v>0.0</v>
      </c>
    </row>
    <row r="62">
      <c r="A62" s="1" t="s">
        <v>103</v>
      </c>
      <c r="B62" s="1" t="s">
        <v>48</v>
      </c>
      <c r="C62" s="1" t="s">
        <v>25</v>
      </c>
      <c r="F62" s="1" t="s">
        <v>91</v>
      </c>
      <c r="G62" s="1">
        <v>0.0</v>
      </c>
    </row>
    <row r="63">
      <c r="A63" s="1" t="s">
        <v>104</v>
      </c>
      <c r="B63" s="1" t="s">
        <v>45</v>
      </c>
      <c r="C63" s="1" t="s">
        <v>24</v>
      </c>
      <c r="F63" s="1" t="s">
        <v>91</v>
      </c>
      <c r="G63" s="1">
        <v>0.0</v>
      </c>
    </row>
    <row r="64">
      <c r="A64" s="1" t="s">
        <v>105</v>
      </c>
      <c r="B64" s="1" t="s">
        <v>15</v>
      </c>
      <c r="C64" s="1" t="s">
        <v>9</v>
      </c>
      <c r="F64" s="1" t="s">
        <v>91</v>
      </c>
      <c r="G64" s="1">
        <v>0.0</v>
      </c>
    </row>
    <row r="65">
      <c r="A65" s="1" t="s">
        <v>106</v>
      </c>
      <c r="B65" s="1" t="s">
        <v>13</v>
      </c>
      <c r="C65" s="1" t="s">
        <v>54</v>
      </c>
      <c r="F65" s="1" t="s">
        <v>91</v>
      </c>
      <c r="G65" s="1">
        <v>0.0</v>
      </c>
    </row>
    <row r="66">
      <c r="A66" s="1" t="s">
        <v>107</v>
      </c>
      <c r="B66" s="1" t="s">
        <v>40</v>
      </c>
      <c r="C66" s="1" t="s">
        <v>49</v>
      </c>
      <c r="F66" s="1" t="s">
        <v>108</v>
      </c>
      <c r="G66" s="1">
        <v>0.0</v>
      </c>
    </row>
    <row r="67">
      <c r="A67" s="1" t="s">
        <v>109</v>
      </c>
      <c r="B67" s="1" t="s">
        <v>34</v>
      </c>
      <c r="C67" s="1" t="s">
        <v>55</v>
      </c>
      <c r="F67" s="1" t="s">
        <v>108</v>
      </c>
      <c r="G67" s="1">
        <v>0.0</v>
      </c>
    </row>
    <row r="68">
      <c r="A68" s="1" t="s">
        <v>110</v>
      </c>
      <c r="B68" s="1" t="s">
        <v>13</v>
      </c>
      <c r="C68" s="1" t="s">
        <v>24</v>
      </c>
      <c r="F68" s="1" t="s">
        <v>108</v>
      </c>
      <c r="G68" s="1">
        <v>0.0</v>
      </c>
    </row>
    <row r="69">
      <c r="A69" s="1" t="s">
        <v>111</v>
      </c>
      <c r="B69" s="1" t="s">
        <v>54</v>
      </c>
      <c r="C69" s="1" t="s">
        <v>16</v>
      </c>
      <c r="F69" s="1" t="s">
        <v>108</v>
      </c>
      <c r="G69" s="1">
        <v>0.0</v>
      </c>
    </row>
    <row r="70">
      <c r="A70" s="1" t="s">
        <v>112</v>
      </c>
      <c r="B70" s="1" t="s">
        <v>31</v>
      </c>
      <c r="C70" s="1" t="s">
        <v>19</v>
      </c>
      <c r="F70" s="1" t="s">
        <v>108</v>
      </c>
      <c r="G70" s="1">
        <v>0.0</v>
      </c>
    </row>
    <row r="71">
      <c r="A71" s="1" t="s">
        <v>113</v>
      </c>
      <c r="B71" s="1" t="s">
        <v>25</v>
      </c>
      <c r="C71" s="1" t="s">
        <v>45</v>
      </c>
      <c r="F71" s="1" t="s">
        <v>108</v>
      </c>
      <c r="G71" s="1">
        <v>0.0</v>
      </c>
    </row>
    <row r="72">
      <c r="A72" s="1" t="s">
        <v>114</v>
      </c>
      <c r="B72" s="1" t="s">
        <v>21</v>
      </c>
      <c r="C72" s="1" t="s">
        <v>48</v>
      </c>
      <c r="F72" s="1" t="s">
        <v>108</v>
      </c>
      <c r="G72" s="1">
        <v>0.0</v>
      </c>
    </row>
    <row r="73">
      <c r="A73" s="1" t="s">
        <v>115</v>
      </c>
      <c r="B73" s="1" t="s">
        <v>27</v>
      </c>
      <c r="C73" s="1" t="s">
        <v>18</v>
      </c>
      <c r="F73" s="1" t="s">
        <v>108</v>
      </c>
      <c r="G73" s="1">
        <v>0.0</v>
      </c>
    </row>
    <row r="74">
      <c r="A74" s="1" t="s">
        <v>116</v>
      </c>
      <c r="B74" s="1" t="s">
        <v>51</v>
      </c>
      <c r="C74" s="1" t="s">
        <v>42</v>
      </c>
      <c r="F74" s="1" t="s">
        <v>108</v>
      </c>
      <c r="G74" s="1">
        <v>0.0</v>
      </c>
    </row>
    <row r="75">
      <c r="A75" s="1" t="s">
        <v>117</v>
      </c>
      <c r="B75" s="1" t="s">
        <v>12</v>
      </c>
      <c r="C75" s="1" t="s">
        <v>9</v>
      </c>
      <c r="F75" s="1" t="s">
        <v>108</v>
      </c>
      <c r="G75" s="1">
        <v>0.0</v>
      </c>
    </row>
    <row r="76">
      <c r="A76" s="1" t="s">
        <v>118</v>
      </c>
      <c r="B76" s="1" t="s">
        <v>46</v>
      </c>
      <c r="C76" s="1" t="s">
        <v>15</v>
      </c>
      <c r="F76" s="1" t="s">
        <v>108</v>
      </c>
      <c r="G76" s="1">
        <v>0.0</v>
      </c>
    </row>
    <row r="77">
      <c r="A77" s="1" t="s">
        <v>119</v>
      </c>
      <c r="B77" s="1" t="s">
        <v>33</v>
      </c>
      <c r="C77" s="1" t="s">
        <v>37</v>
      </c>
      <c r="F77" s="1" t="s">
        <v>108</v>
      </c>
      <c r="G77" s="1">
        <v>0.0</v>
      </c>
    </row>
    <row r="78">
      <c r="A78" s="1" t="s">
        <v>120</v>
      </c>
      <c r="B78" s="1" t="s">
        <v>8</v>
      </c>
      <c r="C78" s="1" t="s">
        <v>30</v>
      </c>
      <c r="F78" s="1" t="s">
        <v>108</v>
      </c>
      <c r="G78" s="1">
        <v>0.0</v>
      </c>
    </row>
    <row r="79">
      <c r="A79" s="1" t="s">
        <v>121</v>
      </c>
      <c r="B79" s="1" t="s">
        <v>22</v>
      </c>
      <c r="C79" s="1" t="s">
        <v>39</v>
      </c>
      <c r="F79" s="1" t="s">
        <v>108</v>
      </c>
      <c r="G79" s="1">
        <v>0.0</v>
      </c>
    </row>
    <row r="80">
      <c r="A80" s="1" t="s">
        <v>122</v>
      </c>
      <c r="B80" s="1" t="s">
        <v>13</v>
      </c>
      <c r="C80" s="1" t="s">
        <v>8</v>
      </c>
      <c r="F80" s="1" t="s">
        <v>123</v>
      </c>
      <c r="G80" s="1">
        <v>0.0</v>
      </c>
    </row>
    <row r="81">
      <c r="A81" s="1" t="s">
        <v>124</v>
      </c>
      <c r="B81" s="1" t="s">
        <v>9</v>
      </c>
      <c r="C81" s="1" t="s">
        <v>19</v>
      </c>
      <c r="F81" s="1" t="s">
        <v>123</v>
      </c>
      <c r="G81" s="1">
        <v>0.0</v>
      </c>
    </row>
    <row r="82">
      <c r="A82" s="1" t="s">
        <v>125</v>
      </c>
      <c r="B82" s="1" t="s">
        <v>48</v>
      </c>
      <c r="C82" s="1" t="s">
        <v>27</v>
      </c>
      <c r="F82" s="1" t="s">
        <v>123</v>
      </c>
      <c r="G82" s="1">
        <v>0.0</v>
      </c>
    </row>
    <row r="83">
      <c r="A83" s="1" t="s">
        <v>126</v>
      </c>
      <c r="B83" s="1" t="s">
        <v>22</v>
      </c>
      <c r="C83" s="1" t="s">
        <v>52</v>
      </c>
      <c r="F83" s="1" t="s">
        <v>123</v>
      </c>
      <c r="G83" s="1">
        <v>0.0</v>
      </c>
    </row>
    <row r="84">
      <c r="A84" s="1" t="s">
        <v>127</v>
      </c>
      <c r="B84" s="1" t="s">
        <v>43</v>
      </c>
      <c r="C84" s="1" t="s">
        <v>21</v>
      </c>
      <c r="F84" s="1" t="s">
        <v>123</v>
      </c>
      <c r="G84" s="1">
        <v>0.0</v>
      </c>
    </row>
    <row r="85">
      <c r="A85" s="1" t="s">
        <v>128</v>
      </c>
      <c r="B85" s="1" t="s">
        <v>49</v>
      </c>
      <c r="C85" s="1" t="s">
        <v>33</v>
      </c>
      <c r="F85" s="1" t="s">
        <v>123</v>
      </c>
      <c r="G85" s="1">
        <v>0.0</v>
      </c>
    </row>
    <row r="86">
      <c r="A86" s="1" t="s">
        <v>129</v>
      </c>
      <c r="B86" s="1" t="s">
        <v>45</v>
      </c>
      <c r="C86" s="1" t="s">
        <v>37</v>
      </c>
      <c r="F86" s="1" t="s">
        <v>123</v>
      </c>
      <c r="G86" s="1">
        <v>0.0</v>
      </c>
    </row>
    <row r="87">
      <c r="A87" s="1" t="s">
        <v>130</v>
      </c>
      <c r="B87" s="1" t="s">
        <v>28</v>
      </c>
      <c r="C87" s="1" t="s">
        <v>18</v>
      </c>
      <c r="F87" s="1" t="s">
        <v>123</v>
      </c>
      <c r="G87" s="1">
        <v>0.0</v>
      </c>
    </row>
    <row r="88">
      <c r="A88" s="1" t="s">
        <v>131</v>
      </c>
      <c r="B88" s="1" t="s">
        <v>16</v>
      </c>
      <c r="C88" s="1" t="s">
        <v>31</v>
      </c>
      <c r="F88" s="1" t="s">
        <v>123</v>
      </c>
      <c r="G88" s="1">
        <v>0.0</v>
      </c>
    </row>
    <row r="89">
      <c r="A89" s="1" t="s">
        <v>132</v>
      </c>
      <c r="B89" s="1" t="s">
        <v>40</v>
      </c>
      <c r="C89" s="1" t="s">
        <v>34</v>
      </c>
      <c r="F89" s="1" t="s">
        <v>123</v>
      </c>
      <c r="G89" s="1">
        <v>0.0</v>
      </c>
    </row>
    <row r="90">
      <c r="A90" s="1" t="s">
        <v>133</v>
      </c>
      <c r="B90" s="1" t="s">
        <v>39</v>
      </c>
      <c r="C90" s="1" t="s">
        <v>54</v>
      </c>
      <c r="F90" s="1" t="s">
        <v>123</v>
      </c>
      <c r="G90" s="1">
        <v>0.0</v>
      </c>
    </row>
    <row r="91">
      <c r="A91" s="1" t="s">
        <v>134</v>
      </c>
      <c r="B91" s="1" t="s">
        <v>24</v>
      </c>
      <c r="C91" s="1" t="s">
        <v>15</v>
      </c>
      <c r="F91" s="1" t="s">
        <v>123</v>
      </c>
      <c r="G91" s="1">
        <v>0.0</v>
      </c>
    </row>
    <row r="92">
      <c r="A92" s="1" t="s">
        <v>135</v>
      </c>
      <c r="B92" s="1" t="s">
        <v>25</v>
      </c>
      <c r="C92" s="1" t="s">
        <v>36</v>
      </c>
      <c r="F92" s="1" t="s">
        <v>123</v>
      </c>
      <c r="G92" s="1">
        <v>0.0</v>
      </c>
    </row>
    <row r="93">
      <c r="A93" s="1" t="s">
        <v>136</v>
      </c>
      <c r="B93" s="1" t="s">
        <v>12</v>
      </c>
      <c r="C93" s="1" t="s">
        <v>51</v>
      </c>
      <c r="F93" s="1" t="s">
        <v>123</v>
      </c>
      <c r="G93" s="1">
        <v>0.0</v>
      </c>
    </row>
    <row r="94">
      <c r="A94" s="1" t="s">
        <v>137</v>
      </c>
      <c r="B94" s="1" t="s">
        <v>28</v>
      </c>
      <c r="C94" s="1" t="s">
        <v>12</v>
      </c>
      <c r="F94" s="1" t="s">
        <v>138</v>
      </c>
      <c r="G94" s="1">
        <v>0.0</v>
      </c>
    </row>
    <row r="95">
      <c r="A95" s="1" t="s">
        <v>139</v>
      </c>
      <c r="B95" s="1" t="s">
        <v>54</v>
      </c>
      <c r="C95" s="1" t="s">
        <v>40</v>
      </c>
      <c r="F95" s="1" t="s">
        <v>138</v>
      </c>
      <c r="G95" s="1">
        <v>0.0</v>
      </c>
    </row>
    <row r="96">
      <c r="A96" s="1" t="s">
        <v>140</v>
      </c>
      <c r="B96" s="1" t="s">
        <v>46</v>
      </c>
      <c r="C96" s="1" t="s">
        <v>25</v>
      </c>
      <c r="F96" s="1" t="s">
        <v>138</v>
      </c>
      <c r="G96" s="1">
        <v>0.0</v>
      </c>
    </row>
    <row r="97">
      <c r="A97" s="1" t="s">
        <v>141</v>
      </c>
      <c r="B97" s="1" t="s">
        <v>27</v>
      </c>
      <c r="C97" s="1" t="s">
        <v>42</v>
      </c>
      <c r="F97" s="1" t="s">
        <v>138</v>
      </c>
      <c r="G97" s="1">
        <v>0.0</v>
      </c>
    </row>
    <row r="98">
      <c r="A98" s="1" t="s">
        <v>142</v>
      </c>
      <c r="B98" s="1" t="s">
        <v>43</v>
      </c>
      <c r="C98" s="1" t="s">
        <v>30</v>
      </c>
      <c r="F98" s="1" t="s">
        <v>138</v>
      </c>
      <c r="G98" s="1">
        <v>0.0</v>
      </c>
    </row>
    <row r="99">
      <c r="A99" s="1" t="s">
        <v>143</v>
      </c>
      <c r="B99" s="1" t="s">
        <v>19</v>
      </c>
      <c r="C99" s="1" t="s">
        <v>49</v>
      </c>
      <c r="F99" s="1" t="s">
        <v>138</v>
      </c>
      <c r="G99" s="1">
        <v>0.0</v>
      </c>
    </row>
    <row r="100">
      <c r="A100" s="1" t="s">
        <v>144</v>
      </c>
      <c r="B100" s="1" t="s">
        <v>33</v>
      </c>
      <c r="C100" s="1" t="s">
        <v>39</v>
      </c>
      <c r="F100" s="1" t="s">
        <v>138</v>
      </c>
      <c r="G100" s="1">
        <v>0.0</v>
      </c>
    </row>
    <row r="101">
      <c r="A101" s="1" t="s">
        <v>145</v>
      </c>
      <c r="B101" s="1" t="s">
        <v>24</v>
      </c>
      <c r="C101" s="1" t="s">
        <v>51</v>
      </c>
      <c r="F101" s="1" t="s">
        <v>138</v>
      </c>
      <c r="G101" s="1">
        <v>0.0</v>
      </c>
    </row>
    <row r="102">
      <c r="A102" s="1" t="s">
        <v>146</v>
      </c>
      <c r="B102" s="1" t="s">
        <v>55</v>
      </c>
      <c r="C102" s="1" t="s">
        <v>9</v>
      </c>
      <c r="F102" s="1" t="s">
        <v>138</v>
      </c>
      <c r="G102" s="1">
        <v>0.0</v>
      </c>
    </row>
    <row r="103">
      <c r="A103" s="1" t="s">
        <v>147</v>
      </c>
      <c r="B103" s="1" t="s">
        <v>16</v>
      </c>
      <c r="C103" s="1" t="s">
        <v>22</v>
      </c>
      <c r="F103" s="1" t="s">
        <v>138</v>
      </c>
      <c r="G103" s="1">
        <v>0.0</v>
      </c>
    </row>
    <row r="104">
      <c r="A104" s="1" t="s">
        <v>148</v>
      </c>
      <c r="B104" s="1" t="s">
        <v>15</v>
      </c>
      <c r="C104" s="1" t="s">
        <v>45</v>
      </c>
      <c r="F104" s="1" t="s">
        <v>138</v>
      </c>
      <c r="G104" s="1">
        <v>0.0</v>
      </c>
    </row>
    <row r="105">
      <c r="A105" s="1" t="s">
        <v>149</v>
      </c>
      <c r="B105" s="1" t="s">
        <v>52</v>
      </c>
      <c r="C105" s="1" t="s">
        <v>31</v>
      </c>
      <c r="F105" s="1" t="s">
        <v>138</v>
      </c>
      <c r="G105" s="1">
        <v>0.0</v>
      </c>
    </row>
    <row r="106">
      <c r="A106" s="1" t="s">
        <v>150</v>
      </c>
      <c r="B106" s="1" t="s">
        <v>8</v>
      </c>
      <c r="C106" s="1" t="s">
        <v>48</v>
      </c>
      <c r="F106" s="1" t="s">
        <v>138</v>
      </c>
      <c r="G106" s="1">
        <v>0.0</v>
      </c>
    </row>
    <row r="107">
      <c r="A107" s="1" t="s">
        <v>151</v>
      </c>
      <c r="B107" s="1" t="s">
        <v>36</v>
      </c>
      <c r="C107" s="1" t="s">
        <v>13</v>
      </c>
      <c r="F107" s="1" t="s">
        <v>138</v>
      </c>
      <c r="G107" s="1">
        <v>0.0</v>
      </c>
    </row>
    <row r="108">
      <c r="A108" s="1" t="s">
        <v>152</v>
      </c>
      <c r="B108" s="1" t="s">
        <v>18</v>
      </c>
      <c r="C108" s="1" t="s">
        <v>34</v>
      </c>
      <c r="F108" s="1" t="s">
        <v>138</v>
      </c>
      <c r="G108" s="1">
        <v>0.0</v>
      </c>
    </row>
    <row r="109">
      <c r="A109" s="1" t="s">
        <v>153</v>
      </c>
      <c r="B109" s="1" t="s">
        <v>30</v>
      </c>
      <c r="C109" s="1" t="s">
        <v>42</v>
      </c>
      <c r="F109" s="1" t="s">
        <v>154</v>
      </c>
      <c r="G109" s="1">
        <v>0.0</v>
      </c>
    </row>
    <row r="110">
      <c r="A110" s="1" t="s">
        <v>155</v>
      </c>
      <c r="B110" s="1" t="s">
        <v>31</v>
      </c>
      <c r="C110" s="1" t="s">
        <v>48</v>
      </c>
      <c r="F110" s="1" t="s">
        <v>154</v>
      </c>
      <c r="G110" s="1">
        <v>0.0</v>
      </c>
    </row>
    <row r="111">
      <c r="A111" s="1" t="s">
        <v>156</v>
      </c>
      <c r="B111" s="1" t="s">
        <v>52</v>
      </c>
      <c r="C111" s="1" t="s">
        <v>16</v>
      </c>
      <c r="F111" s="1" t="s">
        <v>154</v>
      </c>
      <c r="G111" s="1">
        <v>0.0</v>
      </c>
    </row>
    <row r="112">
      <c r="A112" s="1" t="s">
        <v>157</v>
      </c>
      <c r="B112" s="1" t="s">
        <v>34</v>
      </c>
      <c r="C112" s="1" t="s">
        <v>28</v>
      </c>
      <c r="F112" s="1" t="s">
        <v>154</v>
      </c>
      <c r="G112" s="1">
        <v>0.0</v>
      </c>
    </row>
    <row r="113">
      <c r="A113" s="1" t="s">
        <v>158</v>
      </c>
      <c r="B113" s="1" t="s">
        <v>21</v>
      </c>
      <c r="C113" s="1" t="s">
        <v>9</v>
      </c>
      <c r="F113" s="1" t="s">
        <v>154</v>
      </c>
      <c r="G113" s="1">
        <v>0.0</v>
      </c>
    </row>
    <row r="114">
      <c r="A114" s="1" t="s">
        <v>159</v>
      </c>
      <c r="B114" s="1" t="s">
        <v>51</v>
      </c>
      <c r="C114" s="1" t="s">
        <v>45</v>
      </c>
      <c r="F114" s="1" t="s">
        <v>154</v>
      </c>
      <c r="G114" s="1">
        <v>0.0</v>
      </c>
    </row>
    <row r="115">
      <c r="A115" s="1" t="s">
        <v>160</v>
      </c>
      <c r="B115" s="1" t="s">
        <v>13</v>
      </c>
      <c r="C115" s="1" t="s">
        <v>19</v>
      </c>
      <c r="F115" s="1" t="s">
        <v>154</v>
      </c>
      <c r="G115" s="1">
        <v>0.0</v>
      </c>
    </row>
    <row r="116">
      <c r="A116" s="1" t="s">
        <v>161</v>
      </c>
      <c r="B116" s="1" t="s">
        <v>8</v>
      </c>
      <c r="C116" s="1" t="s">
        <v>15</v>
      </c>
      <c r="F116" s="1" t="s">
        <v>154</v>
      </c>
      <c r="G116" s="1">
        <v>0.0</v>
      </c>
    </row>
    <row r="117">
      <c r="A117" s="1" t="s">
        <v>162</v>
      </c>
      <c r="B117" s="1" t="s">
        <v>55</v>
      </c>
      <c r="C117" s="1" t="s">
        <v>27</v>
      </c>
      <c r="F117" s="1" t="s">
        <v>154</v>
      </c>
      <c r="G117" s="1">
        <v>0.0</v>
      </c>
    </row>
    <row r="118">
      <c r="A118" s="1" t="s">
        <v>163</v>
      </c>
      <c r="B118" s="1" t="s">
        <v>54</v>
      </c>
      <c r="C118" s="1" t="s">
        <v>22</v>
      </c>
      <c r="F118" s="1" t="s">
        <v>154</v>
      </c>
      <c r="G118" s="1">
        <v>0.0</v>
      </c>
    </row>
    <row r="119">
      <c r="A119" s="1" t="s">
        <v>164</v>
      </c>
      <c r="B119" s="1" t="s">
        <v>12</v>
      </c>
      <c r="C119" s="1" t="s">
        <v>46</v>
      </c>
      <c r="F119" s="1" t="s">
        <v>154</v>
      </c>
      <c r="G119" s="1">
        <v>0.0</v>
      </c>
    </row>
    <row r="120">
      <c r="A120" s="1" t="s">
        <v>165</v>
      </c>
      <c r="B120" s="1" t="s">
        <v>49</v>
      </c>
      <c r="C120" s="1" t="s">
        <v>40</v>
      </c>
      <c r="F120" s="1" t="s">
        <v>154</v>
      </c>
      <c r="G120" s="1">
        <v>0.0</v>
      </c>
    </row>
    <row r="121">
      <c r="A121" s="1" t="s">
        <v>166</v>
      </c>
      <c r="B121" s="1" t="s">
        <v>36</v>
      </c>
      <c r="C121" s="1" t="s">
        <v>43</v>
      </c>
      <c r="F121" s="1" t="s">
        <v>154</v>
      </c>
      <c r="G121" s="1">
        <v>0.0</v>
      </c>
    </row>
    <row r="122">
      <c r="A122" s="1" t="s">
        <v>167</v>
      </c>
      <c r="B122" s="1" t="s">
        <v>25</v>
      </c>
      <c r="C122" s="1" t="s">
        <v>24</v>
      </c>
      <c r="F122" s="1" t="s">
        <v>154</v>
      </c>
      <c r="G122" s="1">
        <v>0.0</v>
      </c>
    </row>
    <row r="123">
      <c r="A123" s="1" t="s">
        <v>168</v>
      </c>
      <c r="B123" s="1" t="s">
        <v>37</v>
      </c>
      <c r="C123" s="1" t="s">
        <v>39</v>
      </c>
      <c r="F123" s="1" t="s">
        <v>154</v>
      </c>
      <c r="G123" s="1">
        <v>0.0</v>
      </c>
    </row>
    <row r="124">
      <c r="A124" s="1" t="s">
        <v>169</v>
      </c>
      <c r="B124" s="1" t="s">
        <v>33</v>
      </c>
      <c r="C124" s="1" t="s">
        <v>18</v>
      </c>
      <c r="F124" s="1" t="s">
        <v>154</v>
      </c>
      <c r="G124" s="1">
        <v>0.0</v>
      </c>
    </row>
    <row r="125">
      <c r="A125" s="1" t="s">
        <v>170</v>
      </c>
      <c r="B125" s="1" t="s">
        <v>21</v>
      </c>
      <c r="C125" s="1" t="s">
        <v>49</v>
      </c>
      <c r="F125" s="1" t="s">
        <v>171</v>
      </c>
      <c r="G125" s="1">
        <v>0.0</v>
      </c>
    </row>
    <row r="126">
      <c r="A126" s="1" t="s">
        <v>172</v>
      </c>
      <c r="B126" s="1" t="s">
        <v>18</v>
      </c>
      <c r="C126" s="1" t="s">
        <v>54</v>
      </c>
      <c r="F126" s="1" t="s">
        <v>171</v>
      </c>
      <c r="G126" s="1">
        <v>0.0</v>
      </c>
    </row>
    <row r="127">
      <c r="A127" s="1" t="s">
        <v>173</v>
      </c>
      <c r="B127" s="1" t="s">
        <v>42</v>
      </c>
      <c r="C127" s="1" t="s">
        <v>19</v>
      </c>
      <c r="F127" s="1" t="s">
        <v>171</v>
      </c>
      <c r="G127" s="1">
        <v>0.0</v>
      </c>
    </row>
    <row r="128">
      <c r="A128" s="1" t="s">
        <v>174</v>
      </c>
      <c r="B128" s="1" t="s">
        <v>15</v>
      </c>
      <c r="C128" s="1" t="s">
        <v>36</v>
      </c>
      <c r="F128" s="1" t="s">
        <v>171</v>
      </c>
      <c r="G128" s="1">
        <v>0.0</v>
      </c>
    </row>
    <row r="129">
      <c r="A129" s="1" t="s">
        <v>175</v>
      </c>
      <c r="B129" s="1" t="s">
        <v>45</v>
      </c>
      <c r="C129" s="1" t="s">
        <v>52</v>
      </c>
      <c r="F129" s="1" t="s">
        <v>171</v>
      </c>
      <c r="G129" s="1">
        <v>0.0</v>
      </c>
    </row>
    <row r="130">
      <c r="A130" s="1" t="s">
        <v>176</v>
      </c>
      <c r="B130" s="1" t="s">
        <v>46</v>
      </c>
      <c r="C130" s="1" t="s">
        <v>13</v>
      </c>
      <c r="F130" s="1" t="s">
        <v>171</v>
      </c>
      <c r="G130" s="1">
        <v>0.0</v>
      </c>
    </row>
    <row r="131">
      <c r="A131" s="1" t="s">
        <v>177</v>
      </c>
      <c r="B131" s="1" t="s">
        <v>28</v>
      </c>
      <c r="C131" s="1" t="s">
        <v>22</v>
      </c>
      <c r="F131" s="1" t="s">
        <v>171</v>
      </c>
      <c r="G131" s="1">
        <v>0.0</v>
      </c>
    </row>
    <row r="132">
      <c r="A132" s="1" t="s">
        <v>178</v>
      </c>
      <c r="B132" s="1" t="s">
        <v>37</v>
      </c>
      <c r="C132" s="1" t="s">
        <v>12</v>
      </c>
      <c r="F132" s="1" t="s">
        <v>171</v>
      </c>
      <c r="G132" s="1">
        <v>0.0</v>
      </c>
    </row>
    <row r="133">
      <c r="A133" s="1" t="s">
        <v>179</v>
      </c>
      <c r="B133" s="1" t="s">
        <v>39</v>
      </c>
      <c r="C133" s="1" t="s">
        <v>31</v>
      </c>
      <c r="F133" s="1" t="s">
        <v>171</v>
      </c>
      <c r="G133" s="1">
        <v>0.0</v>
      </c>
    </row>
    <row r="134">
      <c r="A134" s="1" t="s">
        <v>180</v>
      </c>
      <c r="B134" s="1" t="s">
        <v>27</v>
      </c>
      <c r="C134" s="1" t="s">
        <v>16</v>
      </c>
      <c r="F134" s="1" t="s">
        <v>171</v>
      </c>
      <c r="G134" s="1">
        <v>0.0</v>
      </c>
    </row>
    <row r="135">
      <c r="A135" s="1" t="s">
        <v>181</v>
      </c>
      <c r="B135" s="1" t="s">
        <v>43</v>
      </c>
      <c r="C135" s="1" t="s">
        <v>51</v>
      </c>
      <c r="F135" s="1" t="s">
        <v>171</v>
      </c>
      <c r="G135" s="1">
        <v>0.0</v>
      </c>
    </row>
    <row r="136">
      <c r="A136" s="1" t="s">
        <v>182</v>
      </c>
      <c r="B136" s="1" t="s">
        <v>34</v>
      </c>
      <c r="C136" s="1" t="s">
        <v>33</v>
      </c>
      <c r="F136" s="1" t="s">
        <v>171</v>
      </c>
      <c r="G136" s="1">
        <v>0.0</v>
      </c>
    </row>
    <row r="137">
      <c r="A137" s="1" t="s">
        <v>183</v>
      </c>
      <c r="B137" s="1" t="s">
        <v>25</v>
      </c>
      <c r="C137" s="1" t="s">
        <v>30</v>
      </c>
      <c r="F137" s="1" t="s">
        <v>171</v>
      </c>
      <c r="G137" s="1">
        <v>0.0</v>
      </c>
    </row>
    <row r="138">
      <c r="A138" s="1" t="s">
        <v>184</v>
      </c>
      <c r="B138" s="1" t="s">
        <v>24</v>
      </c>
      <c r="C138" s="1" t="s">
        <v>8</v>
      </c>
      <c r="F138" s="1" t="s">
        <v>171</v>
      </c>
      <c r="G138" s="1">
        <v>0.0</v>
      </c>
    </row>
    <row r="139">
      <c r="A139" s="1" t="s">
        <v>185</v>
      </c>
      <c r="B139" s="1" t="s">
        <v>40</v>
      </c>
      <c r="C139" s="1" t="s">
        <v>55</v>
      </c>
      <c r="F139" s="1" t="s">
        <v>171</v>
      </c>
      <c r="G139" s="1">
        <v>0.0</v>
      </c>
    </row>
    <row r="140">
      <c r="A140" s="1" t="s">
        <v>186</v>
      </c>
      <c r="B140" s="1" t="s">
        <v>15</v>
      </c>
      <c r="C140" s="1" t="s">
        <v>37</v>
      </c>
      <c r="F140" s="1" t="s">
        <v>187</v>
      </c>
      <c r="G140" s="1">
        <v>0.0</v>
      </c>
    </row>
    <row r="141">
      <c r="A141" s="1" t="s">
        <v>188</v>
      </c>
      <c r="B141" s="1" t="s">
        <v>31</v>
      </c>
      <c r="C141" s="1" t="s">
        <v>33</v>
      </c>
      <c r="F141" s="1" t="s">
        <v>187</v>
      </c>
      <c r="G141" s="1">
        <v>0.0</v>
      </c>
    </row>
    <row r="142">
      <c r="A142" s="1" t="s">
        <v>189</v>
      </c>
      <c r="B142" s="1" t="s">
        <v>18</v>
      </c>
      <c r="C142" s="1" t="s">
        <v>55</v>
      </c>
      <c r="F142" s="1" t="s">
        <v>187</v>
      </c>
      <c r="G142" s="1">
        <v>0.0</v>
      </c>
    </row>
    <row r="143">
      <c r="A143" s="1" t="s">
        <v>190</v>
      </c>
      <c r="B143" s="1" t="s">
        <v>36</v>
      </c>
      <c r="C143" s="1" t="s">
        <v>28</v>
      </c>
      <c r="F143" s="1" t="s">
        <v>187</v>
      </c>
      <c r="G143" s="1">
        <v>0.0</v>
      </c>
    </row>
    <row r="144">
      <c r="A144" s="1" t="s">
        <v>191</v>
      </c>
      <c r="B144" s="1" t="s">
        <v>8</v>
      </c>
      <c r="C144" s="1" t="s">
        <v>12</v>
      </c>
      <c r="F144" s="1" t="s">
        <v>187</v>
      </c>
      <c r="G144" s="1">
        <v>0.0</v>
      </c>
    </row>
    <row r="145">
      <c r="A145" s="1" t="s">
        <v>192</v>
      </c>
      <c r="B145" s="1" t="s">
        <v>30</v>
      </c>
      <c r="C145" s="1" t="s">
        <v>45</v>
      </c>
      <c r="F145" s="1" t="s">
        <v>187</v>
      </c>
      <c r="G145" s="1">
        <v>0.0</v>
      </c>
    </row>
    <row r="146">
      <c r="A146" s="1" t="s">
        <v>193</v>
      </c>
      <c r="B146" s="1" t="s">
        <v>49</v>
      </c>
      <c r="C146" s="1" t="s">
        <v>34</v>
      </c>
      <c r="F146" s="1" t="s">
        <v>187</v>
      </c>
      <c r="G146" s="1">
        <v>0.0</v>
      </c>
    </row>
    <row r="147">
      <c r="A147" s="1" t="s">
        <v>194</v>
      </c>
      <c r="B147" s="1" t="s">
        <v>13</v>
      </c>
      <c r="C147" s="1" t="s">
        <v>25</v>
      </c>
      <c r="F147" s="1" t="s">
        <v>187</v>
      </c>
      <c r="G147" s="1">
        <v>0.0</v>
      </c>
    </row>
    <row r="148">
      <c r="A148" s="1" t="s">
        <v>195</v>
      </c>
      <c r="B148" s="1" t="s">
        <v>48</v>
      </c>
      <c r="C148" s="1" t="s">
        <v>39</v>
      </c>
      <c r="F148" s="1" t="s">
        <v>187</v>
      </c>
      <c r="G148" s="1">
        <v>0.0</v>
      </c>
    </row>
    <row r="149">
      <c r="A149" s="1" t="s">
        <v>196</v>
      </c>
      <c r="B149" s="1" t="s">
        <v>52</v>
      </c>
      <c r="C149" s="1" t="s">
        <v>21</v>
      </c>
      <c r="F149" s="1" t="s">
        <v>187</v>
      </c>
      <c r="G149" s="1">
        <v>0.0</v>
      </c>
    </row>
    <row r="150">
      <c r="A150" s="1" t="s">
        <v>197</v>
      </c>
      <c r="B150" s="1" t="s">
        <v>43</v>
      </c>
      <c r="C150" s="1" t="s">
        <v>24</v>
      </c>
      <c r="F150" s="1" t="s">
        <v>187</v>
      </c>
      <c r="G150" s="1">
        <v>0.0</v>
      </c>
    </row>
    <row r="151">
      <c r="A151" s="1" t="s">
        <v>198</v>
      </c>
      <c r="B151" s="1" t="s">
        <v>9</v>
      </c>
      <c r="C151" s="1" t="s">
        <v>40</v>
      </c>
      <c r="F151" s="1" t="s">
        <v>187</v>
      </c>
      <c r="G151" s="1">
        <v>0.0</v>
      </c>
    </row>
    <row r="152">
      <c r="A152" s="1" t="s">
        <v>199</v>
      </c>
      <c r="B152" s="1" t="s">
        <v>16</v>
      </c>
      <c r="C152" s="1" t="s">
        <v>54</v>
      </c>
      <c r="F152" s="1" t="s">
        <v>187</v>
      </c>
      <c r="G152" s="1">
        <v>0.0</v>
      </c>
    </row>
    <row r="153">
      <c r="A153" s="1" t="s">
        <v>200</v>
      </c>
      <c r="B153" s="1" t="s">
        <v>46</v>
      </c>
      <c r="C153" s="1" t="s">
        <v>42</v>
      </c>
      <c r="F153" s="1" t="s">
        <v>187</v>
      </c>
      <c r="G153" s="1">
        <v>0.0</v>
      </c>
    </row>
    <row r="154">
      <c r="A154" s="1" t="s">
        <v>201</v>
      </c>
      <c r="B154" s="1" t="s">
        <v>24</v>
      </c>
      <c r="C154" s="1" t="s">
        <v>21</v>
      </c>
      <c r="F154" s="1" t="s">
        <v>202</v>
      </c>
      <c r="G154" s="1">
        <v>0.0</v>
      </c>
    </row>
    <row r="155">
      <c r="A155" s="1" t="s">
        <v>203</v>
      </c>
      <c r="B155" s="1" t="s">
        <v>39</v>
      </c>
      <c r="C155" s="1" t="s">
        <v>52</v>
      </c>
      <c r="F155" s="1" t="s">
        <v>202</v>
      </c>
      <c r="G155" s="1">
        <v>0.0</v>
      </c>
    </row>
    <row r="156">
      <c r="A156" s="1" t="s">
        <v>204</v>
      </c>
      <c r="B156" s="1" t="s">
        <v>55</v>
      </c>
      <c r="C156" s="1" t="s">
        <v>13</v>
      </c>
      <c r="F156" s="1" t="s">
        <v>202</v>
      </c>
      <c r="G156" s="1">
        <v>0.0</v>
      </c>
    </row>
    <row r="157">
      <c r="A157" s="1" t="s">
        <v>205</v>
      </c>
      <c r="B157" s="1" t="s">
        <v>30</v>
      </c>
      <c r="C157" s="1" t="s">
        <v>36</v>
      </c>
      <c r="F157" s="1" t="s">
        <v>202</v>
      </c>
      <c r="G157" s="1">
        <v>0.0</v>
      </c>
    </row>
    <row r="158">
      <c r="A158" s="1" t="s">
        <v>206</v>
      </c>
      <c r="B158" s="1" t="s">
        <v>54</v>
      </c>
      <c r="C158" s="1" t="s">
        <v>48</v>
      </c>
      <c r="F158" s="1" t="s">
        <v>202</v>
      </c>
      <c r="G158" s="1">
        <v>0.0</v>
      </c>
    </row>
    <row r="159">
      <c r="A159" s="1" t="s">
        <v>207</v>
      </c>
      <c r="B159" s="1" t="s">
        <v>25</v>
      </c>
      <c r="C159" s="1" t="s">
        <v>8</v>
      </c>
      <c r="F159" s="1" t="s">
        <v>202</v>
      </c>
      <c r="G159" s="1">
        <v>0.0</v>
      </c>
    </row>
    <row r="160">
      <c r="A160" s="1" t="s">
        <v>208</v>
      </c>
      <c r="B160" s="1" t="s">
        <v>19</v>
      </c>
      <c r="C160" s="1" t="s">
        <v>9</v>
      </c>
      <c r="F160" s="1" t="s">
        <v>202</v>
      </c>
      <c r="G160" s="1">
        <v>0.0</v>
      </c>
    </row>
    <row r="161">
      <c r="A161" s="1" t="s">
        <v>209</v>
      </c>
      <c r="B161" s="1" t="s">
        <v>42</v>
      </c>
      <c r="C161" s="1" t="s">
        <v>15</v>
      </c>
      <c r="F161" s="1" t="s">
        <v>202</v>
      </c>
      <c r="G161" s="1">
        <v>0.0</v>
      </c>
    </row>
    <row r="162">
      <c r="A162" s="1" t="s">
        <v>210</v>
      </c>
      <c r="B162" s="1" t="s">
        <v>16</v>
      </c>
      <c r="C162" s="1" t="s">
        <v>28</v>
      </c>
      <c r="F162" s="1" t="s">
        <v>202</v>
      </c>
      <c r="G162" s="1">
        <v>0.0</v>
      </c>
    </row>
    <row r="163">
      <c r="A163" s="1" t="s">
        <v>211</v>
      </c>
      <c r="B163" s="1" t="s">
        <v>51</v>
      </c>
      <c r="C163" s="1" t="s">
        <v>37</v>
      </c>
      <c r="F163" s="1" t="s">
        <v>202</v>
      </c>
      <c r="G163" s="1">
        <v>0.0</v>
      </c>
    </row>
    <row r="164">
      <c r="A164" s="1" t="s">
        <v>212</v>
      </c>
      <c r="B164" s="1" t="s">
        <v>45</v>
      </c>
      <c r="C164" s="1" t="s">
        <v>43</v>
      </c>
      <c r="F164" s="1" t="s">
        <v>202</v>
      </c>
      <c r="G164" s="1">
        <v>0.0</v>
      </c>
    </row>
    <row r="165">
      <c r="A165" s="1" t="s">
        <v>213</v>
      </c>
      <c r="B165" s="1" t="s">
        <v>22</v>
      </c>
      <c r="C165" s="1" t="s">
        <v>34</v>
      </c>
      <c r="F165" s="1" t="s">
        <v>202</v>
      </c>
      <c r="G165" s="1">
        <v>0.0</v>
      </c>
    </row>
    <row r="166">
      <c r="A166" s="1" t="s">
        <v>214</v>
      </c>
      <c r="B166" s="1" t="s">
        <v>27</v>
      </c>
      <c r="C166" s="1" t="s">
        <v>46</v>
      </c>
      <c r="F166" s="1" t="s">
        <v>202</v>
      </c>
      <c r="G166" s="1">
        <v>0.0</v>
      </c>
    </row>
    <row r="167">
      <c r="A167" s="1" t="s">
        <v>215</v>
      </c>
      <c r="B167" s="1" t="s">
        <v>49</v>
      </c>
      <c r="C167" s="1" t="s">
        <v>18</v>
      </c>
      <c r="F167" s="1" t="s">
        <v>202</v>
      </c>
      <c r="G167" s="1">
        <v>0.0</v>
      </c>
    </row>
    <row r="168">
      <c r="A168" s="1" t="s">
        <v>216</v>
      </c>
      <c r="B168" s="1" t="s">
        <v>54</v>
      </c>
      <c r="C168" s="1" t="s">
        <v>28</v>
      </c>
      <c r="F168" s="1" t="s">
        <v>217</v>
      </c>
      <c r="G168" s="1">
        <v>0.0</v>
      </c>
    </row>
    <row r="169">
      <c r="A169" s="1" t="s">
        <v>218</v>
      </c>
      <c r="B169" s="1" t="s">
        <v>48</v>
      </c>
      <c r="C169" s="1" t="s">
        <v>22</v>
      </c>
      <c r="F169" s="1" t="s">
        <v>217</v>
      </c>
      <c r="G169" s="1">
        <v>0.0</v>
      </c>
    </row>
    <row r="170">
      <c r="A170" s="1" t="s">
        <v>219</v>
      </c>
      <c r="B170" s="1" t="s">
        <v>12</v>
      </c>
      <c r="C170" s="1" t="s">
        <v>19</v>
      </c>
      <c r="F170" s="1" t="s">
        <v>217</v>
      </c>
      <c r="G170" s="1">
        <v>0.0</v>
      </c>
    </row>
    <row r="171">
      <c r="A171" s="1" t="s">
        <v>220</v>
      </c>
      <c r="B171" s="1" t="s">
        <v>40</v>
      </c>
      <c r="C171" s="1" t="s">
        <v>31</v>
      </c>
      <c r="F171" s="1" t="s">
        <v>217</v>
      </c>
      <c r="G171" s="1">
        <v>0.0</v>
      </c>
    </row>
    <row r="172">
      <c r="A172" s="1" t="s">
        <v>221</v>
      </c>
      <c r="B172" s="1" t="s">
        <v>9</v>
      </c>
      <c r="C172" s="1" t="s">
        <v>51</v>
      </c>
      <c r="F172" s="1" t="s">
        <v>217</v>
      </c>
      <c r="G172" s="1">
        <v>0.0</v>
      </c>
    </row>
    <row r="173">
      <c r="A173" s="1" t="s">
        <v>222</v>
      </c>
      <c r="B173" s="1" t="s">
        <v>30</v>
      </c>
      <c r="C173" s="1" t="s">
        <v>37</v>
      </c>
      <c r="F173" s="1" t="s">
        <v>217</v>
      </c>
      <c r="G173" s="1">
        <v>0.0</v>
      </c>
    </row>
    <row r="174">
      <c r="A174" s="1" t="s">
        <v>223</v>
      </c>
      <c r="B174" s="1" t="s">
        <v>36</v>
      </c>
      <c r="C174" s="1" t="s">
        <v>24</v>
      </c>
      <c r="F174" s="1" t="s">
        <v>217</v>
      </c>
      <c r="G174" s="1">
        <v>0.0</v>
      </c>
    </row>
    <row r="175">
      <c r="A175" s="1" t="s">
        <v>224</v>
      </c>
      <c r="B175" s="1" t="s">
        <v>52</v>
      </c>
      <c r="C175" s="1" t="s">
        <v>42</v>
      </c>
      <c r="F175" s="1" t="s">
        <v>217</v>
      </c>
      <c r="G175" s="1">
        <v>0.0</v>
      </c>
    </row>
    <row r="176">
      <c r="A176" s="1" t="s">
        <v>225</v>
      </c>
      <c r="B176" s="1" t="s">
        <v>15</v>
      </c>
      <c r="C176" s="1" t="s">
        <v>46</v>
      </c>
      <c r="F176" s="1" t="s">
        <v>217</v>
      </c>
      <c r="G176" s="1">
        <v>0.0</v>
      </c>
    </row>
    <row r="177">
      <c r="A177" s="1" t="s">
        <v>226</v>
      </c>
      <c r="B177" s="1" t="s">
        <v>21</v>
      </c>
      <c r="C177" s="1" t="s">
        <v>39</v>
      </c>
      <c r="F177" s="1" t="s">
        <v>217</v>
      </c>
      <c r="G177" s="1">
        <v>0.0</v>
      </c>
    </row>
    <row r="178">
      <c r="A178" s="1" t="s">
        <v>227</v>
      </c>
      <c r="B178" s="1" t="s">
        <v>43</v>
      </c>
      <c r="C178" s="1" t="s">
        <v>25</v>
      </c>
      <c r="F178" s="1" t="s">
        <v>217</v>
      </c>
      <c r="G178" s="1">
        <v>0.0</v>
      </c>
    </row>
    <row r="179">
      <c r="A179" s="1" t="s">
        <v>228</v>
      </c>
      <c r="B179" s="1" t="s">
        <v>18</v>
      </c>
      <c r="C179" s="1" t="s">
        <v>27</v>
      </c>
      <c r="F179" s="1" t="s">
        <v>217</v>
      </c>
      <c r="G179" s="1">
        <v>0.0</v>
      </c>
    </row>
    <row r="180">
      <c r="A180" s="1" t="s">
        <v>229</v>
      </c>
      <c r="B180" s="1" t="s">
        <v>55</v>
      </c>
      <c r="C180" s="1" t="s">
        <v>33</v>
      </c>
      <c r="F180" s="1" t="s">
        <v>217</v>
      </c>
      <c r="G180" s="1">
        <v>0.0</v>
      </c>
    </row>
    <row r="181">
      <c r="A181" s="1" t="s">
        <v>230</v>
      </c>
      <c r="B181" s="1" t="s">
        <v>22</v>
      </c>
      <c r="C181" s="1" t="s">
        <v>18</v>
      </c>
      <c r="F181" s="1" t="s">
        <v>231</v>
      </c>
      <c r="G181" s="1">
        <v>0.0</v>
      </c>
    </row>
    <row r="182">
      <c r="A182" s="1" t="s">
        <v>232</v>
      </c>
      <c r="B182" s="1" t="s">
        <v>36</v>
      </c>
      <c r="C182" s="1" t="s">
        <v>39</v>
      </c>
      <c r="F182" s="1" t="s">
        <v>231</v>
      </c>
      <c r="G182" s="1">
        <v>0.0</v>
      </c>
    </row>
    <row r="183">
      <c r="A183" s="1" t="s">
        <v>233</v>
      </c>
      <c r="B183" s="1" t="s">
        <v>12</v>
      </c>
      <c r="C183" s="1" t="s">
        <v>30</v>
      </c>
      <c r="F183" s="1" t="s">
        <v>231</v>
      </c>
      <c r="G183" s="1">
        <v>0.0</v>
      </c>
    </row>
    <row r="184">
      <c r="A184" s="1" t="s">
        <v>234</v>
      </c>
      <c r="B184" s="1" t="s">
        <v>25</v>
      </c>
      <c r="C184" s="1" t="s">
        <v>15</v>
      </c>
      <c r="F184" s="1" t="s">
        <v>231</v>
      </c>
      <c r="G184" s="1">
        <v>0.0</v>
      </c>
    </row>
    <row r="185">
      <c r="A185" s="1" t="s">
        <v>235</v>
      </c>
      <c r="B185" s="1" t="s">
        <v>42</v>
      </c>
      <c r="C185" s="1" t="s">
        <v>34</v>
      </c>
      <c r="F185" s="1" t="s">
        <v>231</v>
      </c>
      <c r="G185" s="1">
        <v>0.0</v>
      </c>
    </row>
    <row r="186">
      <c r="A186" s="1" t="s">
        <v>236</v>
      </c>
      <c r="B186" s="1" t="s">
        <v>28</v>
      </c>
      <c r="C186" s="1" t="s">
        <v>49</v>
      </c>
      <c r="F186" s="1" t="s">
        <v>231</v>
      </c>
      <c r="G186" s="1">
        <v>0.0</v>
      </c>
    </row>
    <row r="187">
      <c r="A187" s="1" t="s">
        <v>237</v>
      </c>
      <c r="B187" s="1" t="s">
        <v>9</v>
      </c>
      <c r="C187" s="1" t="s">
        <v>13</v>
      </c>
      <c r="F187" s="1" t="s">
        <v>231</v>
      </c>
      <c r="G187" s="1">
        <v>0.0</v>
      </c>
    </row>
    <row r="188">
      <c r="A188" s="1" t="s">
        <v>238</v>
      </c>
      <c r="B188" s="1" t="s">
        <v>24</v>
      </c>
      <c r="C188" s="1" t="s">
        <v>45</v>
      </c>
      <c r="F188" s="1" t="s">
        <v>231</v>
      </c>
      <c r="G188" s="1">
        <v>0.0</v>
      </c>
    </row>
    <row r="189">
      <c r="A189" s="1" t="s">
        <v>239</v>
      </c>
      <c r="B189" s="1" t="s">
        <v>52</v>
      </c>
      <c r="C189" s="1" t="s">
        <v>54</v>
      </c>
      <c r="F189" s="1" t="s">
        <v>231</v>
      </c>
      <c r="G189" s="1">
        <v>0.0</v>
      </c>
    </row>
    <row r="190">
      <c r="A190" s="1" t="s">
        <v>240</v>
      </c>
      <c r="B190" s="1" t="s">
        <v>48</v>
      </c>
      <c r="C190" s="1" t="s">
        <v>16</v>
      </c>
      <c r="F190" s="1" t="s">
        <v>231</v>
      </c>
      <c r="G190" s="1">
        <v>0.0</v>
      </c>
    </row>
    <row r="191">
      <c r="A191" s="1" t="s">
        <v>241</v>
      </c>
      <c r="B191" s="1" t="s">
        <v>40</v>
      </c>
      <c r="C191" s="1" t="s">
        <v>33</v>
      </c>
      <c r="F191" s="1" t="s">
        <v>231</v>
      </c>
      <c r="G191" s="1">
        <v>0.0</v>
      </c>
    </row>
    <row r="192">
      <c r="A192" s="1" t="s">
        <v>242</v>
      </c>
      <c r="B192" s="1" t="s">
        <v>19</v>
      </c>
      <c r="C192" s="1" t="s">
        <v>8</v>
      </c>
      <c r="F192" s="1" t="s">
        <v>231</v>
      </c>
      <c r="G192" s="1">
        <v>0.0</v>
      </c>
    </row>
    <row r="193">
      <c r="A193" s="1" t="s">
        <v>243</v>
      </c>
      <c r="B193" s="1" t="s">
        <v>27</v>
      </c>
      <c r="C193" s="1" t="s">
        <v>55</v>
      </c>
      <c r="F193" s="1" t="s">
        <v>231</v>
      </c>
      <c r="G193" s="1">
        <v>0.0</v>
      </c>
    </row>
    <row r="194">
      <c r="A194" s="1" t="s">
        <v>244</v>
      </c>
      <c r="B194" s="1" t="s">
        <v>31</v>
      </c>
      <c r="C194" s="1" t="s">
        <v>21</v>
      </c>
      <c r="F194" s="1" t="s">
        <v>231</v>
      </c>
      <c r="G194" s="1">
        <v>0.0</v>
      </c>
    </row>
    <row r="195">
      <c r="A195" s="1" t="s">
        <v>245</v>
      </c>
      <c r="B195" s="1" t="s">
        <v>46</v>
      </c>
      <c r="C195" s="1" t="s">
        <v>51</v>
      </c>
      <c r="F195" s="1" t="s">
        <v>231</v>
      </c>
      <c r="G195" s="1">
        <v>0.0</v>
      </c>
    </row>
    <row r="196">
      <c r="A196" s="1" t="s">
        <v>246</v>
      </c>
      <c r="B196" s="1" t="s">
        <v>37</v>
      </c>
      <c r="C196" s="1" t="s">
        <v>43</v>
      </c>
      <c r="F196" s="1" t="s">
        <v>231</v>
      </c>
      <c r="G196" s="1">
        <v>0.0</v>
      </c>
    </row>
    <row r="197">
      <c r="A197" s="1" t="s">
        <v>247</v>
      </c>
      <c r="B197" s="1" t="s">
        <v>16</v>
      </c>
      <c r="C197" s="1" t="s">
        <v>21</v>
      </c>
      <c r="F197" s="1" t="s">
        <v>248</v>
      </c>
      <c r="G197" s="1">
        <v>0.0</v>
      </c>
    </row>
    <row r="198">
      <c r="A198" s="1" t="s">
        <v>249</v>
      </c>
      <c r="B198" s="1" t="s">
        <v>51</v>
      </c>
      <c r="C198" s="1" t="s">
        <v>43</v>
      </c>
      <c r="F198" s="1" t="s">
        <v>248</v>
      </c>
      <c r="G198" s="1">
        <v>0.0</v>
      </c>
    </row>
    <row r="199">
      <c r="A199" s="1" t="s">
        <v>250</v>
      </c>
      <c r="B199" s="1" t="s">
        <v>27</v>
      </c>
      <c r="C199" s="1" t="s">
        <v>40</v>
      </c>
      <c r="F199" s="1" t="s">
        <v>248</v>
      </c>
      <c r="G199" s="1">
        <v>0.0</v>
      </c>
    </row>
    <row r="200">
      <c r="A200" s="1" t="s">
        <v>251</v>
      </c>
      <c r="B200" s="1" t="s">
        <v>34</v>
      </c>
      <c r="C200" s="1" t="s">
        <v>31</v>
      </c>
      <c r="F200" s="1" t="s">
        <v>248</v>
      </c>
      <c r="G200" s="1">
        <v>0.0</v>
      </c>
    </row>
    <row r="201">
      <c r="A201" s="1" t="s">
        <v>252</v>
      </c>
      <c r="B201" s="1" t="s">
        <v>8</v>
      </c>
      <c r="C201" s="1" t="s">
        <v>46</v>
      </c>
      <c r="F201" s="1" t="s">
        <v>248</v>
      </c>
      <c r="G201" s="1">
        <v>0.0</v>
      </c>
    </row>
    <row r="202">
      <c r="A202" s="1" t="s">
        <v>253</v>
      </c>
      <c r="B202" s="1" t="s">
        <v>13</v>
      </c>
      <c r="C202" s="1" t="s">
        <v>42</v>
      </c>
      <c r="F202" s="1" t="s">
        <v>248</v>
      </c>
      <c r="G202" s="1">
        <v>0.0</v>
      </c>
    </row>
    <row r="203">
      <c r="A203" s="1" t="s">
        <v>254</v>
      </c>
      <c r="B203" s="1" t="s">
        <v>22</v>
      </c>
      <c r="C203" s="1" t="s">
        <v>48</v>
      </c>
      <c r="F203" s="1" t="s">
        <v>248</v>
      </c>
      <c r="G203" s="1">
        <v>0.0</v>
      </c>
    </row>
    <row r="204">
      <c r="A204" s="1" t="s">
        <v>255</v>
      </c>
      <c r="B204" s="1" t="s">
        <v>28</v>
      </c>
      <c r="C204" s="1" t="s">
        <v>55</v>
      </c>
      <c r="F204" s="1" t="s">
        <v>248</v>
      </c>
      <c r="G204" s="1">
        <v>0.0</v>
      </c>
    </row>
    <row r="205">
      <c r="A205" s="1" t="s">
        <v>256</v>
      </c>
      <c r="B205" s="1" t="s">
        <v>49</v>
      </c>
      <c r="C205" s="1" t="s">
        <v>30</v>
      </c>
      <c r="F205" s="1" t="s">
        <v>248</v>
      </c>
      <c r="G205" s="1">
        <v>0.0</v>
      </c>
    </row>
    <row r="206">
      <c r="A206" s="1" t="s">
        <v>257</v>
      </c>
      <c r="B206" s="1" t="s">
        <v>33</v>
      </c>
      <c r="C206" s="1" t="s">
        <v>52</v>
      </c>
      <c r="F206" s="1" t="s">
        <v>248</v>
      </c>
      <c r="G206" s="1">
        <v>0.0</v>
      </c>
    </row>
    <row r="207">
      <c r="A207" s="1" t="s">
        <v>258</v>
      </c>
      <c r="B207" s="1" t="s">
        <v>37</v>
      </c>
      <c r="C207" s="1" t="s">
        <v>9</v>
      </c>
      <c r="F207" s="1" t="s">
        <v>248</v>
      </c>
      <c r="G207" s="1">
        <v>0.0</v>
      </c>
    </row>
    <row r="208">
      <c r="A208" s="1" t="s">
        <v>259</v>
      </c>
      <c r="B208" s="1" t="s">
        <v>19</v>
      </c>
      <c r="C208" s="1" t="s">
        <v>12</v>
      </c>
      <c r="F208" s="1" t="s">
        <v>248</v>
      </c>
      <c r="G208" s="1">
        <v>0.0</v>
      </c>
    </row>
    <row r="209">
      <c r="A209" s="1" t="s">
        <v>260</v>
      </c>
      <c r="B209" s="1" t="s">
        <v>45</v>
      </c>
      <c r="C209" s="1" t="s">
        <v>36</v>
      </c>
      <c r="F209" s="1" t="s">
        <v>248</v>
      </c>
      <c r="G209" s="1">
        <v>0.0</v>
      </c>
    </row>
    <row r="210">
      <c r="A210" s="1" t="s">
        <v>261</v>
      </c>
      <c r="B210" s="1" t="s">
        <v>49</v>
      </c>
      <c r="C210" s="1" t="s">
        <v>27</v>
      </c>
      <c r="F210" s="1" t="s">
        <v>262</v>
      </c>
      <c r="G210" s="1">
        <v>0.0</v>
      </c>
    </row>
    <row r="211">
      <c r="A211" s="1" t="s">
        <v>263</v>
      </c>
      <c r="B211" s="1" t="s">
        <v>37</v>
      </c>
      <c r="C211" s="1" t="s">
        <v>30</v>
      </c>
      <c r="F211" s="1" t="s">
        <v>262</v>
      </c>
      <c r="G211" s="1">
        <v>0.0</v>
      </c>
    </row>
    <row r="212">
      <c r="A212" s="1" t="s">
        <v>264</v>
      </c>
      <c r="B212" s="1" t="s">
        <v>42</v>
      </c>
      <c r="C212" s="1" t="s">
        <v>9</v>
      </c>
      <c r="F212" s="1" t="s">
        <v>262</v>
      </c>
      <c r="G212" s="1">
        <v>0.0</v>
      </c>
    </row>
    <row r="213">
      <c r="A213" s="1" t="s">
        <v>265</v>
      </c>
      <c r="B213" s="1" t="s">
        <v>55</v>
      </c>
      <c r="C213" s="1" t="s">
        <v>22</v>
      </c>
      <c r="F213" s="1" t="s">
        <v>262</v>
      </c>
      <c r="G213" s="1">
        <v>0.0</v>
      </c>
    </row>
    <row r="214">
      <c r="A214" s="1" t="s">
        <v>266</v>
      </c>
      <c r="B214" s="1" t="s">
        <v>39</v>
      </c>
      <c r="C214" s="1" t="s">
        <v>34</v>
      </c>
      <c r="F214" s="1" t="s">
        <v>262</v>
      </c>
      <c r="G214" s="1">
        <v>0.0</v>
      </c>
    </row>
    <row r="215">
      <c r="A215" s="1" t="s">
        <v>267</v>
      </c>
      <c r="B215" s="1" t="s">
        <v>13</v>
      </c>
      <c r="C215" s="1" t="s">
        <v>43</v>
      </c>
      <c r="F215" s="1" t="s">
        <v>262</v>
      </c>
      <c r="G215" s="1">
        <v>0.0</v>
      </c>
    </row>
    <row r="216">
      <c r="A216" s="1" t="s">
        <v>268</v>
      </c>
      <c r="B216" s="1" t="s">
        <v>16</v>
      </c>
      <c r="C216" s="1" t="s">
        <v>36</v>
      </c>
      <c r="F216" s="1" t="s">
        <v>262</v>
      </c>
      <c r="G216" s="1">
        <v>0.0</v>
      </c>
    </row>
    <row r="217">
      <c r="A217" s="1" t="s">
        <v>269</v>
      </c>
      <c r="B217" s="1" t="s">
        <v>40</v>
      </c>
      <c r="C217" s="1" t="s">
        <v>28</v>
      </c>
      <c r="F217" s="1" t="s">
        <v>262</v>
      </c>
      <c r="G217" s="1">
        <v>0.0</v>
      </c>
    </row>
    <row r="218">
      <c r="A218" s="1" t="s">
        <v>270</v>
      </c>
      <c r="B218" s="1" t="s">
        <v>21</v>
      </c>
      <c r="C218" s="1" t="s">
        <v>33</v>
      </c>
      <c r="F218" s="1" t="s">
        <v>262</v>
      </c>
      <c r="G218" s="1">
        <v>0.0</v>
      </c>
    </row>
    <row r="219">
      <c r="A219" s="1" t="s">
        <v>271</v>
      </c>
      <c r="B219" s="1" t="s">
        <v>15</v>
      </c>
      <c r="C219" s="1" t="s">
        <v>12</v>
      </c>
      <c r="F219" s="1" t="s">
        <v>262</v>
      </c>
      <c r="G219" s="1">
        <v>0.0</v>
      </c>
    </row>
    <row r="220">
      <c r="A220" s="1" t="s">
        <v>272</v>
      </c>
      <c r="B220" s="1" t="s">
        <v>51</v>
      </c>
      <c r="C220" s="1" t="s">
        <v>19</v>
      </c>
      <c r="F220" s="1" t="s">
        <v>262</v>
      </c>
      <c r="G220" s="1">
        <v>0.0</v>
      </c>
    </row>
    <row r="221">
      <c r="A221" s="1" t="s">
        <v>273</v>
      </c>
      <c r="B221" s="1" t="s">
        <v>25</v>
      </c>
      <c r="C221" s="1" t="s">
        <v>18</v>
      </c>
      <c r="F221" s="1" t="s">
        <v>262</v>
      </c>
      <c r="G221" s="1">
        <v>0.0</v>
      </c>
    </row>
    <row r="222">
      <c r="A222" s="1" t="s">
        <v>274</v>
      </c>
      <c r="B222" s="1" t="s">
        <v>46</v>
      </c>
      <c r="C222" s="1" t="s">
        <v>24</v>
      </c>
      <c r="F222" s="1" t="s">
        <v>262</v>
      </c>
      <c r="G222" s="1">
        <v>0.0</v>
      </c>
    </row>
    <row r="223">
      <c r="A223" s="1" t="s">
        <v>275</v>
      </c>
      <c r="B223" s="1" t="s">
        <v>48</v>
      </c>
      <c r="C223" s="1" t="s">
        <v>52</v>
      </c>
      <c r="F223" s="1" t="s">
        <v>262</v>
      </c>
      <c r="G223" s="1">
        <v>0.0</v>
      </c>
    </row>
    <row r="224">
      <c r="A224" s="1" t="s">
        <v>276</v>
      </c>
      <c r="B224" s="1" t="s">
        <v>54</v>
      </c>
      <c r="C224" s="1" t="s">
        <v>31</v>
      </c>
      <c r="F224" s="1" t="s">
        <v>262</v>
      </c>
      <c r="G224" s="1">
        <v>0.0</v>
      </c>
    </row>
    <row r="225">
      <c r="A225" s="1" t="s">
        <v>277</v>
      </c>
      <c r="B225" s="1" t="s">
        <v>8</v>
      </c>
      <c r="C225" s="1" t="s">
        <v>45</v>
      </c>
      <c r="F225" s="1" t="s">
        <v>262</v>
      </c>
      <c r="G225" s="1">
        <v>0.0</v>
      </c>
    </row>
    <row r="226">
      <c r="A226" s="1" t="s">
        <v>278</v>
      </c>
      <c r="B226" s="1" t="s">
        <v>34</v>
      </c>
      <c r="C226" s="1" t="s">
        <v>51</v>
      </c>
      <c r="F226" s="1" t="s">
        <v>279</v>
      </c>
      <c r="G226" s="1">
        <v>0.0</v>
      </c>
    </row>
    <row r="227">
      <c r="A227" s="1" t="s">
        <v>280</v>
      </c>
      <c r="B227" s="1" t="s">
        <v>15</v>
      </c>
      <c r="C227" s="1" t="s">
        <v>13</v>
      </c>
      <c r="F227" s="1" t="s">
        <v>279</v>
      </c>
      <c r="G227" s="1">
        <v>0.0</v>
      </c>
    </row>
    <row r="228">
      <c r="A228" s="1" t="s">
        <v>281</v>
      </c>
      <c r="B228" s="1" t="s">
        <v>40</v>
      </c>
      <c r="C228" s="1" t="s">
        <v>21</v>
      </c>
      <c r="F228" s="1" t="s">
        <v>279</v>
      </c>
      <c r="G228" s="1">
        <v>0.0</v>
      </c>
    </row>
    <row r="229">
      <c r="A229" s="1" t="s">
        <v>282</v>
      </c>
      <c r="B229" s="1" t="s">
        <v>45</v>
      </c>
      <c r="C229" s="1" t="s">
        <v>27</v>
      </c>
      <c r="F229" s="1" t="s">
        <v>279</v>
      </c>
      <c r="G229" s="1">
        <v>0.0</v>
      </c>
    </row>
    <row r="230">
      <c r="A230" s="1" t="s">
        <v>283</v>
      </c>
      <c r="B230" s="1" t="s">
        <v>12</v>
      </c>
      <c r="C230" s="1" t="s">
        <v>33</v>
      </c>
      <c r="F230" s="1" t="s">
        <v>279</v>
      </c>
      <c r="G230" s="1">
        <v>0.0</v>
      </c>
    </row>
    <row r="231">
      <c r="A231" s="1" t="s">
        <v>284</v>
      </c>
      <c r="B231" s="1" t="s">
        <v>42</v>
      </c>
      <c r="C231" s="1" t="s">
        <v>8</v>
      </c>
      <c r="F231" s="1" t="s">
        <v>279</v>
      </c>
      <c r="G231" s="1">
        <v>0.0</v>
      </c>
    </row>
    <row r="232">
      <c r="A232" s="1" t="s">
        <v>285</v>
      </c>
      <c r="B232" s="1" t="s">
        <v>9</v>
      </c>
      <c r="C232" s="1" t="s">
        <v>46</v>
      </c>
      <c r="F232" s="1" t="s">
        <v>279</v>
      </c>
      <c r="G232" s="1">
        <v>0.0</v>
      </c>
    </row>
    <row r="233">
      <c r="A233" s="1" t="s">
        <v>286</v>
      </c>
      <c r="B233" s="1" t="s">
        <v>36</v>
      </c>
      <c r="C233" s="1" t="s">
        <v>25</v>
      </c>
      <c r="F233" s="1" t="s">
        <v>279</v>
      </c>
      <c r="G233" s="1">
        <v>0.0</v>
      </c>
    </row>
    <row r="234">
      <c r="A234" s="1" t="s">
        <v>287</v>
      </c>
      <c r="B234" s="1" t="s">
        <v>31</v>
      </c>
      <c r="C234" s="1" t="s">
        <v>49</v>
      </c>
      <c r="F234" s="1" t="s">
        <v>279</v>
      </c>
      <c r="G234" s="1">
        <v>0.0</v>
      </c>
    </row>
    <row r="235">
      <c r="A235" s="1" t="s">
        <v>288</v>
      </c>
      <c r="B235" s="1" t="s">
        <v>52</v>
      </c>
      <c r="C235" s="1" t="s">
        <v>39</v>
      </c>
      <c r="F235" s="1" t="s">
        <v>279</v>
      </c>
      <c r="G235" s="1">
        <v>0.0</v>
      </c>
    </row>
    <row r="236">
      <c r="A236" s="1" t="s">
        <v>289</v>
      </c>
      <c r="B236" s="1" t="s">
        <v>43</v>
      </c>
      <c r="C236" s="1" t="s">
        <v>37</v>
      </c>
      <c r="F236" s="1" t="s">
        <v>279</v>
      </c>
      <c r="G236" s="1">
        <v>0.0</v>
      </c>
    </row>
    <row r="237">
      <c r="A237" s="1" t="s">
        <v>290</v>
      </c>
      <c r="B237" s="1" t="s">
        <v>18</v>
      </c>
      <c r="C237" s="1" t="s">
        <v>28</v>
      </c>
      <c r="F237" s="1" t="s">
        <v>279</v>
      </c>
      <c r="G237" s="1">
        <v>0.0</v>
      </c>
    </row>
    <row r="238">
      <c r="A238" s="1" t="s">
        <v>291</v>
      </c>
      <c r="B238" s="1" t="s">
        <v>30</v>
      </c>
      <c r="C238" s="1" t="s">
        <v>19</v>
      </c>
      <c r="F238" s="1" t="s">
        <v>279</v>
      </c>
      <c r="G238" s="1">
        <v>0.0</v>
      </c>
    </row>
    <row r="239">
      <c r="A239" s="1" t="s">
        <v>292</v>
      </c>
      <c r="B239" s="1" t="s">
        <v>22</v>
      </c>
      <c r="C239" s="1" t="s">
        <v>16</v>
      </c>
      <c r="F239" s="1" t="s">
        <v>279</v>
      </c>
      <c r="G239" s="1">
        <v>0.0</v>
      </c>
    </row>
    <row r="240">
      <c r="A240" s="1" t="s">
        <v>293</v>
      </c>
      <c r="B240" s="1" t="s">
        <v>24</v>
      </c>
      <c r="C240" s="1" t="s">
        <v>55</v>
      </c>
      <c r="F240" s="1" t="s">
        <v>279</v>
      </c>
      <c r="G240" s="1">
        <v>0.0</v>
      </c>
    </row>
    <row r="241">
      <c r="A241" s="1" t="s">
        <v>294</v>
      </c>
      <c r="B241" s="1" t="s">
        <v>48</v>
      </c>
      <c r="C241" s="1" t="s">
        <v>54</v>
      </c>
      <c r="F241" s="1" t="s">
        <v>279</v>
      </c>
      <c r="G241" s="1">
        <v>0.0</v>
      </c>
    </row>
    <row r="242">
      <c r="A242" s="1" t="s">
        <v>295</v>
      </c>
      <c r="B242" s="1" t="s">
        <v>51</v>
      </c>
      <c r="C242" s="1" t="s">
        <v>30</v>
      </c>
      <c r="F242" s="1" t="s">
        <v>296</v>
      </c>
      <c r="G242" s="1">
        <v>0.0</v>
      </c>
    </row>
    <row r="243">
      <c r="A243" s="1" t="s">
        <v>297</v>
      </c>
      <c r="B243" s="1" t="s">
        <v>28</v>
      </c>
      <c r="C243" s="1" t="s">
        <v>15</v>
      </c>
      <c r="F243" s="1" t="s">
        <v>296</v>
      </c>
      <c r="G243" s="1">
        <v>0.0</v>
      </c>
    </row>
    <row r="244">
      <c r="A244" s="1" t="s">
        <v>298</v>
      </c>
      <c r="B244" s="1" t="s">
        <v>18</v>
      </c>
      <c r="C244" s="1" t="s">
        <v>16</v>
      </c>
      <c r="F244" s="1" t="s">
        <v>296</v>
      </c>
      <c r="G244" s="1">
        <v>0.0</v>
      </c>
    </row>
    <row r="245">
      <c r="A245" s="1" t="s">
        <v>299</v>
      </c>
      <c r="B245" s="1" t="s">
        <v>36</v>
      </c>
      <c r="C245" s="1" t="s">
        <v>45</v>
      </c>
      <c r="F245" s="1" t="s">
        <v>296</v>
      </c>
      <c r="G245" s="1">
        <v>0.0</v>
      </c>
    </row>
    <row r="246">
      <c r="A246" s="1" t="s">
        <v>300</v>
      </c>
      <c r="B246" s="1" t="s">
        <v>27</v>
      </c>
      <c r="C246" s="1" t="s">
        <v>34</v>
      </c>
      <c r="F246" s="1" t="s">
        <v>296</v>
      </c>
      <c r="G246" s="1">
        <v>0.0</v>
      </c>
    </row>
    <row r="247">
      <c r="A247" s="1" t="s">
        <v>301</v>
      </c>
      <c r="B247" s="1" t="s">
        <v>49</v>
      </c>
      <c r="C247" s="1" t="s">
        <v>39</v>
      </c>
      <c r="F247" s="1" t="s">
        <v>296</v>
      </c>
      <c r="G247" s="1">
        <v>0.0</v>
      </c>
    </row>
    <row r="248">
      <c r="A248" s="1" t="s">
        <v>302</v>
      </c>
      <c r="B248" s="1" t="s">
        <v>46</v>
      </c>
      <c r="C248" s="1" t="s">
        <v>22</v>
      </c>
      <c r="F248" s="1" t="s">
        <v>296</v>
      </c>
      <c r="G248" s="1">
        <v>0.0</v>
      </c>
    </row>
    <row r="249">
      <c r="A249" s="1" t="s">
        <v>303</v>
      </c>
      <c r="B249" s="1" t="s">
        <v>21</v>
      </c>
      <c r="C249" s="1" t="s">
        <v>52</v>
      </c>
      <c r="F249" s="1" t="s">
        <v>296</v>
      </c>
      <c r="G249" s="1">
        <v>0.0</v>
      </c>
    </row>
    <row r="250">
      <c r="A250" s="1" t="s">
        <v>304</v>
      </c>
      <c r="B250" s="1" t="s">
        <v>25</v>
      </c>
      <c r="C250" s="1" t="s">
        <v>31</v>
      </c>
      <c r="F250" s="1" t="s">
        <v>296</v>
      </c>
      <c r="G250" s="1">
        <v>0.0</v>
      </c>
    </row>
    <row r="251">
      <c r="A251" s="1" t="s">
        <v>305</v>
      </c>
      <c r="B251" s="1" t="s">
        <v>33</v>
      </c>
      <c r="C251" s="1" t="s">
        <v>40</v>
      </c>
      <c r="F251" s="1" t="s">
        <v>296</v>
      </c>
      <c r="G251" s="1">
        <v>0.0</v>
      </c>
    </row>
    <row r="252">
      <c r="A252" s="1" t="s">
        <v>306</v>
      </c>
      <c r="B252" s="1" t="s">
        <v>12</v>
      </c>
      <c r="C252" s="1" t="s">
        <v>42</v>
      </c>
      <c r="F252" s="1" t="s">
        <v>296</v>
      </c>
      <c r="G252" s="1">
        <v>0.0</v>
      </c>
    </row>
    <row r="253">
      <c r="A253" s="1" t="s">
        <v>307</v>
      </c>
      <c r="B253" s="1" t="s">
        <v>8</v>
      </c>
      <c r="C253" s="1" t="s">
        <v>13</v>
      </c>
      <c r="F253" s="1" t="s">
        <v>296</v>
      </c>
      <c r="G253" s="1">
        <v>0.0</v>
      </c>
    </row>
    <row r="254">
      <c r="A254" s="1" t="s">
        <v>308</v>
      </c>
      <c r="B254" s="1" t="s">
        <v>43</v>
      </c>
      <c r="C254" s="1" t="s">
        <v>9</v>
      </c>
      <c r="F254" s="1" t="s">
        <v>296</v>
      </c>
      <c r="G254" s="1">
        <v>0.0</v>
      </c>
    </row>
    <row r="255">
      <c r="A255" s="1" t="s">
        <v>309</v>
      </c>
      <c r="B255" s="1" t="s">
        <v>19</v>
      </c>
      <c r="C255" s="1" t="s">
        <v>37</v>
      </c>
      <c r="F255" s="1" t="s">
        <v>296</v>
      </c>
      <c r="G255" s="1">
        <v>0.0</v>
      </c>
    </row>
    <row r="256">
      <c r="A256" s="1" t="s">
        <v>310</v>
      </c>
      <c r="B256" s="1" t="s">
        <v>54</v>
      </c>
      <c r="C256" s="1" t="s">
        <v>24</v>
      </c>
      <c r="F256" s="1" t="s">
        <v>296</v>
      </c>
      <c r="G256" s="1">
        <v>0.0</v>
      </c>
    </row>
    <row r="257">
      <c r="A257" s="1" t="s">
        <v>311</v>
      </c>
      <c r="B257" s="1" t="s">
        <v>55</v>
      </c>
      <c r="C257" s="1" t="s">
        <v>48</v>
      </c>
      <c r="F257" s="1" t="s">
        <v>296</v>
      </c>
      <c r="G257" s="1">
        <v>0.0</v>
      </c>
    </row>
    <row r="258">
      <c r="A258" s="1" t="s">
        <v>312</v>
      </c>
      <c r="B258" s="1" t="s">
        <v>37</v>
      </c>
      <c r="C258" s="1" t="s">
        <v>51</v>
      </c>
      <c r="F258" s="1" t="s">
        <v>313</v>
      </c>
      <c r="G258" s="1">
        <v>0.0</v>
      </c>
    </row>
    <row r="259">
      <c r="A259" s="1" t="s">
        <v>314</v>
      </c>
      <c r="B259" s="1" t="s">
        <v>31</v>
      </c>
      <c r="C259" s="1" t="s">
        <v>52</v>
      </c>
      <c r="F259" s="1" t="s">
        <v>313</v>
      </c>
      <c r="G259" s="1">
        <v>0.0</v>
      </c>
    </row>
    <row r="260">
      <c r="A260" s="1" t="s">
        <v>315</v>
      </c>
      <c r="B260" s="1" t="s">
        <v>33</v>
      </c>
      <c r="C260" s="1" t="s">
        <v>49</v>
      </c>
      <c r="F260" s="1" t="s">
        <v>313</v>
      </c>
      <c r="G260" s="1">
        <v>0.0</v>
      </c>
    </row>
    <row r="261">
      <c r="A261" s="1" t="s">
        <v>316</v>
      </c>
      <c r="B261" s="1" t="s">
        <v>46</v>
      </c>
      <c r="C261" s="1" t="s">
        <v>8</v>
      </c>
      <c r="F261" s="1" t="s">
        <v>313</v>
      </c>
      <c r="G261" s="1">
        <v>0.0</v>
      </c>
    </row>
    <row r="262">
      <c r="A262" s="1" t="s">
        <v>317</v>
      </c>
      <c r="B262" s="1" t="s">
        <v>19</v>
      </c>
      <c r="C262" s="1" t="s">
        <v>42</v>
      </c>
      <c r="F262" s="1" t="s">
        <v>313</v>
      </c>
      <c r="G262" s="1">
        <v>0.0</v>
      </c>
    </row>
    <row r="263">
      <c r="A263" s="1" t="s">
        <v>318</v>
      </c>
      <c r="B263" s="1" t="s">
        <v>13</v>
      </c>
      <c r="C263" s="1" t="s">
        <v>15</v>
      </c>
      <c r="F263" s="1" t="s">
        <v>313</v>
      </c>
      <c r="G263" s="1">
        <v>0.0</v>
      </c>
    </row>
    <row r="264">
      <c r="A264" s="1" t="s">
        <v>319</v>
      </c>
      <c r="B264" s="1" t="s">
        <v>34</v>
      </c>
      <c r="C264" s="1" t="s">
        <v>40</v>
      </c>
      <c r="F264" s="1" t="s">
        <v>313</v>
      </c>
      <c r="G264" s="1">
        <v>0.0</v>
      </c>
    </row>
    <row r="265">
      <c r="A265" s="1" t="s">
        <v>320</v>
      </c>
      <c r="B265" s="1" t="s">
        <v>16</v>
      </c>
      <c r="C265" s="1" t="s">
        <v>48</v>
      </c>
      <c r="F265" s="1" t="s">
        <v>313</v>
      </c>
      <c r="G265" s="1">
        <v>0.0</v>
      </c>
    </row>
    <row r="266">
      <c r="A266" s="1" t="s">
        <v>321</v>
      </c>
      <c r="B266" s="1" t="s">
        <v>30</v>
      </c>
      <c r="C266" s="1" t="s">
        <v>43</v>
      </c>
      <c r="F266" s="1" t="s">
        <v>313</v>
      </c>
      <c r="G266" s="1">
        <v>0.0</v>
      </c>
    </row>
    <row r="267">
      <c r="A267" s="1" t="s">
        <v>322</v>
      </c>
      <c r="B267" s="1" t="s">
        <v>24</v>
      </c>
      <c r="C267" s="1" t="s">
        <v>36</v>
      </c>
      <c r="F267" s="1" t="s">
        <v>313</v>
      </c>
      <c r="G267" s="1">
        <v>0.0</v>
      </c>
    </row>
    <row r="268">
      <c r="A268" s="1" t="s">
        <v>323</v>
      </c>
      <c r="B268" s="1" t="s">
        <v>55</v>
      </c>
      <c r="C268" s="1" t="s">
        <v>18</v>
      </c>
      <c r="F268" s="1" t="s">
        <v>313</v>
      </c>
      <c r="G268" s="1">
        <v>0.0</v>
      </c>
    </row>
    <row r="269">
      <c r="A269" s="1" t="s">
        <v>324</v>
      </c>
      <c r="B269" s="1" t="s">
        <v>28</v>
      </c>
      <c r="C269" s="1" t="s">
        <v>27</v>
      </c>
      <c r="F269" s="1" t="s">
        <v>313</v>
      </c>
      <c r="G269" s="1">
        <v>0.0</v>
      </c>
    </row>
    <row r="270">
      <c r="A270" s="1" t="s">
        <v>325</v>
      </c>
      <c r="B270" s="1" t="s">
        <v>22</v>
      </c>
      <c r="C270" s="1" t="s">
        <v>54</v>
      </c>
      <c r="F270" s="1" t="s">
        <v>313</v>
      </c>
      <c r="G270" s="1">
        <v>0.0</v>
      </c>
    </row>
    <row r="271">
      <c r="A271" s="1" t="s">
        <v>326</v>
      </c>
      <c r="B271" s="1" t="s">
        <v>9</v>
      </c>
      <c r="C271" s="1" t="s">
        <v>12</v>
      </c>
      <c r="F271" s="1" t="s">
        <v>313</v>
      </c>
      <c r="G271" s="1">
        <v>0.0</v>
      </c>
    </row>
    <row r="272">
      <c r="A272" s="1" t="s">
        <v>327</v>
      </c>
      <c r="B272" s="1" t="s">
        <v>39</v>
      </c>
      <c r="C272" s="1" t="s">
        <v>21</v>
      </c>
      <c r="F272" s="1" t="s">
        <v>313</v>
      </c>
      <c r="G272" s="1">
        <v>0.0</v>
      </c>
    </row>
    <row r="273">
      <c r="A273" s="1" t="s">
        <v>328</v>
      </c>
      <c r="B273" s="1" t="s">
        <v>45</v>
      </c>
      <c r="C273" s="1" t="s">
        <v>25</v>
      </c>
      <c r="F273" s="1" t="s">
        <v>313</v>
      </c>
      <c r="G273" s="1">
        <v>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490</v>
      </c>
      <c r="B1" s="1" t="s">
        <v>491</v>
      </c>
      <c r="C1" s="1" t="s">
        <v>5</v>
      </c>
    </row>
    <row r="2">
      <c r="A2" s="138">
        <v>45539.0</v>
      </c>
      <c r="B2" s="138">
        <v>45545.0</v>
      </c>
      <c r="C2" s="1">
        <v>1.0</v>
      </c>
    </row>
    <row r="3">
      <c r="A3" s="139">
        <f t="shared" ref="A3:B3" si="1">A2+7</f>
        <v>45546</v>
      </c>
      <c r="B3" s="139">
        <f t="shared" si="1"/>
        <v>45552</v>
      </c>
      <c r="C3" s="1">
        <v>2.0</v>
      </c>
    </row>
    <row r="4">
      <c r="A4" s="139">
        <f t="shared" ref="A4:B4" si="2">A3+7</f>
        <v>45553</v>
      </c>
      <c r="B4" s="139">
        <f t="shared" si="2"/>
        <v>45559</v>
      </c>
      <c r="C4" s="1">
        <v>3.0</v>
      </c>
    </row>
    <row r="5">
      <c r="A5" s="139">
        <f t="shared" ref="A5:B5" si="3">A4+7</f>
        <v>45560</v>
      </c>
      <c r="B5" s="139">
        <f t="shared" si="3"/>
        <v>45566</v>
      </c>
      <c r="C5" s="1">
        <v>4.0</v>
      </c>
    </row>
    <row r="6">
      <c r="A6" s="139">
        <f t="shared" ref="A6:B6" si="4">A5+7</f>
        <v>45567</v>
      </c>
      <c r="B6" s="139">
        <f t="shared" si="4"/>
        <v>45573</v>
      </c>
      <c r="C6" s="1">
        <v>5.0</v>
      </c>
    </row>
    <row r="7">
      <c r="A7" s="139">
        <f t="shared" ref="A7:B7" si="5">A6+7</f>
        <v>45574</v>
      </c>
      <c r="B7" s="139">
        <f t="shared" si="5"/>
        <v>45580</v>
      </c>
      <c r="C7" s="1">
        <v>6.0</v>
      </c>
    </row>
    <row r="8">
      <c r="A8" s="139">
        <f t="shared" ref="A8:B8" si="6">A7+7</f>
        <v>45581</v>
      </c>
      <c r="B8" s="139">
        <f t="shared" si="6"/>
        <v>45587</v>
      </c>
      <c r="C8" s="1">
        <v>7.0</v>
      </c>
    </row>
    <row r="9">
      <c r="A9" s="139">
        <f t="shared" ref="A9:B9" si="7">A8+7</f>
        <v>45588</v>
      </c>
      <c r="B9" s="139">
        <f t="shared" si="7"/>
        <v>45594</v>
      </c>
      <c r="C9" s="1">
        <v>8.0</v>
      </c>
    </row>
    <row r="10">
      <c r="A10" s="139">
        <f t="shared" ref="A10:B10" si="8">A9+7</f>
        <v>45595</v>
      </c>
      <c r="B10" s="139">
        <f t="shared" si="8"/>
        <v>45601</v>
      </c>
      <c r="C10" s="1">
        <v>9.0</v>
      </c>
    </row>
    <row r="11">
      <c r="A11" s="139">
        <f t="shared" ref="A11:B11" si="9">A10+7</f>
        <v>45602</v>
      </c>
      <c r="B11" s="139">
        <f t="shared" si="9"/>
        <v>45608</v>
      </c>
      <c r="C11" s="1">
        <v>10.0</v>
      </c>
    </row>
    <row r="12">
      <c r="A12" s="139">
        <f t="shared" ref="A12:B12" si="10">A11+7</f>
        <v>45609</v>
      </c>
      <c r="B12" s="139">
        <f t="shared" si="10"/>
        <v>45615</v>
      </c>
      <c r="C12" s="1">
        <v>11.0</v>
      </c>
    </row>
    <row r="13">
      <c r="A13" s="139">
        <f t="shared" ref="A13:B13" si="11">A12+7</f>
        <v>45616</v>
      </c>
      <c r="B13" s="139">
        <f t="shared" si="11"/>
        <v>45622</v>
      </c>
      <c r="C13" s="1">
        <v>12.0</v>
      </c>
    </row>
    <row r="14">
      <c r="A14" s="139">
        <f t="shared" ref="A14:B14" si="12">A13+7</f>
        <v>45623</v>
      </c>
      <c r="B14" s="139">
        <f t="shared" si="12"/>
        <v>45629</v>
      </c>
      <c r="C14" s="1">
        <v>13.0</v>
      </c>
    </row>
    <row r="15">
      <c r="A15" s="139">
        <f t="shared" ref="A15:B15" si="13">A14+7</f>
        <v>45630</v>
      </c>
      <c r="B15" s="139">
        <f t="shared" si="13"/>
        <v>45636</v>
      </c>
      <c r="C15" s="1">
        <v>14.0</v>
      </c>
    </row>
    <row r="16">
      <c r="A16" s="139">
        <f t="shared" ref="A16:B16" si="14">A15+7</f>
        <v>45637</v>
      </c>
      <c r="B16" s="139">
        <f t="shared" si="14"/>
        <v>45643</v>
      </c>
      <c r="C16" s="1">
        <v>15.0</v>
      </c>
    </row>
    <row r="17">
      <c r="A17" s="139">
        <f t="shared" ref="A17:B17" si="15">A16+7</f>
        <v>45644</v>
      </c>
      <c r="B17" s="139">
        <f t="shared" si="15"/>
        <v>45650</v>
      </c>
      <c r="C17" s="1">
        <v>16.0</v>
      </c>
    </row>
    <row r="18">
      <c r="A18" s="139">
        <f t="shared" ref="A18:B18" si="16">A17+7</f>
        <v>45651</v>
      </c>
      <c r="B18" s="139">
        <f t="shared" si="16"/>
        <v>45657</v>
      </c>
      <c r="C18" s="1">
        <v>17.0</v>
      </c>
    </row>
    <row r="19">
      <c r="A19" s="139">
        <f>A18+7</f>
        <v>45658</v>
      </c>
      <c r="B19" s="139">
        <f>B18+10</f>
        <v>45667</v>
      </c>
      <c r="C19" s="1">
        <v>18.0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25.38"/>
    <col customWidth="1" min="3" max="3" width="2.0"/>
    <col customWidth="1" min="4" max="4" width="28.88"/>
  </cols>
  <sheetData>
    <row r="1">
      <c r="A1" s="2" t="s">
        <v>329</v>
      </c>
      <c r="B1" s="3"/>
      <c r="C1" s="4"/>
      <c r="D1" s="5" t="s">
        <v>330</v>
      </c>
    </row>
    <row r="2">
      <c r="A2" s="6" t="s">
        <v>331</v>
      </c>
      <c r="B2" s="3"/>
      <c r="C2" s="4"/>
      <c r="D2" s="7" t="s">
        <v>332</v>
      </c>
      <c r="E2" s="4"/>
      <c r="F2" s="4"/>
      <c r="G2" s="4"/>
      <c r="H2" s="4"/>
      <c r="I2" s="4"/>
      <c r="J2" s="4"/>
      <c r="K2" s="4"/>
      <c r="L2" s="4"/>
      <c r="M2" s="4"/>
      <c r="N2" s="4"/>
      <c r="O2" s="4"/>
    </row>
    <row r="3">
      <c r="A3" s="6" t="s">
        <v>333</v>
      </c>
      <c r="B3" s="3"/>
      <c r="C3" s="4"/>
      <c r="D3" s="8"/>
      <c r="E3" s="4"/>
      <c r="F3" s="4"/>
      <c r="G3" s="4"/>
      <c r="H3" s="4"/>
      <c r="I3" s="4"/>
      <c r="J3" s="4"/>
      <c r="K3" s="4"/>
      <c r="L3" s="4"/>
      <c r="M3" s="4"/>
      <c r="N3" s="4"/>
      <c r="O3" s="4"/>
    </row>
    <row r="4">
      <c r="A4" s="9" t="s">
        <v>334</v>
      </c>
      <c r="B4" s="3"/>
      <c r="C4" s="4"/>
      <c r="D4" s="5" t="s">
        <v>335</v>
      </c>
      <c r="E4" s="4"/>
      <c r="F4" s="4"/>
      <c r="G4" s="4"/>
      <c r="H4" s="4"/>
      <c r="I4" s="4"/>
      <c r="J4" s="4"/>
      <c r="K4" s="4"/>
      <c r="L4" s="4"/>
      <c r="M4" s="4"/>
      <c r="N4" s="4"/>
      <c r="O4" s="4"/>
    </row>
    <row r="5">
      <c r="A5" s="10"/>
      <c r="B5" s="11"/>
      <c r="C5" s="4"/>
      <c r="D5" s="7" t="s">
        <v>336</v>
      </c>
      <c r="E5" s="4"/>
      <c r="F5" s="4"/>
      <c r="G5" s="4"/>
      <c r="H5" s="4"/>
      <c r="I5" s="4"/>
      <c r="J5" s="4"/>
      <c r="K5" s="4"/>
      <c r="L5" s="4"/>
      <c r="M5" s="4"/>
      <c r="N5" s="4"/>
      <c r="O5" s="4"/>
    </row>
    <row r="6">
      <c r="A6" s="12">
        <v>46042.0</v>
      </c>
      <c r="B6" s="11"/>
      <c r="C6" s="4"/>
      <c r="D6" s="7" t="s">
        <v>337</v>
      </c>
      <c r="E6" s="4"/>
      <c r="F6" s="4"/>
      <c r="G6" s="4"/>
      <c r="H6" s="4"/>
      <c r="I6" s="4"/>
      <c r="J6" s="4"/>
      <c r="K6" s="4"/>
      <c r="L6" s="4"/>
      <c r="M6" s="4"/>
      <c r="N6" s="4"/>
      <c r="O6" s="4"/>
    </row>
    <row r="7">
      <c r="A7" s="13">
        <v>47165.0</v>
      </c>
      <c r="B7" s="11"/>
      <c r="C7" s="4"/>
      <c r="D7" s="7" t="s">
        <v>338</v>
      </c>
      <c r="E7" s="4"/>
      <c r="F7" s="4"/>
      <c r="G7" s="4"/>
      <c r="H7" s="4"/>
      <c r="I7" s="4"/>
      <c r="J7" s="4"/>
      <c r="K7" s="4"/>
      <c r="L7" s="4"/>
      <c r="M7" s="4"/>
      <c r="N7" s="4"/>
      <c r="O7" s="4"/>
    </row>
    <row r="8">
      <c r="A8" s="13">
        <v>11030.0</v>
      </c>
      <c r="B8" s="11"/>
      <c r="C8" s="4"/>
      <c r="D8" s="14"/>
      <c r="E8" s="4"/>
      <c r="F8" s="4"/>
      <c r="G8" s="4"/>
      <c r="H8" s="4"/>
      <c r="I8" s="4"/>
      <c r="J8" s="4"/>
      <c r="K8" s="4"/>
      <c r="L8" s="4"/>
      <c r="M8" s="4"/>
      <c r="N8" s="4"/>
      <c r="O8" s="4"/>
    </row>
    <row r="9">
      <c r="A9" s="13">
        <v>45765.0</v>
      </c>
      <c r="B9" s="11"/>
      <c r="C9" s="4"/>
      <c r="D9" s="5" t="s">
        <v>339</v>
      </c>
      <c r="E9" s="4"/>
      <c r="F9" s="4"/>
      <c r="G9" s="4"/>
      <c r="H9" s="4"/>
      <c r="I9" s="4"/>
      <c r="J9" s="4"/>
      <c r="K9" s="4"/>
      <c r="L9" s="4"/>
      <c r="M9" s="4"/>
      <c r="N9" s="4"/>
      <c r="O9" s="4"/>
    </row>
    <row r="10">
      <c r="A10" s="13">
        <v>46522.0</v>
      </c>
      <c r="B10" s="11"/>
      <c r="C10" s="4"/>
      <c r="D10" s="15" t="s">
        <v>340</v>
      </c>
      <c r="E10" s="4"/>
      <c r="F10" s="4"/>
      <c r="G10" s="4"/>
      <c r="H10" s="4"/>
      <c r="I10" s="4"/>
      <c r="J10" s="4"/>
      <c r="K10" s="4"/>
      <c r="L10" s="4"/>
      <c r="M10" s="4"/>
      <c r="N10" s="4"/>
      <c r="O10" s="4"/>
    </row>
    <row r="11">
      <c r="A11" s="13">
        <v>44731.0</v>
      </c>
      <c r="B11" s="11"/>
      <c r="C11" s="4"/>
      <c r="D11" s="15" t="s">
        <v>341</v>
      </c>
      <c r="E11" s="4"/>
      <c r="F11" s="4"/>
      <c r="G11" s="4"/>
      <c r="H11" s="4"/>
      <c r="I11" s="4"/>
      <c r="J11" s="4"/>
      <c r="K11" s="4"/>
      <c r="L11" s="4"/>
      <c r="M11" s="4"/>
      <c r="N11" s="4"/>
      <c r="O11" s="4"/>
    </row>
    <row r="12">
      <c r="A12" s="13">
        <v>46945.0</v>
      </c>
      <c r="B12" s="11"/>
      <c r="C12" s="4"/>
      <c r="D12" s="15" t="s">
        <v>342</v>
      </c>
      <c r="E12" s="4"/>
      <c r="F12" s="4"/>
      <c r="G12" s="4"/>
      <c r="H12" s="4"/>
      <c r="I12" s="4"/>
      <c r="J12" s="4"/>
      <c r="K12" s="4"/>
      <c r="L12" s="4"/>
      <c r="M12" s="4"/>
      <c r="N12" s="4"/>
      <c r="O12" s="4"/>
    </row>
    <row r="13">
      <c r="A13" s="13">
        <v>44425.0</v>
      </c>
      <c r="B13" s="11"/>
      <c r="C13" s="4"/>
      <c r="D13" s="15" t="s">
        <v>343</v>
      </c>
      <c r="E13" s="4"/>
      <c r="F13" s="4"/>
      <c r="G13" s="4"/>
      <c r="H13" s="4"/>
      <c r="I13" s="4"/>
      <c r="J13" s="4"/>
      <c r="K13" s="4"/>
      <c r="L13" s="4"/>
      <c r="M13" s="4"/>
      <c r="N13" s="4"/>
      <c r="O13" s="4"/>
    </row>
    <row r="14">
      <c r="A14" s="13">
        <v>45183.0</v>
      </c>
      <c r="B14" s="11"/>
      <c r="C14" s="4"/>
      <c r="E14" s="4"/>
      <c r="F14" s="4"/>
      <c r="G14" s="4"/>
      <c r="H14" s="4"/>
      <c r="I14" s="4"/>
      <c r="J14" s="4"/>
      <c r="K14" s="4"/>
      <c r="L14" s="4"/>
      <c r="M14" s="4"/>
      <c r="N14" s="4"/>
      <c r="O14" s="4"/>
    </row>
    <row r="15">
      <c r="A15" s="16">
        <v>45577.0</v>
      </c>
      <c r="B15" s="17"/>
      <c r="C15" s="10"/>
      <c r="D15" s="5" t="s">
        <v>344</v>
      </c>
      <c r="E15" s="4"/>
      <c r="F15" s="4"/>
      <c r="G15" s="4"/>
      <c r="H15" s="4"/>
      <c r="I15" s="4"/>
      <c r="J15" s="4"/>
      <c r="K15" s="4"/>
      <c r="L15" s="4"/>
      <c r="M15" s="4"/>
      <c r="N15" s="4"/>
      <c r="O15" s="4"/>
    </row>
    <row r="16">
      <c r="A16" s="18"/>
      <c r="B16" s="19"/>
      <c r="C16" s="20"/>
      <c r="D16" s="21" t="s">
        <v>345</v>
      </c>
      <c r="E16" s="10"/>
      <c r="F16" s="10"/>
      <c r="G16" s="10"/>
      <c r="H16" s="10"/>
      <c r="I16" s="10"/>
      <c r="J16" s="10"/>
      <c r="K16" s="10"/>
      <c r="L16" s="10"/>
      <c r="M16" s="10"/>
      <c r="N16" s="10"/>
      <c r="O16" s="10"/>
    </row>
    <row r="17" ht="18.75" customHeight="1">
      <c r="A17" s="4"/>
      <c r="B17" s="4"/>
      <c r="C17" s="4"/>
      <c r="D17" s="21" t="s">
        <v>346</v>
      </c>
      <c r="E17" s="22"/>
      <c r="F17" s="22"/>
      <c r="G17" s="22"/>
      <c r="H17" s="22"/>
      <c r="I17" s="23"/>
      <c r="J17" s="20"/>
      <c r="K17" s="20"/>
      <c r="L17" s="20"/>
      <c r="M17" s="20"/>
      <c r="N17" s="20"/>
      <c r="O17" s="20"/>
    </row>
    <row r="18" ht="7.5" customHeight="1">
      <c r="A18" s="24"/>
      <c r="B18" s="25"/>
      <c r="C18" s="25"/>
      <c r="D18" s="25"/>
      <c r="E18" s="25"/>
      <c r="F18" s="25"/>
      <c r="G18" s="25"/>
      <c r="H18" s="25"/>
      <c r="I18" s="22"/>
      <c r="J18" s="22"/>
      <c r="K18" s="22"/>
      <c r="L18" s="22"/>
      <c r="M18" s="22"/>
      <c r="N18" s="22"/>
      <c r="O18" s="22"/>
    </row>
    <row r="19" ht="6.0" customHeight="1">
      <c r="A19" s="26"/>
      <c r="B19" s="27"/>
      <c r="C19" s="27"/>
      <c r="D19" s="27"/>
      <c r="E19" s="27"/>
      <c r="F19" s="27"/>
      <c r="G19" s="27"/>
      <c r="H19" s="27"/>
      <c r="I19" s="27"/>
      <c r="J19" s="27"/>
      <c r="K19" s="27"/>
      <c r="L19" s="27"/>
      <c r="M19" s="27"/>
      <c r="N19" s="27"/>
      <c r="O19" s="27"/>
    </row>
    <row r="20" ht="6.75" customHeight="1">
      <c r="A20" s="2"/>
      <c r="B20" s="28"/>
      <c r="C20" s="28"/>
      <c r="D20" s="2"/>
      <c r="E20" s="4"/>
      <c r="F20" s="4"/>
      <c r="G20" s="4"/>
      <c r="H20" s="4"/>
      <c r="I20" s="4"/>
      <c r="J20" s="4"/>
      <c r="K20" s="4"/>
      <c r="L20" s="4"/>
      <c r="M20" s="4"/>
      <c r="N20" s="4"/>
      <c r="O20" s="4"/>
    </row>
    <row r="21">
      <c r="A21" s="29" t="s">
        <v>347</v>
      </c>
      <c r="B21" s="30"/>
      <c r="C21" s="31"/>
      <c r="D21" s="32" t="s">
        <v>348</v>
      </c>
      <c r="E21" s="33"/>
      <c r="F21" s="33"/>
      <c r="G21" s="33"/>
      <c r="H21" s="33"/>
      <c r="I21" s="33"/>
      <c r="J21" s="33"/>
      <c r="K21" s="33"/>
      <c r="L21" s="33"/>
      <c r="M21" s="33"/>
      <c r="N21" s="33"/>
      <c r="O21" s="33"/>
    </row>
    <row r="22">
      <c r="A22" s="9" t="s">
        <v>349</v>
      </c>
      <c r="B22" s="34"/>
      <c r="C22" s="28"/>
      <c r="D22" s="21" t="s">
        <v>350</v>
      </c>
      <c r="E22" s="4"/>
      <c r="F22" s="4"/>
      <c r="G22" s="4"/>
      <c r="H22" s="4"/>
      <c r="I22" s="4"/>
      <c r="J22" s="4"/>
      <c r="K22" s="4"/>
      <c r="L22" s="4"/>
      <c r="M22" s="4"/>
      <c r="N22" s="4"/>
      <c r="O22" s="4"/>
    </row>
    <row r="23">
      <c r="A23" s="35" t="s">
        <v>10</v>
      </c>
      <c r="B23" s="36" t="s">
        <v>351</v>
      </c>
      <c r="C23" s="11"/>
      <c r="D23" s="37" t="s">
        <v>352</v>
      </c>
      <c r="E23" s="14"/>
      <c r="F23" s="4"/>
      <c r="G23" s="4"/>
      <c r="H23" s="4"/>
      <c r="I23" s="4"/>
      <c r="J23" s="4"/>
      <c r="K23" s="4"/>
      <c r="L23" s="4"/>
      <c r="M23" s="4"/>
      <c r="N23" s="4"/>
      <c r="O23" s="4"/>
    </row>
    <row r="24">
      <c r="A24" s="38" t="s">
        <v>57</v>
      </c>
      <c r="B24" s="39" t="s">
        <v>353</v>
      </c>
      <c r="C24" s="11"/>
      <c r="D24" s="40" t="s">
        <v>354</v>
      </c>
      <c r="E24" s="14"/>
      <c r="F24" s="4"/>
      <c r="G24" s="4"/>
      <c r="H24" s="4"/>
      <c r="I24" s="4"/>
      <c r="J24" s="4"/>
      <c r="K24" s="4"/>
      <c r="L24" s="4"/>
      <c r="M24" s="4"/>
      <c r="N24" s="4"/>
      <c r="O24" s="4"/>
    </row>
    <row r="25">
      <c r="A25" s="38" t="s">
        <v>74</v>
      </c>
      <c r="B25" s="39" t="s">
        <v>355</v>
      </c>
      <c r="C25" s="11"/>
      <c r="D25" s="40" t="s">
        <v>356</v>
      </c>
      <c r="E25" s="14"/>
      <c r="F25" s="4"/>
      <c r="G25" s="4"/>
      <c r="H25" s="4"/>
      <c r="I25" s="4"/>
      <c r="J25" s="4"/>
      <c r="K25" s="4"/>
      <c r="L25" s="4"/>
      <c r="M25" s="4"/>
      <c r="N25" s="4"/>
      <c r="O25" s="4"/>
    </row>
    <row r="26">
      <c r="A26" s="38" t="s">
        <v>91</v>
      </c>
      <c r="B26" s="39" t="s">
        <v>357</v>
      </c>
      <c r="C26" s="11"/>
      <c r="D26" s="40" t="s">
        <v>358</v>
      </c>
      <c r="E26" s="14"/>
      <c r="F26" s="4"/>
      <c r="G26" s="4"/>
      <c r="H26" s="4"/>
      <c r="I26" s="4"/>
      <c r="J26" s="4"/>
      <c r="K26" s="4"/>
      <c r="L26" s="4"/>
      <c r="M26" s="4"/>
      <c r="N26" s="4"/>
      <c r="O26" s="4"/>
    </row>
    <row r="27">
      <c r="A27" s="38" t="s">
        <v>108</v>
      </c>
      <c r="B27" s="39" t="s">
        <v>359</v>
      </c>
      <c r="C27" s="11"/>
      <c r="D27" s="40" t="s">
        <v>360</v>
      </c>
      <c r="E27" s="14"/>
      <c r="F27" s="4"/>
      <c r="G27" s="4"/>
      <c r="H27" s="4"/>
      <c r="I27" s="4"/>
      <c r="J27" s="4"/>
      <c r="K27" s="4"/>
      <c r="L27" s="4"/>
      <c r="M27" s="4"/>
      <c r="N27" s="4"/>
      <c r="O27" s="4"/>
    </row>
    <row r="28">
      <c r="A28" s="38" t="s">
        <v>123</v>
      </c>
      <c r="B28" s="39" t="s">
        <v>361</v>
      </c>
      <c r="C28" s="11"/>
      <c r="D28" s="41" t="s">
        <v>362</v>
      </c>
      <c r="E28" s="14"/>
      <c r="F28" s="4"/>
      <c r="G28" s="4"/>
      <c r="H28" s="4"/>
      <c r="I28" s="4"/>
      <c r="J28" s="4"/>
      <c r="K28" s="4"/>
      <c r="L28" s="4"/>
      <c r="M28" s="4"/>
      <c r="N28" s="4"/>
      <c r="O28" s="4"/>
    </row>
    <row r="29">
      <c r="A29" s="38" t="s">
        <v>138</v>
      </c>
      <c r="B29" s="39" t="s">
        <v>363</v>
      </c>
      <c r="C29" s="14"/>
      <c r="E29" s="4"/>
      <c r="F29" s="4"/>
      <c r="G29" s="4"/>
      <c r="H29" s="4"/>
      <c r="I29" s="4"/>
      <c r="J29" s="4"/>
      <c r="K29" s="4"/>
      <c r="L29" s="4"/>
      <c r="M29" s="4"/>
      <c r="N29" s="4"/>
      <c r="O29" s="4"/>
    </row>
    <row r="30">
      <c r="A30" s="38" t="s">
        <v>154</v>
      </c>
      <c r="B30" s="39" t="s">
        <v>364</v>
      </c>
      <c r="C30" s="14"/>
      <c r="D30" s="42" t="s">
        <v>365</v>
      </c>
      <c r="E30" s="4"/>
      <c r="F30" s="4"/>
      <c r="G30" s="4"/>
      <c r="H30" s="4"/>
      <c r="I30" s="4"/>
      <c r="J30" s="4"/>
      <c r="K30" s="4"/>
      <c r="L30" s="4"/>
      <c r="M30" s="4"/>
      <c r="N30" s="4"/>
      <c r="O30" s="4"/>
    </row>
    <row r="31">
      <c r="A31" s="38" t="s">
        <v>171</v>
      </c>
      <c r="B31" s="39" t="s">
        <v>366</v>
      </c>
      <c r="C31" s="14"/>
      <c r="D31" s="14"/>
      <c r="E31" s="4"/>
      <c r="F31" s="4"/>
      <c r="G31" s="4"/>
      <c r="H31" s="4"/>
      <c r="I31" s="4"/>
      <c r="J31" s="4"/>
      <c r="K31" s="4"/>
      <c r="L31" s="4"/>
      <c r="M31" s="4"/>
      <c r="N31" s="4"/>
      <c r="O31" s="4"/>
    </row>
    <row r="32">
      <c r="A32" s="38" t="s">
        <v>187</v>
      </c>
      <c r="B32" s="39" t="s">
        <v>367</v>
      </c>
      <c r="C32" s="14"/>
      <c r="D32" s="14"/>
      <c r="E32" s="4"/>
      <c r="F32" s="4"/>
      <c r="G32" s="4"/>
      <c r="H32" s="4"/>
      <c r="I32" s="4"/>
      <c r="J32" s="4"/>
      <c r="K32" s="4"/>
      <c r="L32" s="4"/>
      <c r="M32" s="4"/>
      <c r="N32" s="4"/>
      <c r="O32" s="4"/>
    </row>
    <row r="33">
      <c r="A33" s="38" t="s">
        <v>202</v>
      </c>
      <c r="B33" s="39" t="s">
        <v>368</v>
      </c>
      <c r="C33" s="14"/>
      <c r="D33" s="14"/>
      <c r="E33" s="4"/>
      <c r="F33" s="4"/>
      <c r="G33" s="4"/>
      <c r="H33" s="4"/>
      <c r="I33" s="4"/>
      <c r="J33" s="4"/>
      <c r="K33" s="4"/>
      <c r="L33" s="4"/>
      <c r="M33" s="4"/>
      <c r="N33" s="4"/>
      <c r="O33" s="4"/>
    </row>
    <row r="34">
      <c r="A34" s="38" t="s">
        <v>217</v>
      </c>
      <c r="B34" s="39" t="s">
        <v>369</v>
      </c>
      <c r="C34" s="14"/>
      <c r="D34" s="14"/>
      <c r="E34" s="4"/>
      <c r="F34" s="4"/>
      <c r="G34" s="4"/>
      <c r="H34" s="4"/>
      <c r="I34" s="4"/>
      <c r="J34" s="4"/>
      <c r="K34" s="4"/>
      <c r="L34" s="4"/>
      <c r="M34" s="4"/>
      <c r="N34" s="4"/>
      <c r="O34" s="4"/>
    </row>
    <row r="35">
      <c r="A35" s="38" t="s">
        <v>231</v>
      </c>
      <c r="B35" s="39" t="s">
        <v>370</v>
      </c>
      <c r="C35" s="14"/>
      <c r="D35" s="14"/>
      <c r="E35" s="4"/>
      <c r="F35" s="4"/>
      <c r="G35" s="4"/>
      <c r="H35" s="4"/>
      <c r="I35" s="4"/>
      <c r="J35" s="4"/>
      <c r="K35" s="4"/>
      <c r="L35" s="4"/>
      <c r="M35" s="4"/>
      <c r="N35" s="4"/>
      <c r="O35" s="4"/>
    </row>
    <row r="36">
      <c r="A36" s="38" t="s">
        <v>248</v>
      </c>
      <c r="B36" s="39" t="s">
        <v>371</v>
      </c>
      <c r="C36" s="14"/>
      <c r="D36" s="14"/>
      <c r="E36" s="43"/>
      <c r="F36" s="4"/>
      <c r="G36" s="4"/>
      <c r="H36" s="4"/>
      <c r="I36" s="4"/>
      <c r="J36" s="4"/>
      <c r="K36" s="4"/>
      <c r="L36" s="4"/>
      <c r="M36" s="4"/>
      <c r="N36" s="4"/>
      <c r="O36" s="4"/>
    </row>
    <row r="37">
      <c r="A37" s="38" t="s">
        <v>262</v>
      </c>
      <c r="B37" s="39" t="s">
        <v>372</v>
      </c>
      <c r="C37" s="14"/>
      <c r="D37" s="14"/>
      <c r="E37" s="43"/>
      <c r="F37" s="4"/>
      <c r="G37" s="4"/>
      <c r="H37" s="4"/>
      <c r="I37" s="4"/>
      <c r="J37" s="4"/>
      <c r="K37" s="4"/>
      <c r="L37" s="4"/>
      <c r="M37" s="4"/>
      <c r="N37" s="4"/>
      <c r="O37" s="4"/>
    </row>
    <row r="38">
      <c r="A38" s="38" t="s">
        <v>279</v>
      </c>
      <c r="B38" s="39" t="s">
        <v>373</v>
      </c>
      <c r="C38" s="14"/>
      <c r="D38" s="14"/>
      <c r="E38" s="4"/>
      <c r="F38" s="4"/>
      <c r="G38" s="4"/>
      <c r="H38" s="4"/>
      <c r="I38" s="4"/>
      <c r="J38" s="4"/>
      <c r="K38" s="4"/>
      <c r="L38" s="4"/>
      <c r="M38" s="4"/>
      <c r="N38" s="4"/>
      <c r="O38" s="4"/>
    </row>
    <row r="39">
      <c r="A39" s="38" t="s">
        <v>296</v>
      </c>
      <c r="B39" s="39" t="s">
        <v>374</v>
      </c>
      <c r="C39" s="14"/>
      <c r="D39" s="14"/>
      <c r="E39" s="4"/>
      <c r="F39" s="4"/>
      <c r="G39" s="4"/>
      <c r="H39" s="4"/>
      <c r="I39" s="4"/>
      <c r="J39" s="4"/>
      <c r="K39" s="4"/>
      <c r="L39" s="4"/>
      <c r="M39" s="4"/>
      <c r="N39" s="4"/>
      <c r="O39" s="4"/>
    </row>
    <row r="40">
      <c r="A40" s="44" t="s">
        <v>313</v>
      </c>
      <c r="B40" s="45" t="s">
        <v>375</v>
      </c>
      <c r="C40" s="14"/>
      <c r="D40" s="14"/>
      <c r="E40" s="4"/>
      <c r="F40" s="4"/>
      <c r="G40" s="4"/>
      <c r="H40" s="4"/>
      <c r="I40" s="4"/>
      <c r="J40" s="4"/>
      <c r="K40" s="4"/>
      <c r="L40" s="4"/>
      <c r="M40" s="4"/>
      <c r="N40" s="4"/>
      <c r="O40" s="4"/>
    </row>
  </sheetData>
  <hyperlinks>
    <hyperlink display="Summary tab will track total wins to date and earnings to date as well as winner for each weekly payout" location="Summary!A1" ref="D10"/>
    <hyperlink display="Wins by Team tab will track wins by individual NFL team" location="'Wins by Team'!A1" ref="D11"/>
    <hyperlink display="Stats by Team by Week tab will track stat by week by NFL team. For individual player stats, this tab will show stats pertaining to the highest scoring player on the team." location="'Stats by Team by Week'!A1" ref="D12"/>
    <hyperlink display="Player Stats - Current Week tab will show player level numbers for the CURRENT week." location="'Player Stats - Current Week'!A1" ref="D13"/>
    <hyperlink r:id="rId1" ref="D30"/>
  </hyperlinks>
  <drawing r:id="rId2"/>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DCFF"/>
    <outlinePr summaryBelow="0" summaryRight="0"/>
  </sheetPr>
  <sheetViews>
    <sheetView workbookViewId="0"/>
  </sheetViews>
  <sheetFormatPr customHeight="1" defaultColWidth="12.63" defaultRowHeight="15.75"/>
  <cols>
    <col customWidth="1" min="1" max="1" width="12.88"/>
    <col customWidth="1" min="2" max="2" width="19.38"/>
    <col customWidth="1" min="3" max="3" width="15.0"/>
    <col customWidth="1" min="4" max="4" width="2.13"/>
    <col customWidth="1" min="5" max="5" width="8.75"/>
    <col customWidth="1" min="6" max="6" width="25.0"/>
    <col customWidth="1" min="7" max="7" width="21.5"/>
  </cols>
  <sheetData>
    <row r="1">
      <c r="A1" s="46" t="str">
        <f>CONCATENATE("Last Refreshed: ",Timestamp!$A$1," ET")</f>
        <v>Last Refreshed: 2024-09-05 14:24:36.693868 ET</v>
      </c>
      <c r="B1" s="47"/>
      <c r="C1" s="48"/>
      <c r="D1" s="49"/>
      <c r="E1" s="50"/>
      <c r="F1" s="50"/>
      <c r="G1" s="50"/>
    </row>
    <row r="2">
      <c r="A2" s="50"/>
      <c r="B2" s="50"/>
      <c r="C2" s="50"/>
      <c r="D2" s="49"/>
      <c r="E2" s="51" t="s">
        <v>5</v>
      </c>
      <c r="F2" s="52" t="s">
        <v>376</v>
      </c>
      <c r="G2" s="53" t="s">
        <v>377</v>
      </c>
    </row>
    <row r="3">
      <c r="A3" s="50"/>
      <c r="B3" s="50"/>
      <c r="C3" s="50"/>
      <c r="D3" s="49"/>
      <c r="E3" s="54" t="s">
        <v>10</v>
      </c>
      <c r="F3" s="55" t="s">
        <v>351</v>
      </c>
      <c r="G3" s="56" t="str">
        <f>iferror(if(
countif(Stats_by_Week[Week1],
max(Stats_by_Week[Week1]))=1,
vlookup(max(Stats_by_Week[Week1]),'Stats by Team by Week'!E$3:$AN$33,36,false),
if(
countif(Stats_by_Week[Week1],
max(Stats_by_Week[Week1]))=2,
vlookup(max(Stats_by_Week[Week1]),'Stats by Team by Week'!E$3:$AN$33,36,false)
&amp;" / "&amp;
vlookup(max(Stats_by_Week[Week1])&amp;2,'Stats by Team by Week'!D$3:$AN$33,37,false),
vlookup(max(Stats_by_Week[Week1]),'Stats by Team by Week'!E$3:$AN$33,36,false)
&amp;" / "&amp;
vlookup(max(Stats_by_Week[Week1])&amp;2,'Stats by Team by Week'!D$3:$AN$33,37,false)
&amp;" / "&amp;
vlookup(max(Stats_by_Week[Week1])&amp;3,'Stats by Team by Week'!D$3:$AN$33,37,false)
)),"")</f>
        <v/>
      </c>
    </row>
    <row r="4">
      <c r="A4" s="50"/>
      <c r="B4" s="50"/>
      <c r="C4" s="50"/>
      <c r="D4" s="49"/>
      <c r="E4" s="57" t="s">
        <v>57</v>
      </c>
      <c r="F4" s="58" t="s">
        <v>353</v>
      </c>
      <c r="G4" s="59" t="str">
        <f>iferror(if(
countif(Stats_by_Week[Week2],
max(Stats_by_Week[Week2]))=1,
vlookup(max(Stats_by_Week[Week2]),'Stats by Team by Week'!G$3:$AN$33,34,false),
if(
countif(Stats_by_Week[Week2],
max(Stats_by_Week[Week2]))=2,
vlookup(max(Stats_by_Week[Week2]),'Stats by Team by Week'!G$3:$AN$33,34,false)
&amp;" / "&amp;
vlookup(max(Stats_by_Week[Week2])&amp;2,'Stats by Team by Week'!F$3:$AN$33,35,false),
vlookup(max(Stats_by_Week[Week2]),'Stats by Team by Week'!G$3:$AN$33,34,false)
&amp;" / "&amp;
vlookup(max(Stats_by_Week[Week2])&amp;2,'Stats by Team by Week'!F$3:$AN$33,35,false)
&amp;" / "&amp;
vlookup(max(Stats_by_Week[Week2])&amp;3,'Stats by Team by Week'!F$3:$AN$33,35,false)
)),"")</f>
        <v/>
      </c>
    </row>
    <row r="5">
      <c r="A5" s="50"/>
      <c r="B5" s="50"/>
      <c r="C5" s="50"/>
      <c r="D5" s="49"/>
      <c r="E5" s="54" t="s">
        <v>74</v>
      </c>
      <c r="F5" s="55" t="s">
        <v>355</v>
      </c>
      <c r="G5" s="56" t="str">
        <f>iferror(if(
countif(Stats_by_Week[Week3],
min(Stats_by_Week[Week3]))=1,
vlookup(min(Stats_by_Week[Week3]),'Stats by Team by Week'!I$3:$AN$33,32,false),
if(
countif(Stats_by_Week[Week3],
min(Stats_by_Week[Week3]))=2,
vlookup(min(Stats_by_Week[Week3]),'Stats by Team by Week'!I$3:$AN$33,32,false)
&amp;" / "&amp;
vlookup(min(Stats_by_Week[Week3])&amp;2,'Stats by Team by Week'!H$3:$AN$33,33,false),
vlookup(min(Stats_by_Week[Week3]),'Stats by Team by Week'!I$3:$AN$33,32,false)
&amp;" / "&amp;
vlookup(min(Stats_by_Week[Week3])&amp;2,'Stats by Team by Week'!H$3:$AN$33,33,false)
&amp;" / "&amp;
vlookup(min(Stats_by_Week[Week3])&amp;3,'Stats by Team by Week'!H$3:$AN$33,33,false)
)),"")</f>
        <v/>
      </c>
    </row>
    <row r="6">
      <c r="A6" s="50"/>
      <c r="B6" s="50"/>
      <c r="C6" s="50"/>
      <c r="D6" s="49"/>
      <c r="E6" s="57" t="s">
        <v>91</v>
      </c>
      <c r="F6" s="58" t="s">
        <v>357</v>
      </c>
      <c r="G6" s="60" t="str">
        <f>iferror(if(
countif(Stats_by_Week[Week4],
max(Stats_by_Week[Week4]))=1,
vlookup(max(Stats_by_Week[Week4]),'Stats by Team by Week'!K$3:$AN$33,30,false),
if(
countif(Stats_by_Week[Week4],
max(Stats_by_Week[Week4]))=2,
vlookup(max(Stats_by_Week[Week4]),'Stats by Team by Week'!K$3:$AN$33,30,false)
&amp;" / "&amp;
vlookup(max(Stats_by_Week[Week4])&amp;2,'Stats by Team by Week'!J$3:$AN$33,31,false),
vlookup(max(Stats_by_Week[Week4]),'Stats by Team by Week'!K$3:$AN$33,30,false)
&amp;" / "&amp;
vlookup(max(Stats_by_Week[Week4])&amp;2,'Stats by Team by Week'!J$3:$AN$33,31,false)
&amp;" / "&amp;
vlookup(max(Stats_by_Week[Week4])&amp;3,'Stats by Team by Week'!J$3:$AN$33,31,false)
)),"")</f>
        <v/>
      </c>
    </row>
    <row r="7">
      <c r="A7" s="50"/>
      <c r="B7" s="50"/>
      <c r="C7" s="61"/>
      <c r="D7" s="49"/>
      <c r="E7" s="54" t="s">
        <v>108</v>
      </c>
      <c r="F7" s="55" t="s">
        <v>359</v>
      </c>
      <c r="G7" s="56" t="str">
        <f>iferror(if(
countif(Stats_by_Week[Week5],
max(Stats_by_Week[Week5]))=1,
vlookup(max(Stats_by_Week[Week5]),'Stats by Team by Week'!M$3:$AN$33,28,false),
if(
countif(Stats_by_Week[Week5],
max(Stats_by_Week[Week5]))=2,
vlookup(max(Stats_by_Week[Week5]),'Stats by Team by Week'!M$3:$AN$33,28,false)
&amp;" / "&amp;
vlookup(max(Stats_by_Week[Week5])&amp;2,'Stats by Team by Week'!L$3:$AN$33,29,false),
vlookup(max(Stats_by_Week[Week5]),'Stats by Team by Week'!M$3:$AN$33,28,false)
&amp;" / "&amp;
vlookup(max(Stats_by_Week[Week5])&amp;2,'Stats by Team by Week'!L$3:$AN$33,29,false)
&amp;" / "&amp;
vlookup(max(Stats_by_Week[Week5])&amp;3,'Stats by Team by Week'!L$3:$AN$33,29,false)
)),"")</f>
        <v/>
      </c>
    </row>
    <row r="8">
      <c r="A8" s="50"/>
      <c r="B8" s="50"/>
      <c r="C8" s="49"/>
      <c r="D8" s="49"/>
      <c r="E8" s="57" t="s">
        <v>123</v>
      </c>
      <c r="F8" s="58" t="s">
        <v>361</v>
      </c>
      <c r="G8" s="60" t="str">
        <f>iferror(if(
countif(Stats_by_Week[Week6],
max(Stats_by_Week[Week6]))=1,
vlookup(max(Stats_by_Week[Week6]),'Stats by Team by Week'!O$3:$AN$33,26,false),
if(
countif(Stats_by_Week[Week6],
max(Stats_by_Week[Week6]))=2,
vlookup(max(Stats_by_Week[Week6]),'Stats by Team by Week'!O$3:$AN$33,26,false)
&amp;" / "&amp;
vlookup(max(Stats_by_Week[Week6])&amp;2,'Stats by Team by Week'!N$3:$AN$33,27,false),
vlookup(max(Stats_by_Week[Week6]),'Stats by Team by Week'!O$3:$AN$33,26,false)
&amp;" / "&amp;
vlookup(max(Stats_by_Week[Week6])&amp;2,'Stats by Team by Week'!N$3:$AN$33,27,false)
&amp;" / "&amp;
vlookup(max(Stats_by_Week[Week6])&amp;3,'Stats by Team by Week'!N$3:$AN$33,27,false)
)),"")</f>
        <v/>
      </c>
    </row>
    <row r="9">
      <c r="A9" s="62"/>
      <c r="B9" s="62"/>
      <c r="C9" s="62"/>
      <c r="D9" s="49"/>
      <c r="E9" s="54" t="s">
        <v>138</v>
      </c>
      <c r="F9" s="55" t="s">
        <v>363</v>
      </c>
      <c r="G9" s="56" t="str">
        <f>iferror(if(
countif(Stats_by_Week[Week7],
max(Stats_by_Week[Week7]))=1,
vlookup(max(Stats_by_Week[Week7]),'Stats by Team by Week'!Q$3:$AN$33,24,false),
if(
countif(Stats_by_Week[Week7],
max(Stats_by_Week[Week7]))=2,
vlookup(max(Stats_by_Week[Week7]),'Stats by Team by Week'!Q$3:$AN$33,24,false)
&amp;" / "&amp;
vlookup(max(Stats_by_Week[Week7])&amp;2,'Stats by Team by Week'!P$3:$AN$33,25,false),
vlookup(max(Stats_by_Week[Week7]),'Stats by Team by Week'!Q$3:$AN$33,24,false)
&amp;" / "&amp;
vlookup(max(Stats_by_Week[Week7])&amp;2,'Stats by Team by Week'!P$3:$AN$33,25,false)
&amp;" / "&amp;
vlookup(max(Stats_by_Week[Week7])&amp;3,'Stats by Team by Week'!P$3:$AN$33,25,false)
)),"")</f>
        <v/>
      </c>
    </row>
    <row r="10">
      <c r="A10" s="63" t="s">
        <v>378</v>
      </c>
      <c r="B10" s="64" t="s">
        <v>379</v>
      </c>
      <c r="C10" s="65" t="s">
        <v>380</v>
      </c>
      <c r="D10" s="49"/>
      <c r="E10" s="57" t="s">
        <v>154</v>
      </c>
      <c r="F10" s="58" t="s">
        <v>364</v>
      </c>
      <c r="G10" s="60" t="str">
        <f>iferror(if(
countif(Stats_by_Week[Week8],
max(Stats_by_Week[Week8]))=1,
vlookup(max(Stats_by_Week[Week8]),'Stats by Team by Week'!S$3:$AN$33,22,false),
if(
countif(Stats_by_Week[Week8],
max(Stats_by_Week[Week8]))=2,
vlookup(max(Stats_by_Week[Week8]),'Stats by Team by Week'!S$3:$AN$33,22,false)
&amp;" / "&amp;
vlookup(max(Stats_by_Week[Week8])&amp;2,'Stats by Team by Week'!R$3:$AN$33,23,false),
vlookup(max(Stats_by_Week[Week8]),'Stats by Team by Week'!S$3:$AN$33,22,false)
&amp;" / "&amp;
vlookup(max(Stats_by_Week[Week8])&amp;2,'Stats by Team by Week'!R$3:$AN$33,23,false)
&amp;" / "&amp;
vlookup(max(Stats_by_Week[Week8])&amp;3,'Stats by Team by Week'!R$3:$AN$33,23,false)
)),"")</f>
        <v/>
      </c>
    </row>
    <row r="11">
      <c r="A11" s="66" t="s">
        <v>381</v>
      </c>
      <c r="B11" s="55">
        <f>sumif(Wins_by_Team[Owner],A11,Wins_by_Team[Wins])</f>
        <v>0</v>
      </c>
      <c r="C11" s="67">
        <f>(countif(Weekly_Winners[(Anticipated) Winner(s)],"*"&amp;A11&amp;"*"))*50</f>
        <v>0</v>
      </c>
      <c r="D11" s="49"/>
      <c r="E11" s="54" t="s">
        <v>171</v>
      </c>
      <c r="F11" s="55" t="s">
        <v>382</v>
      </c>
      <c r="G11" s="56" t="str">
        <f>iferror(if(
countif(Stats_by_Week[Week9],
max(Stats_by_Week[Week9]))=1,
vlookup(max(Stats_by_Week[Week9]),'Stats by Team by Week'!U$3:$AN$33,20,false),
if(
countif(Stats_by_Week[Week9],
max(Stats_by_Week[Week9]))=2,
vlookup(max(Stats_by_Week[Week9]),'Stats by Team by Week'!U$3:$AN$33,20,false)
&amp;" / "&amp;
vlookup(max(Stats_by_Week[Week9])&amp;2,'Stats by Team by Week'!T$3:$AN$33,21,false),
vlookup(max(Stats_by_Week[Week9]),'Stats by Team by Week'!U$3:$AN$33,20,false)
&amp;" / "&amp;
vlookup(max(Stats_by_Week[Week9])&amp;2,'Stats by Team by Week'!T$3:$AN$33,21,false)
&amp;" / "&amp;
vlookup(max(Stats_by_Week[Week9])&amp;3,'Stats by Team by Week'!T$3:$AN$33,21,false)
)),"")</f>
        <v/>
      </c>
    </row>
    <row r="12">
      <c r="A12" s="68" t="s">
        <v>383</v>
      </c>
      <c r="B12" s="58">
        <f>sumif(Wins_by_Team[Owner],A12,Wins_by_Team[Wins])</f>
        <v>0</v>
      </c>
      <c r="C12" s="69">
        <f>(countif(Weekly_Winners[(Anticipated) Winner(s)],"*"&amp;A12&amp;"*"))*50</f>
        <v>0</v>
      </c>
      <c r="D12" s="49"/>
      <c r="E12" s="57" t="s">
        <v>187</v>
      </c>
      <c r="F12" s="58" t="s">
        <v>367</v>
      </c>
      <c r="G12" s="60" t="str">
        <f>iferror(if(
countif(Stats_by_Week[Week10],
max(Stats_by_Week[Week10]))=1,
vlookup(max(Stats_by_Week[Week10]),'Stats by Team by Week'!W$3:$AN$33,18,false),
if(
countif(Stats_by_Week[Week10],
max(Stats_by_Week[Week10]))=2,
vlookup(max(Stats_by_Week[Week10]),'Stats by Team by Week'!W$3:$AN$33,18,false)
&amp;" / "&amp;
vlookup(max(Stats_by_Week[Week10])&amp;2,'Stats by Team by Week'!V$3:$AN$33,19,false),
vlookup(max(Stats_by_Week[Week10]),'Stats by Team by Week'!W$3:$AN$33,18,false)
&amp;" / "&amp;
vlookup(max(Stats_by_Week[Week10])&amp;2,'Stats by Team by Week'!V$3:$AN$33,19,false)
&amp;" / "&amp;
vlookup(max(Stats_by_Week[Week10])&amp;3,'Stats by Team by Week'!V$3:$AN$33,19,false)
)),"")</f>
        <v/>
      </c>
    </row>
    <row r="13">
      <c r="A13" s="66" t="s">
        <v>384</v>
      </c>
      <c r="B13" s="55">
        <f>sumif(Wins_by_Team[Owner],A13,Wins_by_Team[Wins])</f>
        <v>0</v>
      </c>
      <c r="C13" s="67">
        <f>(countif(Weekly_Winners[(Anticipated) Winner(s)],"*"&amp;A13&amp;"*"))*50</f>
        <v>0</v>
      </c>
      <c r="D13" s="49"/>
      <c r="E13" s="54" t="s">
        <v>202</v>
      </c>
      <c r="F13" s="55" t="s">
        <v>368</v>
      </c>
      <c r="G13" s="56" t="str">
        <f>iferror(if(
countif(Stats_by_Week[Week11],
max(Stats_by_Week[Week11]))=1,
vlookup(max(Stats_by_Week[Week11]),'Stats by Team by Week'!Y$3:$AN$33,16,false),
if(
countif(Stats_by_Week[Week11],
max(Stats_by_Week[Week11]))=2,
vlookup(max(Stats_by_Week[Week11]),'Stats by Team by Week'!Y$3:$AN$33,16,false)
&amp;" / "&amp;
vlookup(max(Stats_by_Week[Week11])&amp;2,'Stats by Team by Week'!X$3:$AN$33,17,false),
vlookup(max(Stats_by_Week[Week11]),'Stats by Team by Week'!Y$3:$AN$33,16,false)
&amp;" / "&amp;
vlookup(max(Stats_by_Week[Week11])&amp;2,'Stats by Team by Week'!X$3:$AN$33,17,false)
&amp;" / "&amp;
vlookup(max(Stats_by_Week[Week11])&amp;3,'Stats by Team by Week'!X$3:$AN$33,17,false)
)),"")</f>
        <v/>
      </c>
    </row>
    <row r="14">
      <c r="A14" s="68" t="s">
        <v>385</v>
      </c>
      <c r="B14" s="70">
        <f>sumif(Wins_by_Team[Owner],A14,Wins_by_Team[Wins])</f>
        <v>0</v>
      </c>
      <c r="C14" s="71">
        <f>(countif(Weekly_Winners[(Anticipated) Winner(s)],"*"&amp;A14&amp;"*"))*50</f>
        <v>0</v>
      </c>
      <c r="D14" s="49"/>
      <c r="E14" s="57" t="s">
        <v>217</v>
      </c>
      <c r="F14" s="58" t="s">
        <v>369</v>
      </c>
      <c r="G14" s="60" t="str">
        <f>iferror(if(
countif(Stats_by_Week[Week12],
max(Stats_by_Week[Week12]))=1,
vlookup(max(Stats_by_Week[Week12]),'Stats by Team by Week'!AA$3:$AN$33,14,false),
if(
countif(Stats_by_Week[Week12],
max(Stats_by_Week[Week12]))=2,
vlookup(max(Stats_by_Week[Week12]),'Stats by Team by Week'!AA$3:$AN$33,14,false)
&amp;" / "&amp;
vlookup(max(Stats_by_Week[Week12])&amp;2,'Stats by Team by Week'!Z$3:$AN$33,15,false),
vlookup(max(Stats_by_Week[Week12]),'Stats by Team by Week'!AA$3:$AN$33,14,false)
&amp;" / "&amp;
vlookup(max(Stats_by_Week[Week12])&amp;2,'Stats by Team by Week'!Z$3:$AN$33,15,false)
&amp;" / "&amp;
vlookup(max(Stats_by_Week[Week12])&amp;3,'Stats by Team by Week'!Z$3:$AN$33,15,false)
)),"")</f>
        <v/>
      </c>
    </row>
    <row r="15">
      <c r="A15" s="66" t="s">
        <v>386</v>
      </c>
      <c r="B15" s="55">
        <f>sumif(Wins_by_Team[Owner],A15,Wins_by_Team[Wins])</f>
        <v>0</v>
      </c>
      <c r="C15" s="67">
        <f>(countif(Weekly_Winners[(Anticipated) Winner(s)],"*"&amp;A15&amp;"*"))*50</f>
        <v>0</v>
      </c>
      <c r="D15" s="49"/>
      <c r="E15" s="54" t="s">
        <v>231</v>
      </c>
      <c r="F15" s="55" t="s">
        <v>370</v>
      </c>
      <c r="G15" s="56" t="str">
        <f>iferror(if(
countif(Stats_by_Week[Week13],
max(Stats_by_Week[Week13]))=1,
vlookup(max(Stats_by_Week[Week13]),'Stats by Team by Week'!AC$3:$AN$33,12,false),
if(
countif(Stats_by_Week[Week13],
max(Stats_by_Week[Week13]))=2,
vlookup(max(Stats_by_Week[Week13]),'Stats by Team by Week'!AC$3:$AN$33,12,false)
&amp;" / "&amp;
vlookup(max(Stats_by_Week[Week13])&amp;2,'Stats by Team by Week'!AB$3:$AN$33,13,false),
vlookup(max(Stats_by_Week[Week13]),'Stats by Team by Week'!AC$3:$AN$33,12,false)
&amp;" / "&amp;
vlookup(max(Stats_by_Week[Week13])&amp;2,'Stats by Team by Week'!AB$3:$AN$33,13,false)
&amp;" / "&amp;
vlookup(max(Stats_by_Week[Week13])&amp;3,'Stats by Team by Week'!AB$3:$AN$33,13,false)
)),"")</f>
        <v/>
      </c>
    </row>
    <row r="16">
      <c r="A16" s="68" t="s">
        <v>387</v>
      </c>
      <c r="B16" s="70">
        <f>sumif(Wins_by_Team[Owner],A16,Wins_by_Team[Wins])</f>
        <v>0</v>
      </c>
      <c r="C16" s="72">
        <f>(countif(Weekly_Winners[(Anticipated) Winner(s)],"*"&amp;A16&amp;"*"))*50</f>
        <v>0</v>
      </c>
      <c r="D16" s="49"/>
      <c r="E16" s="57" t="s">
        <v>248</v>
      </c>
      <c r="F16" s="58" t="s">
        <v>371</v>
      </c>
      <c r="G16" s="60" t="str">
        <f>iferror(if(
countif(Stats_by_Week[Week14],
min(Stats_by_Week[Week14]))=1,
vlookup(min(Stats_by_Week[Week14]),'Stats by Team by Week'!AE$3:$AN$33,10,false),
if(
countif(Stats_by_Week[Week14],
min(Stats_by_Week[Week14]))=2,
vlookup(min(Stats_by_Week[Week14]),'Stats by Team by Week'!AE$3:$AN$33,10,false)
&amp;" / "&amp;
vlookup(min(Stats_by_Week[Week14])&amp;2,'Stats by Team by Week'!AD$3:$AN$33,11,false),
vlookup(min(Stats_by_Week[Week14]),'Stats by Team by Week'!AE$3:$AN$33,10,false)
&amp;" / "&amp;
vlookup(min(Stats_by_Week[Week14])&amp;2,'Stats by Team by Week'!AD$3:$AN$33,11,false)
&amp;" / "&amp;
vlookup(min(Stats_by_Week[Week14])&amp;3,'Stats by Team by Week'!AD$3:$AN$33,11,false)
)),"")</f>
        <v/>
      </c>
    </row>
    <row r="17">
      <c r="A17" s="66" t="s">
        <v>388</v>
      </c>
      <c r="B17" s="55">
        <f>sumif(Wins_by_Team[Owner],A17,Wins_by_Team[Wins])</f>
        <v>0</v>
      </c>
      <c r="C17" s="73">
        <f>(countif(Weekly_Winners[(Anticipated) Winner(s)],"*"&amp;A17&amp;"*"))*50</f>
        <v>0</v>
      </c>
      <c r="D17" s="49"/>
      <c r="E17" s="54" t="s">
        <v>262</v>
      </c>
      <c r="F17" s="55" t="s">
        <v>372</v>
      </c>
      <c r="G17" s="56" t="str">
        <f>iferror(if(
countif(Stats_by_Week[Week15],
max(Stats_by_Week[Week15]))=1,
vlookup(max(Stats_by_Week[Week15]),'Stats by Team by Week'!AG$3:$AN$33,8,false),
if(
countif(Stats_by_Week[Week15],
max(Stats_by_Week[Week15]))=2,
vlookup(max(Stats_by_Week[Week15]),'Stats by Team by Week'!AG$3:$AN$33,8,false)
&amp;" / "&amp;
vlookup(max(Stats_by_Week[Week15])&amp;2,'Stats by Team by Week'!AF$3:$AN$33,9,false),
vlookup(max(Stats_by_Week[Week15]),'Stats by Team by Week'!AG$3:$AN$33,8,false)
&amp;" / "&amp;
vlookup(max(Stats_by_Week[Week15])&amp;2,'Stats by Team by Week'!AF$3:$AN$33,9,false)
&amp;" / "&amp;
vlookup(max(Stats_by_Week[Week15])&amp;3,'Stats by Team by Week'!AF$3:$AN$33,9,false)
)),"")</f>
        <v/>
      </c>
    </row>
    <row r="18">
      <c r="A18" s="68" t="s">
        <v>389</v>
      </c>
      <c r="B18" s="70">
        <f>sumif(Wins_by_Team[Owner],A18,Wins_by_Team[Wins])</f>
        <v>0</v>
      </c>
      <c r="C18" s="71">
        <f>(countif(Weekly_Winners[(Anticipated) Winner(s)],"*"&amp;A18&amp;"*"))*50</f>
        <v>0</v>
      </c>
      <c r="D18" s="74"/>
      <c r="E18" s="57" t="s">
        <v>279</v>
      </c>
      <c r="F18" s="58" t="s">
        <v>373</v>
      </c>
      <c r="G18" s="60" t="str">
        <f>iferror(if(
countif(Stats_by_Week[Week16],
min(Stats_by_Week[Week16]))=1,
vlookup(min(Stats_by_Week[Week16]),'Stats by Team by Week'!AI$3:$AN$33,6,false),
if(
countif(Stats_by_Week[Week16],
min(Stats_by_Week[Week16]))=2,
vlookup(min(Stats_by_Week[Week16]),'Stats by Team by Week'!AI$3:$AN$33,6,false)
&amp;" / "&amp;
vlookup(min(Stats_by_Week[Week16])&amp;2,'Stats by Team by Week'!AH$3:$AN$33,7,false),
vlookup(min(Stats_by_Week[Week16]),'Stats by Team by Week'!AI$3:$AN$33,6,false)
&amp;" / "&amp;
vlookup(min(Stats_by_Week[Week16])&amp;2,'Stats by Team by Week'!AH$3:$AN$33,7,false)
&amp;" / "&amp;
vlookup(min(Stats_by_Week[Week16])&amp;3,'Stats by Team by Week'!AH$3:$AN$33,7,false)
)),"")</f>
        <v/>
      </c>
    </row>
    <row r="19">
      <c r="A19" s="66" t="s">
        <v>390</v>
      </c>
      <c r="B19" s="55">
        <f>sumif(Wins_by_Team[Owner],A19,Wins_by_Team[Wins])</f>
        <v>0</v>
      </c>
      <c r="C19" s="73">
        <f>(countif(Weekly_Winners[(Anticipated) Winner(s)],"*"&amp;A19&amp;"*"))*50</f>
        <v>0</v>
      </c>
      <c r="D19" s="74"/>
      <c r="E19" s="54" t="s">
        <v>296</v>
      </c>
      <c r="F19" s="55" t="s">
        <v>374</v>
      </c>
      <c r="G19" s="56" t="str">
        <f>iferror(if(
countif(Stats_by_Week[Week17],
max(Stats_by_Week[Week17]))=1,
vlookup(max(Stats_by_Week[Week17]),'Stats by Team by Week'!AK$3:$AN$33,4,false),
if(
countif(Stats_by_Week[Week17],
max(Stats_by_Week[Week17]))=2,
vlookup(max(Stats_by_Week[Week17]),'Stats by Team by Week'!AK$3:$AN$33,4,false)
&amp;" / "&amp;
vlookup(max(Stats_by_Week[Week17])&amp;2,'Stats by Team by Week'!AJ$3:$AN$33,5,false),
vlookup(max(Stats_by_Week[Week17]),'Stats by Team by Week'!AK$3:$AN$33,4,false)
&amp;" / "&amp;
vlookup(max(Stats_by_Week[Week17])&amp;2,'Stats by Team by Week'!AJ$3:$AN$33,5,false)
&amp;" / "&amp;
vlookup(max(Stats_by_Week[Week17])&amp;3,'Stats by Team by Week'!AJ$3:$AN$33,5,false)
)),"")</f>
        <v/>
      </c>
    </row>
    <row r="20">
      <c r="A20" s="75" t="s">
        <v>391</v>
      </c>
      <c r="B20" s="76">
        <f>sumif(Wins_by_Team[Owner],A20,Wins_by_Team[Wins])</f>
        <v>0</v>
      </c>
      <c r="C20" s="77">
        <f>(countif(Weekly_Winners[(Anticipated) Winner(s)],"*"&amp;A20&amp;"*"))*50</f>
        <v>0</v>
      </c>
      <c r="D20" s="74"/>
      <c r="E20" s="78" t="s">
        <v>313</v>
      </c>
      <c r="F20" s="79" t="s">
        <v>375</v>
      </c>
      <c r="G20" s="80" t="str">
        <f>iferror(if(
countif(Stats_by_Week[Week18],
max(Stats_by_Week[Week18]))=1,
vlookup(max(Stats_by_Week[Week18]),'Stats by Team by Week'!AM$3:$AN$33,2,false),
if(
countif(Stats_by_Week[Week18],
max(Stats_by_Week[Week18]))=2,
vlookup(max(Stats_by_Week[Week18]),'Stats by Team by Week'!AM$3:$AN$33,2,false)
&amp;" / "&amp;
vlookup(max(Stats_by_Week[Week18])&amp;2,'Stats by Team by Week'!AL$3:$AN$33,3,false),
vlookup(max(Stats_by_Week[Week18]),'Stats by Team by Week'!AM$3:$AN$33,2,false)
&amp;" / "&amp;
vlookup(max(Stats_by_Week[Week18])&amp;2,'Stats by Team by Week'!AL$3:$AN$33,3,false)
&amp;" / "&amp;
vlookup(max(Stats_by_Week[Week18])&amp;3,'Stats by Team by Week'!AL$3:$AN$33,3,false)
)),"")</f>
        <v/>
      </c>
    </row>
  </sheetData>
  <mergeCells count="1">
    <mergeCell ref="A1:C1"/>
  </mergeCells>
  <conditionalFormatting sqref="B11">
    <cfRule type="cellIs" dxfId="3" priority="1" operator="equal">
      <formula>0</formula>
    </cfRule>
  </conditionalFormatting>
  <conditionalFormatting sqref="B11">
    <cfRule type="cellIs" dxfId="4" priority="2" operator="equal">
      <formula>max(B11:B20)</formula>
    </cfRule>
  </conditionalFormatting>
  <conditionalFormatting sqref="B12">
    <cfRule type="cellIs" dxfId="5" priority="3" operator="equal">
      <formula>0</formula>
    </cfRule>
  </conditionalFormatting>
  <conditionalFormatting sqref="B12">
    <cfRule type="cellIs" dxfId="4" priority="4" operator="equal">
      <formula>max(B11:B20)</formula>
    </cfRule>
  </conditionalFormatting>
  <conditionalFormatting sqref="B13">
    <cfRule type="cellIs" dxfId="3" priority="5" operator="equal">
      <formula>0</formula>
    </cfRule>
  </conditionalFormatting>
  <conditionalFormatting sqref="B13">
    <cfRule type="cellIs" dxfId="4" priority="6" operator="equal">
      <formula>max(B11:B20)</formula>
    </cfRule>
  </conditionalFormatting>
  <conditionalFormatting sqref="B14">
    <cfRule type="cellIs" dxfId="6" priority="7" operator="equal">
      <formula>0</formula>
    </cfRule>
  </conditionalFormatting>
  <conditionalFormatting sqref="B14">
    <cfRule type="cellIs" dxfId="4" priority="8" operator="equal">
      <formula>max(B11:B20)</formula>
    </cfRule>
  </conditionalFormatting>
  <conditionalFormatting sqref="B15">
    <cfRule type="cellIs" dxfId="3" priority="9" operator="equal">
      <formula>0</formula>
    </cfRule>
  </conditionalFormatting>
  <conditionalFormatting sqref="B15">
    <cfRule type="cellIs" dxfId="4" priority="10" operator="equal">
      <formula>max(B11:B20)</formula>
    </cfRule>
  </conditionalFormatting>
  <conditionalFormatting sqref="B16">
    <cfRule type="cellIs" dxfId="6" priority="11" operator="equal">
      <formula>0</formula>
    </cfRule>
  </conditionalFormatting>
  <conditionalFormatting sqref="B16">
    <cfRule type="cellIs" dxfId="4" priority="12" operator="equal">
      <formula>max(B11:B20)</formula>
    </cfRule>
  </conditionalFormatting>
  <conditionalFormatting sqref="B17">
    <cfRule type="cellIs" dxfId="3" priority="13" operator="equal">
      <formula>0</formula>
    </cfRule>
  </conditionalFormatting>
  <conditionalFormatting sqref="B17">
    <cfRule type="cellIs" dxfId="4" priority="14" operator="equal">
      <formula>max(B11:B20)</formula>
    </cfRule>
  </conditionalFormatting>
  <conditionalFormatting sqref="B18">
    <cfRule type="cellIs" dxfId="6" priority="15" operator="equal">
      <formula>0</formula>
    </cfRule>
  </conditionalFormatting>
  <conditionalFormatting sqref="B18">
    <cfRule type="cellIs" dxfId="4" priority="16" operator="equal">
      <formula>max(B11:B20)</formula>
    </cfRule>
  </conditionalFormatting>
  <conditionalFormatting sqref="B19">
    <cfRule type="cellIs" dxfId="3" priority="17" operator="equal">
      <formula>0</formula>
    </cfRule>
  </conditionalFormatting>
  <conditionalFormatting sqref="B19">
    <cfRule type="cellIs" dxfId="4" priority="18" operator="equal">
      <formula>max(B11:B20)</formula>
    </cfRule>
  </conditionalFormatting>
  <conditionalFormatting sqref="B20">
    <cfRule type="cellIs" dxfId="6" priority="19" operator="equal">
      <formula>0</formula>
    </cfRule>
  </conditionalFormatting>
  <conditionalFormatting sqref="B20">
    <cfRule type="cellIs" dxfId="4" priority="20" operator="equal">
      <formula>max(B11:B20)</formula>
    </cfRule>
  </conditionalFormatting>
  <conditionalFormatting sqref="C12">
    <cfRule type="cellIs" dxfId="6" priority="21" operator="equal">
      <formula>0</formula>
    </cfRule>
  </conditionalFormatting>
  <conditionalFormatting sqref="C12">
    <cfRule type="cellIs" dxfId="4" priority="22" operator="equal">
      <formula>max(C11:C20)</formula>
    </cfRule>
  </conditionalFormatting>
  <conditionalFormatting sqref="C13">
    <cfRule type="cellIs" dxfId="3" priority="23" operator="equal">
      <formula>0</formula>
    </cfRule>
  </conditionalFormatting>
  <conditionalFormatting sqref="C13">
    <cfRule type="cellIs" dxfId="4" priority="24" operator="equal">
      <formula>max(C11:C20)</formula>
    </cfRule>
  </conditionalFormatting>
  <conditionalFormatting sqref="C14">
    <cfRule type="cellIs" dxfId="6" priority="25" operator="equal">
      <formula>0</formula>
    </cfRule>
  </conditionalFormatting>
  <conditionalFormatting sqref="C14">
    <cfRule type="cellIs" dxfId="4" priority="26" operator="equal">
      <formula>max(C11:C20)</formula>
    </cfRule>
  </conditionalFormatting>
  <conditionalFormatting sqref="C15">
    <cfRule type="cellIs" dxfId="3" priority="27" operator="equal">
      <formula>0</formula>
    </cfRule>
  </conditionalFormatting>
  <conditionalFormatting sqref="C15">
    <cfRule type="cellIs" dxfId="4" priority="28" operator="equal">
      <formula>max(C11:C20)</formula>
    </cfRule>
  </conditionalFormatting>
  <conditionalFormatting sqref="C16">
    <cfRule type="cellIs" dxfId="6" priority="29" operator="equal">
      <formula>0</formula>
    </cfRule>
  </conditionalFormatting>
  <conditionalFormatting sqref="C16">
    <cfRule type="cellIs" dxfId="4" priority="30" operator="equal">
      <formula>max(C11:C20)</formula>
    </cfRule>
  </conditionalFormatting>
  <conditionalFormatting sqref="C17">
    <cfRule type="cellIs" dxfId="3" priority="31" operator="equal">
      <formula>0</formula>
    </cfRule>
  </conditionalFormatting>
  <conditionalFormatting sqref="C17">
    <cfRule type="cellIs" dxfId="4" priority="32" operator="equal">
      <formula>max(C11:C20)</formula>
    </cfRule>
  </conditionalFormatting>
  <conditionalFormatting sqref="C18">
    <cfRule type="cellIs" dxfId="6" priority="33" operator="equal">
      <formula>0</formula>
    </cfRule>
  </conditionalFormatting>
  <conditionalFormatting sqref="C18">
    <cfRule type="cellIs" dxfId="4" priority="34" operator="equal">
      <formula>max(C11:C20)</formula>
    </cfRule>
  </conditionalFormatting>
  <conditionalFormatting sqref="C19">
    <cfRule type="cellIs" dxfId="3" priority="35" operator="equal">
      <formula>0</formula>
    </cfRule>
  </conditionalFormatting>
  <conditionalFormatting sqref="C19">
    <cfRule type="cellIs" dxfId="4" priority="36" operator="equal">
      <formula>max(C11:C20)</formula>
    </cfRule>
  </conditionalFormatting>
  <conditionalFormatting sqref="C20">
    <cfRule type="cellIs" dxfId="6" priority="37" operator="equal">
      <formula>0</formula>
    </cfRule>
  </conditionalFormatting>
  <conditionalFormatting sqref="C20">
    <cfRule type="cellIs" dxfId="4" priority="38" operator="equal">
      <formula>max(C11:C20)</formula>
    </cfRule>
  </conditionalFormatting>
  <conditionalFormatting sqref="B11">
    <cfRule type="cellIs" dxfId="7" priority="39" operator="equal">
      <formula>LARGE(B11:B20,2)</formula>
    </cfRule>
  </conditionalFormatting>
  <conditionalFormatting sqref="B12">
    <cfRule type="cellIs" dxfId="7" priority="40" operator="equal">
      <formula>LARGE(B11:B20,2)</formula>
    </cfRule>
  </conditionalFormatting>
  <conditionalFormatting sqref="B13">
    <cfRule type="cellIs" dxfId="7" priority="41" operator="equal">
      <formula>LARGE(B11:B20,2)</formula>
    </cfRule>
  </conditionalFormatting>
  <conditionalFormatting sqref="B14">
    <cfRule type="cellIs" dxfId="7" priority="42" operator="equal">
      <formula>LARGE(B11:B20,2)</formula>
    </cfRule>
  </conditionalFormatting>
  <conditionalFormatting sqref="B15">
    <cfRule type="cellIs" dxfId="7" priority="43" operator="equal">
      <formula>LARGE(B11:B20,2)</formula>
    </cfRule>
  </conditionalFormatting>
  <conditionalFormatting sqref="B16">
    <cfRule type="cellIs" dxfId="7" priority="44" operator="equal">
      <formula>LARGE(B11:B20,2)</formula>
    </cfRule>
  </conditionalFormatting>
  <conditionalFormatting sqref="B17">
    <cfRule type="cellIs" dxfId="7" priority="45" operator="equal">
      <formula>LARGE(B11:B20,2)</formula>
    </cfRule>
  </conditionalFormatting>
  <conditionalFormatting sqref="B18">
    <cfRule type="cellIs" dxfId="7" priority="46" operator="equal">
      <formula>LARGE(B11:B20,2)</formula>
    </cfRule>
  </conditionalFormatting>
  <conditionalFormatting sqref="B19">
    <cfRule type="cellIs" dxfId="7" priority="47" operator="equal">
      <formula>LARGE(B11:B20,2)</formula>
    </cfRule>
  </conditionalFormatting>
  <conditionalFormatting sqref="B20">
    <cfRule type="cellIs" dxfId="7" priority="48" operator="equal">
      <formula>LARGE(B11:B20,2)</formula>
    </cfRule>
  </conditionalFormatting>
  <conditionalFormatting sqref="G3:G20">
    <cfRule type="notContainsBlanks" dxfId="8" priority="49">
      <formula>LEN(TRIM(G3))&gt;0</formula>
    </cfRule>
  </conditionalFormatting>
  <conditionalFormatting sqref="C11">
    <cfRule type="cellIs" dxfId="3" priority="50" operator="equal">
      <formula>0</formula>
    </cfRule>
  </conditionalFormatting>
  <conditionalFormatting sqref="C11">
    <cfRule type="cellIs" dxfId="4" priority="51" operator="equal">
      <formula>max(C11:C20)</formula>
    </cfRule>
  </conditionalFormatting>
  <dataValidations>
    <dataValidation type="custom" allowBlank="1" showDropDown="1" sqref="C11:C20">
      <formula1>AND(ISNUMBER(C11),(NOT(OR(NOT(ISERROR(DATEVALUE(C11))), AND(ISNUMBER(C11), LEFT(CELL("format", C11))="D")))))</formula1>
    </dataValidation>
  </dataValidations>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s>
  <sheetData>
    <row r="1">
      <c r="A1" s="81" t="s">
        <v>392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s>
  <sheetData>
    <row r="1">
      <c r="A1" s="82" t="s">
        <v>393</v>
      </c>
      <c r="B1" s="83" t="s">
        <v>394</v>
      </c>
      <c r="C1" s="84" t="s">
        <v>395</v>
      </c>
      <c r="D1" s="85" t="s">
        <v>396</v>
      </c>
    </row>
    <row r="2">
      <c r="A2" s="86" t="s">
        <v>12</v>
      </c>
      <c r="B2" s="87" t="s">
        <v>12</v>
      </c>
      <c r="C2" s="87" t="s">
        <v>384</v>
      </c>
      <c r="D2" s="88">
        <f>COUNTIFS('Raw With Formulas'!G:G, 2, 'Raw With Formulas'!H:H,B2)</f>
        <v>0</v>
      </c>
    </row>
    <row r="3">
      <c r="A3" s="89" t="s">
        <v>49</v>
      </c>
      <c r="B3" s="90" t="s">
        <v>49</v>
      </c>
      <c r="C3" s="90" t="s">
        <v>388</v>
      </c>
      <c r="D3" s="91">
        <f>COUNTIFS('Raw With Formulas'!G:G, 2, 'Raw With Formulas'!H:H,B3)</f>
        <v>0</v>
      </c>
    </row>
    <row r="4">
      <c r="A4" s="86" t="s">
        <v>13</v>
      </c>
      <c r="B4" s="87" t="s">
        <v>13</v>
      </c>
      <c r="C4" s="87" t="s">
        <v>384</v>
      </c>
      <c r="D4" s="88">
        <f>COUNTIFS('Raw With Formulas'!G:G, 2, 'Raw With Formulas'!H:H,B4)</f>
        <v>0</v>
      </c>
    </row>
    <row r="5">
      <c r="A5" s="89" t="s">
        <v>33</v>
      </c>
      <c r="B5" s="90" t="s">
        <v>33</v>
      </c>
      <c r="C5" s="90" t="s">
        <v>389</v>
      </c>
      <c r="D5" s="91">
        <f>COUNTIFS('Raw With Formulas'!G:G, 2, 'Raw With Formulas'!H:H,B5)</f>
        <v>0</v>
      </c>
    </row>
    <row r="6">
      <c r="A6" s="86" t="s">
        <v>37</v>
      </c>
      <c r="B6" s="87" t="s">
        <v>37</v>
      </c>
      <c r="C6" s="87" t="s">
        <v>391</v>
      </c>
      <c r="D6" s="92">
        <f>COUNTIFS('Raw With Formulas'!G:G, 2, 'Raw With Formulas'!H:H,B6)</f>
        <v>0</v>
      </c>
    </row>
    <row r="7">
      <c r="A7" s="89" t="s">
        <v>16</v>
      </c>
      <c r="B7" s="90" t="s">
        <v>16</v>
      </c>
      <c r="C7" s="90" t="s">
        <v>390</v>
      </c>
      <c r="D7" s="93">
        <f>COUNTIFS('Raw With Formulas'!G:G, 2, 'Raw With Formulas'!H:H,B7)</f>
        <v>0</v>
      </c>
    </row>
    <row r="8">
      <c r="A8" s="86" t="s">
        <v>22</v>
      </c>
      <c r="B8" s="87" t="s">
        <v>22</v>
      </c>
      <c r="C8" s="87" t="s">
        <v>391</v>
      </c>
      <c r="D8" s="92">
        <f>COUNTIFS('Raw With Formulas'!G:G, 2, 'Raw With Formulas'!H:H,B8)</f>
        <v>0</v>
      </c>
    </row>
    <row r="9">
      <c r="A9" s="89" t="s">
        <v>397</v>
      </c>
      <c r="B9" s="90" t="s">
        <v>25</v>
      </c>
      <c r="C9" s="90" t="s">
        <v>381</v>
      </c>
      <c r="D9" s="93">
        <f>COUNTIFS('Raw With Formulas'!G:G, 2, 'Raw With Formulas'!H:H,B9)</f>
        <v>0</v>
      </c>
    </row>
    <row r="10">
      <c r="A10" s="86" t="s">
        <v>21</v>
      </c>
      <c r="B10" s="87" t="s">
        <v>21</v>
      </c>
      <c r="C10" s="87" t="s">
        <v>388</v>
      </c>
      <c r="D10" s="92">
        <f>COUNTIFS('Raw With Formulas'!G:G, 2, 'Raw With Formulas'!H:H,B10)</f>
        <v>0</v>
      </c>
    </row>
    <row r="11">
      <c r="A11" s="89" t="s">
        <v>18</v>
      </c>
      <c r="B11" s="90" t="s">
        <v>18</v>
      </c>
      <c r="C11" s="90" t="s">
        <v>386</v>
      </c>
      <c r="D11" s="93">
        <f>COUNTIFS('Raw With Formulas'!G:G, 2, 'Raw With Formulas'!H:H,B11)</f>
        <v>0</v>
      </c>
    </row>
    <row r="12">
      <c r="A12" s="86" t="s">
        <v>43</v>
      </c>
      <c r="B12" s="87" t="s">
        <v>43</v>
      </c>
      <c r="C12" s="87" t="s">
        <v>389</v>
      </c>
      <c r="D12" s="92">
        <f>COUNTIFS('Raw With Formulas'!G:G, 2, 'Raw With Formulas'!H:H,B12)</f>
        <v>0</v>
      </c>
    </row>
    <row r="13">
      <c r="A13" s="89" t="s">
        <v>398</v>
      </c>
      <c r="B13" s="90" t="s">
        <v>51</v>
      </c>
      <c r="C13" s="90" t="s">
        <v>387</v>
      </c>
      <c r="D13" s="93">
        <f>COUNTIFS('Raw With Formulas'!G:G, 2, 'Raw With Formulas'!H:H,B13)</f>
        <v>0</v>
      </c>
    </row>
    <row r="14">
      <c r="A14" s="86" t="s">
        <v>24</v>
      </c>
      <c r="B14" s="87" t="s">
        <v>24</v>
      </c>
      <c r="C14" s="87" t="s">
        <v>384</v>
      </c>
      <c r="D14" s="92">
        <f>COUNTIFS('Raw With Formulas'!G:G, 2, 'Raw With Formulas'!H:H,B14)</f>
        <v>0</v>
      </c>
    </row>
    <row r="15">
      <c r="A15" s="89" t="s">
        <v>45</v>
      </c>
      <c r="B15" s="90" t="s">
        <v>45</v>
      </c>
      <c r="C15" s="90" t="s">
        <v>390</v>
      </c>
      <c r="D15" s="93">
        <f>COUNTIFS('Raw With Formulas'!G:G, 2, 'Raw With Formulas'!H:H,B15)</f>
        <v>0</v>
      </c>
    </row>
    <row r="16">
      <c r="A16" s="86" t="s">
        <v>399</v>
      </c>
      <c r="B16" s="87" t="s">
        <v>55</v>
      </c>
      <c r="C16" s="87" t="s">
        <v>381</v>
      </c>
      <c r="D16" s="92">
        <f>COUNTIFS('Raw With Formulas'!G:G, 2, 'Raw With Formulas'!H:H,B16)</f>
        <v>0</v>
      </c>
    </row>
    <row r="17">
      <c r="A17" s="89" t="s">
        <v>46</v>
      </c>
      <c r="B17" s="90" t="s">
        <v>46</v>
      </c>
      <c r="C17" s="90" t="s">
        <v>387</v>
      </c>
      <c r="D17" s="93">
        <f>COUNTIFS('Raw With Formulas'!G:G, 2, 'Raw With Formulas'!H:H,B17)</f>
        <v>0</v>
      </c>
    </row>
    <row r="18">
      <c r="A18" s="86" t="s">
        <v>30</v>
      </c>
      <c r="B18" s="87" t="s">
        <v>30</v>
      </c>
      <c r="C18" s="94"/>
      <c r="D18" s="88">
        <f>COUNTIFS('Raw With Formulas'!G:G, 2, 'Raw With Formulas'!H:H,B18)</f>
        <v>0</v>
      </c>
    </row>
    <row r="19">
      <c r="A19" s="89" t="s">
        <v>400</v>
      </c>
      <c r="B19" s="90" t="s">
        <v>34</v>
      </c>
      <c r="C19" s="90" t="s">
        <v>383</v>
      </c>
      <c r="D19" s="91">
        <f>COUNTIFS('Raw With Formulas'!G:G, 2, 'Raw With Formulas'!H:H,B19)</f>
        <v>0</v>
      </c>
    </row>
    <row r="20">
      <c r="A20" s="86" t="s">
        <v>401</v>
      </c>
      <c r="B20" s="87" t="s">
        <v>15</v>
      </c>
      <c r="C20" s="94"/>
      <c r="D20" s="92">
        <f>COUNTIFS('Raw With Formulas'!G:G, 2, 'Raw With Formulas'!H:H,B20)</f>
        <v>0</v>
      </c>
    </row>
    <row r="21">
      <c r="A21" s="89" t="s">
        <v>31</v>
      </c>
      <c r="B21" s="90" t="s">
        <v>31</v>
      </c>
      <c r="C21" s="90" t="s">
        <v>385</v>
      </c>
      <c r="D21" s="93">
        <f>COUNTIFS('Raw With Formulas'!G:G, 2, 'Raw With Formulas'!H:H,B21)</f>
        <v>0</v>
      </c>
    </row>
    <row r="22">
      <c r="A22" s="86" t="s">
        <v>8</v>
      </c>
      <c r="B22" s="87" t="s">
        <v>8</v>
      </c>
      <c r="C22" s="87" t="s">
        <v>386</v>
      </c>
      <c r="D22" s="92">
        <f>COUNTIFS('Raw With Formulas'!G:G, 2, 'Raw With Formulas'!H:H,B22)</f>
        <v>0</v>
      </c>
    </row>
    <row r="23">
      <c r="A23" s="89" t="s">
        <v>402</v>
      </c>
      <c r="B23" s="90" t="s">
        <v>36</v>
      </c>
      <c r="C23" s="90" t="s">
        <v>381</v>
      </c>
      <c r="D23" s="93">
        <f>COUNTIFS('Raw With Formulas'!G:G, 2, 'Raw With Formulas'!H:H,B23)</f>
        <v>0</v>
      </c>
    </row>
    <row r="24">
      <c r="A24" s="86" t="s">
        <v>52</v>
      </c>
      <c r="B24" s="87" t="s">
        <v>52</v>
      </c>
      <c r="C24" s="87" t="s">
        <v>383</v>
      </c>
      <c r="D24" s="92">
        <f>COUNTIFS('Raw With Formulas'!G:G, 2, 'Raw With Formulas'!H:H,B24)</f>
        <v>0</v>
      </c>
    </row>
    <row r="25">
      <c r="A25" s="89" t="s">
        <v>48</v>
      </c>
      <c r="B25" s="90" t="s">
        <v>48</v>
      </c>
      <c r="C25" s="90" t="s">
        <v>389</v>
      </c>
      <c r="D25" s="93">
        <f>COUNTIFS('Raw With Formulas'!G:G, 2, 'Raw With Formulas'!H:H,B25)</f>
        <v>0</v>
      </c>
    </row>
    <row r="26">
      <c r="A26" s="86" t="s">
        <v>403</v>
      </c>
      <c r="B26" s="87" t="s">
        <v>27</v>
      </c>
      <c r="C26" s="87" t="s">
        <v>391</v>
      </c>
      <c r="D26" s="92">
        <f>COUNTIFS('Raw With Formulas'!G:G, 2, 'Raw With Formulas'!H:H,B26)</f>
        <v>0</v>
      </c>
    </row>
    <row r="27">
      <c r="A27" s="89" t="s">
        <v>404</v>
      </c>
      <c r="B27" s="90" t="s">
        <v>42</v>
      </c>
      <c r="C27" s="90" t="s">
        <v>383</v>
      </c>
      <c r="D27" s="93">
        <f>COUNTIFS('Raw With Formulas'!G:G, 2, 'Raw With Formulas'!H:H,B27)</f>
        <v>0</v>
      </c>
    </row>
    <row r="28">
      <c r="A28" s="86" t="s">
        <v>405</v>
      </c>
      <c r="B28" s="87" t="s">
        <v>54</v>
      </c>
      <c r="C28" s="87" t="s">
        <v>386</v>
      </c>
      <c r="D28" s="92">
        <f>COUNTIFS('Raw With Formulas'!G:G, 2, 'Raw With Formulas'!H:H,B28)</f>
        <v>0</v>
      </c>
    </row>
    <row r="29">
      <c r="A29" s="89" t="s">
        <v>406</v>
      </c>
      <c r="B29" s="90" t="s">
        <v>28</v>
      </c>
      <c r="C29" s="90" t="s">
        <v>385</v>
      </c>
      <c r="D29" s="93">
        <f>COUNTIFS('Raw With Formulas'!G:G, 2, 'Raw With Formulas'!H:H,B29)</f>
        <v>0</v>
      </c>
    </row>
    <row r="30">
      <c r="A30" s="86" t="s">
        <v>19</v>
      </c>
      <c r="B30" s="87" t="s">
        <v>19</v>
      </c>
      <c r="C30" s="87" t="s">
        <v>390</v>
      </c>
      <c r="D30" s="92">
        <f>COUNTIFS('Raw With Formulas'!G:G, 2, 'Raw With Formulas'!H:H,B30)</f>
        <v>0</v>
      </c>
    </row>
    <row r="31">
      <c r="A31" s="89" t="s">
        <v>407</v>
      </c>
      <c r="B31" s="90" t="s">
        <v>9</v>
      </c>
      <c r="C31" s="90" t="s">
        <v>385</v>
      </c>
      <c r="D31" s="93">
        <f>COUNTIFS('Raw With Formulas'!G:G, 2, 'Raw With Formulas'!H:H,B31)</f>
        <v>0</v>
      </c>
    </row>
    <row r="32">
      <c r="A32" s="86" t="s">
        <v>408</v>
      </c>
      <c r="B32" s="87" t="s">
        <v>40</v>
      </c>
      <c r="C32" s="87" t="s">
        <v>388</v>
      </c>
      <c r="D32" s="92">
        <f>COUNTIFS('Raw With Formulas'!G:G, 2, 'Raw With Formulas'!H:H,B32)</f>
        <v>0</v>
      </c>
    </row>
    <row r="33">
      <c r="A33" s="95" t="s">
        <v>409</v>
      </c>
      <c r="B33" s="96" t="s">
        <v>39</v>
      </c>
      <c r="C33" s="96" t="s">
        <v>387</v>
      </c>
      <c r="D33" s="97">
        <f>COUNTIFS('Raw With Formulas'!G:G, 2, 'Raw With Formulas'!H:H,B33)</f>
        <v>0</v>
      </c>
    </row>
  </sheetData>
  <conditionalFormatting sqref="D3 D5 D7 D9 D11 D13 D15 D17 D19 D21 D23 D25 D27 D29 D31 D33">
    <cfRule type="cellIs" dxfId="6" priority="1" operator="equal">
      <formula>0</formula>
    </cfRule>
  </conditionalFormatting>
  <conditionalFormatting sqref="D2 D4 D6 D8 D10 D12 D14 D16 D18 D20 D22 D24 D26 D28 D30 D32">
    <cfRule type="cellIs" dxfId="3" priority="2" operator="equal">
      <formula>0</formula>
    </cfRule>
  </conditionalFormatting>
  <conditionalFormatting sqref="D2:D33">
    <cfRule type="expression" dxfId="10" priority="3">
      <formula>D2=MAX($D$3:$D$33)</formula>
    </cfRule>
  </conditionalFormatting>
  <conditionalFormatting sqref="D2:D33">
    <cfRule type="expression" dxfId="7" priority="4">
      <formula>D2=LARGE($D$3:$D$33,2)</formula>
    </cfRule>
  </conditionalFormatting>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 customWidth="1" min="2" max="2" width="9.63"/>
    <col customWidth="1" min="3" max="3" width="11.5"/>
    <col hidden="1" min="4" max="4" width="12.63"/>
    <col customWidth="1" min="5" max="5" width="37.75"/>
    <col hidden="1" min="6" max="6" width="12.63"/>
    <col customWidth="1" min="7" max="7" width="24.0"/>
    <col hidden="1" min="8" max="8" width="12.63"/>
    <col customWidth="1" min="9" max="9" width="35.88"/>
    <col hidden="1" min="10" max="10" width="12.63"/>
    <col customWidth="1" min="11" max="11" width="35.88"/>
    <col hidden="1" min="12" max="12" width="12.63"/>
    <col customWidth="1" min="13" max="13" width="35.88"/>
    <col hidden="1" min="14" max="14" width="12.63"/>
    <col customWidth="1" min="15" max="15" width="35.88"/>
    <col hidden="1" min="16" max="16" width="12.63"/>
    <col customWidth="1" min="17" max="17" width="35.88"/>
    <col hidden="1" min="18" max="18" width="12.63"/>
    <col customWidth="1" min="19" max="19" width="35.88"/>
    <col hidden="1" min="20" max="20" width="12.63"/>
    <col customWidth="1" min="21" max="21" width="35.88"/>
    <col hidden="1" min="22" max="22" width="12.63"/>
    <col customWidth="1" min="23" max="23" width="35.88"/>
    <col hidden="1" min="24" max="24" width="12.63"/>
    <col customWidth="1" min="25" max="25" width="35.88"/>
    <col hidden="1" min="26" max="26" width="12.63"/>
    <col customWidth="1" min="27" max="27" width="35.88"/>
    <col hidden="1" min="28" max="28" width="12.63"/>
    <col customWidth="1" min="29" max="29" width="35.88"/>
    <col hidden="1" min="30" max="30" width="12.63"/>
    <col customWidth="1" min="31" max="31" width="24.0"/>
    <col hidden="1" min="32" max="32" width="12.63"/>
    <col customWidth="1" min="33" max="33" width="35.88"/>
    <col hidden="1" min="34" max="34" width="12.63"/>
    <col customWidth="1" min="35" max="35" width="24.0"/>
    <col hidden="1" min="36" max="36" width="12.63"/>
    <col customWidth="1" min="37" max="37" width="35.88"/>
    <col hidden="1" min="38" max="38" width="12.63"/>
    <col customWidth="1" min="39" max="39" width="35.88"/>
    <col hidden="1" min="40" max="40" width="12.63"/>
  </cols>
  <sheetData>
    <row r="1">
      <c r="A1" s="82" t="s">
        <v>393</v>
      </c>
      <c r="B1" s="83" t="s">
        <v>394</v>
      </c>
      <c r="C1" s="83" t="s">
        <v>395</v>
      </c>
      <c r="D1" s="83" t="s">
        <v>410</v>
      </c>
      <c r="E1" s="84" t="s">
        <v>411</v>
      </c>
      <c r="F1" s="83" t="s">
        <v>412</v>
      </c>
      <c r="G1" s="84" t="s">
        <v>413</v>
      </c>
      <c r="H1" s="83" t="s">
        <v>414</v>
      </c>
      <c r="I1" s="84" t="s">
        <v>415</v>
      </c>
      <c r="J1" s="83" t="s">
        <v>416</v>
      </c>
      <c r="K1" s="84" t="s">
        <v>417</v>
      </c>
      <c r="L1" s="83" t="s">
        <v>418</v>
      </c>
      <c r="M1" s="84" t="s">
        <v>419</v>
      </c>
      <c r="N1" s="83" t="s">
        <v>420</v>
      </c>
      <c r="O1" s="84" t="s">
        <v>421</v>
      </c>
      <c r="P1" s="83" t="s">
        <v>422</v>
      </c>
      <c r="Q1" s="84" t="s">
        <v>423</v>
      </c>
      <c r="R1" s="83" t="s">
        <v>424</v>
      </c>
      <c r="S1" s="84" t="s">
        <v>425</v>
      </c>
      <c r="T1" s="83" t="s">
        <v>426</v>
      </c>
      <c r="U1" s="84" t="s">
        <v>427</v>
      </c>
      <c r="V1" s="83" t="s">
        <v>428</v>
      </c>
      <c r="W1" s="84" t="s">
        <v>429</v>
      </c>
      <c r="X1" s="83" t="s">
        <v>430</v>
      </c>
      <c r="Y1" s="84" t="s">
        <v>431</v>
      </c>
      <c r="Z1" s="83" t="s">
        <v>432</v>
      </c>
      <c r="AA1" s="84" t="s">
        <v>433</v>
      </c>
      <c r="AB1" s="83" t="s">
        <v>434</v>
      </c>
      <c r="AC1" s="84" t="s">
        <v>435</v>
      </c>
      <c r="AD1" s="83" t="s">
        <v>436</v>
      </c>
      <c r="AE1" s="52" t="s">
        <v>437</v>
      </c>
      <c r="AF1" s="83" t="s">
        <v>438</v>
      </c>
      <c r="AG1" s="84" t="s">
        <v>439</v>
      </c>
      <c r="AH1" s="83" t="s">
        <v>440</v>
      </c>
      <c r="AI1" s="84" t="s">
        <v>441</v>
      </c>
      <c r="AJ1" s="83" t="s">
        <v>442</v>
      </c>
      <c r="AK1" s="84" t="s">
        <v>443</v>
      </c>
      <c r="AL1" s="83" t="s">
        <v>444</v>
      </c>
      <c r="AM1" s="84" t="s">
        <v>445</v>
      </c>
      <c r="AN1" s="85" t="s">
        <v>446</v>
      </c>
    </row>
    <row r="2">
      <c r="A2" s="86" t="s">
        <v>12</v>
      </c>
      <c r="B2" s="87" t="s">
        <v>12</v>
      </c>
      <c r="C2" s="87" t="str">
        <f>vlookup(A2,'Wins by Team'!A:C,3,false)</f>
        <v>Grant|Rusty</v>
      </c>
      <c r="D2" s="87" t="str">
        <f>E2&amp;COUNTIF($E2:E$3, E2)</f>
        <v>BYE, GAME NOT STARTED, OR NO STATS YET2</v>
      </c>
      <c r="E2" s="87" t="str">
        <f>if(MAXIFS('Player Stats - Current Week'!F:F,'Player Stats - Current Week'!C:C,B2,'Player Stats - Current Week'!D:D,"QB")=0,"BYE, GAME NOT STARTED, OR NO STATS YET",iferror(MAXIFS('Player Stats - Current Week'!F:F,,'Player Stats - Current Week'!C:C,B2,'Player Stats - Current Week'!D:D,"QB"),""))</f>
        <v>BYE, GAME NOT STARTED, OR NO STATS YET</v>
      </c>
      <c r="F2" s="87" t="str">
        <f>G2&amp;COUNTIF($G2:G$3, G2)</f>
        <v>BYE OR GAME NOT STARTED2</v>
      </c>
      <c r="G2" s="87" t="str">
        <f>if(iferror(vlookup(CONCATENATE("Week 2",B2),'Raw With Formulas'!J:M,3,false),iferror(vlookup(CONCATENATE("Week 2",B2),'Raw With Formulas'!K:M,3,false),"BYE OR GAME NOT STARTED")) = "", "BYE OR GAME NOT STARTED", iferror(vlookup(CONCATENATE("Week 2",B2),'Raw With Formulas'!J:M,3,false),iferror(vlookup(CONCATENATE("Week 2",B2),'Raw With Formulas'!K:M,3,false),"BYE OR GAME NOT STARTED")))</f>
        <v>BYE OR GAME NOT STARTED</v>
      </c>
      <c r="H2" s="87" t="str">
        <f>I2&amp;COUNTIF($I2:I$3, I2)</f>
        <v>BYE, GAME NOT STARTED, OR NO STATS YET2</v>
      </c>
      <c r="I2" s="87" t="str">
        <f>iferror(
if(
sumifs(
#REF!,
'Player Stats - Current Week'!C:C,
iferror(
vlookup(
CONCATENATE("Week 3",B2), 
'Raw With Formulas'!J:N,
2,false
),
vlookup(CONCATENATE("Week 3",B2), 'Raw With Formulas'!K:N,4,false))) 
= 0,
"BYE, GAME NOT STARTED, OR NO STATS YET",
iferror(
sumifs(
#REF!,
'Player Stats - Current Week'!C:C,
iferror(
vlookup(
CONCATENATE("Week 3",B2), 
'Raw With Formulas'!J:N,
2,false
),
vlookup(CONCATENATE("Week 3",B2), 'Raw With Formulas'!K:N,4,false))),
""
)
),
"BYE, GAME NOT STARTED, OR NO STATS YET"
)</f>
        <v>BYE, GAME NOT STARTED, OR NO STATS YET</v>
      </c>
      <c r="J2" s="87" t="s">
        <v>447</v>
      </c>
      <c r="K2" s="87" t="str">
        <f>if(MAXIFS('Player Stats - Current Week'!F:F,'Player Stats - Current Week'!C:C,B2,'Player Stats - Current Week'!D:D,"TE")=0,"BYE, GAME NOT STARTED, OR NO STATS YET",iferror(MAXIFS('Player Stats - Current Week'!F:F,'Player Stats - Current Week'!C:C,B2,'Player Stats - Current Week'!D:D,"TE"),""))</f>
        <v>BYE, GAME NOT STARTED, OR NO STATS YET</v>
      </c>
      <c r="L2" s="87" t="s">
        <v>447</v>
      </c>
      <c r="M2" s="87" t="str">
        <f>if(MAXIFS('Player Stats - Current Week'!Q:Q,'Player Stats - Current Week'!C:C,B2,'Player Stats - Current Week'!D:D,"WR")=0,"BYE, GAME NOT STARTED, OR NO STATS YET",iferror(MAXIFS('Player Stats - Current Week'!Q:Q,'Player Stats - Current Week'!C:C,B2,'Player Stats - Current Week'!D:D,"WR"),""))</f>
        <v>BYE, GAME NOT STARTED, OR NO STATS YET</v>
      </c>
      <c r="N2" s="87" t="s">
        <v>447</v>
      </c>
      <c r="O2" s="87" t="str">
        <f>if((SUMIFS('Player Stats - Current Week'!L:L,'Player Stats - Current Week'!C:C,B2)+SUMIFS('Player Stats - Current Week'!R:R,'Player Stats - Current Week'!C:C,B2))=0,"BYE, GAME NOT STARTED, OR NO STATS YET",((SUMIFS('Player Stats - Current Week'!R:R,'Player Stats - Current Week'!C:C,B2)*6)+SUMIFS('Player Stats - Current Week'!L:L,'Player Stats - Current Week'!C:C,B2)))</f>
        <v>BYE, GAME NOT STARTED, OR NO STATS YET</v>
      </c>
      <c r="P2" s="87" t="s">
        <v>447</v>
      </c>
      <c r="Q2" s="87" t="str">
        <f>if((SUMIFS('Player Stats - Current Week'!G:G,'Player Stats - Current Week'!C:C,B2,'Player Stats - Current Week'!D:D,"RB")+SUMIFS('Player Stats - Current Week'!E:E,'Player Stats - Current Week'!C:C,B2,'Player Stats - Current Week'!D:D,"RB"))=0,"BYE, GAME NOT STARTED, OR NO STATS YET",((SUMIFS('Player Stats - Current Week'!G:G,'Player Stats - Current Week'!C:C,B2,'Player Stats - Current Week'!D:D,"RB")*6)+SUMIFS('Player Stats - Current Week'!E:E,'Player Stats - Current Week'!C:C,B2,'Player Stats - Current Week'!D:D,"RB")))</f>
        <v>BYE, GAME NOT STARTED, OR NO STATS YET</v>
      </c>
      <c r="R2" s="87" t="s">
        <v>447</v>
      </c>
      <c r="S2" s="87" t="str">
        <f>if(MAXIFS('Player Stats - Current Week'!L:L,'Player Stats - Current Week'!C:C,B2,'Player Stats - Current Week'!D:D,"PK")=0,"BYE, GAME NOT STARTED, OR NO STATS YET",iferror(MAXIFS('Player Stats - Current Week'!L:L,'Player Stats - Current Week'!C:C,B2,'Player Stats - Current Week'!D:D,"PK"),""))</f>
        <v>BYE, GAME NOT STARTED, OR NO STATS YET</v>
      </c>
      <c r="T2" s="87" t="s">
        <v>447</v>
      </c>
      <c r="U2" s="87" t="str">
        <f>if(MAXIFS('Player Stats - Current Week'!N:N,'Player Stats - Current Week'!C:C,B2,'Player Stats - Current Week'!D:D,"QB")=0,"BYE, GAME NOT STARTED, OR NO STATS YET",iferror(MAXIFS('Player Stats - Current Week'!N:N,'Player Stats - Current Week'!C:C,B2,'Player Stats - Current Week'!D:D,"QB"),""))</f>
        <v>BYE, GAME NOT STARTED, OR NO STATS YET</v>
      </c>
      <c r="V2" s="87" t="s">
        <v>447</v>
      </c>
      <c r="W2" s="87" t="str">
        <f>if(SUMIFS('Player Stats - Current Week'!O:O,'Player Stats - Current Week'!C:C,B2)=0,"BYE, GAME NOT STARTED, OR NO STATS YET",iferror(SUMIFS('Player Stats - Current Week'!O:O,'Player Stats - Current Week'!C:C,B2),""))</f>
        <v>BYE, GAME NOT STARTED, OR NO STATS YET</v>
      </c>
      <c r="X2" s="87" t="s">
        <v>447</v>
      </c>
      <c r="Y2" s="87" t="str">
        <f>if(MAXIFS('Player Stats - Current Week'!Q:Q,'Player Stats - Current Week'!C:C,B2,'Player Stats - Current Week'!D:D,"TE")=0,"BYE, GAME NOT STARTED, OR NO STATS YET",iferror(MAXIFS('Player Stats - Current Week'!Q:Q,'Player Stats - Current Week'!C:C,B2,'Player Stats - Current Week'!D:D,"TE"),""))</f>
        <v>BYE, GAME NOT STARTED, OR NO STATS YET</v>
      </c>
      <c r="Z2" s="87" t="s">
        <v>447</v>
      </c>
      <c r="AA2" s="87" t="str">
        <f>if(MAXIFS('Player Stats - Current Week'!S:S,'Player Stats - Current Week'!C:C,B2)=0,"BYE, GAME NOT STARTED, OR NO STATS YET",iferror(MAXIFS('Player Stats - Current Week'!S:S,'Player Stats - Current Week'!C:C,B2),""))</f>
        <v>BYE, GAME NOT STARTED, OR NO STATS YET</v>
      </c>
      <c r="AB2" s="87" t="s">
        <v>447</v>
      </c>
      <c r="AC2" s="87" t="str">
        <f>if(MAXIFS('Player Stats - Current Week'!G:G,'Player Stats - Current Week'!C:C,B2,'Player Stats - Current Week'!D:D,"QB")=0,"BYE, GAME NOT STARTED, OR NO STATS YET",iferror(MAXIFS('Player Stats - Current Week'!G:G,'Player Stats - Current Week'!C:C,B2,'Player Stats - Current Week'!D:D,"QB"),""))</f>
        <v>BYE, GAME NOT STARTED, OR NO STATS YET</v>
      </c>
      <c r="AD2" s="87" t="str">
        <f>AE2&amp;COUNTIF($AE2:AE$3, AE2)</f>
        <v>BYE OR GAME NOT STARTED2</v>
      </c>
      <c r="AE2" s="98" t="str">
        <f>if(iferror(vlookup(CONCATENATE("Week 14",B2),'Raw With Formulas'!J:M,4,false),iferror(vlookup(CONCATENATE("Week 14",B2),'Raw With Formulas'!K:M,2,false),"BYE OR GAME NOT STARTED"))="","BYE OR GAME NOT STARTED",iferror(vlookup(CONCATENATE("Week 14",B2),'Raw With Formulas'!J:M,4,false),iferror(vlookup(CONCATENATE("Week 14",B2),'Raw With Formulas'!K:M,2,false),"BYE OR GAME NOT STARTED")))</f>
        <v>BYE OR GAME NOT STARTED</v>
      </c>
      <c r="AF2" s="87" t="str">
        <f>AG2&amp;COUNTIF($AG2:AG$3, AG2)</f>
        <v>BYE, GAME NOT STARTED, OR NO STATS YET2</v>
      </c>
      <c r="AG2" s="87" t="str">
        <f>if(MAXIFS('Player Stats - Current Week'!Q:Q,'Player Stats - Current Week'!C:C,B2,'Player Stats - Current Week'!D:D,"QB")=0,"BYE, GAME NOT STARTED, OR NO STATS YET",iferror(MAXIFS('Player Stats - Current Week'!Q:Q,'Player Stats - Current Week'!C:C,B2,'Player Stats - Current Week'!D:D,"QB"),""))</f>
        <v>BYE, GAME NOT STARTED, OR NO STATS YET</v>
      </c>
      <c r="AH2" s="87" t="str">
        <f>AI2&amp;COUNTIF($AI2:AI$3, AI2)</f>
        <v>BYE OR GAME NOT STARTED2</v>
      </c>
      <c r="AI2" s="87" t="str">
        <f>if(iferror(vlookup(CONCATENATE("Week 16",B2),'Raw With Formulas'!J:M,3,false),iferror(vlookup(CONCATENATE("Week 16",B2),'Raw With Formulas'!K:M,3,false),"BYE OR GAME NOT STARTED"))="","BYE OR GAME NOT STARTED",iferror(vlookup(CONCATENATE("Week 16",B2),'Raw With Formulas'!J:M,3,false),iferror(vlookup(CONCATENATE("Week 16",B2),'Raw With Formulas'!K:M,3,false),"BYE OR GAME NOT STARTED")))</f>
        <v>BYE OR GAME NOT STARTED</v>
      </c>
      <c r="AJ2" s="87" t="str">
        <f>AK2&amp;COUNTIF($AK2:AK$3, AK2)</f>
        <v>BYE, GAME NOT STARTED, OR NO STATS YET2</v>
      </c>
      <c r="AK2" s="87" t="str">
        <f>if(MAXIFS('Player Stats - Current Week'!F:F,'Player Stats - Current Week'!C:C,B2,'Player Stats - Current Week'!D:D,"WR")=0,"BYE, GAME NOT STARTED, OR NO STATS YET",iferror(MAXIFS('Player Stats - Current Week'!F:F,'Player Stats - Current Week'!C:C,B2,'Player Stats - Current Week'!D:D,"WR"),""))</f>
        <v>BYE, GAME NOT STARTED, OR NO STATS YET</v>
      </c>
      <c r="AL2" s="87" t="s">
        <v>447</v>
      </c>
      <c r="AM2" s="87" t="str">
        <f>if(MAXIFS('Player Stats - Current Week'!Q:Q,'Player Stats - Current Week'!C:C,B2,'Player Stats - Current Week'!D:D,"RB")=0,"BYE, GAME NOT STARTED, OR NO STATS YET",iferror(MAXIFS('Player Stats - Current Week'!Q:Q,'Player Stats - Current Week'!C:C,B2,'Player Stats - Current Week'!D:D,"RB"),""))</f>
        <v>BYE, GAME NOT STARTED, OR NO STATS YET</v>
      </c>
      <c r="AN2" s="88" t="str">
        <f t="shared" ref="AN2:AN33" si="1">C2</f>
        <v>Grant|Rusty</v>
      </c>
    </row>
    <row r="3">
      <c r="A3" s="89" t="s">
        <v>49</v>
      </c>
      <c r="B3" s="90" t="s">
        <v>49</v>
      </c>
      <c r="C3" s="90" t="str">
        <f>vlookup(A3,'Wins by Team'!A:C,3,false)</f>
        <v>Rob</v>
      </c>
      <c r="D3" s="90" t="str">
        <f t="shared" ref="D3:D33" si="2">E3&amp;COUNTIF($E$3:E3, E3)</f>
        <v>BYE, GAME NOT STARTED, OR NO STATS YET1</v>
      </c>
      <c r="E3" s="90" t="str">
        <f>if(MAXIFS('Player Stats - Current Week'!F:F,'Player Stats - Current Week'!C:C,B3,'Player Stats - Current Week'!D:D,"QB")=0,"BYE, GAME NOT STARTED, OR NO STATS YET",iferror(MAXIFS('Player Stats - Current Week'!F:F,,'Player Stats - Current Week'!C:C,B3,'Player Stats - Current Week'!D:D,"QB"),""))</f>
        <v>BYE, GAME NOT STARTED, OR NO STATS YET</v>
      </c>
      <c r="F3" s="90" t="str">
        <f t="shared" ref="F3:F17" si="3">G3&amp;COUNTIF($G$3:G3, G3)</f>
        <v>BYE OR GAME NOT STARTED1</v>
      </c>
      <c r="G3" s="90" t="str">
        <f>if(iferror(vlookup(CONCATENATE("Week 2",B3),'Raw With Formulas'!J:M,3,false),iferror(vlookup(CONCATENATE("Week 2",B3),'Raw With Formulas'!K:M,3,false),"BYE OR GAME NOT STARTED")) = "", "BYE OR GAME NOT STARTED", iferror(vlookup(CONCATENATE("Week 2",B3),'Raw With Formulas'!J:M,3,false),iferror(vlookup(CONCATENATE("Week 2",B3),'Raw With Formulas'!K:M,3,false),"BYE OR GAME NOT STARTED")))</f>
        <v>BYE OR GAME NOT STARTED</v>
      </c>
      <c r="H3" s="90" t="str">
        <f t="shared" ref="H3:H17" si="4">I3&amp;COUNTIF($I$3:I3, I3)</f>
        <v>BYE, GAME NOT STARTED, OR NO STATS YET1</v>
      </c>
      <c r="I3" s="90" t="str">
        <f>iferror(
if(
sumifs(
#REF!,
'Player Stats - Current Week'!C:C,
iferror(
vlookup(
CONCATENATE("Week 3",B3), 
'Raw With Formulas'!J:N,
2,false
),
vlookup(CONCATENATE("Week 3",B3), 'Raw With Formulas'!K:N,4,false))) 
= 0,
"BYE, GAME NOT STARTED, OR NO STATS YET",
iferror(
sumifs(
#REF!,
'Player Stats - Current Week'!C:C,
iferror(
vlookup(
CONCATENATE("Week 3",B3), 
'Raw With Formulas'!J:N,
2,false
),
vlookup(CONCATENATE("Week 3",B3), 'Raw With Formulas'!K:N,4,false))),
""
)
),
"BYE, GAME NOT STARTED, OR NO STATS YET"
)</f>
        <v>BYE, GAME NOT STARTED, OR NO STATS YET</v>
      </c>
      <c r="J3" s="90" t="s">
        <v>447</v>
      </c>
      <c r="K3" s="90" t="str">
        <f>if(MAXIFS('Player Stats - Current Week'!F:F,'Player Stats - Current Week'!C:C,B3,'Player Stats - Current Week'!D:D,"TE")=0,"BYE, GAME NOT STARTED, OR NO STATS YET",iferror(MAXIFS('Player Stats - Current Week'!F:F,'Player Stats - Current Week'!C:C,B3,'Player Stats - Current Week'!D:D,"TE"),""))</f>
        <v>BYE, GAME NOT STARTED, OR NO STATS YET</v>
      </c>
      <c r="L3" s="90" t="s">
        <v>447</v>
      </c>
      <c r="M3" s="90" t="str">
        <f>if(MAXIFS('Player Stats - Current Week'!Q:Q,'Player Stats - Current Week'!C:C,B3,'Player Stats - Current Week'!D:D,"WR")=0,"BYE, GAME NOT STARTED, OR NO STATS YET",iferror(MAXIFS('Player Stats - Current Week'!Q:Q,'Player Stats - Current Week'!C:C,B3,'Player Stats - Current Week'!D:D,"WR"),""))</f>
        <v>BYE, GAME NOT STARTED, OR NO STATS YET</v>
      </c>
      <c r="N3" s="90" t="s">
        <v>447</v>
      </c>
      <c r="O3" s="90" t="str">
        <f>if((SUMIFS('Player Stats - Current Week'!L:L,'Player Stats - Current Week'!C:C,B3)+SUMIFS('Player Stats - Current Week'!R:R,'Player Stats - Current Week'!C:C,B3))=0,"BYE, GAME NOT STARTED, OR NO STATS YET",((SUMIFS('Player Stats - Current Week'!R:R,'Player Stats - Current Week'!C:C,B3)*6)+SUMIFS('Player Stats - Current Week'!L:L,'Player Stats - Current Week'!C:C,B3)))</f>
        <v>BYE, GAME NOT STARTED, OR NO STATS YET</v>
      </c>
      <c r="P3" s="90" t="s">
        <v>447</v>
      </c>
      <c r="Q3" s="90" t="str">
        <f>if((SUMIFS('Player Stats - Current Week'!G:G,'Player Stats - Current Week'!C:C,B3,'Player Stats - Current Week'!D:D,"RB")+SUMIFS('Player Stats - Current Week'!E:E,'Player Stats - Current Week'!C:C,B3,'Player Stats - Current Week'!D:D,"RB"))=0,"BYE, GAME NOT STARTED, OR NO STATS YET",((SUMIFS('Player Stats - Current Week'!G:G,'Player Stats - Current Week'!C:C,B3,'Player Stats - Current Week'!D:D,"RB")*6)+SUMIFS('Player Stats - Current Week'!E:E,'Player Stats - Current Week'!C:C,B3,'Player Stats - Current Week'!D:D,"RB")))</f>
        <v>BYE, GAME NOT STARTED, OR NO STATS YET</v>
      </c>
      <c r="R3" s="90" t="s">
        <v>447</v>
      </c>
      <c r="S3" s="90" t="str">
        <f>if(MAXIFS('Player Stats - Current Week'!L:L,'Player Stats - Current Week'!C:C,B3,'Player Stats - Current Week'!D:D,"PK")=0,"BYE, GAME NOT STARTED, OR NO STATS YET",iferror(MAXIFS('Player Stats - Current Week'!L:L,'Player Stats - Current Week'!C:C,B3,'Player Stats - Current Week'!D:D,"PK"),""))</f>
        <v>BYE, GAME NOT STARTED, OR NO STATS YET</v>
      </c>
      <c r="T3" s="90" t="s">
        <v>447</v>
      </c>
      <c r="U3" s="90" t="str">
        <f>if(MAXIFS('Player Stats - Current Week'!N:N,'Player Stats - Current Week'!C:C,B3,'Player Stats - Current Week'!D:D,"QB")=0,"BYE, GAME NOT STARTED, OR NO STATS YET",iferror(MAXIFS('Player Stats - Current Week'!N:N,'Player Stats - Current Week'!C:C,B3,'Player Stats - Current Week'!D:D,"QB"),""))</f>
        <v>BYE, GAME NOT STARTED, OR NO STATS YET</v>
      </c>
      <c r="V3" s="90" t="s">
        <v>447</v>
      </c>
      <c r="W3" s="90" t="str">
        <f>if(SUMIFS('Player Stats - Current Week'!O:O,'Player Stats - Current Week'!C:C,B3)=0,"BYE, GAME NOT STARTED, OR NO STATS YET",iferror(SUMIFS('Player Stats - Current Week'!O:O,'Player Stats - Current Week'!C:C,B3),""))</f>
        <v>BYE, GAME NOT STARTED, OR NO STATS YET</v>
      </c>
      <c r="X3" s="90" t="s">
        <v>447</v>
      </c>
      <c r="Y3" s="90" t="str">
        <f>if(MAXIFS('Player Stats - Current Week'!Q:Q,'Player Stats - Current Week'!C:C,B3,'Player Stats - Current Week'!D:D,"TE")=0,"BYE, GAME NOT STARTED, OR NO STATS YET",iferror(MAXIFS('Player Stats - Current Week'!Q:Q,'Player Stats - Current Week'!C:C,B3,'Player Stats - Current Week'!D:D,"TE"),""))</f>
        <v>BYE, GAME NOT STARTED, OR NO STATS YET</v>
      </c>
      <c r="Z3" s="90" t="s">
        <v>447</v>
      </c>
      <c r="AA3" s="90" t="str">
        <f>if(MAXIFS('Player Stats - Current Week'!S:S,'Player Stats - Current Week'!C:C,B3)=0,"BYE, GAME NOT STARTED, OR NO STATS YET",iferror(MAXIFS('Player Stats - Current Week'!S:S,'Player Stats - Current Week'!C:C,B3),""))</f>
        <v>BYE, GAME NOT STARTED, OR NO STATS YET</v>
      </c>
      <c r="AB3" s="90" t="s">
        <v>447</v>
      </c>
      <c r="AC3" s="90" t="str">
        <f>if(MAXIFS('Player Stats - Current Week'!G:G,'Player Stats - Current Week'!C:C,B3,'Player Stats - Current Week'!D:D,"QB")=0,"BYE, GAME NOT STARTED, OR NO STATS YET",iferror(MAXIFS('Player Stats - Current Week'!G:G,'Player Stats - Current Week'!C:C,B3,'Player Stats - Current Week'!D:D,"QB"),""))</f>
        <v>BYE, GAME NOT STARTED, OR NO STATS YET</v>
      </c>
      <c r="AD3" s="90" t="str">
        <f t="shared" ref="AD3:AD17" si="5">AE3&amp;COUNTIF($AE$3:AE3, AE3)</f>
        <v>BYE OR GAME NOT STARTED1</v>
      </c>
      <c r="AE3" s="99" t="str">
        <f>if(iferror(vlookup(CONCATENATE("Week 14",B3),'Raw With Formulas'!J:M,4,false),iferror(vlookup(CONCATENATE("Week 14",B3),'Raw With Formulas'!K:M,2,false),"BYE OR GAME NOT STARTED"))="","BYE OR GAME NOT STARTED",iferror(vlookup(CONCATENATE("Week 14",B3),'Raw With Formulas'!J:M,4,false),iferror(vlookup(CONCATENATE("Week 14",B3),'Raw With Formulas'!K:M,2,false),"BYE OR GAME NOT STARTED")))</f>
        <v>BYE OR GAME NOT STARTED</v>
      </c>
      <c r="AF3" s="90" t="str">
        <f t="shared" ref="AF3:AF17" si="6">AG3&amp;COUNTIF($AG$3:AG3, AG3)</f>
        <v>BYE, GAME NOT STARTED, OR NO STATS YET1</v>
      </c>
      <c r="AG3" s="90" t="str">
        <f>if(MAXIFS('Player Stats - Current Week'!Q:Q,'Player Stats - Current Week'!C:C,B3,'Player Stats - Current Week'!D:D,"QB")=0,"BYE, GAME NOT STARTED, OR NO STATS YET",iferror(MAXIFS('Player Stats - Current Week'!Q:Q,'Player Stats - Current Week'!C:C,B3,'Player Stats - Current Week'!D:D,"QB"),""))</f>
        <v>BYE, GAME NOT STARTED, OR NO STATS YET</v>
      </c>
      <c r="AH3" s="90" t="str">
        <f t="shared" ref="AH3:AH17" si="7">AI3&amp;COUNTIF($AI$3:AI3, AI3)</f>
        <v>BYE OR GAME NOT STARTED1</v>
      </c>
      <c r="AI3" s="90" t="str">
        <f>if(iferror(vlookup(CONCATENATE("Week 16",B3),'Raw With Formulas'!J:M,3,false),iferror(vlookup(CONCATENATE("Week 16",B3),'Raw With Formulas'!K:M,3,false),"BYE OR GAME NOT STARTED"))="","BYE OR GAME NOT STARTED",iferror(vlookup(CONCATENATE("Week 16",B3),'Raw With Formulas'!J:M,3,false),iferror(vlookup(CONCATENATE("Week 16",B3),'Raw With Formulas'!K:M,3,false),"BYE OR GAME NOT STARTED")))</f>
        <v>BYE OR GAME NOT STARTED</v>
      </c>
      <c r="AJ3" s="90" t="str">
        <f t="shared" ref="AJ3:AJ17" si="8">AK3&amp;COUNTIF($AK$3:AK3, AK3)</f>
        <v>BYE, GAME NOT STARTED, OR NO STATS YET1</v>
      </c>
      <c r="AK3" s="90" t="str">
        <f>if(MAXIFS('Player Stats - Current Week'!F:F,'Player Stats - Current Week'!C:C,B3,'Player Stats - Current Week'!D:D,"WR")=0,"BYE, GAME NOT STARTED, OR NO STATS YET",iferror(MAXIFS('Player Stats - Current Week'!F:F,'Player Stats - Current Week'!C:C,B3,'Player Stats - Current Week'!D:D,"WR"),""))</f>
        <v>BYE, GAME NOT STARTED, OR NO STATS YET</v>
      </c>
      <c r="AL3" s="90" t="s">
        <v>447</v>
      </c>
      <c r="AM3" s="90" t="str">
        <f>if(MAXIFS('Player Stats - Current Week'!Q:Q,'Player Stats - Current Week'!C:C,B3,'Player Stats - Current Week'!D:D,"RB")=0,"BYE, GAME NOT STARTED, OR NO STATS YET",iferror(MAXIFS('Player Stats - Current Week'!Q:Q,'Player Stats - Current Week'!C:C,B3,'Player Stats - Current Week'!D:D,"RB"),""))</f>
        <v>BYE, GAME NOT STARTED, OR NO STATS YET</v>
      </c>
      <c r="AN3" s="100" t="str">
        <f t="shared" si="1"/>
        <v>Rob</v>
      </c>
    </row>
    <row r="4">
      <c r="A4" s="86" t="s">
        <v>13</v>
      </c>
      <c r="B4" s="87" t="s">
        <v>13</v>
      </c>
      <c r="C4" s="87" t="str">
        <f>vlookup(A4,'Wins by Team'!A:C,3,false)</f>
        <v>Grant|Rusty</v>
      </c>
      <c r="D4" s="94" t="str">
        <f t="shared" si="2"/>
        <v>BYE, GAME NOT STARTED, OR NO STATS YET2</v>
      </c>
      <c r="E4" s="87" t="str">
        <f>if(MAXIFS('Player Stats - Current Week'!F:F,'Player Stats - Current Week'!C:C,B4,'Player Stats - Current Week'!D:D,"QB")=0,"BYE, GAME NOT STARTED, OR NO STATS YET",iferror(MAXIFS('Player Stats - Current Week'!F:F,,'Player Stats - Current Week'!C:C,B4,'Player Stats - Current Week'!D:D,"QB"),""))</f>
        <v>BYE, GAME NOT STARTED, OR NO STATS YET</v>
      </c>
      <c r="F4" s="94" t="str">
        <f t="shared" si="3"/>
        <v>BYE OR GAME NOT STARTED2</v>
      </c>
      <c r="G4" s="87" t="str">
        <f>if(iferror(vlookup(CONCATENATE("Week 2",B4),'Raw With Formulas'!J:M,3,false),iferror(vlookup(CONCATENATE("Week 2",B4),'Raw With Formulas'!K:M,3,false),"BYE OR GAME NOT STARTED")) = "", "BYE OR GAME NOT STARTED", iferror(vlookup(CONCATENATE("Week 2",B4),'Raw With Formulas'!J:M,3,false),iferror(vlookup(CONCATENATE("Week 2",B4),'Raw With Formulas'!K:M,3,false),"BYE OR GAME NOT STARTED")))</f>
        <v>BYE OR GAME NOT STARTED</v>
      </c>
      <c r="H4" s="94" t="str">
        <f t="shared" si="4"/>
        <v>BYE, GAME NOT STARTED, OR NO STATS YET2</v>
      </c>
      <c r="I4" s="87" t="str">
        <f>iferror(
if(
sumifs(
#REF!,
'Player Stats - Current Week'!C:C,
iferror(
vlookup(
CONCATENATE("Week 3",B4), 
'Raw With Formulas'!J:N,
2,false
),
vlookup(CONCATENATE("Week 3",B4), 'Raw With Formulas'!K:N,4,false))) 
= 0,
"BYE, GAME NOT STARTED, OR NO STATS YET",
iferror(
sumifs(
#REF!,
'Player Stats - Current Week'!C:C,
iferror(
vlookup(
CONCATENATE("Week 3",B4), 
'Raw With Formulas'!J:N,
2,false
),
vlookup(CONCATENATE("Week 3",B4), 'Raw With Formulas'!K:N,4,false))),
""
)
),
"BYE, GAME NOT STARTED, OR NO STATS YET"
)</f>
        <v>BYE, GAME NOT STARTED, OR NO STATS YET</v>
      </c>
      <c r="J4" s="87" t="s">
        <v>447</v>
      </c>
      <c r="K4" s="87" t="str">
        <f>if(MAXIFS('Player Stats - Current Week'!F:F,'Player Stats - Current Week'!C:C,B4,'Player Stats - Current Week'!D:D,"TE")=0,"BYE, GAME NOT STARTED, OR NO STATS YET",iferror(MAXIFS('Player Stats - Current Week'!F:F,'Player Stats - Current Week'!C:C,B4,'Player Stats - Current Week'!D:D,"TE"),""))</f>
        <v>BYE, GAME NOT STARTED, OR NO STATS YET</v>
      </c>
      <c r="L4" s="87" t="s">
        <v>447</v>
      </c>
      <c r="M4" s="87" t="str">
        <f>if(MAXIFS('Player Stats - Current Week'!Q:Q,'Player Stats - Current Week'!C:C,B4,'Player Stats - Current Week'!D:D,"WR")=0,"BYE, GAME NOT STARTED, OR NO STATS YET",iferror(MAXIFS('Player Stats - Current Week'!Q:Q,'Player Stats - Current Week'!C:C,B4,'Player Stats - Current Week'!D:D,"WR"),""))</f>
        <v>BYE, GAME NOT STARTED, OR NO STATS YET</v>
      </c>
      <c r="N4" s="87" t="s">
        <v>447</v>
      </c>
      <c r="O4" s="87" t="str">
        <f>if((SUMIFS('Player Stats - Current Week'!L:L,'Player Stats - Current Week'!C:C,B4)+SUMIFS('Player Stats - Current Week'!R:R,'Player Stats - Current Week'!C:C,B4))=0,"BYE, GAME NOT STARTED, OR NO STATS YET",((SUMIFS('Player Stats - Current Week'!R:R,'Player Stats - Current Week'!C:C,B4)*6)+SUMIFS('Player Stats - Current Week'!L:L,'Player Stats - Current Week'!C:C,B4)))</f>
        <v>BYE, GAME NOT STARTED, OR NO STATS YET</v>
      </c>
      <c r="P4" s="87" t="s">
        <v>447</v>
      </c>
      <c r="Q4" s="87" t="str">
        <f>if((SUMIFS('Player Stats - Current Week'!G:G,'Player Stats - Current Week'!C:C,B4,'Player Stats - Current Week'!D:D,"RB")+SUMIFS('Player Stats - Current Week'!E:E,'Player Stats - Current Week'!C:C,B4,'Player Stats - Current Week'!D:D,"RB"))=0,"BYE, GAME NOT STARTED, OR NO STATS YET",((SUMIFS('Player Stats - Current Week'!G:G,'Player Stats - Current Week'!C:C,B4,'Player Stats - Current Week'!D:D,"RB")*6)+SUMIFS('Player Stats - Current Week'!E:E,'Player Stats - Current Week'!C:C,B4,'Player Stats - Current Week'!D:D,"RB")))</f>
        <v>BYE, GAME NOT STARTED, OR NO STATS YET</v>
      </c>
      <c r="R4" s="87" t="s">
        <v>447</v>
      </c>
      <c r="S4" s="87" t="str">
        <f>if(MAXIFS('Player Stats - Current Week'!L:L,'Player Stats - Current Week'!C:C,B4,'Player Stats - Current Week'!D:D,"PK")=0,"BYE, GAME NOT STARTED, OR NO STATS YET",iferror(MAXIFS('Player Stats - Current Week'!L:L,'Player Stats - Current Week'!C:C,B4,'Player Stats - Current Week'!D:D,"PK"),""))</f>
        <v>BYE, GAME NOT STARTED, OR NO STATS YET</v>
      </c>
      <c r="T4" s="87" t="s">
        <v>447</v>
      </c>
      <c r="U4" s="87" t="str">
        <f>if(MAXIFS('Player Stats - Current Week'!N:N,'Player Stats - Current Week'!C:C,B4,'Player Stats - Current Week'!D:D,"QB")=0,"BYE, GAME NOT STARTED, OR NO STATS YET",iferror(MAXIFS('Player Stats - Current Week'!N:N,'Player Stats - Current Week'!C:C,B4,'Player Stats - Current Week'!D:D,"QB"),""))</f>
        <v>BYE, GAME NOT STARTED, OR NO STATS YET</v>
      </c>
      <c r="V4" s="87" t="s">
        <v>447</v>
      </c>
      <c r="W4" s="87" t="str">
        <f>if(SUMIFS('Player Stats - Current Week'!O:O,'Player Stats - Current Week'!C:C,B4)=0,"BYE, GAME NOT STARTED, OR NO STATS YET",iferror(SUMIFS('Player Stats - Current Week'!O:O,'Player Stats - Current Week'!C:C,B4),""))</f>
        <v>BYE, GAME NOT STARTED, OR NO STATS YET</v>
      </c>
      <c r="X4" s="87" t="s">
        <v>447</v>
      </c>
      <c r="Y4" s="87" t="str">
        <f>if(MAXIFS('Player Stats - Current Week'!Q:Q,'Player Stats - Current Week'!C:C,B4,'Player Stats - Current Week'!D:D,"TE")=0,"BYE, GAME NOT STARTED, OR NO STATS YET",iferror(MAXIFS('Player Stats - Current Week'!Q:Q,'Player Stats - Current Week'!C:C,B4,'Player Stats - Current Week'!D:D,"TE"),""))</f>
        <v>BYE, GAME NOT STARTED, OR NO STATS YET</v>
      </c>
      <c r="Z4" s="87" t="s">
        <v>447</v>
      </c>
      <c r="AA4" s="87" t="str">
        <f>if(MAXIFS('Player Stats - Current Week'!S:S,'Player Stats - Current Week'!C:C,B4)=0,"BYE, GAME NOT STARTED, OR NO STATS YET",iferror(MAXIFS('Player Stats - Current Week'!S:S,'Player Stats - Current Week'!C:C,B4),""))</f>
        <v>BYE, GAME NOT STARTED, OR NO STATS YET</v>
      </c>
      <c r="AB4" s="87" t="s">
        <v>447</v>
      </c>
      <c r="AC4" s="87" t="str">
        <f>if(MAXIFS('Player Stats - Current Week'!G:G,'Player Stats - Current Week'!C:C,B4,'Player Stats - Current Week'!D:D,"QB")=0,"BYE, GAME NOT STARTED, OR NO STATS YET",iferror(MAXIFS('Player Stats - Current Week'!G:G,'Player Stats - Current Week'!C:C,B4,'Player Stats - Current Week'!D:D,"QB"),""))</f>
        <v>BYE, GAME NOT STARTED, OR NO STATS YET</v>
      </c>
      <c r="AD4" s="94" t="str">
        <f t="shared" si="5"/>
        <v>BYE OR GAME NOT STARTED2</v>
      </c>
      <c r="AE4" s="98" t="str">
        <f>if(iferror(vlookup(CONCATENATE("Week 14",B4),'Raw With Formulas'!J:M,4,false),iferror(vlookup(CONCATENATE("Week 14",B4),'Raw With Formulas'!K:M,2,false),"BYE OR GAME NOT STARTED"))="","BYE OR GAME NOT STARTED",iferror(vlookup(CONCATENATE("Week 14",B4),'Raw With Formulas'!J:M,4,false),iferror(vlookup(CONCATENATE("Week 14",B4),'Raw With Formulas'!K:M,2,false),"BYE OR GAME NOT STARTED")))</f>
        <v>BYE OR GAME NOT STARTED</v>
      </c>
      <c r="AF4" s="94" t="str">
        <f t="shared" si="6"/>
        <v>BYE, GAME NOT STARTED, OR NO STATS YET2</v>
      </c>
      <c r="AG4" s="87" t="str">
        <f>if(MAXIFS('Player Stats - Current Week'!Q:Q,'Player Stats - Current Week'!C:C,B4,'Player Stats - Current Week'!D:D,"QB")=0,"BYE, GAME NOT STARTED, OR NO STATS YET",iferror(MAXIFS('Player Stats - Current Week'!Q:Q,'Player Stats - Current Week'!C:C,B4,'Player Stats - Current Week'!D:D,"QB"),""))</f>
        <v>BYE, GAME NOT STARTED, OR NO STATS YET</v>
      </c>
      <c r="AH4" s="94" t="str">
        <f t="shared" si="7"/>
        <v>BYE OR GAME NOT STARTED2</v>
      </c>
      <c r="AI4" s="94" t="str">
        <f>if(iferror(vlookup(CONCATENATE("Week 16",B4),'Raw With Formulas'!J:M,3,false),iferror(vlookup(CONCATENATE("Week 16",B4),'Raw With Formulas'!K:M,3,false),"BYE OR GAME NOT STARTED"))="","BYE OR GAME NOT STARTED",iferror(vlookup(CONCATENATE("Week 16",B4),'Raw With Formulas'!J:M,3,false),iferror(vlookup(CONCATENATE("Week 16",B4),'Raw With Formulas'!K:M,3,false),"BYE OR GAME NOT STARTED")))</f>
        <v>BYE OR GAME NOT STARTED</v>
      </c>
      <c r="AJ4" s="94" t="str">
        <f t="shared" si="8"/>
        <v>BYE, GAME NOT STARTED, OR NO STATS YET2</v>
      </c>
      <c r="AK4" s="87" t="str">
        <f>if(MAXIFS('Player Stats - Current Week'!F:F,'Player Stats - Current Week'!C:C,B4,'Player Stats - Current Week'!D:D,"WR")=0,"BYE, GAME NOT STARTED, OR NO STATS YET",iferror(MAXIFS('Player Stats - Current Week'!F:F,'Player Stats - Current Week'!C:C,B4,'Player Stats - Current Week'!D:D,"WR"),""))</f>
        <v>BYE, GAME NOT STARTED, OR NO STATS YET</v>
      </c>
      <c r="AL4" s="87" t="s">
        <v>447</v>
      </c>
      <c r="AM4" s="87" t="str">
        <f>if(MAXIFS('Player Stats - Current Week'!Q:Q,'Player Stats - Current Week'!C:C,B4,'Player Stats - Current Week'!D:D,"RB")=0,"BYE, GAME NOT STARTED, OR NO STATS YET",iferror(MAXIFS('Player Stats - Current Week'!Q:Q,'Player Stats - Current Week'!C:C,B4,'Player Stats - Current Week'!D:D,"RB"),""))</f>
        <v>BYE, GAME NOT STARTED, OR NO STATS YET</v>
      </c>
      <c r="AN4" s="88" t="str">
        <f t="shared" si="1"/>
        <v>Grant|Rusty</v>
      </c>
    </row>
    <row r="5">
      <c r="A5" s="89" t="s">
        <v>33</v>
      </c>
      <c r="B5" s="90" t="s">
        <v>33</v>
      </c>
      <c r="C5" s="90" t="str">
        <f>vlookup(A5,'Wins by Team'!A:C,3,false)</f>
        <v>Sagar</v>
      </c>
      <c r="D5" s="101" t="str">
        <f t="shared" si="2"/>
        <v>BYE, GAME NOT STARTED, OR NO STATS YET3</v>
      </c>
      <c r="E5" s="90" t="str">
        <f>if(MAXIFS('Player Stats - Current Week'!F:F,'Player Stats - Current Week'!C:C,B5,'Player Stats - Current Week'!D:D,"QB")=0,"BYE, GAME NOT STARTED, OR NO STATS YET",iferror(MAXIFS('Player Stats - Current Week'!F:F,,'Player Stats - Current Week'!C:C,B5,'Player Stats - Current Week'!D:D,"QB"),""))</f>
        <v>BYE, GAME NOT STARTED, OR NO STATS YET</v>
      </c>
      <c r="F5" s="101" t="str">
        <f t="shared" si="3"/>
        <v>BYE OR GAME NOT STARTED3</v>
      </c>
      <c r="G5" s="90" t="str">
        <f>if(iferror(vlookup(CONCATENATE("Week 2",B5),'Raw With Formulas'!J:M,3,false),iferror(vlookup(CONCATENATE("Week 2",B5),'Raw With Formulas'!K:M,3,false),"BYE OR GAME NOT STARTED")) = "", "BYE OR GAME NOT STARTED", iferror(vlookup(CONCATENATE("Week 2",B5),'Raw With Formulas'!J:M,3,false),iferror(vlookup(CONCATENATE("Week 2",B5),'Raw With Formulas'!K:M,3,false),"BYE OR GAME NOT STARTED")))</f>
        <v>BYE OR GAME NOT STARTED</v>
      </c>
      <c r="H5" s="101" t="str">
        <f t="shared" si="4"/>
        <v>BYE, GAME NOT STARTED, OR NO STATS YET3</v>
      </c>
      <c r="I5" s="90" t="str">
        <f>iferror(
if(
sumifs(
#REF!,
'Player Stats - Current Week'!C:C,
iferror(
vlookup(
CONCATENATE("Week 3",B5), 
'Raw With Formulas'!J:N,
2,false
),
vlookup(CONCATENATE("Week 3",B5), 'Raw With Formulas'!K:N,4,false))) 
= 0,
"BYE, GAME NOT STARTED, OR NO STATS YET",
iferror(
sumifs(
#REF!,
'Player Stats - Current Week'!C:C,
iferror(
vlookup(
CONCATENATE("Week 3",B5), 
'Raw With Formulas'!J:N,
2,false
),
vlookup(CONCATENATE("Week 3",B5), 'Raw With Formulas'!K:N,4,false))),
""
)
),
"BYE, GAME NOT STARTED, OR NO STATS YET"
)</f>
        <v>BYE, GAME NOT STARTED, OR NO STATS YET</v>
      </c>
      <c r="J5" s="90" t="s">
        <v>447</v>
      </c>
      <c r="K5" s="90" t="str">
        <f>if(MAXIFS('Player Stats - Current Week'!F:F,'Player Stats - Current Week'!C:C,B5,'Player Stats - Current Week'!D:D,"TE")=0,"BYE, GAME NOT STARTED, OR NO STATS YET",iferror(MAXIFS('Player Stats - Current Week'!F:F,'Player Stats - Current Week'!C:C,B5,'Player Stats - Current Week'!D:D,"TE"),""))</f>
        <v>BYE, GAME NOT STARTED, OR NO STATS YET</v>
      </c>
      <c r="L5" s="90" t="s">
        <v>447</v>
      </c>
      <c r="M5" s="90" t="str">
        <f>if(MAXIFS('Player Stats - Current Week'!Q:Q,'Player Stats - Current Week'!C:C,B5,'Player Stats - Current Week'!D:D,"WR")=0,"BYE, GAME NOT STARTED, OR NO STATS YET",iferror(MAXIFS('Player Stats - Current Week'!Q:Q,'Player Stats - Current Week'!C:C,B5,'Player Stats - Current Week'!D:D,"WR"),""))</f>
        <v>BYE, GAME NOT STARTED, OR NO STATS YET</v>
      </c>
      <c r="N5" s="90" t="s">
        <v>447</v>
      </c>
      <c r="O5" s="90" t="str">
        <f>if((SUMIFS('Player Stats - Current Week'!L:L,'Player Stats - Current Week'!C:C,B5)+SUMIFS('Player Stats - Current Week'!R:R,'Player Stats - Current Week'!C:C,B5))=0,"BYE, GAME NOT STARTED, OR NO STATS YET",((SUMIFS('Player Stats - Current Week'!R:R,'Player Stats - Current Week'!C:C,B5)*6)+SUMIFS('Player Stats - Current Week'!L:L,'Player Stats - Current Week'!C:C,B5)))</f>
        <v>BYE, GAME NOT STARTED, OR NO STATS YET</v>
      </c>
      <c r="P5" s="90" t="s">
        <v>447</v>
      </c>
      <c r="Q5" s="90" t="str">
        <f>if((SUMIFS('Player Stats - Current Week'!G:G,'Player Stats - Current Week'!C:C,B5,'Player Stats - Current Week'!D:D,"RB")+SUMIFS('Player Stats - Current Week'!E:E,'Player Stats - Current Week'!C:C,B5,'Player Stats - Current Week'!D:D,"RB"))=0,"BYE, GAME NOT STARTED, OR NO STATS YET",((SUMIFS('Player Stats - Current Week'!G:G,'Player Stats - Current Week'!C:C,B5,'Player Stats - Current Week'!D:D,"RB")*6)+SUMIFS('Player Stats - Current Week'!E:E,'Player Stats - Current Week'!C:C,B5,'Player Stats - Current Week'!D:D,"RB")))</f>
        <v>BYE, GAME NOT STARTED, OR NO STATS YET</v>
      </c>
      <c r="R5" s="90" t="s">
        <v>447</v>
      </c>
      <c r="S5" s="90" t="str">
        <f>if(MAXIFS('Player Stats - Current Week'!L:L,'Player Stats - Current Week'!C:C,B5,'Player Stats - Current Week'!D:D,"PK")=0,"BYE, GAME NOT STARTED, OR NO STATS YET",iferror(MAXIFS('Player Stats - Current Week'!L:L,'Player Stats - Current Week'!C:C,B5,'Player Stats - Current Week'!D:D,"PK"),""))</f>
        <v>BYE, GAME NOT STARTED, OR NO STATS YET</v>
      </c>
      <c r="T5" s="90" t="s">
        <v>447</v>
      </c>
      <c r="U5" s="90" t="str">
        <f>if(MAXIFS('Player Stats - Current Week'!N:N,'Player Stats - Current Week'!C:C,B5,'Player Stats - Current Week'!D:D,"QB")=0,"BYE, GAME NOT STARTED, OR NO STATS YET",iferror(MAXIFS('Player Stats - Current Week'!N:N,'Player Stats - Current Week'!C:C,B5,'Player Stats - Current Week'!D:D,"QB"),""))</f>
        <v>BYE, GAME NOT STARTED, OR NO STATS YET</v>
      </c>
      <c r="V5" s="90" t="s">
        <v>447</v>
      </c>
      <c r="W5" s="90" t="str">
        <f>if(SUMIFS('Player Stats - Current Week'!O:O,'Player Stats - Current Week'!C:C,B5)=0,"BYE, GAME NOT STARTED, OR NO STATS YET",iferror(SUMIFS('Player Stats - Current Week'!O:O,'Player Stats - Current Week'!C:C,B5),""))</f>
        <v>BYE, GAME NOT STARTED, OR NO STATS YET</v>
      </c>
      <c r="X5" s="90" t="s">
        <v>447</v>
      </c>
      <c r="Y5" s="90" t="str">
        <f>if(MAXIFS('Player Stats - Current Week'!Q:Q,'Player Stats - Current Week'!C:C,B5,'Player Stats - Current Week'!D:D,"TE")=0,"BYE, GAME NOT STARTED, OR NO STATS YET",iferror(MAXIFS('Player Stats - Current Week'!Q:Q,'Player Stats - Current Week'!C:C,B5,'Player Stats - Current Week'!D:D,"TE"),""))</f>
        <v>BYE, GAME NOT STARTED, OR NO STATS YET</v>
      </c>
      <c r="Z5" s="90" t="s">
        <v>447</v>
      </c>
      <c r="AA5" s="90" t="str">
        <f>if(MAXIFS('Player Stats - Current Week'!S:S,'Player Stats - Current Week'!C:C,B5)=0,"BYE, GAME NOT STARTED, OR NO STATS YET",iferror(MAXIFS('Player Stats - Current Week'!S:S,'Player Stats - Current Week'!C:C,B5),""))</f>
        <v>BYE, GAME NOT STARTED, OR NO STATS YET</v>
      </c>
      <c r="AB5" s="90" t="s">
        <v>447</v>
      </c>
      <c r="AC5" s="90" t="str">
        <f>if(MAXIFS('Player Stats - Current Week'!G:G,'Player Stats - Current Week'!C:C,B5,'Player Stats - Current Week'!D:D,"QB")=0,"BYE, GAME NOT STARTED, OR NO STATS YET",iferror(MAXIFS('Player Stats - Current Week'!G:G,'Player Stats - Current Week'!C:C,B5,'Player Stats - Current Week'!D:D,"QB"),""))</f>
        <v>BYE, GAME NOT STARTED, OR NO STATS YET</v>
      </c>
      <c r="AD5" s="101" t="str">
        <f t="shared" si="5"/>
        <v>BYE OR GAME NOT STARTED3</v>
      </c>
      <c r="AE5" s="99" t="str">
        <f>if(iferror(vlookup(CONCATENATE("Week 14",B5),'Raw With Formulas'!J:M,4,false),iferror(vlookup(CONCATENATE("Week 14",B5),'Raw With Formulas'!K:M,2,false),"BYE OR GAME NOT STARTED"))="","BYE OR GAME NOT STARTED",iferror(vlookup(CONCATENATE("Week 14",B5),'Raw With Formulas'!J:M,4,false),iferror(vlookup(CONCATENATE("Week 14",B5),'Raw With Formulas'!K:M,2,false),"BYE OR GAME NOT STARTED")))</f>
        <v>BYE OR GAME NOT STARTED</v>
      </c>
      <c r="AF5" s="101" t="str">
        <f t="shared" si="6"/>
        <v>BYE, GAME NOT STARTED, OR NO STATS YET3</v>
      </c>
      <c r="AG5" s="90" t="str">
        <f>if(MAXIFS('Player Stats - Current Week'!Q:Q,'Player Stats - Current Week'!C:C,B5,'Player Stats - Current Week'!D:D,"QB")=0,"BYE, GAME NOT STARTED, OR NO STATS YET",iferror(MAXIFS('Player Stats - Current Week'!Q:Q,'Player Stats - Current Week'!C:C,B5,'Player Stats - Current Week'!D:D,"QB"),""))</f>
        <v>BYE, GAME NOT STARTED, OR NO STATS YET</v>
      </c>
      <c r="AH5" s="101" t="str">
        <f t="shared" si="7"/>
        <v>BYE OR GAME NOT STARTED3</v>
      </c>
      <c r="AI5" s="101" t="str">
        <f>if(iferror(vlookup(CONCATENATE("Week 16",B5),'Raw With Formulas'!J:M,3,false),iferror(vlookup(CONCATENATE("Week 16",B5),'Raw With Formulas'!K:M,3,false),"BYE OR GAME NOT STARTED"))="","BYE OR GAME NOT STARTED",iferror(vlookup(CONCATENATE("Week 16",B5),'Raw With Formulas'!J:M,3,false),iferror(vlookup(CONCATENATE("Week 16",B5),'Raw With Formulas'!K:M,3,false),"BYE OR GAME NOT STARTED")))</f>
        <v>BYE OR GAME NOT STARTED</v>
      </c>
      <c r="AJ5" s="101" t="str">
        <f t="shared" si="8"/>
        <v>BYE, GAME NOT STARTED, OR NO STATS YET3</v>
      </c>
      <c r="AK5" s="90" t="str">
        <f>if(MAXIFS('Player Stats - Current Week'!F:F,'Player Stats - Current Week'!C:C,B5,'Player Stats - Current Week'!D:D,"WR")=0,"BYE, GAME NOT STARTED, OR NO STATS YET",iferror(MAXIFS('Player Stats - Current Week'!F:F,'Player Stats - Current Week'!C:C,B5,'Player Stats - Current Week'!D:D,"WR"),""))</f>
        <v>BYE, GAME NOT STARTED, OR NO STATS YET</v>
      </c>
      <c r="AL5" s="90" t="s">
        <v>447</v>
      </c>
      <c r="AM5" s="90" t="str">
        <f>if(MAXIFS('Player Stats - Current Week'!Q:Q,'Player Stats - Current Week'!C:C,B5,'Player Stats - Current Week'!D:D,"RB")=0,"BYE, GAME NOT STARTED, OR NO STATS YET",iferror(MAXIFS('Player Stats - Current Week'!Q:Q,'Player Stats - Current Week'!C:C,B5,'Player Stats - Current Week'!D:D,"RB"),""))</f>
        <v>BYE, GAME NOT STARTED, OR NO STATS YET</v>
      </c>
      <c r="AN5" s="100" t="str">
        <f t="shared" si="1"/>
        <v>Sagar</v>
      </c>
    </row>
    <row r="6">
      <c r="A6" s="86" t="s">
        <v>37</v>
      </c>
      <c r="B6" s="87" t="s">
        <v>37</v>
      </c>
      <c r="C6" s="87" t="str">
        <f>vlookup(A6,'Wins by Team'!A:C,3,false)</f>
        <v>Wyatt</v>
      </c>
      <c r="D6" s="94" t="str">
        <f t="shared" si="2"/>
        <v>BYE, GAME NOT STARTED, OR NO STATS YET4</v>
      </c>
      <c r="E6" s="87" t="str">
        <f>if(MAXIFS('Player Stats - Current Week'!F:F,'Player Stats - Current Week'!C:C,B6,'Player Stats - Current Week'!D:D,"QB")=0,"BYE, GAME NOT STARTED, OR NO STATS YET",iferror(MAXIFS('Player Stats - Current Week'!F:F,,'Player Stats - Current Week'!C:C,B6,'Player Stats - Current Week'!D:D,"QB"),""))</f>
        <v>BYE, GAME NOT STARTED, OR NO STATS YET</v>
      </c>
      <c r="F6" s="94" t="str">
        <f t="shared" si="3"/>
        <v>BYE OR GAME NOT STARTED4</v>
      </c>
      <c r="G6" s="87" t="str">
        <f>if(iferror(vlookup(CONCATENATE("Week 2",B6),'Raw With Formulas'!J:M,3,false),iferror(vlookup(CONCATENATE("Week 2",B6),'Raw With Formulas'!K:M,3,false),"BYE OR GAME NOT STARTED")) = "", "BYE OR GAME NOT STARTED", iferror(vlookup(CONCATENATE("Week 2",B6),'Raw With Formulas'!J:M,3,false),iferror(vlookup(CONCATENATE("Week 2",B6),'Raw With Formulas'!K:M,3,false),"BYE OR GAME NOT STARTED")))</f>
        <v>BYE OR GAME NOT STARTED</v>
      </c>
      <c r="H6" s="94" t="str">
        <f t="shared" si="4"/>
        <v>BYE, GAME NOT STARTED, OR NO STATS YET4</v>
      </c>
      <c r="I6" s="87" t="str">
        <f>iferror(
if(
sumifs(
#REF!,
'Player Stats - Current Week'!C:C,
iferror(
vlookup(
CONCATENATE("Week 3",B6), 
'Raw With Formulas'!J:N,
2,false
),
vlookup(CONCATENATE("Week 3",B6), 'Raw With Formulas'!K:N,4,false))) 
= 0,
"BYE, GAME NOT STARTED, OR NO STATS YET",
iferror(
sumifs(
#REF!,
'Player Stats - Current Week'!C:C,
iferror(
vlookup(
CONCATENATE("Week 3",B6), 
'Raw With Formulas'!J:N,
2,false
),
vlookup(CONCATENATE("Week 3",B6), 'Raw With Formulas'!K:N,4,false))),
""
)
),
"BYE, GAME NOT STARTED, OR NO STATS YET"
)</f>
        <v>BYE, GAME NOT STARTED, OR NO STATS YET</v>
      </c>
      <c r="J6" s="87" t="s">
        <v>447</v>
      </c>
      <c r="K6" s="87" t="str">
        <f>if(MAXIFS('Player Stats - Current Week'!F:F,'Player Stats - Current Week'!C:C,B6,'Player Stats - Current Week'!D:D,"TE")=0,"BYE, GAME NOT STARTED, OR NO STATS YET",iferror(MAXIFS('Player Stats - Current Week'!F:F,'Player Stats - Current Week'!C:C,B6,'Player Stats - Current Week'!D:D,"TE"),""))</f>
        <v>BYE, GAME NOT STARTED, OR NO STATS YET</v>
      </c>
      <c r="L6" s="87" t="s">
        <v>447</v>
      </c>
      <c r="M6" s="87" t="str">
        <f>if(MAXIFS('Player Stats - Current Week'!Q:Q,'Player Stats - Current Week'!C:C,B6,'Player Stats - Current Week'!D:D,"WR")=0,"BYE, GAME NOT STARTED, OR NO STATS YET",iferror(MAXIFS('Player Stats - Current Week'!Q:Q,'Player Stats - Current Week'!C:C,B6,'Player Stats - Current Week'!D:D,"WR"),""))</f>
        <v>BYE, GAME NOT STARTED, OR NO STATS YET</v>
      </c>
      <c r="N6" s="87" t="s">
        <v>447</v>
      </c>
      <c r="O6" s="87" t="str">
        <f>if((SUMIFS('Player Stats - Current Week'!L:L,'Player Stats - Current Week'!C:C,B6)+SUMIFS('Player Stats - Current Week'!R:R,'Player Stats - Current Week'!C:C,B6))=0,"BYE, GAME NOT STARTED, OR NO STATS YET",((SUMIFS('Player Stats - Current Week'!R:R,'Player Stats - Current Week'!C:C,B6)*6)+SUMIFS('Player Stats - Current Week'!L:L,'Player Stats - Current Week'!C:C,B6)))</f>
        <v>BYE, GAME NOT STARTED, OR NO STATS YET</v>
      </c>
      <c r="P6" s="87" t="s">
        <v>447</v>
      </c>
      <c r="Q6" s="87" t="str">
        <f>if((SUMIFS('Player Stats - Current Week'!G:G,'Player Stats - Current Week'!C:C,B6,'Player Stats - Current Week'!D:D,"RB")+SUMIFS('Player Stats - Current Week'!E:E,'Player Stats - Current Week'!C:C,B6,'Player Stats - Current Week'!D:D,"RB"))=0,"BYE, GAME NOT STARTED, OR NO STATS YET",((SUMIFS('Player Stats - Current Week'!G:G,'Player Stats - Current Week'!C:C,B6,'Player Stats - Current Week'!D:D,"RB")*6)+SUMIFS('Player Stats - Current Week'!E:E,'Player Stats - Current Week'!C:C,B6,'Player Stats - Current Week'!D:D,"RB")))</f>
        <v>BYE, GAME NOT STARTED, OR NO STATS YET</v>
      </c>
      <c r="R6" s="87" t="s">
        <v>447</v>
      </c>
      <c r="S6" s="87" t="str">
        <f>if(MAXIFS('Player Stats - Current Week'!L:L,'Player Stats - Current Week'!C:C,B6,'Player Stats - Current Week'!D:D,"PK")=0,"BYE, GAME NOT STARTED, OR NO STATS YET",iferror(MAXIFS('Player Stats - Current Week'!L:L,'Player Stats - Current Week'!C:C,B6,'Player Stats - Current Week'!D:D,"PK"),""))</f>
        <v>BYE, GAME NOT STARTED, OR NO STATS YET</v>
      </c>
      <c r="T6" s="87" t="s">
        <v>447</v>
      </c>
      <c r="U6" s="87" t="str">
        <f>if(MAXIFS('Player Stats - Current Week'!N:N,'Player Stats - Current Week'!C:C,B6,'Player Stats - Current Week'!D:D,"QB")=0,"BYE, GAME NOT STARTED, OR NO STATS YET",iferror(MAXIFS('Player Stats - Current Week'!N:N,'Player Stats - Current Week'!C:C,B6,'Player Stats - Current Week'!D:D,"QB"),""))</f>
        <v>BYE, GAME NOT STARTED, OR NO STATS YET</v>
      </c>
      <c r="V6" s="87" t="s">
        <v>447</v>
      </c>
      <c r="W6" s="87" t="str">
        <f>if(SUMIFS('Player Stats - Current Week'!O:O,'Player Stats - Current Week'!C:C,B6)=0,"BYE, GAME NOT STARTED, OR NO STATS YET",iferror(SUMIFS('Player Stats - Current Week'!O:O,'Player Stats - Current Week'!C:C,B6),""))</f>
        <v>BYE, GAME NOT STARTED, OR NO STATS YET</v>
      </c>
      <c r="X6" s="87" t="s">
        <v>447</v>
      </c>
      <c r="Y6" s="87" t="str">
        <f>if(MAXIFS('Player Stats - Current Week'!Q:Q,'Player Stats - Current Week'!C:C,B6,'Player Stats - Current Week'!D:D,"TE")=0,"BYE, GAME NOT STARTED, OR NO STATS YET",iferror(MAXIFS('Player Stats - Current Week'!Q:Q,'Player Stats - Current Week'!C:C,B6,'Player Stats - Current Week'!D:D,"TE"),""))</f>
        <v>BYE, GAME NOT STARTED, OR NO STATS YET</v>
      </c>
      <c r="Z6" s="87" t="s">
        <v>447</v>
      </c>
      <c r="AA6" s="87" t="str">
        <f>if(MAXIFS('Player Stats - Current Week'!S:S,'Player Stats - Current Week'!C:C,B6)=0,"BYE, GAME NOT STARTED, OR NO STATS YET",iferror(MAXIFS('Player Stats - Current Week'!S:S,'Player Stats - Current Week'!C:C,B6),""))</f>
        <v>BYE, GAME NOT STARTED, OR NO STATS YET</v>
      </c>
      <c r="AB6" s="87" t="s">
        <v>447</v>
      </c>
      <c r="AC6" s="87" t="str">
        <f>if(MAXIFS('Player Stats - Current Week'!G:G,'Player Stats - Current Week'!C:C,B6,'Player Stats - Current Week'!D:D,"QB")=0,"BYE, GAME NOT STARTED, OR NO STATS YET",iferror(MAXIFS('Player Stats - Current Week'!G:G,'Player Stats - Current Week'!C:C,B6,'Player Stats - Current Week'!D:D,"QB"),""))</f>
        <v>BYE, GAME NOT STARTED, OR NO STATS YET</v>
      </c>
      <c r="AD6" s="94" t="str">
        <f t="shared" si="5"/>
        <v>BYE OR GAME NOT STARTED4</v>
      </c>
      <c r="AE6" s="98" t="str">
        <f>if(iferror(vlookup(CONCATENATE("Week 14",B6),'Raw With Formulas'!J:M,4,false),iferror(vlookup(CONCATENATE("Week 14",B6),'Raw With Formulas'!K:M,2,false),"BYE OR GAME NOT STARTED"))="","BYE OR GAME NOT STARTED",iferror(vlookup(CONCATENATE("Week 14",B6),'Raw With Formulas'!J:M,4,false),iferror(vlookup(CONCATENATE("Week 14",B6),'Raw With Formulas'!K:M,2,false),"BYE OR GAME NOT STARTED")))</f>
        <v>BYE OR GAME NOT STARTED</v>
      </c>
      <c r="AF6" s="94" t="str">
        <f t="shared" si="6"/>
        <v>BYE, GAME NOT STARTED, OR NO STATS YET4</v>
      </c>
      <c r="AG6" s="87" t="str">
        <f>if(MAXIFS('Player Stats - Current Week'!Q:Q,'Player Stats - Current Week'!C:C,B6,'Player Stats - Current Week'!D:D,"QB")=0,"BYE, GAME NOT STARTED, OR NO STATS YET",iferror(MAXIFS('Player Stats - Current Week'!Q:Q,'Player Stats - Current Week'!C:C,B6,'Player Stats - Current Week'!D:D,"QB"),""))</f>
        <v>BYE, GAME NOT STARTED, OR NO STATS YET</v>
      </c>
      <c r="AH6" s="94" t="str">
        <f t="shared" si="7"/>
        <v>BYE OR GAME NOT STARTED4</v>
      </c>
      <c r="AI6" s="94" t="str">
        <f>if(iferror(vlookup(CONCATENATE("Week 16",B6),'Raw With Formulas'!J:M,3,false),iferror(vlookup(CONCATENATE("Week 16",B6),'Raw With Formulas'!K:M,3,false),"BYE OR GAME NOT STARTED"))="","BYE OR GAME NOT STARTED",iferror(vlookup(CONCATENATE("Week 16",B6),'Raw With Formulas'!J:M,3,false),iferror(vlookup(CONCATENATE("Week 16",B6),'Raw With Formulas'!K:M,3,false),"BYE OR GAME NOT STARTED")))</f>
        <v>BYE OR GAME NOT STARTED</v>
      </c>
      <c r="AJ6" s="94" t="str">
        <f t="shared" si="8"/>
        <v>BYE, GAME NOT STARTED, OR NO STATS YET4</v>
      </c>
      <c r="AK6" s="87" t="str">
        <f>if(MAXIFS('Player Stats - Current Week'!F:F,'Player Stats - Current Week'!C:C,B6,'Player Stats - Current Week'!D:D,"WR")=0,"BYE, GAME NOT STARTED, OR NO STATS YET",iferror(MAXIFS('Player Stats - Current Week'!F:F,'Player Stats - Current Week'!C:C,B6,'Player Stats - Current Week'!D:D,"WR"),""))</f>
        <v>BYE, GAME NOT STARTED, OR NO STATS YET</v>
      </c>
      <c r="AL6" s="87" t="s">
        <v>447</v>
      </c>
      <c r="AM6" s="87" t="str">
        <f>if(MAXIFS('Player Stats - Current Week'!Q:Q,'Player Stats - Current Week'!C:C,B6,'Player Stats - Current Week'!D:D,"RB")=0,"BYE, GAME NOT STARTED, OR NO STATS YET",iferror(MAXIFS('Player Stats - Current Week'!Q:Q,'Player Stats - Current Week'!C:C,B6,'Player Stats - Current Week'!D:D,"RB"),""))</f>
        <v>BYE, GAME NOT STARTED, OR NO STATS YET</v>
      </c>
      <c r="AN6" s="88" t="str">
        <f t="shared" si="1"/>
        <v>Wyatt</v>
      </c>
    </row>
    <row r="7">
      <c r="A7" s="89" t="s">
        <v>16</v>
      </c>
      <c r="B7" s="90" t="s">
        <v>16</v>
      </c>
      <c r="C7" s="90" t="str">
        <f>vlookup(A7,'Wins by Team'!A:C,3,false)</f>
        <v>Steve|Sutter</v>
      </c>
      <c r="D7" s="101" t="str">
        <f t="shared" si="2"/>
        <v>BYE, GAME NOT STARTED, OR NO STATS YET5</v>
      </c>
      <c r="E7" s="90" t="str">
        <f>if(MAXIFS('Player Stats - Current Week'!F:F,'Player Stats - Current Week'!C:C,B7,'Player Stats - Current Week'!D:D,"QB")=0,"BYE, GAME NOT STARTED, OR NO STATS YET",iferror(MAXIFS('Player Stats - Current Week'!F:F,,'Player Stats - Current Week'!C:C,B7,'Player Stats - Current Week'!D:D,"QB"),""))</f>
        <v>BYE, GAME NOT STARTED, OR NO STATS YET</v>
      </c>
      <c r="F7" s="101" t="str">
        <f t="shared" si="3"/>
        <v>BYE OR GAME NOT STARTED5</v>
      </c>
      <c r="G7" s="90" t="str">
        <f>if(iferror(vlookup(CONCATENATE("Week 2",B7),'Raw With Formulas'!J:M,3,false),iferror(vlookup(CONCATENATE("Week 2",B7),'Raw With Formulas'!K:M,3,false),"BYE OR GAME NOT STARTED")) = "", "BYE OR GAME NOT STARTED", iferror(vlookup(CONCATENATE("Week 2",B7),'Raw With Formulas'!J:M,3,false),iferror(vlookup(CONCATENATE("Week 2",B7),'Raw With Formulas'!K:M,3,false),"BYE OR GAME NOT STARTED")))</f>
        <v>BYE OR GAME NOT STARTED</v>
      </c>
      <c r="H7" s="101" t="str">
        <f t="shared" si="4"/>
        <v>BYE, GAME NOT STARTED, OR NO STATS YET5</v>
      </c>
      <c r="I7" s="90" t="str">
        <f>iferror(
if(
sumifs(
#REF!,
'Player Stats - Current Week'!C:C,
iferror(
vlookup(
CONCATENATE("Week 3",B7), 
'Raw With Formulas'!J:N,
2,false
),
vlookup(CONCATENATE("Week 3",B7), 'Raw With Formulas'!K:N,4,false))) 
= 0,
"BYE, GAME NOT STARTED, OR NO STATS YET",
iferror(
sumifs(
#REF!,
'Player Stats - Current Week'!C:C,
iferror(
vlookup(
CONCATENATE("Week 3",B7), 
'Raw With Formulas'!J:N,
2,false
),
vlookup(CONCATENATE("Week 3",B7), 'Raw With Formulas'!K:N,4,false))),
""
)
),
"BYE, GAME NOT STARTED, OR NO STATS YET"
)</f>
        <v>BYE, GAME NOT STARTED, OR NO STATS YET</v>
      </c>
      <c r="J7" s="90" t="s">
        <v>447</v>
      </c>
      <c r="K7" s="90" t="str">
        <f>if(MAXIFS('Player Stats - Current Week'!F:F,'Player Stats - Current Week'!C:C,B7,'Player Stats - Current Week'!D:D,"TE")=0,"BYE, GAME NOT STARTED, OR NO STATS YET",iferror(MAXIFS('Player Stats - Current Week'!F:F,'Player Stats - Current Week'!C:C,B7,'Player Stats - Current Week'!D:D,"TE"),""))</f>
        <v>BYE, GAME NOT STARTED, OR NO STATS YET</v>
      </c>
      <c r="L7" s="90" t="s">
        <v>447</v>
      </c>
      <c r="M7" s="90" t="str">
        <f>if(MAXIFS('Player Stats - Current Week'!Q:Q,'Player Stats - Current Week'!C:C,B7,'Player Stats - Current Week'!D:D,"WR")=0,"BYE, GAME NOT STARTED, OR NO STATS YET",iferror(MAXIFS('Player Stats - Current Week'!Q:Q,'Player Stats - Current Week'!C:C,B7,'Player Stats - Current Week'!D:D,"WR"),""))</f>
        <v>BYE, GAME NOT STARTED, OR NO STATS YET</v>
      </c>
      <c r="N7" s="90" t="s">
        <v>447</v>
      </c>
      <c r="O7" s="90" t="str">
        <f>if((SUMIFS('Player Stats - Current Week'!L:L,'Player Stats - Current Week'!C:C,B7)+SUMIFS('Player Stats - Current Week'!R:R,'Player Stats - Current Week'!C:C,B7))=0,"BYE, GAME NOT STARTED, OR NO STATS YET",((SUMIFS('Player Stats - Current Week'!R:R,'Player Stats - Current Week'!C:C,B7)*6)+SUMIFS('Player Stats - Current Week'!L:L,'Player Stats - Current Week'!C:C,B7)))</f>
        <v>BYE, GAME NOT STARTED, OR NO STATS YET</v>
      </c>
      <c r="P7" s="90" t="s">
        <v>447</v>
      </c>
      <c r="Q7" s="90" t="str">
        <f>if((SUMIFS('Player Stats - Current Week'!G:G,'Player Stats - Current Week'!C:C,B7,'Player Stats - Current Week'!D:D,"RB")+SUMIFS('Player Stats - Current Week'!E:E,'Player Stats - Current Week'!C:C,B7,'Player Stats - Current Week'!D:D,"RB"))=0,"BYE, GAME NOT STARTED, OR NO STATS YET",((SUMIFS('Player Stats - Current Week'!G:G,'Player Stats - Current Week'!C:C,B7,'Player Stats - Current Week'!D:D,"RB")*6)+SUMIFS('Player Stats - Current Week'!E:E,'Player Stats - Current Week'!C:C,B7,'Player Stats - Current Week'!D:D,"RB")))</f>
        <v>BYE, GAME NOT STARTED, OR NO STATS YET</v>
      </c>
      <c r="R7" s="90" t="s">
        <v>447</v>
      </c>
      <c r="S7" s="90" t="str">
        <f>if(MAXIFS('Player Stats - Current Week'!L:L,'Player Stats - Current Week'!C:C,B7,'Player Stats - Current Week'!D:D,"PK")=0,"BYE, GAME NOT STARTED, OR NO STATS YET",iferror(MAXIFS('Player Stats - Current Week'!L:L,'Player Stats - Current Week'!C:C,B7,'Player Stats - Current Week'!D:D,"PK"),""))</f>
        <v>BYE, GAME NOT STARTED, OR NO STATS YET</v>
      </c>
      <c r="T7" s="90" t="s">
        <v>447</v>
      </c>
      <c r="U7" s="90" t="str">
        <f>if(MAXIFS('Player Stats - Current Week'!N:N,'Player Stats - Current Week'!C:C,B7,'Player Stats - Current Week'!D:D,"QB")=0,"BYE, GAME NOT STARTED, OR NO STATS YET",iferror(MAXIFS('Player Stats - Current Week'!N:N,'Player Stats - Current Week'!C:C,B7,'Player Stats - Current Week'!D:D,"QB"),""))</f>
        <v>BYE, GAME NOT STARTED, OR NO STATS YET</v>
      </c>
      <c r="V7" s="90" t="s">
        <v>447</v>
      </c>
      <c r="W7" s="90" t="str">
        <f>if(SUMIFS('Player Stats - Current Week'!O:O,'Player Stats - Current Week'!C:C,B7)=0,"BYE, GAME NOT STARTED, OR NO STATS YET",iferror(SUMIFS('Player Stats - Current Week'!O:O,'Player Stats - Current Week'!C:C,B7),""))</f>
        <v>BYE, GAME NOT STARTED, OR NO STATS YET</v>
      </c>
      <c r="X7" s="90" t="s">
        <v>447</v>
      </c>
      <c r="Y7" s="90" t="str">
        <f>if(MAXIFS('Player Stats - Current Week'!Q:Q,'Player Stats - Current Week'!C:C,B7,'Player Stats - Current Week'!D:D,"TE")=0,"BYE, GAME NOT STARTED, OR NO STATS YET",iferror(MAXIFS('Player Stats - Current Week'!Q:Q,'Player Stats - Current Week'!C:C,B7,'Player Stats - Current Week'!D:D,"TE"),""))</f>
        <v>BYE, GAME NOT STARTED, OR NO STATS YET</v>
      </c>
      <c r="Z7" s="90" t="s">
        <v>447</v>
      </c>
      <c r="AA7" s="90" t="str">
        <f>if(MAXIFS('Player Stats - Current Week'!S:S,'Player Stats - Current Week'!C:C,B7)=0,"BYE, GAME NOT STARTED, OR NO STATS YET",iferror(MAXIFS('Player Stats - Current Week'!S:S,'Player Stats - Current Week'!C:C,B7),""))</f>
        <v>BYE, GAME NOT STARTED, OR NO STATS YET</v>
      </c>
      <c r="AB7" s="90" t="s">
        <v>447</v>
      </c>
      <c r="AC7" s="90" t="str">
        <f>if(MAXIFS('Player Stats - Current Week'!G:G,'Player Stats - Current Week'!C:C,B7,'Player Stats - Current Week'!D:D,"QB")=0,"BYE, GAME NOT STARTED, OR NO STATS YET",iferror(MAXIFS('Player Stats - Current Week'!G:G,'Player Stats - Current Week'!C:C,B7,'Player Stats - Current Week'!D:D,"QB"),""))</f>
        <v>BYE, GAME NOT STARTED, OR NO STATS YET</v>
      </c>
      <c r="AD7" s="101" t="str">
        <f t="shared" si="5"/>
        <v>BYE OR GAME NOT STARTED5</v>
      </c>
      <c r="AE7" s="99" t="str">
        <f>if(iferror(vlookup(CONCATENATE("Week 14",B7),'Raw With Formulas'!J:M,4,false),iferror(vlookup(CONCATENATE("Week 14",B7),'Raw With Formulas'!K:M,2,false),"BYE OR GAME NOT STARTED"))="","BYE OR GAME NOT STARTED",iferror(vlookup(CONCATENATE("Week 14",B7),'Raw With Formulas'!J:M,4,false),iferror(vlookup(CONCATENATE("Week 14",B7),'Raw With Formulas'!K:M,2,false),"BYE OR GAME NOT STARTED")))</f>
        <v>BYE OR GAME NOT STARTED</v>
      </c>
      <c r="AF7" s="101" t="str">
        <f t="shared" si="6"/>
        <v>BYE, GAME NOT STARTED, OR NO STATS YET5</v>
      </c>
      <c r="AG7" s="90" t="str">
        <f>if(MAXIFS('Player Stats - Current Week'!Q:Q,'Player Stats - Current Week'!C:C,B7,'Player Stats - Current Week'!D:D,"QB")=0,"BYE, GAME NOT STARTED, OR NO STATS YET",iferror(MAXIFS('Player Stats - Current Week'!Q:Q,'Player Stats - Current Week'!C:C,B7,'Player Stats - Current Week'!D:D,"QB"),""))</f>
        <v>BYE, GAME NOT STARTED, OR NO STATS YET</v>
      </c>
      <c r="AH7" s="101" t="str">
        <f t="shared" si="7"/>
        <v>BYE OR GAME NOT STARTED5</v>
      </c>
      <c r="AI7" s="101" t="str">
        <f>if(iferror(vlookup(CONCATENATE("Week 16",B7),'Raw With Formulas'!J:M,3,false),iferror(vlookup(CONCATENATE("Week 16",B7),'Raw With Formulas'!K:M,3,false),"BYE OR GAME NOT STARTED"))="","BYE OR GAME NOT STARTED",iferror(vlookup(CONCATENATE("Week 16",B7),'Raw With Formulas'!J:M,3,false),iferror(vlookup(CONCATENATE("Week 16",B7),'Raw With Formulas'!K:M,3,false),"BYE OR GAME NOT STARTED")))</f>
        <v>BYE OR GAME NOT STARTED</v>
      </c>
      <c r="AJ7" s="101" t="str">
        <f t="shared" si="8"/>
        <v>BYE, GAME NOT STARTED, OR NO STATS YET5</v>
      </c>
      <c r="AK7" s="90" t="str">
        <f>if(MAXIFS('Player Stats - Current Week'!F:F,'Player Stats - Current Week'!C:C,B7,'Player Stats - Current Week'!D:D,"WR")=0,"BYE, GAME NOT STARTED, OR NO STATS YET",iferror(MAXIFS('Player Stats - Current Week'!F:F,'Player Stats - Current Week'!C:C,B7,'Player Stats - Current Week'!D:D,"WR"),""))</f>
        <v>BYE, GAME NOT STARTED, OR NO STATS YET</v>
      </c>
      <c r="AL7" s="90" t="s">
        <v>447</v>
      </c>
      <c r="AM7" s="90" t="str">
        <f>if(MAXIFS('Player Stats - Current Week'!Q:Q,'Player Stats - Current Week'!C:C,B7,'Player Stats - Current Week'!D:D,"RB")=0,"BYE, GAME NOT STARTED, OR NO STATS YET",iferror(MAXIFS('Player Stats - Current Week'!Q:Q,'Player Stats - Current Week'!C:C,B7,'Player Stats - Current Week'!D:D,"RB"),""))</f>
        <v>BYE, GAME NOT STARTED, OR NO STATS YET</v>
      </c>
      <c r="AN7" s="100" t="str">
        <f t="shared" si="1"/>
        <v>Steve|Sutter</v>
      </c>
    </row>
    <row r="8">
      <c r="A8" s="86" t="s">
        <v>22</v>
      </c>
      <c r="B8" s="87" t="s">
        <v>22</v>
      </c>
      <c r="C8" s="87" t="str">
        <f>vlookup(A8,'Wins by Team'!A:C,3,false)</f>
        <v>Wyatt</v>
      </c>
      <c r="D8" s="94" t="str">
        <f t="shared" si="2"/>
        <v>BYE, GAME NOT STARTED, OR NO STATS YET6</v>
      </c>
      <c r="E8" s="87" t="str">
        <f>if(MAXIFS('Player Stats - Current Week'!F:F,'Player Stats - Current Week'!C:C,B8,'Player Stats - Current Week'!D:D,"QB")=0,"BYE, GAME NOT STARTED, OR NO STATS YET",iferror(MAXIFS('Player Stats - Current Week'!F:F,,'Player Stats - Current Week'!C:C,B8,'Player Stats - Current Week'!D:D,"QB"),""))</f>
        <v>BYE, GAME NOT STARTED, OR NO STATS YET</v>
      </c>
      <c r="F8" s="94" t="str">
        <f t="shared" si="3"/>
        <v>BYE OR GAME NOT STARTED6</v>
      </c>
      <c r="G8" s="87" t="str">
        <f>if(iferror(vlookup(CONCATENATE("Week 2",B8),'Raw With Formulas'!J:M,3,false),iferror(vlookup(CONCATENATE("Week 2",B8),'Raw With Formulas'!K:M,3,false),"BYE OR GAME NOT STARTED")) = "", "BYE OR GAME NOT STARTED", iferror(vlookup(CONCATENATE("Week 2",B8),'Raw With Formulas'!J:M,3,false),iferror(vlookup(CONCATENATE("Week 2",B8),'Raw With Formulas'!K:M,3,false),"BYE OR GAME NOT STARTED")))</f>
        <v>BYE OR GAME NOT STARTED</v>
      </c>
      <c r="H8" s="94" t="str">
        <f t="shared" si="4"/>
        <v>BYE, GAME NOT STARTED, OR NO STATS YET6</v>
      </c>
      <c r="I8" s="87" t="str">
        <f>iferror(
if(
sumifs(
#REF!,
'Player Stats - Current Week'!C:C,
iferror(
vlookup(
CONCATENATE("Week 3",B8), 
'Raw With Formulas'!J:N,
2,false
),
vlookup(CONCATENATE("Week 3",B8), 'Raw With Formulas'!K:N,4,false))) 
= 0,
"BYE, GAME NOT STARTED, OR NO STATS YET",
iferror(
sumifs(
#REF!,
'Player Stats - Current Week'!C:C,
iferror(
vlookup(
CONCATENATE("Week 3",B8), 
'Raw With Formulas'!J:N,
2,false
),
vlookup(CONCATENATE("Week 3",B8), 'Raw With Formulas'!K:N,4,false))),
""
)
),
"BYE, GAME NOT STARTED, OR NO STATS YET"
)</f>
        <v>BYE, GAME NOT STARTED, OR NO STATS YET</v>
      </c>
      <c r="J8" s="87" t="s">
        <v>447</v>
      </c>
      <c r="K8" s="87" t="str">
        <f>if(MAXIFS('Player Stats - Current Week'!F:F,'Player Stats - Current Week'!C:C,B8,'Player Stats - Current Week'!D:D,"TE")=0,"BYE, GAME NOT STARTED, OR NO STATS YET",iferror(MAXIFS('Player Stats - Current Week'!F:F,'Player Stats - Current Week'!C:C,B8,'Player Stats - Current Week'!D:D,"TE"),""))</f>
        <v>BYE, GAME NOT STARTED, OR NO STATS YET</v>
      </c>
      <c r="L8" s="87" t="s">
        <v>447</v>
      </c>
      <c r="M8" s="87" t="str">
        <f>if(MAXIFS('Player Stats - Current Week'!Q:Q,'Player Stats - Current Week'!C:C,B8,'Player Stats - Current Week'!D:D,"WR")=0,"BYE, GAME NOT STARTED, OR NO STATS YET",iferror(MAXIFS('Player Stats - Current Week'!Q:Q,'Player Stats - Current Week'!C:C,B8,'Player Stats - Current Week'!D:D,"WR"),""))</f>
        <v>BYE, GAME NOT STARTED, OR NO STATS YET</v>
      </c>
      <c r="N8" s="87" t="s">
        <v>447</v>
      </c>
      <c r="O8" s="87" t="str">
        <f>if((SUMIFS('Player Stats - Current Week'!L:L,'Player Stats - Current Week'!C:C,B8)+SUMIFS('Player Stats - Current Week'!R:R,'Player Stats - Current Week'!C:C,B8))=0,"BYE, GAME NOT STARTED, OR NO STATS YET",((SUMIFS('Player Stats - Current Week'!R:R,'Player Stats - Current Week'!C:C,B8)*6)+SUMIFS('Player Stats - Current Week'!L:L,'Player Stats - Current Week'!C:C,B8)))</f>
        <v>BYE, GAME NOT STARTED, OR NO STATS YET</v>
      </c>
      <c r="P8" s="87" t="s">
        <v>447</v>
      </c>
      <c r="Q8" s="87" t="str">
        <f>if((SUMIFS('Player Stats - Current Week'!G:G,'Player Stats - Current Week'!C:C,B8,'Player Stats - Current Week'!D:D,"RB")+SUMIFS('Player Stats - Current Week'!E:E,'Player Stats - Current Week'!C:C,B8,'Player Stats - Current Week'!D:D,"RB"))=0,"BYE, GAME NOT STARTED, OR NO STATS YET",((SUMIFS('Player Stats - Current Week'!G:G,'Player Stats - Current Week'!C:C,B8,'Player Stats - Current Week'!D:D,"RB")*6)+SUMIFS('Player Stats - Current Week'!E:E,'Player Stats - Current Week'!C:C,B8,'Player Stats - Current Week'!D:D,"RB")))</f>
        <v>BYE, GAME NOT STARTED, OR NO STATS YET</v>
      </c>
      <c r="R8" s="87" t="s">
        <v>447</v>
      </c>
      <c r="S8" s="87" t="str">
        <f>if(MAXIFS('Player Stats - Current Week'!L:L,'Player Stats - Current Week'!C:C,B8,'Player Stats - Current Week'!D:D,"PK")=0,"BYE, GAME NOT STARTED, OR NO STATS YET",iferror(MAXIFS('Player Stats - Current Week'!L:L,'Player Stats - Current Week'!C:C,B8,'Player Stats - Current Week'!D:D,"PK"),""))</f>
        <v>BYE, GAME NOT STARTED, OR NO STATS YET</v>
      </c>
      <c r="T8" s="87" t="s">
        <v>447</v>
      </c>
      <c r="U8" s="87" t="str">
        <f>if(MAXIFS('Player Stats - Current Week'!N:N,'Player Stats - Current Week'!C:C,B8,'Player Stats - Current Week'!D:D,"QB")=0,"BYE, GAME NOT STARTED, OR NO STATS YET",iferror(MAXIFS('Player Stats - Current Week'!N:N,'Player Stats - Current Week'!C:C,B8,'Player Stats - Current Week'!D:D,"QB"),""))</f>
        <v>BYE, GAME NOT STARTED, OR NO STATS YET</v>
      </c>
      <c r="V8" s="87" t="s">
        <v>447</v>
      </c>
      <c r="W8" s="87" t="str">
        <f>if(SUMIFS('Player Stats - Current Week'!O:O,'Player Stats - Current Week'!C:C,B8)=0,"BYE, GAME NOT STARTED, OR NO STATS YET",iferror(SUMIFS('Player Stats - Current Week'!O:O,'Player Stats - Current Week'!C:C,B8),""))</f>
        <v>BYE, GAME NOT STARTED, OR NO STATS YET</v>
      </c>
      <c r="X8" s="87" t="s">
        <v>447</v>
      </c>
      <c r="Y8" s="87" t="str">
        <f>if(MAXIFS('Player Stats - Current Week'!Q:Q,'Player Stats - Current Week'!C:C,B8,'Player Stats - Current Week'!D:D,"TE")=0,"BYE, GAME NOT STARTED, OR NO STATS YET",iferror(MAXIFS('Player Stats - Current Week'!Q:Q,'Player Stats - Current Week'!C:C,B8,'Player Stats - Current Week'!D:D,"TE"),""))</f>
        <v>BYE, GAME NOT STARTED, OR NO STATS YET</v>
      </c>
      <c r="Z8" s="87" t="s">
        <v>447</v>
      </c>
      <c r="AA8" s="87" t="str">
        <f>if(MAXIFS('Player Stats - Current Week'!S:S,'Player Stats - Current Week'!C:C,B8)=0,"BYE, GAME NOT STARTED, OR NO STATS YET",iferror(MAXIFS('Player Stats - Current Week'!S:S,'Player Stats - Current Week'!C:C,B8),""))</f>
        <v>BYE, GAME NOT STARTED, OR NO STATS YET</v>
      </c>
      <c r="AB8" s="87" t="s">
        <v>447</v>
      </c>
      <c r="AC8" s="87" t="str">
        <f>if(MAXIFS('Player Stats - Current Week'!G:G,'Player Stats - Current Week'!C:C,B8,'Player Stats - Current Week'!D:D,"QB")=0,"BYE, GAME NOT STARTED, OR NO STATS YET",iferror(MAXIFS('Player Stats - Current Week'!G:G,'Player Stats - Current Week'!C:C,B8,'Player Stats - Current Week'!D:D,"QB"),""))</f>
        <v>BYE, GAME NOT STARTED, OR NO STATS YET</v>
      </c>
      <c r="AD8" s="94" t="str">
        <f t="shared" si="5"/>
        <v>BYE OR GAME NOT STARTED6</v>
      </c>
      <c r="AE8" s="98" t="str">
        <f>if(iferror(vlookup(CONCATENATE("Week 14",B8),'Raw With Formulas'!J:M,4,false),iferror(vlookup(CONCATENATE("Week 14",B8),'Raw With Formulas'!K:M,2,false),"BYE OR GAME NOT STARTED"))="","BYE OR GAME NOT STARTED",iferror(vlookup(CONCATENATE("Week 14",B8),'Raw With Formulas'!J:M,4,false),iferror(vlookup(CONCATENATE("Week 14",B8),'Raw With Formulas'!K:M,2,false),"BYE OR GAME NOT STARTED")))</f>
        <v>BYE OR GAME NOT STARTED</v>
      </c>
      <c r="AF8" s="94" t="str">
        <f t="shared" si="6"/>
        <v>BYE, GAME NOT STARTED, OR NO STATS YET6</v>
      </c>
      <c r="AG8" s="87" t="str">
        <f>if(MAXIFS('Player Stats - Current Week'!Q:Q,'Player Stats - Current Week'!C:C,B8,'Player Stats - Current Week'!D:D,"QB")=0,"BYE, GAME NOT STARTED, OR NO STATS YET",iferror(MAXIFS('Player Stats - Current Week'!Q:Q,'Player Stats - Current Week'!C:C,B8,'Player Stats - Current Week'!D:D,"QB"),""))</f>
        <v>BYE, GAME NOT STARTED, OR NO STATS YET</v>
      </c>
      <c r="AH8" s="94" t="str">
        <f t="shared" si="7"/>
        <v>BYE OR GAME NOT STARTED6</v>
      </c>
      <c r="AI8" s="94" t="str">
        <f>if(iferror(vlookup(CONCATENATE("Week 16",B8),'Raw With Formulas'!J:M,3,false),iferror(vlookup(CONCATENATE("Week 16",B8),'Raw With Formulas'!K:M,3,false),"BYE OR GAME NOT STARTED"))="","BYE OR GAME NOT STARTED",iferror(vlookup(CONCATENATE("Week 16",B8),'Raw With Formulas'!J:M,3,false),iferror(vlookup(CONCATENATE("Week 16",B8),'Raw With Formulas'!K:M,3,false),"BYE OR GAME NOT STARTED")))</f>
        <v>BYE OR GAME NOT STARTED</v>
      </c>
      <c r="AJ8" s="94" t="str">
        <f t="shared" si="8"/>
        <v>BYE, GAME NOT STARTED, OR NO STATS YET6</v>
      </c>
      <c r="AK8" s="87" t="str">
        <f>if(MAXIFS('Player Stats - Current Week'!F:F,'Player Stats - Current Week'!C:C,B8,'Player Stats - Current Week'!D:D,"WR")=0,"BYE, GAME NOT STARTED, OR NO STATS YET",iferror(MAXIFS('Player Stats - Current Week'!F:F,'Player Stats - Current Week'!C:C,B8,'Player Stats - Current Week'!D:D,"WR"),""))</f>
        <v>BYE, GAME NOT STARTED, OR NO STATS YET</v>
      </c>
      <c r="AL8" s="87" t="s">
        <v>447</v>
      </c>
      <c r="AM8" s="87" t="str">
        <f>if(MAXIFS('Player Stats - Current Week'!Q:Q,'Player Stats - Current Week'!C:C,B8,'Player Stats - Current Week'!D:D,"RB")=0,"BYE, GAME NOT STARTED, OR NO STATS YET",iferror(MAXIFS('Player Stats - Current Week'!Q:Q,'Player Stats - Current Week'!C:C,B8,'Player Stats - Current Week'!D:D,"RB"),""))</f>
        <v>BYE, GAME NOT STARTED, OR NO STATS YET</v>
      </c>
      <c r="AN8" s="88" t="str">
        <f t="shared" si="1"/>
        <v>Wyatt</v>
      </c>
    </row>
    <row r="9">
      <c r="A9" s="89" t="s">
        <v>397</v>
      </c>
      <c r="B9" s="90" t="s">
        <v>25</v>
      </c>
      <c r="C9" s="90" t="str">
        <f>vlookup(A9,'Wins by Team'!A:C,3,false)</f>
        <v>Budde</v>
      </c>
      <c r="D9" s="101" t="str">
        <f t="shared" si="2"/>
        <v>BYE, GAME NOT STARTED, OR NO STATS YET7</v>
      </c>
      <c r="E9" s="90" t="str">
        <f>if(MAXIFS('Player Stats - Current Week'!F:F,'Player Stats - Current Week'!C:C,B9,'Player Stats - Current Week'!D:D,"QB")=0,"BYE, GAME NOT STARTED, OR NO STATS YET",iferror(MAXIFS('Player Stats - Current Week'!F:F,,'Player Stats - Current Week'!C:C,B9,'Player Stats - Current Week'!D:D,"QB"),""))</f>
        <v>BYE, GAME NOT STARTED, OR NO STATS YET</v>
      </c>
      <c r="F9" s="101" t="str">
        <f t="shared" si="3"/>
        <v>BYE OR GAME NOT STARTED7</v>
      </c>
      <c r="G9" s="90" t="str">
        <f>if(iferror(vlookup(CONCATENATE("Week 2",B9),'Raw With Formulas'!J:M,3,false),iferror(vlookup(CONCATENATE("Week 2",B9),'Raw With Formulas'!K:M,3,false),"BYE OR GAME NOT STARTED")) = "", "BYE OR GAME NOT STARTED", iferror(vlookup(CONCATENATE("Week 2",B9),'Raw With Formulas'!J:M,3,false),iferror(vlookup(CONCATENATE("Week 2",B9),'Raw With Formulas'!K:M,3,false),"BYE OR GAME NOT STARTED")))</f>
        <v>BYE OR GAME NOT STARTED</v>
      </c>
      <c r="H9" s="101" t="str">
        <f t="shared" si="4"/>
        <v>BYE, GAME NOT STARTED, OR NO STATS YET7</v>
      </c>
      <c r="I9" s="90" t="str">
        <f>iferror(
if(
sumifs(
#REF!,
'Player Stats - Current Week'!C:C,
iferror(
vlookup(
CONCATENATE("Week 3",B9), 
'Raw With Formulas'!J:N,
2,false
),
vlookup(CONCATENATE("Week 3",B9), 'Raw With Formulas'!K:N,4,false))) 
= 0,
"BYE, GAME NOT STARTED, OR NO STATS YET",
iferror(
sumifs(
#REF!,
'Player Stats - Current Week'!C:C,
iferror(
vlookup(
CONCATENATE("Week 3",B9), 
'Raw With Formulas'!J:N,
2,false
),
vlookup(CONCATENATE("Week 3",B9), 'Raw With Formulas'!K:N,4,false))),
""
)
),
"BYE, GAME NOT STARTED, OR NO STATS YET"
)</f>
        <v>BYE, GAME NOT STARTED, OR NO STATS YET</v>
      </c>
      <c r="J9" s="90" t="s">
        <v>447</v>
      </c>
      <c r="K9" s="90" t="str">
        <f>if(MAXIFS('Player Stats - Current Week'!F:F,'Player Stats - Current Week'!C:C,B9,'Player Stats - Current Week'!D:D,"TE")=0,"BYE, GAME NOT STARTED, OR NO STATS YET",iferror(MAXIFS('Player Stats - Current Week'!F:F,'Player Stats - Current Week'!C:C,B9,'Player Stats - Current Week'!D:D,"TE"),""))</f>
        <v>BYE, GAME NOT STARTED, OR NO STATS YET</v>
      </c>
      <c r="L9" s="90" t="s">
        <v>447</v>
      </c>
      <c r="M9" s="90" t="str">
        <f>if(MAXIFS('Player Stats - Current Week'!Q:Q,'Player Stats - Current Week'!C:C,B9,'Player Stats - Current Week'!D:D,"WR")=0,"BYE, GAME NOT STARTED, OR NO STATS YET",iferror(MAXIFS('Player Stats - Current Week'!Q:Q,'Player Stats - Current Week'!C:C,B9,'Player Stats - Current Week'!D:D,"WR"),""))</f>
        <v>BYE, GAME NOT STARTED, OR NO STATS YET</v>
      </c>
      <c r="N9" s="90" t="s">
        <v>447</v>
      </c>
      <c r="O9" s="90" t="str">
        <f>if((SUMIFS('Player Stats - Current Week'!L:L,'Player Stats - Current Week'!C:C,B9)+SUMIFS('Player Stats - Current Week'!R:R,'Player Stats - Current Week'!C:C,B9))=0,"BYE, GAME NOT STARTED, OR NO STATS YET",((SUMIFS('Player Stats - Current Week'!R:R,'Player Stats - Current Week'!C:C,B9)*6)+SUMIFS('Player Stats - Current Week'!L:L,'Player Stats - Current Week'!C:C,B9)))</f>
        <v>BYE, GAME NOT STARTED, OR NO STATS YET</v>
      </c>
      <c r="P9" s="90" t="s">
        <v>447</v>
      </c>
      <c r="Q9" s="90" t="str">
        <f>if((SUMIFS('Player Stats - Current Week'!G:G,'Player Stats - Current Week'!C:C,B9,'Player Stats - Current Week'!D:D,"RB")+SUMIFS('Player Stats - Current Week'!E:E,'Player Stats - Current Week'!C:C,B9,'Player Stats - Current Week'!D:D,"RB"))=0,"BYE, GAME NOT STARTED, OR NO STATS YET",((SUMIFS('Player Stats - Current Week'!G:G,'Player Stats - Current Week'!C:C,B9,'Player Stats - Current Week'!D:D,"RB")*6)+SUMIFS('Player Stats - Current Week'!E:E,'Player Stats - Current Week'!C:C,B9,'Player Stats - Current Week'!D:D,"RB")))</f>
        <v>BYE, GAME NOT STARTED, OR NO STATS YET</v>
      </c>
      <c r="R9" s="90" t="s">
        <v>447</v>
      </c>
      <c r="S9" s="90" t="str">
        <f>if(MAXIFS('Player Stats - Current Week'!L:L,'Player Stats - Current Week'!C:C,B9,'Player Stats - Current Week'!D:D,"PK")=0,"BYE, GAME NOT STARTED, OR NO STATS YET",iferror(MAXIFS('Player Stats - Current Week'!L:L,'Player Stats - Current Week'!C:C,B9,'Player Stats - Current Week'!D:D,"PK"),""))</f>
        <v>BYE, GAME NOT STARTED, OR NO STATS YET</v>
      </c>
      <c r="T9" s="90" t="s">
        <v>447</v>
      </c>
      <c r="U9" s="90" t="str">
        <f>if(MAXIFS('Player Stats - Current Week'!N:N,'Player Stats - Current Week'!C:C,B9,'Player Stats - Current Week'!D:D,"QB")=0,"BYE, GAME NOT STARTED, OR NO STATS YET",iferror(MAXIFS('Player Stats - Current Week'!N:N,'Player Stats - Current Week'!C:C,B9,'Player Stats - Current Week'!D:D,"QB"),""))</f>
        <v>BYE, GAME NOT STARTED, OR NO STATS YET</v>
      </c>
      <c r="V9" s="90" t="s">
        <v>447</v>
      </c>
      <c r="W9" s="90" t="str">
        <f>if(SUMIFS('Player Stats - Current Week'!O:O,'Player Stats - Current Week'!C:C,B9)=0,"BYE, GAME NOT STARTED, OR NO STATS YET",iferror(SUMIFS('Player Stats - Current Week'!O:O,'Player Stats - Current Week'!C:C,B9),""))</f>
        <v>BYE, GAME NOT STARTED, OR NO STATS YET</v>
      </c>
      <c r="X9" s="90" t="s">
        <v>447</v>
      </c>
      <c r="Y9" s="90" t="str">
        <f>if(MAXIFS('Player Stats - Current Week'!Q:Q,'Player Stats - Current Week'!C:C,B9,'Player Stats - Current Week'!D:D,"TE")=0,"BYE, GAME NOT STARTED, OR NO STATS YET",iferror(MAXIFS('Player Stats - Current Week'!Q:Q,'Player Stats - Current Week'!C:C,B9,'Player Stats - Current Week'!D:D,"TE"),""))</f>
        <v>BYE, GAME NOT STARTED, OR NO STATS YET</v>
      </c>
      <c r="Z9" s="90" t="s">
        <v>447</v>
      </c>
      <c r="AA9" s="90" t="str">
        <f>if(MAXIFS('Player Stats - Current Week'!S:S,'Player Stats - Current Week'!C:C,B9)=0,"BYE, GAME NOT STARTED, OR NO STATS YET",iferror(MAXIFS('Player Stats - Current Week'!S:S,'Player Stats - Current Week'!C:C,B9),""))</f>
        <v>BYE, GAME NOT STARTED, OR NO STATS YET</v>
      </c>
      <c r="AB9" s="90" t="s">
        <v>447</v>
      </c>
      <c r="AC9" s="90" t="str">
        <f>if(MAXIFS('Player Stats - Current Week'!G:G,'Player Stats - Current Week'!C:C,B9,'Player Stats - Current Week'!D:D,"QB")=0,"BYE, GAME NOT STARTED, OR NO STATS YET",iferror(MAXIFS('Player Stats - Current Week'!G:G,'Player Stats - Current Week'!C:C,B9,'Player Stats - Current Week'!D:D,"QB"),""))</f>
        <v>BYE, GAME NOT STARTED, OR NO STATS YET</v>
      </c>
      <c r="AD9" s="101" t="str">
        <f t="shared" si="5"/>
        <v>BYE OR GAME NOT STARTED7</v>
      </c>
      <c r="AE9" s="99" t="str">
        <f>if(iferror(vlookup(CONCATENATE("Week 14",B9),'Raw With Formulas'!J:M,4,false),iferror(vlookup(CONCATENATE("Week 14",B9),'Raw With Formulas'!K:M,2,false),"BYE OR GAME NOT STARTED"))="","BYE OR GAME NOT STARTED",iferror(vlookup(CONCATENATE("Week 14",B9),'Raw With Formulas'!J:M,4,false),iferror(vlookup(CONCATENATE("Week 14",B9),'Raw With Formulas'!K:M,2,false),"BYE OR GAME NOT STARTED")))</f>
        <v>BYE OR GAME NOT STARTED</v>
      </c>
      <c r="AF9" s="101" t="str">
        <f t="shared" si="6"/>
        <v>BYE, GAME NOT STARTED, OR NO STATS YET7</v>
      </c>
      <c r="AG9" s="90" t="str">
        <f>if(MAXIFS('Player Stats - Current Week'!Q:Q,'Player Stats - Current Week'!C:C,B9,'Player Stats - Current Week'!D:D,"QB")=0,"BYE, GAME NOT STARTED, OR NO STATS YET",iferror(MAXIFS('Player Stats - Current Week'!Q:Q,'Player Stats - Current Week'!C:C,B9,'Player Stats - Current Week'!D:D,"QB"),""))</f>
        <v>BYE, GAME NOT STARTED, OR NO STATS YET</v>
      </c>
      <c r="AH9" s="101" t="str">
        <f t="shared" si="7"/>
        <v>BYE OR GAME NOT STARTED7</v>
      </c>
      <c r="AI9" s="101" t="str">
        <f>if(iferror(vlookup(CONCATENATE("Week 16",B9),'Raw With Formulas'!J:M,3,false),iferror(vlookup(CONCATENATE("Week 16",B9),'Raw With Formulas'!K:M,3,false),"BYE OR GAME NOT STARTED"))="","BYE OR GAME NOT STARTED",iferror(vlookup(CONCATENATE("Week 16",B9),'Raw With Formulas'!J:M,3,false),iferror(vlookup(CONCATENATE("Week 16",B9),'Raw With Formulas'!K:M,3,false),"BYE OR GAME NOT STARTED")))</f>
        <v>BYE OR GAME NOT STARTED</v>
      </c>
      <c r="AJ9" s="101" t="str">
        <f t="shared" si="8"/>
        <v>BYE, GAME NOT STARTED, OR NO STATS YET7</v>
      </c>
      <c r="AK9" s="90" t="str">
        <f>if(MAXIFS('Player Stats - Current Week'!F:F,'Player Stats - Current Week'!C:C,B9,'Player Stats - Current Week'!D:D,"WR")=0,"BYE, GAME NOT STARTED, OR NO STATS YET",iferror(MAXIFS('Player Stats - Current Week'!F:F,'Player Stats - Current Week'!C:C,B9,'Player Stats - Current Week'!D:D,"WR"),""))</f>
        <v>BYE, GAME NOT STARTED, OR NO STATS YET</v>
      </c>
      <c r="AL9" s="90" t="s">
        <v>447</v>
      </c>
      <c r="AM9" s="90" t="str">
        <f>if(MAXIFS('Player Stats - Current Week'!Q:Q,'Player Stats - Current Week'!C:C,B9,'Player Stats - Current Week'!D:D,"RB")=0,"BYE, GAME NOT STARTED, OR NO STATS YET",iferror(MAXIFS('Player Stats - Current Week'!Q:Q,'Player Stats - Current Week'!C:C,B9,'Player Stats - Current Week'!D:D,"RB"),""))</f>
        <v>BYE, GAME NOT STARTED, OR NO STATS YET</v>
      </c>
      <c r="AN9" s="102" t="str">
        <f t="shared" si="1"/>
        <v>Budde</v>
      </c>
    </row>
    <row r="10">
      <c r="A10" s="86" t="s">
        <v>21</v>
      </c>
      <c r="B10" s="87" t="s">
        <v>21</v>
      </c>
      <c r="C10" s="87" t="str">
        <f>vlookup(A10,'Wins by Team'!A:C,3,false)</f>
        <v>Rob</v>
      </c>
      <c r="D10" s="94" t="str">
        <f t="shared" si="2"/>
        <v>BYE, GAME NOT STARTED, OR NO STATS YET8</v>
      </c>
      <c r="E10" s="87" t="str">
        <f>if(MAXIFS('Player Stats - Current Week'!F:F,'Player Stats - Current Week'!C:C,B10,'Player Stats - Current Week'!D:D,"QB")=0,"BYE, GAME NOT STARTED, OR NO STATS YET",iferror(MAXIFS('Player Stats - Current Week'!F:F,,'Player Stats - Current Week'!C:C,B10,'Player Stats - Current Week'!D:D,"QB"),""))</f>
        <v>BYE, GAME NOT STARTED, OR NO STATS YET</v>
      </c>
      <c r="F10" s="94" t="str">
        <f t="shared" si="3"/>
        <v>BYE OR GAME NOT STARTED8</v>
      </c>
      <c r="G10" s="87" t="str">
        <f>if(iferror(vlookup(CONCATENATE("Week 2",B10),'Raw With Formulas'!J:M,3,false),iferror(vlookup(CONCATENATE("Week 2",B10),'Raw With Formulas'!K:M,3,false),"BYE OR GAME NOT STARTED")) = "", "BYE OR GAME NOT STARTED", iferror(vlookup(CONCATENATE("Week 2",B10),'Raw With Formulas'!J:M,3,false),iferror(vlookup(CONCATENATE("Week 2",B10),'Raw With Formulas'!K:M,3,false),"BYE OR GAME NOT STARTED")))</f>
        <v>BYE OR GAME NOT STARTED</v>
      </c>
      <c r="H10" s="94" t="str">
        <f t="shared" si="4"/>
        <v>BYE, GAME NOT STARTED, OR NO STATS YET8</v>
      </c>
      <c r="I10" s="87" t="str">
        <f>iferror(
if(
sumifs(
#REF!,
'Player Stats - Current Week'!C:C,
iferror(
vlookup(
CONCATENATE("Week 3",B10), 
'Raw With Formulas'!J:N,
2,false
),
vlookup(CONCATENATE("Week 3",B10), 'Raw With Formulas'!K:N,4,false))) 
= 0,
"BYE, GAME NOT STARTED, OR NO STATS YET",
iferror(
sumifs(
#REF!,
'Player Stats - Current Week'!C:C,
iferror(
vlookup(
CONCATENATE("Week 3",B10), 
'Raw With Formulas'!J:N,
2,false
),
vlookup(CONCATENATE("Week 3",B10), 'Raw With Formulas'!K:N,4,false))),
""
)
),
"BYE, GAME NOT STARTED, OR NO STATS YET"
)</f>
        <v>BYE, GAME NOT STARTED, OR NO STATS YET</v>
      </c>
      <c r="J10" s="87" t="s">
        <v>447</v>
      </c>
      <c r="K10" s="87" t="str">
        <f>if(MAXIFS('Player Stats - Current Week'!F:F,'Player Stats - Current Week'!C:C,B10,'Player Stats - Current Week'!D:D,"TE")=0,"BYE, GAME NOT STARTED, OR NO STATS YET",iferror(MAXIFS('Player Stats - Current Week'!F:F,'Player Stats - Current Week'!C:C,B10,'Player Stats - Current Week'!D:D,"TE"),""))</f>
        <v>BYE, GAME NOT STARTED, OR NO STATS YET</v>
      </c>
      <c r="L10" s="87" t="s">
        <v>447</v>
      </c>
      <c r="M10" s="87" t="str">
        <f>if(MAXIFS('Player Stats - Current Week'!Q:Q,'Player Stats - Current Week'!C:C,B10,'Player Stats - Current Week'!D:D,"WR")=0,"BYE, GAME NOT STARTED, OR NO STATS YET",iferror(MAXIFS('Player Stats - Current Week'!Q:Q,'Player Stats - Current Week'!C:C,B10,'Player Stats - Current Week'!D:D,"WR"),""))</f>
        <v>BYE, GAME NOT STARTED, OR NO STATS YET</v>
      </c>
      <c r="N10" s="87" t="s">
        <v>447</v>
      </c>
      <c r="O10" s="87" t="str">
        <f>if((SUMIFS('Player Stats - Current Week'!L:L,'Player Stats - Current Week'!C:C,B10)+SUMIFS('Player Stats - Current Week'!R:R,'Player Stats - Current Week'!C:C,B10))=0,"BYE, GAME NOT STARTED, OR NO STATS YET",((SUMIFS('Player Stats - Current Week'!R:R,'Player Stats - Current Week'!C:C,B10)*6)+SUMIFS('Player Stats - Current Week'!L:L,'Player Stats - Current Week'!C:C,B10)))</f>
        <v>BYE, GAME NOT STARTED, OR NO STATS YET</v>
      </c>
      <c r="P10" s="87" t="s">
        <v>447</v>
      </c>
      <c r="Q10" s="87" t="str">
        <f>if((SUMIFS('Player Stats - Current Week'!G:G,'Player Stats - Current Week'!C:C,B10,'Player Stats - Current Week'!D:D,"RB")+SUMIFS('Player Stats - Current Week'!E:E,'Player Stats - Current Week'!C:C,B10,'Player Stats - Current Week'!D:D,"RB"))=0,"BYE, GAME NOT STARTED, OR NO STATS YET",((SUMIFS('Player Stats - Current Week'!G:G,'Player Stats - Current Week'!C:C,B10,'Player Stats - Current Week'!D:D,"RB")*6)+SUMIFS('Player Stats - Current Week'!E:E,'Player Stats - Current Week'!C:C,B10,'Player Stats - Current Week'!D:D,"RB")))</f>
        <v>BYE, GAME NOT STARTED, OR NO STATS YET</v>
      </c>
      <c r="R10" s="87" t="s">
        <v>447</v>
      </c>
      <c r="S10" s="87" t="str">
        <f>if(MAXIFS('Player Stats - Current Week'!L:L,'Player Stats - Current Week'!C:C,B10,'Player Stats - Current Week'!D:D,"PK")=0,"BYE, GAME NOT STARTED, OR NO STATS YET",iferror(MAXIFS('Player Stats - Current Week'!L:L,'Player Stats - Current Week'!C:C,B10,'Player Stats - Current Week'!D:D,"PK"),""))</f>
        <v>BYE, GAME NOT STARTED, OR NO STATS YET</v>
      </c>
      <c r="T10" s="87" t="s">
        <v>447</v>
      </c>
      <c r="U10" s="87" t="str">
        <f>if(MAXIFS('Player Stats - Current Week'!N:N,'Player Stats - Current Week'!C:C,B10,'Player Stats - Current Week'!D:D,"QB")=0,"BYE, GAME NOT STARTED, OR NO STATS YET",iferror(MAXIFS('Player Stats - Current Week'!N:N,'Player Stats - Current Week'!C:C,B10,'Player Stats - Current Week'!D:D,"QB"),""))</f>
        <v>BYE, GAME NOT STARTED, OR NO STATS YET</v>
      </c>
      <c r="V10" s="87" t="s">
        <v>447</v>
      </c>
      <c r="W10" s="87" t="str">
        <f>if(SUMIFS('Player Stats - Current Week'!O:O,'Player Stats - Current Week'!C:C,B10)=0,"BYE, GAME NOT STARTED, OR NO STATS YET",iferror(SUMIFS('Player Stats - Current Week'!O:O,'Player Stats - Current Week'!C:C,B10),""))</f>
        <v>BYE, GAME NOT STARTED, OR NO STATS YET</v>
      </c>
      <c r="X10" s="87" t="s">
        <v>447</v>
      </c>
      <c r="Y10" s="87" t="str">
        <f>if(MAXIFS('Player Stats - Current Week'!Q:Q,'Player Stats - Current Week'!C:C,B10,'Player Stats - Current Week'!D:D,"TE")=0,"BYE, GAME NOT STARTED, OR NO STATS YET",iferror(MAXIFS('Player Stats - Current Week'!Q:Q,'Player Stats - Current Week'!C:C,B10,'Player Stats - Current Week'!D:D,"TE"),""))</f>
        <v>BYE, GAME NOT STARTED, OR NO STATS YET</v>
      </c>
      <c r="Z10" s="87" t="s">
        <v>447</v>
      </c>
      <c r="AA10" s="87" t="str">
        <f>if(MAXIFS('Player Stats - Current Week'!S:S,'Player Stats - Current Week'!C:C,B10)=0,"BYE, GAME NOT STARTED, OR NO STATS YET",iferror(MAXIFS('Player Stats - Current Week'!S:S,'Player Stats - Current Week'!C:C,B10),""))</f>
        <v>BYE, GAME NOT STARTED, OR NO STATS YET</v>
      </c>
      <c r="AB10" s="87" t="s">
        <v>447</v>
      </c>
      <c r="AC10" s="87" t="str">
        <f>if(MAXIFS('Player Stats - Current Week'!G:G,'Player Stats - Current Week'!C:C,B10,'Player Stats - Current Week'!D:D,"QB")=0,"BYE, GAME NOT STARTED, OR NO STATS YET",iferror(MAXIFS('Player Stats - Current Week'!G:G,'Player Stats - Current Week'!C:C,B10,'Player Stats - Current Week'!D:D,"QB"),""))</f>
        <v>BYE, GAME NOT STARTED, OR NO STATS YET</v>
      </c>
      <c r="AD10" s="94" t="str">
        <f t="shared" si="5"/>
        <v>BYE OR GAME NOT STARTED8</v>
      </c>
      <c r="AE10" s="98" t="str">
        <f>if(iferror(vlookup(CONCATENATE("Week 14",B10),'Raw With Formulas'!J:M,4,false),iferror(vlookup(CONCATENATE("Week 14",B10),'Raw With Formulas'!K:M,2,false),"BYE OR GAME NOT STARTED"))="","BYE OR GAME NOT STARTED",iferror(vlookup(CONCATENATE("Week 14",B10),'Raw With Formulas'!J:M,4,false),iferror(vlookup(CONCATENATE("Week 14",B10),'Raw With Formulas'!K:M,2,false),"BYE OR GAME NOT STARTED")))</f>
        <v>BYE OR GAME NOT STARTED</v>
      </c>
      <c r="AF10" s="94" t="str">
        <f t="shared" si="6"/>
        <v>BYE, GAME NOT STARTED, OR NO STATS YET8</v>
      </c>
      <c r="AG10" s="87" t="str">
        <f>if(MAXIFS('Player Stats - Current Week'!Q:Q,'Player Stats - Current Week'!C:C,B10,'Player Stats - Current Week'!D:D,"QB")=0,"BYE, GAME NOT STARTED, OR NO STATS YET",iferror(MAXIFS('Player Stats - Current Week'!Q:Q,'Player Stats - Current Week'!C:C,B10,'Player Stats - Current Week'!D:D,"QB"),""))</f>
        <v>BYE, GAME NOT STARTED, OR NO STATS YET</v>
      </c>
      <c r="AH10" s="94" t="str">
        <f t="shared" si="7"/>
        <v>BYE OR GAME NOT STARTED8</v>
      </c>
      <c r="AI10" s="94" t="str">
        <f>if(iferror(vlookup(CONCATENATE("Week 16",B10),'Raw With Formulas'!J:M,3,false),iferror(vlookup(CONCATENATE("Week 16",B10),'Raw With Formulas'!K:M,3,false),"BYE OR GAME NOT STARTED"))="","BYE OR GAME NOT STARTED",iferror(vlookup(CONCATENATE("Week 16",B10),'Raw With Formulas'!J:M,3,false),iferror(vlookup(CONCATENATE("Week 16",B10),'Raw With Formulas'!K:M,3,false),"BYE OR GAME NOT STARTED")))</f>
        <v>BYE OR GAME NOT STARTED</v>
      </c>
      <c r="AJ10" s="94" t="str">
        <f t="shared" si="8"/>
        <v>BYE, GAME NOT STARTED, OR NO STATS YET8</v>
      </c>
      <c r="AK10" s="87" t="str">
        <f>if(MAXIFS('Player Stats - Current Week'!F:F,'Player Stats - Current Week'!C:C,B10,'Player Stats - Current Week'!D:D,"WR")=0,"BYE, GAME NOT STARTED, OR NO STATS YET",iferror(MAXIFS('Player Stats - Current Week'!F:F,'Player Stats - Current Week'!C:C,B10,'Player Stats - Current Week'!D:D,"WR"),""))</f>
        <v>BYE, GAME NOT STARTED, OR NO STATS YET</v>
      </c>
      <c r="AL10" s="87" t="s">
        <v>447</v>
      </c>
      <c r="AM10" s="87" t="str">
        <f>if(MAXIFS('Player Stats - Current Week'!Q:Q,'Player Stats - Current Week'!C:C,B10,'Player Stats - Current Week'!D:D,"RB")=0,"BYE, GAME NOT STARTED, OR NO STATS YET",iferror(MAXIFS('Player Stats - Current Week'!Q:Q,'Player Stats - Current Week'!C:C,B10,'Player Stats - Current Week'!D:D,"RB"),""))</f>
        <v>BYE, GAME NOT STARTED, OR NO STATS YET</v>
      </c>
      <c r="AN10" s="92" t="str">
        <f t="shared" si="1"/>
        <v>Rob</v>
      </c>
    </row>
    <row r="11">
      <c r="A11" s="89" t="s">
        <v>18</v>
      </c>
      <c r="B11" s="90" t="s">
        <v>18</v>
      </c>
      <c r="C11" s="90" t="str">
        <f>vlookup(A11,'Wins by Team'!A:C,3,false)</f>
        <v>Kyle</v>
      </c>
      <c r="D11" s="101" t="str">
        <f t="shared" si="2"/>
        <v>BYE, GAME NOT STARTED, OR NO STATS YET9</v>
      </c>
      <c r="E11" s="90" t="str">
        <f>if(MAXIFS('Player Stats - Current Week'!F:F,'Player Stats - Current Week'!C:C,B11,'Player Stats - Current Week'!D:D,"QB")=0,"BYE, GAME NOT STARTED, OR NO STATS YET",iferror(MAXIFS('Player Stats - Current Week'!F:F,,'Player Stats - Current Week'!C:C,B11,'Player Stats - Current Week'!D:D,"QB"),""))</f>
        <v>BYE, GAME NOT STARTED, OR NO STATS YET</v>
      </c>
      <c r="F11" s="101" t="str">
        <f t="shared" si="3"/>
        <v>BYE OR GAME NOT STARTED9</v>
      </c>
      <c r="G11" s="90" t="str">
        <f>if(iferror(vlookup(CONCATENATE("Week 2",B11),'Raw With Formulas'!J:M,3,false),iferror(vlookup(CONCATENATE("Week 2",B11),'Raw With Formulas'!K:M,3,false),"BYE OR GAME NOT STARTED")) = "", "BYE OR GAME NOT STARTED", iferror(vlookup(CONCATENATE("Week 2",B11),'Raw With Formulas'!J:M,3,false),iferror(vlookup(CONCATENATE("Week 2",B11),'Raw With Formulas'!K:M,3,false),"BYE OR GAME NOT STARTED")))</f>
        <v>BYE OR GAME NOT STARTED</v>
      </c>
      <c r="H11" s="101" t="str">
        <f t="shared" si="4"/>
        <v>BYE, GAME NOT STARTED, OR NO STATS YET9</v>
      </c>
      <c r="I11" s="90" t="str">
        <f>iferror(
if(
sumifs(
#REF!,
'Player Stats - Current Week'!C:C,
iferror(
vlookup(
CONCATENATE("Week 3",B11), 
'Raw With Formulas'!J:N,
2,false
),
vlookup(CONCATENATE("Week 3",B11), 'Raw With Formulas'!K:N,4,false))) 
= 0,
"BYE, GAME NOT STARTED, OR NO STATS YET",
iferror(
sumifs(
#REF!,
'Player Stats - Current Week'!C:C,
iferror(
vlookup(
CONCATENATE("Week 3",B11), 
'Raw With Formulas'!J:N,
2,false
),
vlookup(CONCATENATE("Week 3",B11), 'Raw With Formulas'!K:N,4,false))),
""
)
),
"BYE, GAME NOT STARTED, OR NO STATS YET"
)</f>
        <v>BYE, GAME NOT STARTED, OR NO STATS YET</v>
      </c>
      <c r="J11" s="90" t="s">
        <v>447</v>
      </c>
      <c r="K11" s="90" t="str">
        <f>if(MAXIFS('Player Stats - Current Week'!F:F,'Player Stats - Current Week'!C:C,B11,'Player Stats - Current Week'!D:D,"TE")=0,"BYE, GAME NOT STARTED, OR NO STATS YET",iferror(MAXIFS('Player Stats - Current Week'!F:F,'Player Stats - Current Week'!C:C,B11,'Player Stats - Current Week'!D:D,"TE"),""))</f>
        <v>BYE, GAME NOT STARTED, OR NO STATS YET</v>
      </c>
      <c r="L11" s="90" t="s">
        <v>447</v>
      </c>
      <c r="M11" s="90" t="str">
        <f>if(MAXIFS('Player Stats - Current Week'!Q:Q,'Player Stats - Current Week'!C:C,B11,'Player Stats - Current Week'!D:D,"WR")=0,"BYE, GAME NOT STARTED, OR NO STATS YET",iferror(MAXIFS('Player Stats - Current Week'!Q:Q,'Player Stats - Current Week'!C:C,B11,'Player Stats - Current Week'!D:D,"WR"),""))</f>
        <v>BYE, GAME NOT STARTED, OR NO STATS YET</v>
      </c>
      <c r="N11" s="90" t="s">
        <v>447</v>
      </c>
      <c r="O11" s="90" t="str">
        <f>if((SUMIFS('Player Stats - Current Week'!L:L,'Player Stats - Current Week'!C:C,B11)+SUMIFS('Player Stats - Current Week'!R:R,'Player Stats - Current Week'!C:C,B11))=0,"BYE, GAME NOT STARTED, OR NO STATS YET",((SUMIFS('Player Stats - Current Week'!R:R,'Player Stats - Current Week'!C:C,B11)*6)+SUMIFS('Player Stats - Current Week'!L:L,'Player Stats - Current Week'!C:C,B11)))</f>
        <v>BYE, GAME NOT STARTED, OR NO STATS YET</v>
      </c>
      <c r="P11" s="90" t="s">
        <v>447</v>
      </c>
      <c r="Q11" s="90" t="str">
        <f>if((SUMIFS('Player Stats - Current Week'!G:G,'Player Stats - Current Week'!C:C,B11,'Player Stats - Current Week'!D:D,"RB")+SUMIFS('Player Stats - Current Week'!E:E,'Player Stats - Current Week'!C:C,B11,'Player Stats - Current Week'!D:D,"RB"))=0,"BYE, GAME NOT STARTED, OR NO STATS YET",((SUMIFS('Player Stats - Current Week'!G:G,'Player Stats - Current Week'!C:C,B11,'Player Stats - Current Week'!D:D,"RB")*6)+SUMIFS('Player Stats - Current Week'!E:E,'Player Stats - Current Week'!C:C,B11,'Player Stats - Current Week'!D:D,"RB")))</f>
        <v>BYE, GAME NOT STARTED, OR NO STATS YET</v>
      </c>
      <c r="R11" s="90" t="s">
        <v>447</v>
      </c>
      <c r="S11" s="90" t="str">
        <f>if(MAXIFS('Player Stats - Current Week'!L:L,'Player Stats - Current Week'!C:C,B11,'Player Stats - Current Week'!D:D,"PK")=0,"BYE, GAME NOT STARTED, OR NO STATS YET",iferror(MAXIFS('Player Stats - Current Week'!L:L,'Player Stats - Current Week'!C:C,B11,'Player Stats - Current Week'!D:D,"PK"),""))</f>
        <v>BYE, GAME NOT STARTED, OR NO STATS YET</v>
      </c>
      <c r="T11" s="90" t="s">
        <v>447</v>
      </c>
      <c r="U11" s="90" t="str">
        <f>if(MAXIFS('Player Stats - Current Week'!N:N,'Player Stats - Current Week'!C:C,B11,'Player Stats - Current Week'!D:D,"QB")=0,"BYE, GAME NOT STARTED, OR NO STATS YET",iferror(MAXIFS('Player Stats - Current Week'!N:N,'Player Stats - Current Week'!C:C,B11,'Player Stats - Current Week'!D:D,"QB"),""))</f>
        <v>BYE, GAME NOT STARTED, OR NO STATS YET</v>
      </c>
      <c r="V11" s="90" t="s">
        <v>447</v>
      </c>
      <c r="W11" s="90" t="str">
        <f>if(SUMIFS('Player Stats - Current Week'!O:O,'Player Stats - Current Week'!C:C,B11)=0,"BYE, GAME NOT STARTED, OR NO STATS YET",iferror(SUMIFS('Player Stats - Current Week'!O:O,'Player Stats - Current Week'!C:C,B11),""))</f>
        <v>BYE, GAME NOT STARTED, OR NO STATS YET</v>
      </c>
      <c r="X11" s="90" t="s">
        <v>447</v>
      </c>
      <c r="Y11" s="90" t="str">
        <f>if(MAXIFS('Player Stats - Current Week'!Q:Q,'Player Stats - Current Week'!C:C,B11,'Player Stats - Current Week'!D:D,"TE")=0,"BYE, GAME NOT STARTED, OR NO STATS YET",iferror(MAXIFS('Player Stats - Current Week'!Q:Q,'Player Stats - Current Week'!C:C,B11,'Player Stats - Current Week'!D:D,"TE"),""))</f>
        <v>BYE, GAME NOT STARTED, OR NO STATS YET</v>
      </c>
      <c r="Z11" s="90" t="s">
        <v>447</v>
      </c>
      <c r="AA11" s="90" t="str">
        <f>if(MAXIFS('Player Stats - Current Week'!S:S,'Player Stats - Current Week'!C:C,B11)=0,"BYE, GAME NOT STARTED, OR NO STATS YET",iferror(MAXIFS('Player Stats - Current Week'!S:S,'Player Stats - Current Week'!C:C,B11),""))</f>
        <v>BYE, GAME NOT STARTED, OR NO STATS YET</v>
      </c>
      <c r="AB11" s="90" t="s">
        <v>447</v>
      </c>
      <c r="AC11" s="90" t="str">
        <f>if(MAXIFS('Player Stats - Current Week'!G:G,'Player Stats - Current Week'!C:C,B11,'Player Stats - Current Week'!D:D,"QB")=0,"BYE, GAME NOT STARTED, OR NO STATS YET",iferror(MAXIFS('Player Stats - Current Week'!G:G,'Player Stats - Current Week'!C:C,B11,'Player Stats - Current Week'!D:D,"QB"),""))</f>
        <v>BYE, GAME NOT STARTED, OR NO STATS YET</v>
      </c>
      <c r="AD11" s="101" t="str">
        <f t="shared" si="5"/>
        <v>BYE OR GAME NOT STARTED9</v>
      </c>
      <c r="AE11" s="99" t="str">
        <f>if(iferror(vlookup(CONCATENATE("Week 14",B11),'Raw With Formulas'!J:M,4,false),iferror(vlookup(CONCATENATE("Week 14",B11),'Raw With Formulas'!K:M,2,false),"BYE OR GAME NOT STARTED"))="","BYE OR GAME NOT STARTED",iferror(vlookup(CONCATENATE("Week 14",B11),'Raw With Formulas'!J:M,4,false),iferror(vlookup(CONCATENATE("Week 14",B11),'Raw With Formulas'!K:M,2,false),"BYE OR GAME NOT STARTED")))</f>
        <v>BYE OR GAME NOT STARTED</v>
      </c>
      <c r="AF11" s="101" t="str">
        <f t="shared" si="6"/>
        <v>BYE, GAME NOT STARTED, OR NO STATS YET9</v>
      </c>
      <c r="AG11" s="90" t="str">
        <f>if(MAXIFS('Player Stats - Current Week'!Q:Q,'Player Stats - Current Week'!C:C,B11,'Player Stats - Current Week'!D:D,"QB")=0,"BYE, GAME NOT STARTED, OR NO STATS YET",iferror(MAXIFS('Player Stats - Current Week'!Q:Q,'Player Stats - Current Week'!C:C,B11,'Player Stats - Current Week'!D:D,"QB"),""))</f>
        <v>BYE, GAME NOT STARTED, OR NO STATS YET</v>
      </c>
      <c r="AH11" s="101" t="str">
        <f t="shared" si="7"/>
        <v>BYE OR GAME NOT STARTED9</v>
      </c>
      <c r="AI11" s="101" t="str">
        <f>if(iferror(vlookup(CONCATENATE("Week 16",B11),'Raw With Formulas'!J:M,3,false),iferror(vlookup(CONCATENATE("Week 16",B11),'Raw With Formulas'!K:M,3,false),"BYE OR GAME NOT STARTED"))="","BYE OR GAME NOT STARTED",iferror(vlookup(CONCATENATE("Week 16",B11),'Raw With Formulas'!J:M,3,false),iferror(vlookup(CONCATENATE("Week 16",B11),'Raw With Formulas'!K:M,3,false),"BYE OR GAME NOT STARTED")))</f>
        <v>BYE OR GAME NOT STARTED</v>
      </c>
      <c r="AJ11" s="101" t="str">
        <f t="shared" si="8"/>
        <v>BYE, GAME NOT STARTED, OR NO STATS YET9</v>
      </c>
      <c r="AK11" s="90" t="str">
        <f>if(MAXIFS('Player Stats - Current Week'!F:F,'Player Stats - Current Week'!C:C,B11,'Player Stats - Current Week'!D:D,"WR")=0,"BYE, GAME NOT STARTED, OR NO STATS YET",iferror(MAXIFS('Player Stats - Current Week'!F:F,'Player Stats - Current Week'!C:C,B11,'Player Stats - Current Week'!D:D,"WR"),""))</f>
        <v>BYE, GAME NOT STARTED, OR NO STATS YET</v>
      </c>
      <c r="AL11" s="90" t="s">
        <v>447</v>
      </c>
      <c r="AM11" s="90" t="str">
        <f>if(MAXIFS('Player Stats - Current Week'!Q:Q,'Player Stats - Current Week'!C:C,B11,'Player Stats - Current Week'!D:D,"RB")=0,"BYE, GAME NOT STARTED, OR NO STATS YET",iferror(MAXIFS('Player Stats - Current Week'!Q:Q,'Player Stats - Current Week'!C:C,B11,'Player Stats - Current Week'!D:D,"RB"),""))</f>
        <v>BYE, GAME NOT STARTED, OR NO STATS YET</v>
      </c>
      <c r="AN11" s="102" t="str">
        <f t="shared" si="1"/>
        <v>Kyle</v>
      </c>
    </row>
    <row r="12">
      <c r="A12" s="86" t="s">
        <v>43</v>
      </c>
      <c r="B12" s="87" t="s">
        <v>43</v>
      </c>
      <c r="C12" s="87" t="str">
        <f>vlookup(A12,'Wins by Team'!A:C,3,false)</f>
        <v>Sagar</v>
      </c>
      <c r="D12" s="94" t="str">
        <f t="shared" si="2"/>
        <v>BYE, GAME NOT STARTED, OR NO STATS YET10</v>
      </c>
      <c r="E12" s="87" t="str">
        <f>if(MAXIFS('Player Stats - Current Week'!F:F,'Player Stats - Current Week'!C:C,B12,'Player Stats - Current Week'!D:D,"QB")=0,"BYE, GAME NOT STARTED, OR NO STATS YET",iferror(MAXIFS('Player Stats - Current Week'!F:F,,'Player Stats - Current Week'!C:C,B12,'Player Stats - Current Week'!D:D,"QB"),""))</f>
        <v>BYE, GAME NOT STARTED, OR NO STATS YET</v>
      </c>
      <c r="F12" s="94" t="str">
        <f t="shared" si="3"/>
        <v>BYE OR GAME NOT STARTED10</v>
      </c>
      <c r="G12" s="87" t="str">
        <f>if(iferror(vlookup(CONCATENATE("Week 2",B12),'Raw With Formulas'!J:M,3,false),iferror(vlookup(CONCATENATE("Week 2",B12),'Raw With Formulas'!K:M,3,false),"BYE OR GAME NOT STARTED")) = "", "BYE OR GAME NOT STARTED", iferror(vlookup(CONCATENATE("Week 2",B12),'Raw With Formulas'!J:M,3,false),iferror(vlookup(CONCATENATE("Week 2",B12),'Raw With Formulas'!K:M,3,false),"BYE OR GAME NOT STARTED")))</f>
        <v>BYE OR GAME NOT STARTED</v>
      </c>
      <c r="H12" s="94" t="str">
        <f t="shared" si="4"/>
        <v>BYE, GAME NOT STARTED, OR NO STATS YET10</v>
      </c>
      <c r="I12" s="87" t="str">
        <f>iferror(
if(
sumifs(
#REF!,
'Player Stats - Current Week'!C:C,
iferror(
vlookup(
CONCATENATE("Week 3",B12), 
'Raw With Formulas'!J:N,
2,false
),
vlookup(CONCATENATE("Week 3",B12), 'Raw With Formulas'!K:N,4,false))) 
= 0,
"BYE, GAME NOT STARTED, OR NO STATS YET",
iferror(
sumifs(
#REF!,
'Player Stats - Current Week'!C:C,
iferror(
vlookup(
CONCATENATE("Week 3",B12), 
'Raw With Formulas'!J:N,
2,false
),
vlookup(CONCATENATE("Week 3",B12), 'Raw With Formulas'!K:N,4,false))),
""
)
),
"BYE, GAME NOT STARTED, OR NO STATS YET"
)</f>
        <v>BYE, GAME NOT STARTED, OR NO STATS YET</v>
      </c>
      <c r="J12" s="87" t="s">
        <v>447</v>
      </c>
      <c r="K12" s="87" t="str">
        <f>if(MAXIFS('Player Stats - Current Week'!F:F,'Player Stats - Current Week'!C:C,B12,'Player Stats - Current Week'!D:D,"TE")=0,"BYE, GAME NOT STARTED, OR NO STATS YET",iferror(MAXIFS('Player Stats - Current Week'!F:F,'Player Stats - Current Week'!C:C,B12,'Player Stats - Current Week'!D:D,"TE"),""))</f>
        <v>BYE, GAME NOT STARTED, OR NO STATS YET</v>
      </c>
      <c r="L12" s="87" t="s">
        <v>447</v>
      </c>
      <c r="M12" s="87" t="str">
        <f>if(MAXIFS('Player Stats - Current Week'!Q:Q,'Player Stats - Current Week'!C:C,B12,'Player Stats - Current Week'!D:D,"WR")=0,"BYE, GAME NOT STARTED, OR NO STATS YET",iferror(MAXIFS('Player Stats - Current Week'!Q:Q,'Player Stats - Current Week'!C:C,B12,'Player Stats - Current Week'!D:D,"WR"),""))</f>
        <v>BYE, GAME NOT STARTED, OR NO STATS YET</v>
      </c>
      <c r="N12" s="87" t="s">
        <v>447</v>
      </c>
      <c r="O12" s="87" t="str">
        <f>if((SUMIFS('Player Stats - Current Week'!L:L,'Player Stats - Current Week'!C:C,B12)+SUMIFS('Player Stats - Current Week'!R:R,'Player Stats - Current Week'!C:C,B12))=0,"BYE, GAME NOT STARTED, OR NO STATS YET",((SUMIFS('Player Stats - Current Week'!R:R,'Player Stats - Current Week'!C:C,B12)*6)+SUMIFS('Player Stats - Current Week'!L:L,'Player Stats - Current Week'!C:C,B12)))</f>
        <v>BYE, GAME NOT STARTED, OR NO STATS YET</v>
      </c>
      <c r="P12" s="87" t="s">
        <v>447</v>
      </c>
      <c r="Q12" s="87" t="str">
        <f>if((SUMIFS('Player Stats - Current Week'!G:G,'Player Stats - Current Week'!C:C,B12,'Player Stats - Current Week'!D:D,"RB")+SUMIFS('Player Stats - Current Week'!E:E,'Player Stats - Current Week'!C:C,B12,'Player Stats - Current Week'!D:D,"RB"))=0,"BYE, GAME NOT STARTED, OR NO STATS YET",((SUMIFS('Player Stats - Current Week'!G:G,'Player Stats - Current Week'!C:C,B12,'Player Stats - Current Week'!D:D,"RB")*6)+SUMIFS('Player Stats - Current Week'!E:E,'Player Stats - Current Week'!C:C,B12,'Player Stats - Current Week'!D:D,"RB")))</f>
        <v>BYE, GAME NOT STARTED, OR NO STATS YET</v>
      </c>
      <c r="R12" s="87" t="s">
        <v>447</v>
      </c>
      <c r="S12" s="87" t="str">
        <f>if(MAXIFS('Player Stats - Current Week'!L:L,'Player Stats - Current Week'!C:C,B12,'Player Stats - Current Week'!D:D,"PK")=0,"BYE, GAME NOT STARTED, OR NO STATS YET",iferror(MAXIFS('Player Stats - Current Week'!L:L,'Player Stats - Current Week'!C:C,B12,'Player Stats - Current Week'!D:D,"PK"),""))</f>
        <v>BYE, GAME NOT STARTED, OR NO STATS YET</v>
      </c>
      <c r="T12" s="87" t="s">
        <v>447</v>
      </c>
      <c r="U12" s="87" t="str">
        <f>if(MAXIFS('Player Stats - Current Week'!N:N,'Player Stats - Current Week'!C:C,B12,'Player Stats - Current Week'!D:D,"QB")=0,"BYE, GAME NOT STARTED, OR NO STATS YET",iferror(MAXIFS('Player Stats - Current Week'!N:N,'Player Stats - Current Week'!C:C,B12,'Player Stats - Current Week'!D:D,"QB"),""))</f>
        <v>BYE, GAME NOT STARTED, OR NO STATS YET</v>
      </c>
      <c r="V12" s="87" t="s">
        <v>447</v>
      </c>
      <c r="W12" s="87" t="str">
        <f>if(SUMIFS('Player Stats - Current Week'!O:O,'Player Stats - Current Week'!C:C,B12)=0,"BYE, GAME NOT STARTED, OR NO STATS YET",iferror(SUMIFS('Player Stats - Current Week'!O:O,'Player Stats - Current Week'!C:C,B12),""))</f>
        <v>BYE, GAME NOT STARTED, OR NO STATS YET</v>
      </c>
      <c r="X12" s="87" t="s">
        <v>447</v>
      </c>
      <c r="Y12" s="87" t="str">
        <f>if(MAXIFS('Player Stats - Current Week'!Q:Q,'Player Stats - Current Week'!C:C,B12,'Player Stats - Current Week'!D:D,"TE")=0,"BYE, GAME NOT STARTED, OR NO STATS YET",iferror(MAXIFS('Player Stats - Current Week'!Q:Q,'Player Stats - Current Week'!C:C,B12,'Player Stats - Current Week'!D:D,"TE"),""))</f>
        <v>BYE, GAME NOT STARTED, OR NO STATS YET</v>
      </c>
      <c r="Z12" s="87" t="s">
        <v>447</v>
      </c>
      <c r="AA12" s="87" t="str">
        <f>if(MAXIFS('Player Stats - Current Week'!S:S,'Player Stats - Current Week'!C:C,B12)=0,"BYE, GAME NOT STARTED, OR NO STATS YET",iferror(MAXIFS('Player Stats - Current Week'!S:S,'Player Stats - Current Week'!C:C,B12),""))</f>
        <v>BYE, GAME NOT STARTED, OR NO STATS YET</v>
      </c>
      <c r="AB12" s="87" t="s">
        <v>447</v>
      </c>
      <c r="AC12" s="87" t="str">
        <f>if(MAXIFS('Player Stats - Current Week'!G:G,'Player Stats - Current Week'!C:C,B12,'Player Stats - Current Week'!D:D,"QB")=0,"BYE, GAME NOT STARTED, OR NO STATS YET",iferror(MAXIFS('Player Stats - Current Week'!G:G,'Player Stats - Current Week'!C:C,B12,'Player Stats - Current Week'!D:D,"QB"),""))</f>
        <v>BYE, GAME NOT STARTED, OR NO STATS YET</v>
      </c>
      <c r="AD12" s="94" t="str">
        <f t="shared" si="5"/>
        <v>BYE OR GAME NOT STARTED10</v>
      </c>
      <c r="AE12" s="98" t="str">
        <f>if(iferror(vlookup(CONCATENATE("Week 14",B12),'Raw With Formulas'!J:M,4,false),iferror(vlookup(CONCATENATE("Week 14",B12),'Raw With Formulas'!K:M,2,false),"BYE OR GAME NOT STARTED"))="","BYE OR GAME NOT STARTED",iferror(vlookup(CONCATENATE("Week 14",B12),'Raw With Formulas'!J:M,4,false),iferror(vlookup(CONCATENATE("Week 14",B12),'Raw With Formulas'!K:M,2,false),"BYE OR GAME NOT STARTED")))</f>
        <v>BYE OR GAME NOT STARTED</v>
      </c>
      <c r="AF12" s="94" t="str">
        <f t="shared" si="6"/>
        <v>BYE, GAME NOT STARTED, OR NO STATS YET10</v>
      </c>
      <c r="AG12" s="87" t="str">
        <f>if(MAXIFS('Player Stats - Current Week'!Q:Q,'Player Stats - Current Week'!C:C,B12,'Player Stats - Current Week'!D:D,"QB")=0,"BYE, GAME NOT STARTED, OR NO STATS YET",iferror(MAXIFS('Player Stats - Current Week'!Q:Q,'Player Stats - Current Week'!C:C,B12,'Player Stats - Current Week'!D:D,"QB"),""))</f>
        <v>BYE, GAME NOT STARTED, OR NO STATS YET</v>
      </c>
      <c r="AH12" s="94" t="str">
        <f t="shared" si="7"/>
        <v>BYE OR GAME NOT STARTED10</v>
      </c>
      <c r="AI12" s="94" t="str">
        <f>if(iferror(vlookup(CONCATENATE("Week 16",B12),'Raw With Formulas'!J:M,3,false),iferror(vlookup(CONCATENATE("Week 16",B12),'Raw With Formulas'!K:M,3,false),"BYE OR GAME NOT STARTED"))="","BYE OR GAME NOT STARTED",iferror(vlookup(CONCATENATE("Week 16",B12),'Raw With Formulas'!J:M,3,false),iferror(vlookup(CONCATENATE("Week 16",B12),'Raw With Formulas'!K:M,3,false),"BYE OR GAME NOT STARTED")))</f>
        <v>BYE OR GAME NOT STARTED</v>
      </c>
      <c r="AJ12" s="94" t="str">
        <f t="shared" si="8"/>
        <v>BYE, GAME NOT STARTED, OR NO STATS YET10</v>
      </c>
      <c r="AK12" s="87" t="str">
        <f>if(MAXIFS('Player Stats - Current Week'!F:F,'Player Stats - Current Week'!C:C,B12,'Player Stats - Current Week'!D:D,"WR")=0,"BYE, GAME NOT STARTED, OR NO STATS YET",iferror(MAXIFS('Player Stats - Current Week'!F:F,'Player Stats - Current Week'!C:C,B12,'Player Stats - Current Week'!D:D,"WR"),""))</f>
        <v>BYE, GAME NOT STARTED, OR NO STATS YET</v>
      </c>
      <c r="AL12" s="87" t="s">
        <v>447</v>
      </c>
      <c r="AM12" s="87" t="str">
        <f>if(MAXIFS('Player Stats - Current Week'!Q:Q,'Player Stats - Current Week'!C:C,B12,'Player Stats - Current Week'!D:D,"RB")=0,"BYE, GAME NOT STARTED, OR NO STATS YET",iferror(MAXIFS('Player Stats - Current Week'!Q:Q,'Player Stats - Current Week'!C:C,B12,'Player Stats - Current Week'!D:D,"RB"),""))</f>
        <v>BYE, GAME NOT STARTED, OR NO STATS YET</v>
      </c>
      <c r="AN12" s="92" t="str">
        <f t="shared" si="1"/>
        <v>Sagar</v>
      </c>
    </row>
    <row r="13">
      <c r="A13" s="89" t="s">
        <v>398</v>
      </c>
      <c r="B13" s="90" t="s">
        <v>51</v>
      </c>
      <c r="C13" s="90" t="str">
        <f>vlookup(A13,'Wins by Team'!A:C,3,false)</f>
        <v>Max</v>
      </c>
      <c r="D13" s="101" t="str">
        <f t="shared" si="2"/>
        <v>BYE, GAME NOT STARTED, OR NO STATS YET11</v>
      </c>
      <c r="E13" s="90" t="str">
        <f>if(MAXIFS('Player Stats - Current Week'!F:F,'Player Stats - Current Week'!C:C,B13,'Player Stats - Current Week'!D:D,"QB")=0,"BYE, GAME NOT STARTED, OR NO STATS YET",iferror(MAXIFS('Player Stats - Current Week'!F:F,,'Player Stats - Current Week'!C:C,B13,'Player Stats - Current Week'!D:D,"QB"),""))</f>
        <v>BYE, GAME NOT STARTED, OR NO STATS YET</v>
      </c>
      <c r="F13" s="101" t="str">
        <f t="shared" si="3"/>
        <v>BYE OR GAME NOT STARTED11</v>
      </c>
      <c r="G13" s="90" t="str">
        <f>if(iferror(vlookup(CONCATENATE("Week 2",B13),'Raw With Formulas'!J:M,3,false),iferror(vlookup(CONCATENATE("Week 2",B13),'Raw With Formulas'!K:M,3,false),"BYE OR GAME NOT STARTED")) = "", "BYE OR GAME NOT STARTED", iferror(vlookup(CONCATENATE("Week 2",B13),'Raw With Formulas'!J:M,3,false),iferror(vlookup(CONCATENATE("Week 2",B13),'Raw With Formulas'!K:M,3,false),"BYE OR GAME NOT STARTED")))</f>
        <v>BYE OR GAME NOT STARTED</v>
      </c>
      <c r="H13" s="101" t="str">
        <f t="shared" si="4"/>
        <v>BYE, GAME NOT STARTED, OR NO STATS YET11</v>
      </c>
      <c r="I13" s="90" t="str">
        <f>iferror(
if(
sumifs(
#REF!,
'Player Stats - Current Week'!C:C,
iferror(
vlookup(
CONCATENATE("Week 3",B13), 
'Raw With Formulas'!J:N,
2,false
),
vlookup(CONCATENATE("Week 3",B13), 'Raw With Formulas'!K:N,4,false))) 
= 0,
"BYE, GAME NOT STARTED, OR NO STATS YET",
iferror(
sumifs(
#REF!,
'Player Stats - Current Week'!C:C,
iferror(
vlookup(
CONCATENATE("Week 3",B13), 
'Raw With Formulas'!J:N,
2,false
),
vlookup(CONCATENATE("Week 3",B13), 'Raw With Formulas'!K:N,4,false))),
""
)
),
"BYE, GAME NOT STARTED, OR NO STATS YET"
)</f>
        <v>BYE, GAME NOT STARTED, OR NO STATS YET</v>
      </c>
      <c r="J13" s="90" t="s">
        <v>447</v>
      </c>
      <c r="K13" s="90" t="str">
        <f>if(MAXIFS('Player Stats - Current Week'!F:F,'Player Stats - Current Week'!C:C,B13,'Player Stats - Current Week'!D:D,"TE")=0,"BYE, GAME NOT STARTED, OR NO STATS YET",iferror(MAXIFS('Player Stats - Current Week'!F:F,'Player Stats - Current Week'!C:C,B13,'Player Stats - Current Week'!D:D,"TE"),""))</f>
        <v>BYE, GAME NOT STARTED, OR NO STATS YET</v>
      </c>
      <c r="L13" s="90" t="s">
        <v>447</v>
      </c>
      <c r="M13" s="90" t="str">
        <f>if(MAXIFS('Player Stats - Current Week'!Q:Q,'Player Stats - Current Week'!C:C,B13,'Player Stats - Current Week'!D:D,"WR")=0,"BYE, GAME NOT STARTED, OR NO STATS YET",iferror(MAXIFS('Player Stats - Current Week'!Q:Q,'Player Stats - Current Week'!C:C,B13,'Player Stats - Current Week'!D:D,"WR"),""))</f>
        <v>BYE, GAME NOT STARTED, OR NO STATS YET</v>
      </c>
      <c r="N13" s="90" t="s">
        <v>447</v>
      </c>
      <c r="O13" s="90" t="str">
        <f>if((SUMIFS('Player Stats - Current Week'!L:L,'Player Stats - Current Week'!C:C,B13)+SUMIFS('Player Stats - Current Week'!R:R,'Player Stats - Current Week'!C:C,B13))=0,"BYE, GAME NOT STARTED, OR NO STATS YET",((SUMIFS('Player Stats - Current Week'!R:R,'Player Stats - Current Week'!C:C,B13)*6)+SUMIFS('Player Stats - Current Week'!L:L,'Player Stats - Current Week'!C:C,B13)))</f>
        <v>BYE, GAME NOT STARTED, OR NO STATS YET</v>
      </c>
      <c r="P13" s="90" t="s">
        <v>447</v>
      </c>
      <c r="Q13" s="90" t="str">
        <f>if((SUMIFS('Player Stats - Current Week'!G:G,'Player Stats - Current Week'!C:C,B13,'Player Stats - Current Week'!D:D,"RB")+SUMIFS('Player Stats - Current Week'!E:E,'Player Stats - Current Week'!C:C,B13,'Player Stats - Current Week'!D:D,"RB"))=0,"BYE, GAME NOT STARTED, OR NO STATS YET",((SUMIFS('Player Stats - Current Week'!G:G,'Player Stats - Current Week'!C:C,B13,'Player Stats - Current Week'!D:D,"RB")*6)+SUMIFS('Player Stats - Current Week'!E:E,'Player Stats - Current Week'!C:C,B13,'Player Stats - Current Week'!D:D,"RB")))</f>
        <v>BYE, GAME NOT STARTED, OR NO STATS YET</v>
      </c>
      <c r="R13" s="90" t="s">
        <v>447</v>
      </c>
      <c r="S13" s="90" t="str">
        <f>if(MAXIFS('Player Stats - Current Week'!L:L,'Player Stats - Current Week'!C:C,B13,'Player Stats - Current Week'!D:D,"PK")=0,"BYE, GAME NOT STARTED, OR NO STATS YET",iferror(MAXIFS('Player Stats - Current Week'!L:L,'Player Stats - Current Week'!C:C,B13,'Player Stats - Current Week'!D:D,"PK"),""))</f>
        <v>BYE, GAME NOT STARTED, OR NO STATS YET</v>
      </c>
      <c r="T13" s="90" t="s">
        <v>447</v>
      </c>
      <c r="U13" s="90" t="str">
        <f>if(MAXIFS('Player Stats - Current Week'!N:N,'Player Stats - Current Week'!C:C,B13,'Player Stats - Current Week'!D:D,"QB")=0,"BYE, GAME NOT STARTED, OR NO STATS YET",iferror(MAXIFS('Player Stats - Current Week'!N:N,'Player Stats - Current Week'!C:C,B13,'Player Stats - Current Week'!D:D,"QB"),""))</f>
        <v>BYE, GAME NOT STARTED, OR NO STATS YET</v>
      </c>
      <c r="V13" s="90" t="s">
        <v>447</v>
      </c>
      <c r="W13" s="90" t="str">
        <f>if(SUMIFS('Player Stats - Current Week'!O:O,'Player Stats - Current Week'!C:C,B13)=0,"BYE, GAME NOT STARTED, OR NO STATS YET",iferror(SUMIFS('Player Stats - Current Week'!O:O,'Player Stats - Current Week'!C:C,B13),""))</f>
        <v>BYE, GAME NOT STARTED, OR NO STATS YET</v>
      </c>
      <c r="X13" s="90" t="s">
        <v>447</v>
      </c>
      <c r="Y13" s="90" t="str">
        <f>if(MAXIFS('Player Stats - Current Week'!Q:Q,'Player Stats - Current Week'!C:C,B13,'Player Stats - Current Week'!D:D,"TE")=0,"BYE, GAME NOT STARTED, OR NO STATS YET",iferror(MAXIFS('Player Stats - Current Week'!Q:Q,'Player Stats - Current Week'!C:C,B13,'Player Stats - Current Week'!D:D,"TE"),""))</f>
        <v>BYE, GAME NOT STARTED, OR NO STATS YET</v>
      </c>
      <c r="Z13" s="90" t="s">
        <v>447</v>
      </c>
      <c r="AA13" s="90" t="str">
        <f>if(MAXIFS('Player Stats - Current Week'!S:S,'Player Stats - Current Week'!C:C,B13)=0,"BYE, GAME NOT STARTED, OR NO STATS YET",iferror(MAXIFS('Player Stats - Current Week'!S:S,'Player Stats - Current Week'!C:C,B13),""))</f>
        <v>BYE, GAME NOT STARTED, OR NO STATS YET</v>
      </c>
      <c r="AB13" s="90" t="s">
        <v>447</v>
      </c>
      <c r="AC13" s="90" t="str">
        <f>if(MAXIFS('Player Stats - Current Week'!G:G,'Player Stats - Current Week'!C:C,B13,'Player Stats - Current Week'!D:D,"QB")=0,"BYE, GAME NOT STARTED, OR NO STATS YET",iferror(MAXIFS('Player Stats - Current Week'!G:G,'Player Stats - Current Week'!C:C,B13,'Player Stats - Current Week'!D:D,"QB"),""))</f>
        <v>BYE, GAME NOT STARTED, OR NO STATS YET</v>
      </c>
      <c r="AD13" s="101" t="str">
        <f t="shared" si="5"/>
        <v>BYE OR GAME NOT STARTED11</v>
      </c>
      <c r="AE13" s="99" t="str">
        <f>if(iferror(vlookup(CONCATENATE("Week 14",B13),'Raw With Formulas'!J:M,4,false),iferror(vlookup(CONCATENATE("Week 14",B13),'Raw With Formulas'!K:M,2,false),"BYE OR GAME NOT STARTED"))="","BYE OR GAME NOT STARTED",iferror(vlookup(CONCATENATE("Week 14",B13),'Raw With Formulas'!J:M,4,false),iferror(vlookup(CONCATENATE("Week 14",B13),'Raw With Formulas'!K:M,2,false),"BYE OR GAME NOT STARTED")))</f>
        <v>BYE OR GAME NOT STARTED</v>
      </c>
      <c r="AF13" s="101" t="str">
        <f t="shared" si="6"/>
        <v>BYE, GAME NOT STARTED, OR NO STATS YET11</v>
      </c>
      <c r="AG13" s="90" t="str">
        <f>if(MAXIFS('Player Stats - Current Week'!Q:Q,'Player Stats - Current Week'!C:C,B13,'Player Stats - Current Week'!D:D,"QB")=0,"BYE, GAME NOT STARTED, OR NO STATS YET",iferror(MAXIFS('Player Stats - Current Week'!Q:Q,'Player Stats - Current Week'!C:C,B13,'Player Stats - Current Week'!D:D,"QB"),""))</f>
        <v>BYE, GAME NOT STARTED, OR NO STATS YET</v>
      </c>
      <c r="AH13" s="101" t="str">
        <f t="shared" si="7"/>
        <v>BYE OR GAME NOT STARTED11</v>
      </c>
      <c r="AI13" s="101" t="str">
        <f>if(iferror(vlookup(CONCATENATE("Week 16",B13),'Raw With Formulas'!J:M,3,false),iferror(vlookup(CONCATENATE("Week 16",B13),'Raw With Formulas'!K:M,3,false),"BYE OR GAME NOT STARTED"))="","BYE OR GAME NOT STARTED",iferror(vlookup(CONCATENATE("Week 16",B13),'Raw With Formulas'!J:M,3,false),iferror(vlookup(CONCATENATE("Week 16",B13),'Raw With Formulas'!K:M,3,false),"BYE OR GAME NOT STARTED")))</f>
        <v>BYE OR GAME NOT STARTED</v>
      </c>
      <c r="AJ13" s="101" t="str">
        <f t="shared" si="8"/>
        <v>BYE, GAME NOT STARTED, OR NO STATS YET11</v>
      </c>
      <c r="AK13" s="90" t="str">
        <f>if(MAXIFS('Player Stats - Current Week'!F:F,'Player Stats - Current Week'!C:C,B13,'Player Stats - Current Week'!D:D,"WR")=0,"BYE, GAME NOT STARTED, OR NO STATS YET",iferror(MAXIFS('Player Stats - Current Week'!F:F,'Player Stats - Current Week'!C:C,B13,'Player Stats - Current Week'!D:D,"WR"),""))</f>
        <v>BYE, GAME NOT STARTED, OR NO STATS YET</v>
      </c>
      <c r="AL13" s="90" t="s">
        <v>447</v>
      </c>
      <c r="AM13" s="90" t="str">
        <f>if(MAXIFS('Player Stats - Current Week'!Q:Q,'Player Stats - Current Week'!C:C,B13,'Player Stats - Current Week'!D:D,"RB")=0,"BYE, GAME NOT STARTED, OR NO STATS YET",iferror(MAXIFS('Player Stats - Current Week'!Q:Q,'Player Stats - Current Week'!C:C,B13,'Player Stats - Current Week'!D:D,"RB"),""))</f>
        <v>BYE, GAME NOT STARTED, OR NO STATS YET</v>
      </c>
      <c r="AN13" s="102" t="str">
        <f t="shared" si="1"/>
        <v>Max</v>
      </c>
    </row>
    <row r="14">
      <c r="A14" s="86" t="s">
        <v>24</v>
      </c>
      <c r="B14" s="87" t="s">
        <v>24</v>
      </c>
      <c r="C14" s="87" t="str">
        <f>vlookup(A14,'Wins by Team'!A:C,3,false)</f>
        <v>Grant|Rusty</v>
      </c>
      <c r="D14" s="94" t="str">
        <f t="shared" si="2"/>
        <v>BYE, GAME NOT STARTED, OR NO STATS YET12</v>
      </c>
      <c r="E14" s="87" t="str">
        <f>if(MAXIFS('Player Stats - Current Week'!F:F,'Player Stats - Current Week'!C:C,B14,'Player Stats - Current Week'!D:D,"QB")=0,"BYE, GAME NOT STARTED, OR NO STATS YET",iferror(MAXIFS('Player Stats - Current Week'!F:F,,'Player Stats - Current Week'!C:C,B14,'Player Stats - Current Week'!D:D,"QB"),""))</f>
        <v>BYE, GAME NOT STARTED, OR NO STATS YET</v>
      </c>
      <c r="F14" s="94" t="str">
        <f t="shared" si="3"/>
        <v>BYE OR GAME NOT STARTED12</v>
      </c>
      <c r="G14" s="87" t="str">
        <f>if(iferror(vlookup(CONCATENATE("Week 2",B14),'Raw With Formulas'!J:M,3,false),iferror(vlookup(CONCATENATE("Week 2",B14),'Raw With Formulas'!K:M,3,false),"BYE OR GAME NOT STARTED")) = "", "BYE OR GAME NOT STARTED", iferror(vlookup(CONCATENATE("Week 2",B14),'Raw With Formulas'!J:M,3,false),iferror(vlookup(CONCATENATE("Week 2",B14),'Raw With Formulas'!K:M,3,false),"BYE OR GAME NOT STARTED")))</f>
        <v>BYE OR GAME NOT STARTED</v>
      </c>
      <c r="H14" s="94" t="str">
        <f t="shared" si="4"/>
        <v>BYE, GAME NOT STARTED, OR NO STATS YET12</v>
      </c>
      <c r="I14" s="87" t="str">
        <f>iferror(
if(
sumifs(
#REF!,
'Player Stats - Current Week'!C:C,
iferror(
vlookup(
CONCATENATE("Week 3",B14), 
'Raw With Formulas'!J:N,
2,false
),
vlookup(CONCATENATE("Week 3",B14), 'Raw With Formulas'!K:N,4,false))) 
= 0,
"BYE, GAME NOT STARTED, OR NO STATS YET",
iferror(
sumifs(
#REF!,
'Player Stats - Current Week'!C:C,
iferror(
vlookup(
CONCATENATE("Week 3",B14), 
'Raw With Formulas'!J:N,
2,false
),
vlookup(CONCATENATE("Week 3",B14), 'Raw With Formulas'!K:N,4,false))),
""
)
),
"BYE, GAME NOT STARTED, OR NO STATS YET"
)</f>
        <v>BYE, GAME NOT STARTED, OR NO STATS YET</v>
      </c>
      <c r="J14" s="87" t="s">
        <v>447</v>
      </c>
      <c r="K14" s="87" t="str">
        <f>if(MAXIFS('Player Stats - Current Week'!F:F,'Player Stats - Current Week'!C:C,B14,'Player Stats - Current Week'!D:D,"TE")=0,"BYE, GAME NOT STARTED, OR NO STATS YET",iferror(MAXIFS('Player Stats - Current Week'!F:F,'Player Stats - Current Week'!C:C,B14,'Player Stats - Current Week'!D:D,"TE"),""))</f>
        <v>BYE, GAME NOT STARTED, OR NO STATS YET</v>
      </c>
      <c r="L14" s="87" t="s">
        <v>447</v>
      </c>
      <c r="M14" s="87" t="str">
        <f>if(MAXIFS('Player Stats - Current Week'!Q:Q,'Player Stats - Current Week'!C:C,B14,'Player Stats - Current Week'!D:D,"WR")=0,"BYE, GAME NOT STARTED, OR NO STATS YET",iferror(MAXIFS('Player Stats - Current Week'!Q:Q,'Player Stats - Current Week'!C:C,B14,'Player Stats - Current Week'!D:D,"WR"),""))</f>
        <v>BYE, GAME NOT STARTED, OR NO STATS YET</v>
      </c>
      <c r="N14" s="87" t="s">
        <v>447</v>
      </c>
      <c r="O14" s="87" t="str">
        <f>if((SUMIFS('Player Stats - Current Week'!L:L,'Player Stats - Current Week'!C:C,B14)+SUMIFS('Player Stats - Current Week'!R:R,'Player Stats - Current Week'!C:C,B14))=0,"BYE, GAME NOT STARTED, OR NO STATS YET",((SUMIFS('Player Stats - Current Week'!R:R,'Player Stats - Current Week'!C:C,B14)*6)+SUMIFS('Player Stats - Current Week'!L:L,'Player Stats - Current Week'!C:C,B14)))</f>
        <v>BYE, GAME NOT STARTED, OR NO STATS YET</v>
      </c>
      <c r="P14" s="87" t="s">
        <v>447</v>
      </c>
      <c r="Q14" s="87" t="str">
        <f>if((SUMIFS('Player Stats - Current Week'!G:G,'Player Stats - Current Week'!C:C,B14,'Player Stats - Current Week'!D:D,"RB")+SUMIFS('Player Stats - Current Week'!E:E,'Player Stats - Current Week'!C:C,B14,'Player Stats - Current Week'!D:D,"RB"))=0,"BYE, GAME NOT STARTED, OR NO STATS YET",((SUMIFS('Player Stats - Current Week'!G:G,'Player Stats - Current Week'!C:C,B14,'Player Stats - Current Week'!D:D,"RB")*6)+SUMIFS('Player Stats - Current Week'!E:E,'Player Stats - Current Week'!C:C,B14,'Player Stats - Current Week'!D:D,"RB")))</f>
        <v>BYE, GAME NOT STARTED, OR NO STATS YET</v>
      </c>
      <c r="R14" s="87" t="s">
        <v>447</v>
      </c>
      <c r="S14" s="87" t="str">
        <f>if(MAXIFS('Player Stats - Current Week'!L:L,'Player Stats - Current Week'!C:C,B14,'Player Stats - Current Week'!D:D,"PK")=0,"BYE, GAME NOT STARTED, OR NO STATS YET",iferror(MAXIFS('Player Stats - Current Week'!L:L,'Player Stats - Current Week'!C:C,B14,'Player Stats - Current Week'!D:D,"PK"),""))</f>
        <v>BYE, GAME NOT STARTED, OR NO STATS YET</v>
      </c>
      <c r="T14" s="87" t="s">
        <v>447</v>
      </c>
      <c r="U14" s="87" t="str">
        <f>if(MAXIFS('Player Stats - Current Week'!N:N,'Player Stats - Current Week'!C:C,B14,'Player Stats - Current Week'!D:D,"QB")=0,"BYE, GAME NOT STARTED, OR NO STATS YET",iferror(MAXIFS('Player Stats - Current Week'!N:N,'Player Stats - Current Week'!C:C,B14,'Player Stats - Current Week'!D:D,"QB"),""))</f>
        <v>BYE, GAME NOT STARTED, OR NO STATS YET</v>
      </c>
      <c r="V14" s="87" t="s">
        <v>447</v>
      </c>
      <c r="W14" s="87" t="str">
        <f>if(SUMIFS('Player Stats - Current Week'!O:O,'Player Stats - Current Week'!C:C,B14)=0,"BYE, GAME NOT STARTED, OR NO STATS YET",iferror(SUMIFS('Player Stats - Current Week'!O:O,'Player Stats - Current Week'!C:C,B14),""))</f>
        <v>BYE, GAME NOT STARTED, OR NO STATS YET</v>
      </c>
      <c r="X14" s="87" t="s">
        <v>447</v>
      </c>
      <c r="Y14" s="87" t="str">
        <f>if(MAXIFS('Player Stats - Current Week'!Q:Q,'Player Stats - Current Week'!C:C,B14,'Player Stats - Current Week'!D:D,"TE")=0,"BYE, GAME NOT STARTED, OR NO STATS YET",iferror(MAXIFS('Player Stats - Current Week'!Q:Q,'Player Stats - Current Week'!C:C,B14,'Player Stats - Current Week'!D:D,"TE"),""))</f>
        <v>BYE, GAME NOT STARTED, OR NO STATS YET</v>
      </c>
      <c r="Z14" s="87" t="s">
        <v>447</v>
      </c>
      <c r="AA14" s="87" t="str">
        <f>if(MAXIFS('Player Stats - Current Week'!S:S,'Player Stats - Current Week'!C:C,B14)=0,"BYE, GAME NOT STARTED, OR NO STATS YET",iferror(MAXIFS('Player Stats - Current Week'!S:S,'Player Stats - Current Week'!C:C,B14),""))</f>
        <v>BYE, GAME NOT STARTED, OR NO STATS YET</v>
      </c>
      <c r="AB14" s="87" t="s">
        <v>447</v>
      </c>
      <c r="AC14" s="87" t="str">
        <f>if(MAXIFS('Player Stats - Current Week'!G:G,'Player Stats - Current Week'!C:C,B14,'Player Stats - Current Week'!D:D,"QB")=0,"BYE, GAME NOT STARTED, OR NO STATS YET",iferror(MAXIFS('Player Stats - Current Week'!G:G,'Player Stats - Current Week'!C:C,B14,'Player Stats - Current Week'!D:D,"QB"),""))</f>
        <v>BYE, GAME NOT STARTED, OR NO STATS YET</v>
      </c>
      <c r="AD14" s="94" t="str">
        <f t="shared" si="5"/>
        <v>BYE OR GAME NOT STARTED12</v>
      </c>
      <c r="AE14" s="98" t="str">
        <f>if(iferror(vlookup(CONCATENATE("Week 14",B14),'Raw With Formulas'!J:M,4,false),iferror(vlookup(CONCATENATE("Week 14",B14),'Raw With Formulas'!K:M,2,false),"BYE OR GAME NOT STARTED"))="","BYE OR GAME NOT STARTED",iferror(vlookup(CONCATENATE("Week 14",B14),'Raw With Formulas'!J:M,4,false),iferror(vlookup(CONCATENATE("Week 14",B14),'Raw With Formulas'!K:M,2,false),"BYE OR GAME NOT STARTED")))</f>
        <v>BYE OR GAME NOT STARTED</v>
      </c>
      <c r="AF14" s="94" t="str">
        <f t="shared" si="6"/>
        <v>BYE, GAME NOT STARTED, OR NO STATS YET12</v>
      </c>
      <c r="AG14" s="87" t="str">
        <f>if(MAXIFS('Player Stats - Current Week'!Q:Q,'Player Stats - Current Week'!C:C,B14,'Player Stats - Current Week'!D:D,"QB")=0,"BYE, GAME NOT STARTED, OR NO STATS YET",iferror(MAXIFS('Player Stats - Current Week'!Q:Q,'Player Stats - Current Week'!C:C,B14,'Player Stats - Current Week'!D:D,"QB"),""))</f>
        <v>BYE, GAME NOT STARTED, OR NO STATS YET</v>
      </c>
      <c r="AH14" s="94" t="str">
        <f t="shared" si="7"/>
        <v>BYE OR GAME NOT STARTED12</v>
      </c>
      <c r="AI14" s="94" t="str">
        <f>if(iferror(vlookup(CONCATENATE("Week 16",B14),'Raw With Formulas'!J:M,3,false),iferror(vlookup(CONCATENATE("Week 16",B14),'Raw With Formulas'!K:M,3,false),"BYE OR GAME NOT STARTED"))="","BYE OR GAME NOT STARTED",iferror(vlookup(CONCATENATE("Week 16",B14),'Raw With Formulas'!J:M,3,false),iferror(vlookup(CONCATENATE("Week 16",B14),'Raw With Formulas'!K:M,3,false),"BYE OR GAME NOT STARTED")))</f>
        <v>BYE OR GAME NOT STARTED</v>
      </c>
      <c r="AJ14" s="94" t="str">
        <f t="shared" si="8"/>
        <v>BYE, GAME NOT STARTED, OR NO STATS YET12</v>
      </c>
      <c r="AK14" s="87" t="str">
        <f>if(MAXIFS('Player Stats - Current Week'!F:F,'Player Stats - Current Week'!C:C,B14,'Player Stats - Current Week'!D:D,"WR")=0,"BYE, GAME NOT STARTED, OR NO STATS YET",iferror(MAXIFS('Player Stats - Current Week'!F:F,'Player Stats - Current Week'!C:C,B14,'Player Stats - Current Week'!D:D,"WR"),""))</f>
        <v>BYE, GAME NOT STARTED, OR NO STATS YET</v>
      </c>
      <c r="AL14" s="87" t="s">
        <v>447</v>
      </c>
      <c r="AM14" s="87" t="str">
        <f>if(MAXIFS('Player Stats - Current Week'!Q:Q,'Player Stats - Current Week'!C:C,B14,'Player Stats - Current Week'!D:D,"RB")=0,"BYE, GAME NOT STARTED, OR NO STATS YET",iferror(MAXIFS('Player Stats - Current Week'!Q:Q,'Player Stats - Current Week'!C:C,B14,'Player Stats - Current Week'!D:D,"RB"),""))</f>
        <v>BYE, GAME NOT STARTED, OR NO STATS YET</v>
      </c>
      <c r="AN14" s="92" t="str">
        <f t="shared" si="1"/>
        <v>Grant|Rusty</v>
      </c>
    </row>
    <row r="15">
      <c r="A15" s="89" t="s">
        <v>45</v>
      </c>
      <c r="B15" s="90" t="s">
        <v>45</v>
      </c>
      <c r="C15" s="90" t="str">
        <f>vlookup(A15,'Wins by Team'!A:C,3,false)</f>
        <v>Steve|Sutter</v>
      </c>
      <c r="D15" s="101" t="str">
        <f t="shared" si="2"/>
        <v>BYE, GAME NOT STARTED, OR NO STATS YET13</v>
      </c>
      <c r="E15" s="90" t="str">
        <f>if(MAXIFS('Player Stats - Current Week'!F:F,'Player Stats - Current Week'!C:C,B15,'Player Stats - Current Week'!D:D,"QB")=0,"BYE, GAME NOT STARTED, OR NO STATS YET",iferror(MAXIFS('Player Stats - Current Week'!F:F,,'Player Stats - Current Week'!C:C,B15,'Player Stats - Current Week'!D:D,"QB"),""))</f>
        <v>BYE, GAME NOT STARTED, OR NO STATS YET</v>
      </c>
      <c r="F15" s="101" t="str">
        <f t="shared" si="3"/>
        <v>BYE OR GAME NOT STARTED13</v>
      </c>
      <c r="G15" s="90" t="str">
        <f>if(iferror(vlookup(CONCATENATE("Week 2",B15),'Raw With Formulas'!J:M,3,false),iferror(vlookup(CONCATENATE("Week 2",B15),'Raw With Formulas'!K:M,3,false),"BYE OR GAME NOT STARTED")) = "", "BYE OR GAME NOT STARTED", iferror(vlookup(CONCATENATE("Week 2",B15),'Raw With Formulas'!J:M,3,false),iferror(vlookup(CONCATENATE("Week 2",B15),'Raw With Formulas'!K:M,3,false),"BYE OR GAME NOT STARTED")))</f>
        <v>BYE OR GAME NOT STARTED</v>
      </c>
      <c r="H15" s="101" t="str">
        <f t="shared" si="4"/>
        <v>BYE, GAME NOT STARTED, OR NO STATS YET13</v>
      </c>
      <c r="I15" s="90" t="str">
        <f>iferror(
if(
sumifs(
#REF!,
'Player Stats - Current Week'!C:C,
iferror(
vlookup(
CONCATENATE("Week 3",B15), 
'Raw With Formulas'!J:N,
2,false
),
vlookup(CONCATENATE("Week 3",B15), 'Raw With Formulas'!K:N,4,false))) 
= 0,
"BYE, GAME NOT STARTED, OR NO STATS YET",
iferror(
sumifs(
#REF!,
'Player Stats - Current Week'!C:C,
iferror(
vlookup(
CONCATENATE("Week 3",B15), 
'Raw With Formulas'!J:N,
2,false
),
vlookup(CONCATENATE("Week 3",B15), 'Raw With Formulas'!K:N,4,false))),
""
)
),
"BYE, GAME NOT STARTED, OR NO STATS YET"
)</f>
        <v>BYE, GAME NOT STARTED, OR NO STATS YET</v>
      </c>
      <c r="J15" s="90" t="s">
        <v>447</v>
      </c>
      <c r="K15" s="90" t="str">
        <f>if(MAXIFS('Player Stats - Current Week'!F:F,'Player Stats - Current Week'!C:C,B15,'Player Stats - Current Week'!D:D,"TE")=0,"BYE, GAME NOT STARTED, OR NO STATS YET",iferror(MAXIFS('Player Stats - Current Week'!F:F,'Player Stats - Current Week'!C:C,B15,'Player Stats - Current Week'!D:D,"TE"),""))</f>
        <v>BYE, GAME NOT STARTED, OR NO STATS YET</v>
      </c>
      <c r="L15" s="90" t="s">
        <v>447</v>
      </c>
      <c r="M15" s="90" t="str">
        <f>if(MAXIFS('Player Stats - Current Week'!Q:Q,'Player Stats - Current Week'!C:C,B15,'Player Stats - Current Week'!D:D,"WR")=0,"BYE, GAME NOT STARTED, OR NO STATS YET",iferror(MAXIFS('Player Stats - Current Week'!Q:Q,'Player Stats - Current Week'!C:C,B15,'Player Stats - Current Week'!D:D,"WR"),""))</f>
        <v>BYE, GAME NOT STARTED, OR NO STATS YET</v>
      </c>
      <c r="N15" s="90" t="s">
        <v>447</v>
      </c>
      <c r="O15" s="90" t="str">
        <f>if((SUMIFS('Player Stats - Current Week'!L:L,'Player Stats - Current Week'!C:C,B15)+SUMIFS('Player Stats - Current Week'!R:R,'Player Stats - Current Week'!C:C,B15))=0,"BYE, GAME NOT STARTED, OR NO STATS YET",((SUMIFS('Player Stats - Current Week'!R:R,'Player Stats - Current Week'!C:C,B15)*6)+SUMIFS('Player Stats - Current Week'!L:L,'Player Stats - Current Week'!C:C,B15)))</f>
        <v>BYE, GAME NOT STARTED, OR NO STATS YET</v>
      </c>
      <c r="P15" s="90" t="s">
        <v>447</v>
      </c>
      <c r="Q15" s="90" t="str">
        <f>if((SUMIFS('Player Stats - Current Week'!G:G,'Player Stats - Current Week'!C:C,B15,'Player Stats - Current Week'!D:D,"RB")+SUMIFS('Player Stats - Current Week'!E:E,'Player Stats - Current Week'!C:C,B15,'Player Stats - Current Week'!D:D,"RB"))=0,"BYE, GAME NOT STARTED, OR NO STATS YET",((SUMIFS('Player Stats - Current Week'!G:G,'Player Stats - Current Week'!C:C,B15,'Player Stats - Current Week'!D:D,"RB")*6)+SUMIFS('Player Stats - Current Week'!E:E,'Player Stats - Current Week'!C:C,B15,'Player Stats - Current Week'!D:D,"RB")))</f>
        <v>BYE, GAME NOT STARTED, OR NO STATS YET</v>
      </c>
      <c r="R15" s="90" t="s">
        <v>447</v>
      </c>
      <c r="S15" s="90" t="str">
        <f>if(MAXIFS('Player Stats - Current Week'!L:L,'Player Stats - Current Week'!C:C,B15,'Player Stats - Current Week'!D:D,"PK")=0,"BYE, GAME NOT STARTED, OR NO STATS YET",iferror(MAXIFS('Player Stats - Current Week'!L:L,'Player Stats - Current Week'!C:C,B15,'Player Stats - Current Week'!D:D,"PK"),""))</f>
        <v>BYE, GAME NOT STARTED, OR NO STATS YET</v>
      </c>
      <c r="T15" s="90" t="s">
        <v>447</v>
      </c>
      <c r="U15" s="90" t="str">
        <f>if(MAXIFS('Player Stats - Current Week'!N:N,'Player Stats - Current Week'!C:C,B15,'Player Stats - Current Week'!D:D,"QB")=0,"BYE, GAME NOT STARTED, OR NO STATS YET",iferror(MAXIFS('Player Stats - Current Week'!N:N,'Player Stats - Current Week'!C:C,B15,'Player Stats - Current Week'!D:D,"QB"),""))</f>
        <v>BYE, GAME NOT STARTED, OR NO STATS YET</v>
      </c>
      <c r="V15" s="90" t="s">
        <v>447</v>
      </c>
      <c r="W15" s="90" t="str">
        <f>if(SUMIFS('Player Stats - Current Week'!O:O,'Player Stats - Current Week'!C:C,B15)=0,"BYE, GAME NOT STARTED, OR NO STATS YET",iferror(SUMIFS('Player Stats - Current Week'!O:O,'Player Stats - Current Week'!C:C,B15),""))</f>
        <v>BYE, GAME NOT STARTED, OR NO STATS YET</v>
      </c>
      <c r="X15" s="90" t="s">
        <v>447</v>
      </c>
      <c r="Y15" s="90" t="str">
        <f>if(MAXIFS('Player Stats - Current Week'!Q:Q,'Player Stats - Current Week'!C:C,B15,'Player Stats - Current Week'!D:D,"TE")=0,"BYE, GAME NOT STARTED, OR NO STATS YET",iferror(MAXIFS('Player Stats - Current Week'!Q:Q,'Player Stats - Current Week'!C:C,B15,'Player Stats - Current Week'!D:D,"TE"),""))</f>
        <v>BYE, GAME NOT STARTED, OR NO STATS YET</v>
      </c>
      <c r="Z15" s="90" t="s">
        <v>447</v>
      </c>
      <c r="AA15" s="90" t="str">
        <f>if(MAXIFS('Player Stats - Current Week'!S:S,'Player Stats - Current Week'!C:C,B15)=0,"BYE, GAME NOT STARTED, OR NO STATS YET",iferror(MAXIFS('Player Stats - Current Week'!S:S,'Player Stats - Current Week'!C:C,B15),""))</f>
        <v>BYE, GAME NOT STARTED, OR NO STATS YET</v>
      </c>
      <c r="AB15" s="90" t="s">
        <v>447</v>
      </c>
      <c r="AC15" s="90" t="str">
        <f>if(MAXIFS('Player Stats - Current Week'!G:G,'Player Stats - Current Week'!C:C,B15,'Player Stats - Current Week'!D:D,"QB")=0,"BYE, GAME NOT STARTED, OR NO STATS YET",iferror(MAXIFS('Player Stats - Current Week'!G:G,'Player Stats - Current Week'!C:C,B15,'Player Stats - Current Week'!D:D,"QB"),""))</f>
        <v>BYE, GAME NOT STARTED, OR NO STATS YET</v>
      </c>
      <c r="AD15" s="101" t="str">
        <f t="shared" si="5"/>
        <v>BYE OR GAME NOT STARTED13</v>
      </c>
      <c r="AE15" s="99" t="str">
        <f>if(iferror(vlookup(CONCATENATE("Week 14",B15),'Raw With Formulas'!J:M,4,false),iferror(vlookup(CONCATENATE("Week 14",B15),'Raw With Formulas'!K:M,2,false),"BYE OR GAME NOT STARTED"))="","BYE OR GAME NOT STARTED",iferror(vlookup(CONCATENATE("Week 14",B15),'Raw With Formulas'!J:M,4,false),iferror(vlookup(CONCATENATE("Week 14",B15),'Raw With Formulas'!K:M,2,false),"BYE OR GAME NOT STARTED")))</f>
        <v>BYE OR GAME NOT STARTED</v>
      </c>
      <c r="AF15" s="101" t="str">
        <f t="shared" si="6"/>
        <v>BYE, GAME NOT STARTED, OR NO STATS YET13</v>
      </c>
      <c r="AG15" s="90" t="str">
        <f>if(MAXIFS('Player Stats - Current Week'!Q:Q,'Player Stats - Current Week'!C:C,B15,'Player Stats - Current Week'!D:D,"QB")=0,"BYE, GAME NOT STARTED, OR NO STATS YET",iferror(MAXIFS('Player Stats - Current Week'!Q:Q,'Player Stats - Current Week'!C:C,B15,'Player Stats - Current Week'!D:D,"QB"),""))</f>
        <v>BYE, GAME NOT STARTED, OR NO STATS YET</v>
      </c>
      <c r="AH15" s="101" t="str">
        <f t="shared" si="7"/>
        <v>BYE OR GAME NOT STARTED13</v>
      </c>
      <c r="AI15" s="101" t="str">
        <f>if(iferror(vlookup(CONCATENATE("Week 16",B15),'Raw With Formulas'!J:M,3,false),iferror(vlookup(CONCATENATE("Week 16",B15),'Raw With Formulas'!K:M,3,false),"BYE OR GAME NOT STARTED"))="","BYE OR GAME NOT STARTED",iferror(vlookup(CONCATENATE("Week 16",B15),'Raw With Formulas'!J:M,3,false),iferror(vlookup(CONCATENATE("Week 16",B15),'Raw With Formulas'!K:M,3,false),"BYE OR GAME NOT STARTED")))</f>
        <v>BYE OR GAME NOT STARTED</v>
      </c>
      <c r="AJ15" s="101" t="str">
        <f t="shared" si="8"/>
        <v>BYE, GAME NOT STARTED, OR NO STATS YET13</v>
      </c>
      <c r="AK15" s="90" t="str">
        <f>if(MAXIFS('Player Stats - Current Week'!F:F,'Player Stats - Current Week'!C:C,B15,'Player Stats - Current Week'!D:D,"WR")=0,"BYE, GAME NOT STARTED, OR NO STATS YET",iferror(MAXIFS('Player Stats - Current Week'!F:F,'Player Stats - Current Week'!C:C,B15,'Player Stats - Current Week'!D:D,"WR"),""))</f>
        <v>BYE, GAME NOT STARTED, OR NO STATS YET</v>
      </c>
      <c r="AL15" s="90" t="s">
        <v>447</v>
      </c>
      <c r="AM15" s="90" t="str">
        <f>if(MAXIFS('Player Stats - Current Week'!Q:Q,'Player Stats - Current Week'!C:C,B15,'Player Stats - Current Week'!D:D,"RB")=0,"BYE, GAME NOT STARTED, OR NO STATS YET",iferror(MAXIFS('Player Stats - Current Week'!Q:Q,'Player Stats - Current Week'!C:C,B15,'Player Stats - Current Week'!D:D,"RB"),""))</f>
        <v>BYE, GAME NOT STARTED, OR NO STATS YET</v>
      </c>
      <c r="AN15" s="102" t="str">
        <f t="shared" si="1"/>
        <v>Steve|Sutter</v>
      </c>
    </row>
    <row r="16">
      <c r="A16" s="86" t="s">
        <v>399</v>
      </c>
      <c r="B16" s="87" t="s">
        <v>55</v>
      </c>
      <c r="C16" s="87" t="str">
        <f>vlookup(A16,'Wins by Team'!A:C,3,false)</f>
        <v>Budde</v>
      </c>
      <c r="D16" s="94" t="str">
        <f t="shared" si="2"/>
        <v>BYE, GAME NOT STARTED, OR NO STATS YET14</v>
      </c>
      <c r="E16" s="87" t="str">
        <f>if(MAXIFS('Player Stats - Current Week'!F:F,'Player Stats - Current Week'!C:C,B16,'Player Stats - Current Week'!D:D,"QB")=0,"BYE, GAME NOT STARTED, OR NO STATS YET",iferror(MAXIFS('Player Stats - Current Week'!F:F,,'Player Stats - Current Week'!C:C,B16,'Player Stats - Current Week'!D:D,"QB"),""))</f>
        <v>BYE, GAME NOT STARTED, OR NO STATS YET</v>
      </c>
      <c r="F16" s="94" t="str">
        <f t="shared" si="3"/>
        <v>BYE OR GAME NOT STARTED14</v>
      </c>
      <c r="G16" s="87" t="str">
        <f>if(iferror(vlookup(CONCATENATE("Week 2",B16),'Raw With Formulas'!J:M,3,false),iferror(vlookup(CONCATENATE("Week 2",B16),'Raw With Formulas'!K:M,3,false),"BYE OR GAME NOT STARTED")) = "", "BYE OR GAME NOT STARTED", iferror(vlookup(CONCATENATE("Week 2",B16),'Raw With Formulas'!J:M,3,false),iferror(vlookup(CONCATENATE("Week 2",B16),'Raw With Formulas'!K:M,3,false),"BYE OR GAME NOT STARTED")))</f>
        <v>BYE OR GAME NOT STARTED</v>
      </c>
      <c r="H16" s="94" t="str">
        <f t="shared" si="4"/>
        <v>BYE, GAME NOT STARTED, OR NO STATS YET14</v>
      </c>
      <c r="I16" s="87" t="str">
        <f>iferror(
if(
sumifs(
#REF!,
'Player Stats - Current Week'!C:C,
iferror(
vlookup(
CONCATENATE("Week 3",B16), 
'Raw With Formulas'!J:N,
2,false
),
vlookup(CONCATENATE("Week 3",B16), 'Raw With Formulas'!K:N,4,false))) 
= 0,
"BYE, GAME NOT STARTED, OR NO STATS YET",
iferror(
sumifs(
#REF!,
'Player Stats - Current Week'!C:C,
iferror(
vlookup(
CONCATENATE("Week 3",B16), 
'Raw With Formulas'!J:N,
2,false
),
vlookup(CONCATENATE("Week 3",B16), 'Raw With Formulas'!K:N,4,false))),
""
)
),
"BYE, GAME NOT STARTED, OR NO STATS YET"
)</f>
        <v>BYE, GAME NOT STARTED, OR NO STATS YET</v>
      </c>
      <c r="J16" s="87" t="s">
        <v>447</v>
      </c>
      <c r="K16" s="87" t="str">
        <f>if(MAXIFS('Player Stats - Current Week'!F:F,'Player Stats - Current Week'!C:C,B16,'Player Stats - Current Week'!D:D,"TE")=0,"BYE, GAME NOT STARTED, OR NO STATS YET",iferror(MAXIFS('Player Stats - Current Week'!F:F,'Player Stats - Current Week'!C:C,B16,'Player Stats - Current Week'!D:D,"TE"),""))</f>
        <v>BYE, GAME NOT STARTED, OR NO STATS YET</v>
      </c>
      <c r="L16" s="87" t="s">
        <v>447</v>
      </c>
      <c r="M16" s="87" t="str">
        <f>if(MAXIFS('Player Stats - Current Week'!Q:Q,'Player Stats - Current Week'!C:C,B16,'Player Stats - Current Week'!D:D,"WR")=0,"BYE, GAME NOT STARTED, OR NO STATS YET",iferror(MAXIFS('Player Stats - Current Week'!Q:Q,'Player Stats - Current Week'!C:C,B16,'Player Stats - Current Week'!D:D,"WR"),""))</f>
        <v>BYE, GAME NOT STARTED, OR NO STATS YET</v>
      </c>
      <c r="N16" s="87" t="s">
        <v>447</v>
      </c>
      <c r="O16" s="87" t="str">
        <f>if((SUMIFS('Player Stats - Current Week'!L:L,'Player Stats - Current Week'!C:C,B16)+SUMIFS('Player Stats - Current Week'!R:R,'Player Stats - Current Week'!C:C,B16))=0,"BYE, GAME NOT STARTED, OR NO STATS YET",((SUMIFS('Player Stats - Current Week'!R:R,'Player Stats - Current Week'!C:C,B16)*6)+SUMIFS('Player Stats - Current Week'!L:L,'Player Stats - Current Week'!C:C,B16)))</f>
        <v>BYE, GAME NOT STARTED, OR NO STATS YET</v>
      </c>
      <c r="P16" s="87" t="s">
        <v>447</v>
      </c>
      <c r="Q16" s="87" t="str">
        <f>if((SUMIFS('Player Stats - Current Week'!G:G,'Player Stats - Current Week'!C:C,B16,'Player Stats - Current Week'!D:D,"RB")+SUMIFS('Player Stats - Current Week'!E:E,'Player Stats - Current Week'!C:C,B16,'Player Stats - Current Week'!D:D,"RB"))=0,"BYE, GAME NOT STARTED, OR NO STATS YET",((SUMIFS('Player Stats - Current Week'!G:G,'Player Stats - Current Week'!C:C,B16,'Player Stats - Current Week'!D:D,"RB")*6)+SUMIFS('Player Stats - Current Week'!E:E,'Player Stats - Current Week'!C:C,B16,'Player Stats - Current Week'!D:D,"RB")))</f>
        <v>BYE, GAME NOT STARTED, OR NO STATS YET</v>
      </c>
      <c r="R16" s="87" t="s">
        <v>447</v>
      </c>
      <c r="S16" s="87" t="str">
        <f>if(MAXIFS('Player Stats - Current Week'!L:L,'Player Stats - Current Week'!C:C,B16,'Player Stats - Current Week'!D:D,"PK")=0,"BYE, GAME NOT STARTED, OR NO STATS YET",iferror(MAXIFS('Player Stats - Current Week'!L:L,'Player Stats - Current Week'!C:C,B16,'Player Stats - Current Week'!D:D,"PK"),""))</f>
        <v>BYE, GAME NOT STARTED, OR NO STATS YET</v>
      </c>
      <c r="T16" s="87" t="s">
        <v>447</v>
      </c>
      <c r="U16" s="87" t="str">
        <f>if(MAXIFS('Player Stats - Current Week'!N:N,'Player Stats - Current Week'!C:C,B16,'Player Stats - Current Week'!D:D,"QB")=0,"BYE, GAME NOT STARTED, OR NO STATS YET",iferror(MAXIFS('Player Stats - Current Week'!N:N,'Player Stats - Current Week'!C:C,B16,'Player Stats - Current Week'!D:D,"QB"),""))</f>
        <v>BYE, GAME NOT STARTED, OR NO STATS YET</v>
      </c>
      <c r="V16" s="87" t="s">
        <v>447</v>
      </c>
      <c r="W16" s="87" t="str">
        <f>if(SUMIFS('Player Stats - Current Week'!O:O,'Player Stats - Current Week'!C:C,B16)=0,"BYE, GAME NOT STARTED, OR NO STATS YET",iferror(SUMIFS('Player Stats - Current Week'!O:O,'Player Stats - Current Week'!C:C,B16),""))</f>
        <v>BYE, GAME NOT STARTED, OR NO STATS YET</v>
      </c>
      <c r="X16" s="87" t="s">
        <v>447</v>
      </c>
      <c r="Y16" s="87" t="str">
        <f>if(MAXIFS('Player Stats - Current Week'!Q:Q,'Player Stats - Current Week'!C:C,B16,'Player Stats - Current Week'!D:D,"TE")=0,"BYE, GAME NOT STARTED, OR NO STATS YET",iferror(MAXIFS('Player Stats - Current Week'!Q:Q,'Player Stats - Current Week'!C:C,B16,'Player Stats - Current Week'!D:D,"TE"),""))</f>
        <v>BYE, GAME NOT STARTED, OR NO STATS YET</v>
      </c>
      <c r="Z16" s="87" t="s">
        <v>447</v>
      </c>
      <c r="AA16" s="87" t="str">
        <f>if(MAXIFS('Player Stats - Current Week'!S:S,'Player Stats - Current Week'!C:C,B16)=0,"BYE, GAME NOT STARTED, OR NO STATS YET",iferror(MAXIFS('Player Stats - Current Week'!S:S,'Player Stats - Current Week'!C:C,B16),""))</f>
        <v>BYE, GAME NOT STARTED, OR NO STATS YET</v>
      </c>
      <c r="AB16" s="87" t="s">
        <v>447</v>
      </c>
      <c r="AC16" s="87" t="str">
        <f>if(MAXIFS('Player Stats - Current Week'!G:G,'Player Stats - Current Week'!C:C,B16,'Player Stats - Current Week'!D:D,"QB")=0,"BYE, GAME NOT STARTED, OR NO STATS YET",iferror(MAXIFS('Player Stats - Current Week'!G:G,'Player Stats - Current Week'!C:C,B16,'Player Stats - Current Week'!D:D,"QB"),""))</f>
        <v>BYE, GAME NOT STARTED, OR NO STATS YET</v>
      </c>
      <c r="AD16" s="94" t="str">
        <f t="shared" si="5"/>
        <v>BYE OR GAME NOT STARTED14</v>
      </c>
      <c r="AE16" s="98" t="str">
        <f>if(iferror(vlookup(CONCATENATE("Week 14",B16),'Raw With Formulas'!J:M,4,false),iferror(vlookup(CONCATENATE("Week 14",B16),'Raw With Formulas'!K:M,2,false),"BYE OR GAME NOT STARTED"))="","BYE OR GAME NOT STARTED",iferror(vlookup(CONCATENATE("Week 14",B16),'Raw With Formulas'!J:M,4,false),iferror(vlookup(CONCATENATE("Week 14",B16),'Raw With Formulas'!K:M,2,false),"BYE OR GAME NOT STARTED")))</f>
        <v>BYE OR GAME NOT STARTED</v>
      </c>
      <c r="AF16" s="94" t="str">
        <f t="shared" si="6"/>
        <v>BYE, GAME NOT STARTED, OR NO STATS YET14</v>
      </c>
      <c r="AG16" s="87" t="str">
        <f>if(MAXIFS('Player Stats - Current Week'!Q:Q,'Player Stats - Current Week'!C:C,B16,'Player Stats - Current Week'!D:D,"QB")=0,"BYE, GAME NOT STARTED, OR NO STATS YET",iferror(MAXIFS('Player Stats - Current Week'!Q:Q,'Player Stats - Current Week'!C:C,B16,'Player Stats - Current Week'!D:D,"QB"),""))</f>
        <v>BYE, GAME NOT STARTED, OR NO STATS YET</v>
      </c>
      <c r="AH16" s="94" t="str">
        <f t="shared" si="7"/>
        <v>BYE OR GAME NOT STARTED14</v>
      </c>
      <c r="AI16" s="94" t="str">
        <f>if(iferror(vlookup(CONCATENATE("Week 16",B16),'Raw With Formulas'!J:M,3,false),iferror(vlookup(CONCATENATE("Week 16",B16),'Raw With Formulas'!K:M,3,false),"BYE OR GAME NOT STARTED"))="","BYE OR GAME NOT STARTED",iferror(vlookup(CONCATENATE("Week 16",B16),'Raw With Formulas'!J:M,3,false),iferror(vlookup(CONCATENATE("Week 16",B16),'Raw With Formulas'!K:M,3,false),"BYE OR GAME NOT STARTED")))</f>
        <v>BYE OR GAME NOT STARTED</v>
      </c>
      <c r="AJ16" s="94" t="str">
        <f t="shared" si="8"/>
        <v>BYE, GAME NOT STARTED, OR NO STATS YET14</v>
      </c>
      <c r="AK16" s="87" t="str">
        <f>if(MAXIFS('Player Stats - Current Week'!F:F,'Player Stats - Current Week'!C:C,B16,'Player Stats - Current Week'!D:D,"WR")=0,"BYE, GAME NOT STARTED, OR NO STATS YET",iferror(MAXIFS('Player Stats - Current Week'!F:F,'Player Stats - Current Week'!C:C,B16,'Player Stats - Current Week'!D:D,"WR"),""))</f>
        <v>BYE, GAME NOT STARTED, OR NO STATS YET</v>
      </c>
      <c r="AL16" s="87" t="s">
        <v>447</v>
      </c>
      <c r="AM16" s="87" t="str">
        <f>if(MAXIFS('Player Stats - Current Week'!Q:Q,'Player Stats - Current Week'!C:C,B16,'Player Stats - Current Week'!D:D,"RB")=0,"BYE, GAME NOT STARTED, OR NO STATS YET",iferror(MAXIFS('Player Stats - Current Week'!Q:Q,'Player Stats - Current Week'!C:C,B16,'Player Stats - Current Week'!D:D,"RB"),""))</f>
        <v>BYE, GAME NOT STARTED, OR NO STATS YET</v>
      </c>
      <c r="AN16" s="92" t="str">
        <f t="shared" si="1"/>
        <v>Budde</v>
      </c>
    </row>
    <row r="17">
      <c r="A17" s="89" t="s">
        <v>46</v>
      </c>
      <c r="B17" s="90" t="s">
        <v>46</v>
      </c>
      <c r="C17" s="90" t="str">
        <f>vlookup(A17,'Wins by Team'!A:C,3,false)</f>
        <v>Max</v>
      </c>
      <c r="D17" s="101" t="str">
        <f t="shared" si="2"/>
        <v>BYE, GAME NOT STARTED, OR NO STATS YET15</v>
      </c>
      <c r="E17" s="90" t="str">
        <f>if(MAXIFS('Player Stats - Current Week'!F:F,'Player Stats - Current Week'!C:C,B17,'Player Stats - Current Week'!D:D,"QB")=0,"BYE, GAME NOT STARTED, OR NO STATS YET",iferror(MAXIFS('Player Stats - Current Week'!F:F,,'Player Stats - Current Week'!C:C,B17,'Player Stats - Current Week'!D:D,"QB"),""))</f>
        <v>BYE, GAME NOT STARTED, OR NO STATS YET</v>
      </c>
      <c r="F17" s="101" t="str">
        <f t="shared" si="3"/>
        <v>BYE OR GAME NOT STARTED15</v>
      </c>
      <c r="G17" s="90" t="str">
        <f>if(iferror(vlookup(CONCATENATE("Week 2",B17),'Raw With Formulas'!J:M,3,false),iferror(vlookup(CONCATENATE("Week 2",B17),'Raw With Formulas'!K:M,3,false),"BYE OR GAME NOT STARTED")) = "", "BYE OR GAME NOT STARTED", iferror(vlookup(CONCATENATE("Week 2",B17),'Raw With Formulas'!J:M,3,false),iferror(vlookup(CONCATENATE("Week 2",B17),'Raw With Formulas'!K:M,3,false),"BYE OR GAME NOT STARTED")))</f>
        <v>BYE OR GAME NOT STARTED</v>
      </c>
      <c r="H17" s="101" t="str">
        <f t="shared" si="4"/>
        <v>BYE, GAME NOT STARTED, OR NO STATS YET15</v>
      </c>
      <c r="I17" s="90" t="str">
        <f>iferror(
if(
sumifs(
#REF!,
'Player Stats - Current Week'!C:C,
iferror(
vlookup(
CONCATENATE("Week 3",B17), 
'Raw With Formulas'!J:N,
2,false
),
vlookup(CONCATENATE("Week 3",B17), 'Raw With Formulas'!K:N,4,false))) 
= 0,
"BYE, GAME NOT STARTED, OR NO STATS YET",
iferror(
sumifs(
#REF!,
'Player Stats - Current Week'!C:C,
iferror(
vlookup(
CONCATENATE("Week 3",B17), 
'Raw With Formulas'!J:N,
2,false
),
vlookup(CONCATENATE("Week 3",B17), 'Raw With Formulas'!K:N,4,false))),
""
)
),
"BYE, GAME NOT STARTED, OR NO STATS YET"
)</f>
        <v>BYE, GAME NOT STARTED, OR NO STATS YET</v>
      </c>
      <c r="J17" s="90" t="s">
        <v>447</v>
      </c>
      <c r="K17" s="90" t="str">
        <f>if(MAXIFS('Player Stats - Current Week'!F:F,'Player Stats - Current Week'!C:C,B17,'Player Stats - Current Week'!D:D,"TE")=0,"BYE, GAME NOT STARTED, OR NO STATS YET",iferror(MAXIFS('Player Stats - Current Week'!F:F,'Player Stats - Current Week'!C:C,B17,'Player Stats - Current Week'!D:D,"TE"),""))</f>
        <v>BYE, GAME NOT STARTED, OR NO STATS YET</v>
      </c>
      <c r="L17" s="90" t="s">
        <v>447</v>
      </c>
      <c r="M17" s="90" t="str">
        <f>if(MAXIFS('Player Stats - Current Week'!Q:Q,'Player Stats - Current Week'!C:C,B17,'Player Stats - Current Week'!D:D,"WR")=0,"BYE, GAME NOT STARTED, OR NO STATS YET",iferror(MAXIFS('Player Stats - Current Week'!Q:Q,'Player Stats - Current Week'!C:C,B17,'Player Stats - Current Week'!D:D,"WR"),""))</f>
        <v>BYE, GAME NOT STARTED, OR NO STATS YET</v>
      </c>
      <c r="N17" s="90" t="s">
        <v>447</v>
      </c>
      <c r="O17" s="90" t="str">
        <f>if((SUMIFS('Player Stats - Current Week'!L:L,'Player Stats - Current Week'!C:C,B17)+SUMIFS('Player Stats - Current Week'!R:R,'Player Stats - Current Week'!C:C,B17))=0,"BYE, GAME NOT STARTED, OR NO STATS YET",((SUMIFS('Player Stats - Current Week'!R:R,'Player Stats - Current Week'!C:C,B17)*6)+SUMIFS('Player Stats - Current Week'!L:L,'Player Stats - Current Week'!C:C,B17)))</f>
        <v>BYE, GAME NOT STARTED, OR NO STATS YET</v>
      </c>
      <c r="P17" s="90" t="s">
        <v>447</v>
      </c>
      <c r="Q17" s="90" t="str">
        <f>if((SUMIFS('Player Stats - Current Week'!G:G,'Player Stats - Current Week'!C:C,B17,'Player Stats - Current Week'!D:D,"RB")+SUMIFS('Player Stats - Current Week'!E:E,'Player Stats - Current Week'!C:C,B17,'Player Stats - Current Week'!D:D,"RB"))=0,"BYE, GAME NOT STARTED, OR NO STATS YET",((SUMIFS('Player Stats - Current Week'!G:G,'Player Stats - Current Week'!C:C,B17,'Player Stats - Current Week'!D:D,"RB")*6)+SUMIFS('Player Stats - Current Week'!E:E,'Player Stats - Current Week'!C:C,B17,'Player Stats - Current Week'!D:D,"RB")))</f>
        <v>BYE, GAME NOT STARTED, OR NO STATS YET</v>
      </c>
      <c r="R17" s="90" t="s">
        <v>447</v>
      </c>
      <c r="S17" s="90" t="str">
        <f>if(MAXIFS('Player Stats - Current Week'!L:L,'Player Stats - Current Week'!C:C,B17,'Player Stats - Current Week'!D:D,"PK")=0,"BYE, GAME NOT STARTED, OR NO STATS YET",iferror(MAXIFS('Player Stats - Current Week'!L:L,'Player Stats - Current Week'!C:C,B17,'Player Stats - Current Week'!D:D,"PK"),""))</f>
        <v>BYE, GAME NOT STARTED, OR NO STATS YET</v>
      </c>
      <c r="T17" s="90" t="s">
        <v>447</v>
      </c>
      <c r="U17" s="90" t="str">
        <f>if(MAXIFS('Player Stats - Current Week'!N:N,'Player Stats - Current Week'!C:C,B17,'Player Stats - Current Week'!D:D,"QB")=0,"BYE, GAME NOT STARTED, OR NO STATS YET",iferror(MAXIFS('Player Stats - Current Week'!N:N,'Player Stats - Current Week'!C:C,B17,'Player Stats - Current Week'!D:D,"QB"),""))</f>
        <v>BYE, GAME NOT STARTED, OR NO STATS YET</v>
      </c>
      <c r="V17" s="90" t="s">
        <v>447</v>
      </c>
      <c r="W17" s="90" t="str">
        <f>if(SUMIFS('Player Stats - Current Week'!O:O,'Player Stats - Current Week'!C:C,B17)=0,"BYE, GAME NOT STARTED, OR NO STATS YET",iferror(SUMIFS('Player Stats - Current Week'!O:O,'Player Stats - Current Week'!C:C,B17),""))</f>
        <v>BYE, GAME NOT STARTED, OR NO STATS YET</v>
      </c>
      <c r="X17" s="90" t="s">
        <v>447</v>
      </c>
      <c r="Y17" s="90" t="str">
        <f>if(MAXIFS('Player Stats - Current Week'!Q:Q,'Player Stats - Current Week'!C:C,B17,'Player Stats - Current Week'!D:D,"TE")=0,"BYE, GAME NOT STARTED, OR NO STATS YET",iferror(MAXIFS('Player Stats - Current Week'!Q:Q,'Player Stats - Current Week'!C:C,B17,'Player Stats - Current Week'!D:D,"TE"),""))</f>
        <v>BYE, GAME NOT STARTED, OR NO STATS YET</v>
      </c>
      <c r="Z17" s="90" t="s">
        <v>447</v>
      </c>
      <c r="AA17" s="90" t="str">
        <f>if(MAXIFS('Player Stats - Current Week'!S:S,'Player Stats - Current Week'!C:C,B17)=0,"BYE, GAME NOT STARTED, OR NO STATS YET",iferror(MAXIFS('Player Stats - Current Week'!S:S,'Player Stats - Current Week'!C:C,B17),""))</f>
        <v>BYE, GAME NOT STARTED, OR NO STATS YET</v>
      </c>
      <c r="AB17" s="90" t="s">
        <v>447</v>
      </c>
      <c r="AC17" s="90" t="str">
        <f>if(MAXIFS('Player Stats - Current Week'!G:G,'Player Stats - Current Week'!C:C,B17,'Player Stats - Current Week'!D:D,"QB")=0,"BYE, GAME NOT STARTED, OR NO STATS YET",iferror(MAXIFS('Player Stats - Current Week'!G:G,'Player Stats - Current Week'!C:C,B17,'Player Stats - Current Week'!D:D,"QB"),""))</f>
        <v>BYE, GAME NOT STARTED, OR NO STATS YET</v>
      </c>
      <c r="AD17" s="101" t="str">
        <f t="shared" si="5"/>
        <v>BYE OR GAME NOT STARTED15</v>
      </c>
      <c r="AE17" s="99" t="str">
        <f>if(iferror(vlookup(CONCATENATE("Week 14",B17),'Raw With Formulas'!J:M,4,false),iferror(vlookup(CONCATENATE("Week 14",B17),'Raw With Formulas'!K:M,2,false),"BYE OR GAME NOT STARTED"))="","BYE OR GAME NOT STARTED",iferror(vlookup(CONCATENATE("Week 14",B17),'Raw With Formulas'!J:M,4,false),iferror(vlookup(CONCATENATE("Week 14",B17),'Raw With Formulas'!K:M,2,false),"BYE OR GAME NOT STARTED")))</f>
        <v>BYE OR GAME NOT STARTED</v>
      </c>
      <c r="AF17" s="101" t="str">
        <f t="shared" si="6"/>
        <v>BYE, GAME NOT STARTED, OR NO STATS YET15</v>
      </c>
      <c r="AG17" s="90" t="str">
        <f>if(MAXIFS('Player Stats - Current Week'!Q:Q,'Player Stats - Current Week'!C:C,B17,'Player Stats - Current Week'!D:D,"QB")=0,"BYE, GAME NOT STARTED, OR NO STATS YET",iferror(MAXIFS('Player Stats - Current Week'!Q:Q,'Player Stats - Current Week'!C:C,B17,'Player Stats - Current Week'!D:D,"QB"),""))</f>
        <v>BYE, GAME NOT STARTED, OR NO STATS YET</v>
      </c>
      <c r="AH17" s="101" t="str">
        <f t="shared" si="7"/>
        <v>BYE OR GAME NOT STARTED15</v>
      </c>
      <c r="AI17" s="101" t="str">
        <f>if(iferror(vlookup(CONCATENATE("Week 16",B17),'Raw With Formulas'!J:M,3,false),iferror(vlookup(CONCATENATE("Week 16",B17),'Raw With Formulas'!K:M,3,false),"BYE OR GAME NOT STARTED"))="","BYE OR GAME NOT STARTED",iferror(vlookup(CONCATENATE("Week 16",B17),'Raw With Formulas'!J:M,3,false),iferror(vlookup(CONCATENATE("Week 16",B17),'Raw With Formulas'!K:M,3,false),"BYE OR GAME NOT STARTED")))</f>
        <v>BYE OR GAME NOT STARTED</v>
      </c>
      <c r="AJ17" s="101" t="str">
        <f t="shared" si="8"/>
        <v>BYE, GAME NOT STARTED, OR NO STATS YET15</v>
      </c>
      <c r="AK17" s="90" t="str">
        <f>if(MAXIFS('Player Stats - Current Week'!F:F,'Player Stats - Current Week'!C:C,B17,'Player Stats - Current Week'!D:D,"WR")=0,"BYE, GAME NOT STARTED, OR NO STATS YET",iferror(MAXIFS('Player Stats - Current Week'!F:F,'Player Stats - Current Week'!C:C,B17,'Player Stats - Current Week'!D:D,"WR"),""))</f>
        <v>BYE, GAME NOT STARTED, OR NO STATS YET</v>
      </c>
      <c r="AL17" s="90" t="s">
        <v>447</v>
      </c>
      <c r="AM17" s="90" t="str">
        <f>if(MAXIFS('Player Stats - Current Week'!Q:Q,'Player Stats - Current Week'!C:C,B17,'Player Stats - Current Week'!D:D,"RB")=0,"BYE, GAME NOT STARTED, OR NO STATS YET",iferror(MAXIFS('Player Stats - Current Week'!Q:Q,'Player Stats - Current Week'!C:C,B17,'Player Stats - Current Week'!D:D,"RB"),""))</f>
        <v>BYE, GAME NOT STARTED, OR NO STATS YET</v>
      </c>
      <c r="AN17" s="102" t="str">
        <f t="shared" si="1"/>
        <v>Max</v>
      </c>
    </row>
    <row r="18">
      <c r="A18" s="86" t="s">
        <v>30</v>
      </c>
      <c r="B18" s="87" t="s">
        <v>30</v>
      </c>
      <c r="C18" s="87" t="str">
        <f>vlookup(A18,'Wins by Team'!A:C,3,false)</f>
        <v/>
      </c>
      <c r="D18" s="94" t="str">
        <f t="shared" si="2"/>
        <v>TEAM NOT DRAFTED1</v>
      </c>
      <c r="E18" s="87" t="s">
        <v>448</v>
      </c>
      <c r="F18" s="87" t="s">
        <v>448</v>
      </c>
      <c r="G18" s="87" t="s">
        <v>448</v>
      </c>
      <c r="H18" s="87" t="s">
        <v>448</v>
      </c>
      <c r="I18" s="87" t="s">
        <v>448</v>
      </c>
      <c r="J18" s="87" t="s">
        <v>448</v>
      </c>
      <c r="K18" s="87" t="s">
        <v>448</v>
      </c>
      <c r="L18" s="87" t="s">
        <v>448</v>
      </c>
      <c r="M18" s="87" t="s">
        <v>448</v>
      </c>
      <c r="N18" s="87" t="s">
        <v>448</v>
      </c>
      <c r="O18" s="87" t="s">
        <v>448</v>
      </c>
      <c r="P18" s="87" t="s">
        <v>448</v>
      </c>
      <c r="Q18" s="87" t="s">
        <v>448</v>
      </c>
      <c r="R18" s="87" t="s">
        <v>448</v>
      </c>
      <c r="S18" s="87" t="s">
        <v>448</v>
      </c>
      <c r="T18" s="87" t="s">
        <v>448</v>
      </c>
      <c r="U18" s="87" t="s">
        <v>448</v>
      </c>
      <c r="V18" s="87" t="s">
        <v>448</v>
      </c>
      <c r="W18" s="87" t="s">
        <v>448</v>
      </c>
      <c r="X18" s="87" t="s">
        <v>448</v>
      </c>
      <c r="Y18" s="87" t="s">
        <v>448</v>
      </c>
      <c r="Z18" s="87" t="s">
        <v>448</v>
      </c>
      <c r="AA18" s="87" t="s">
        <v>448</v>
      </c>
      <c r="AB18" s="87" t="s">
        <v>448</v>
      </c>
      <c r="AC18" s="87" t="s">
        <v>448</v>
      </c>
      <c r="AD18" s="87" t="s">
        <v>448</v>
      </c>
      <c r="AE18" s="87" t="s">
        <v>448</v>
      </c>
      <c r="AF18" s="87" t="s">
        <v>448</v>
      </c>
      <c r="AG18" s="87" t="s">
        <v>448</v>
      </c>
      <c r="AH18" s="87" t="s">
        <v>448</v>
      </c>
      <c r="AI18" s="87" t="str">
        <f>if(iferror(vlookup(CONCATENATE("Week 16",B18),'Raw With Formulas'!J:M,3,false),iferror(vlookup(CONCATENATE("Week 16",B18),'Raw With Formulas'!K:M,3,false),"BYE OR GAME NOT STARTED"))="","BYE OR GAME NOT STARTED",iferror(vlookup(CONCATENATE("Week 16",B18),'Raw With Formulas'!J:M,3,false),iferror(vlookup(CONCATENATE("Week 16",B18),'Raw With Formulas'!K:M,3,false),"BYE OR GAME NOT STARTED")))</f>
        <v>BYE OR GAME NOT STARTED</v>
      </c>
      <c r="AJ18" s="87" t="s">
        <v>448</v>
      </c>
      <c r="AK18" s="87" t="s">
        <v>448</v>
      </c>
      <c r="AL18" s="87" t="s">
        <v>448</v>
      </c>
      <c r="AM18" s="87" t="s">
        <v>448</v>
      </c>
      <c r="AN18" s="92" t="str">
        <f t="shared" si="1"/>
        <v/>
      </c>
    </row>
    <row r="19">
      <c r="A19" s="89" t="s">
        <v>400</v>
      </c>
      <c r="B19" s="90" t="s">
        <v>34</v>
      </c>
      <c r="C19" s="90" t="str">
        <f>vlookup(A19,'Wins by Team'!A:C,3,false)</f>
        <v>Chris</v>
      </c>
      <c r="D19" s="101" t="str">
        <f t="shared" si="2"/>
        <v>BYE, GAME NOT STARTED, OR NO STATS YET16</v>
      </c>
      <c r="E19" s="90" t="str">
        <f>if(MAXIFS('Player Stats - Current Week'!F:F,'Player Stats - Current Week'!C:C,B19,'Player Stats - Current Week'!D:D,"QB")=0,"BYE, GAME NOT STARTED, OR NO STATS YET",iferror(MAXIFS('Player Stats - Current Week'!F:F,,'Player Stats - Current Week'!C:C,B19,'Player Stats - Current Week'!D:D,"QB"),""))</f>
        <v>BYE, GAME NOT STARTED, OR NO STATS YET</v>
      </c>
      <c r="F19" s="101" t="str">
        <f>G19&amp;COUNTIF($G$3:G19, G19)</f>
        <v>BYE OR GAME NOT STARTED16</v>
      </c>
      <c r="G19" s="90" t="str">
        <f>if(iferror(vlookup(CONCATENATE("Week 2",B19),'Raw With Formulas'!J:M,3,false),iferror(vlookup(CONCATENATE("Week 2",B19),'Raw With Formulas'!K:M,3,false),"BYE OR GAME NOT STARTED")) = "", "BYE OR GAME NOT STARTED", iferror(vlookup(CONCATENATE("Week 2",B19),'Raw With Formulas'!J:M,3,false),iferror(vlookup(CONCATENATE("Week 2",B19),'Raw With Formulas'!K:M,3,false),"BYE OR GAME NOT STARTED")))</f>
        <v>BYE OR GAME NOT STARTED</v>
      </c>
      <c r="H19" s="101" t="str">
        <f>I19&amp;COUNTIF($I$3:I19, I19)</f>
        <v>BYE, GAME NOT STARTED, OR NO STATS YET16</v>
      </c>
      <c r="I19" s="90" t="str">
        <f>iferror(
if(
sumifs(
#REF!,
'Player Stats - Current Week'!C:C,
iferror(
vlookup(
CONCATENATE("Week 3",B19), 
'Raw With Formulas'!J:N,
2,false
),
vlookup(CONCATENATE("Week 3",B19), 'Raw With Formulas'!K:N,4,false))) 
= 0,
"BYE, GAME NOT STARTED, OR NO STATS YET",
iferror(
sumifs(
#REF!,
'Player Stats - Current Week'!C:C,
iferror(
vlookup(
CONCATENATE("Week 3",B19), 
'Raw With Formulas'!J:N,
2,false
),
vlookup(CONCATENATE("Week 3",B19), 'Raw With Formulas'!K:N,4,false))),
""
)
),
"BYE, GAME NOT STARTED, OR NO STATS YET"
)</f>
        <v>BYE, GAME NOT STARTED, OR NO STATS YET</v>
      </c>
      <c r="J19" s="90" t="s">
        <v>447</v>
      </c>
      <c r="K19" s="90" t="str">
        <f>if(MAXIFS('Player Stats - Current Week'!F:F,'Player Stats - Current Week'!C:C,B19,'Player Stats - Current Week'!D:D,"TE")=0,"BYE, GAME NOT STARTED, OR NO STATS YET",iferror(MAXIFS('Player Stats - Current Week'!F:F,'Player Stats - Current Week'!C:C,B19,'Player Stats - Current Week'!D:D,"TE"),""))</f>
        <v>BYE, GAME NOT STARTED, OR NO STATS YET</v>
      </c>
      <c r="L19" s="90" t="s">
        <v>447</v>
      </c>
      <c r="M19" s="90" t="str">
        <f>if(MAXIFS('Player Stats - Current Week'!Q:Q,'Player Stats - Current Week'!C:C,B19,'Player Stats - Current Week'!D:D,"WR")=0,"BYE, GAME NOT STARTED, OR NO STATS YET",iferror(MAXIFS('Player Stats - Current Week'!Q:Q,'Player Stats - Current Week'!C:C,B19,'Player Stats - Current Week'!D:D,"WR"),""))</f>
        <v>BYE, GAME NOT STARTED, OR NO STATS YET</v>
      </c>
      <c r="N19" s="90" t="s">
        <v>447</v>
      </c>
      <c r="O19" s="90" t="str">
        <f>if((SUMIFS('Player Stats - Current Week'!L:L,'Player Stats - Current Week'!C:C,B19)+SUMIFS('Player Stats - Current Week'!R:R,'Player Stats - Current Week'!C:C,B19))=0,"BYE, GAME NOT STARTED, OR NO STATS YET",((SUMIFS('Player Stats - Current Week'!R:R,'Player Stats - Current Week'!C:C,B19)*6)+SUMIFS('Player Stats - Current Week'!L:L,'Player Stats - Current Week'!C:C,B19)))</f>
        <v>BYE, GAME NOT STARTED, OR NO STATS YET</v>
      </c>
      <c r="P19" s="90" t="s">
        <v>447</v>
      </c>
      <c r="Q19" s="90" t="str">
        <f>if((SUMIFS('Player Stats - Current Week'!G:G,'Player Stats - Current Week'!C:C,B19,'Player Stats - Current Week'!D:D,"RB")+SUMIFS('Player Stats - Current Week'!E:E,'Player Stats - Current Week'!C:C,B19,'Player Stats - Current Week'!D:D,"RB"))=0,"BYE, GAME NOT STARTED, OR NO STATS YET",((SUMIFS('Player Stats - Current Week'!G:G,'Player Stats - Current Week'!C:C,B19,'Player Stats - Current Week'!D:D,"RB")*6)+SUMIFS('Player Stats - Current Week'!E:E,'Player Stats - Current Week'!C:C,B19,'Player Stats - Current Week'!D:D,"RB")))</f>
        <v>BYE, GAME NOT STARTED, OR NO STATS YET</v>
      </c>
      <c r="R19" s="90" t="s">
        <v>447</v>
      </c>
      <c r="S19" s="90" t="str">
        <f>if(MAXIFS('Player Stats - Current Week'!L:L,'Player Stats - Current Week'!C:C,B19,'Player Stats - Current Week'!D:D,"PK")=0,"BYE, GAME NOT STARTED, OR NO STATS YET",iferror(MAXIFS('Player Stats - Current Week'!L:L,'Player Stats - Current Week'!C:C,B19,'Player Stats - Current Week'!D:D,"PK"),""))</f>
        <v>BYE, GAME NOT STARTED, OR NO STATS YET</v>
      </c>
      <c r="T19" s="90" t="s">
        <v>447</v>
      </c>
      <c r="U19" s="90" t="str">
        <f>if(MAXIFS('Player Stats - Current Week'!N:N,'Player Stats - Current Week'!C:C,B19,'Player Stats - Current Week'!D:D,"QB")=0,"BYE, GAME NOT STARTED, OR NO STATS YET",iferror(MAXIFS('Player Stats - Current Week'!N:N,'Player Stats - Current Week'!C:C,B19,'Player Stats - Current Week'!D:D,"QB"),""))</f>
        <v>BYE, GAME NOT STARTED, OR NO STATS YET</v>
      </c>
      <c r="V19" s="90" t="s">
        <v>447</v>
      </c>
      <c r="W19" s="90" t="str">
        <f>if(SUMIFS('Player Stats - Current Week'!O:O,'Player Stats - Current Week'!C:C,B19)=0,"BYE, GAME NOT STARTED, OR NO STATS YET",iferror(SUMIFS('Player Stats - Current Week'!O:O,'Player Stats - Current Week'!C:C,B19),""))</f>
        <v>BYE, GAME NOT STARTED, OR NO STATS YET</v>
      </c>
      <c r="X19" s="90" t="s">
        <v>447</v>
      </c>
      <c r="Y19" s="90" t="str">
        <f>if(MAXIFS('Player Stats - Current Week'!Q:Q,'Player Stats - Current Week'!C:C,B19,'Player Stats - Current Week'!D:D,"TE")=0,"BYE, GAME NOT STARTED, OR NO STATS YET",iferror(MAXIFS('Player Stats - Current Week'!Q:Q,'Player Stats - Current Week'!C:C,B19,'Player Stats - Current Week'!D:D,"TE"),""))</f>
        <v>BYE, GAME NOT STARTED, OR NO STATS YET</v>
      </c>
      <c r="Z19" s="90" t="s">
        <v>447</v>
      </c>
      <c r="AA19" s="90" t="str">
        <f>if(MAXIFS('Player Stats - Current Week'!S:S,'Player Stats - Current Week'!C:C,B19)=0,"BYE, GAME NOT STARTED, OR NO STATS YET",iferror(MAXIFS('Player Stats - Current Week'!S:S,'Player Stats - Current Week'!C:C,B19),""))</f>
        <v>BYE, GAME NOT STARTED, OR NO STATS YET</v>
      </c>
      <c r="AB19" s="90" t="s">
        <v>447</v>
      </c>
      <c r="AC19" s="90" t="str">
        <f>if(MAXIFS('Player Stats - Current Week'!G:G,'Player Stats - Current Week'!C:C,B19,'Player Stats - Current Week'!D:D,"QB")=0,"BYE, GAME NOT STARTED, OR NO STATS YET",iferror(MAXIFS('Player Stats - Current Week'!G:G,'Player Stats - Current Week'!C:C,B19,'Player Stats - Current Week'!D:D,"QB"),""))</f>
        <v>BYE, GAME NOT STARTED, OR NO STATS YET</v>
      </c>
      <c r="AD19" s="101" t="str">
        <f>AE19&amp;COUNTIF($AE$3:AE19, AE19)</f>
        <v>BYE OR GAME NOT STARTED16</v>
      </c>
      <c r="AE19" s="99" t="str">
        <f>if(iferror(vlookup(CONCATENATE("Week 14",B19),'Raw With Formulas'!J:M,4,false),iferror(vlookup(CONCATENATE("Week 14",B19),'Raw With Formulas'!K:M,2,false),"BYE OR GAME NOT STARTED"))="","BYE OR GAME NOT STARTED",iferror(vlookup(CONCATENATE("Week 14",B19),'Raw With Formulas'!J:M,4,false),iferror(vlookup(CONCATENATE("Week 14",B19),'Raw With Formulas'!K:M,2,false),"BYE OR GAME NOT STARTED")))</f>
        <v>BYE OR GAME NOT STARTED</v>
      </c>
      <c r="AF19" s="101" t="str">
        <f>AG19&amp;COUNTIF($AG$3:AG19, AG19)</f>
        <v>BYE, GAME NOT STARTED, OR NO STATS YET16</v>
      </c>
      <c r="AG19" s="90" t="str">
        <f>if(MAXIFS('Player Stats - Current Week'!Q:Q,'Player Stats - Current Week'!C:C,B19,'Player Stats - Current Week'!D:D,"QB")=0,"BYE, GAME NOT STARTED, OR NO STATS YET",iferror(MAXIFS('Player Stats - Current Week'!Q:Q,'Player Stats - Current Week'!C:C,B19,'Player Stats - Current Week'!D:D,"QB"),""))</f>
        <v>BYE, GAME NOT STARTED, OR NO STATS YET</v>
      </c>
      <c r="AH19" s="101" t="str">
        <f>AI19&amp;COUNTIF($AI$3:AI19, AI19)</f>
        <v>BYE OR GAME NOT STARTED17</v>
      </c>
      <c r="AI19" s="101" t="str">
        <f>if(iferror(vlookup(CONCATENATE("Week 16",B19),'Raw With Formulas'!J:M,3,false),iferror(vlookup(CONCATENATE("Week 16",B19),'Raw With Formulas'!K:M,3,false),"BYE OR GAME NOT STARTED"))="","BYE OR GAME NOT STARTED",iferror(vlookup(CONCATENATE("Week 16",B19),'Raw With Formulas'!J:M,3,false),iferror(vlookup(CONCATENATE("Week 16",B19),'Raw With Formulas'!K:M,3,false),"BYE OR GAME NOT STARTED")))</f>
        <v>BYE OR GAME NOT STARTED</v>
      </c>
      <c r="AJ19" s="101" t="str">
        <f>AK19&amp;COUNTIF($AK$3:AK19, AK19)</f>
        <v>BYE, GAME NOT STARTED, OR NO STATS YET16</v>
      </c>
      <c r="AK19" s="90" t="str">
        <f>if(MAXIFS('Player Stats - Current Week'!F:F,'Player Stats - Current Week'!C:C,B19,'Player Stats - Current Week'!D:D,"WR")=0,"BYE, GAME NOT STARTED, OR NO STATS YET",iferror(MAXIFS('Player Stats - Current Week'!F:F,'Player Stats - Current Week'!C:C,B19,'Player Stats - Current Week'!D:D,"WR"),""))</f>
        <v>BYE, GAME NOT STARTED, OR NO STATS YET</v>
      </c>
      <c r="AL19" s="90" t="s">
        <v>447</v>
      </c>
      <c r="AM19" s="90" t="str">
        <f>if(MAXIFS('Player Stats - Current Week'!Q:Q,'Player Stats - Current Week'!C:C,B19,'Player Stats - Current Week'!D:D,"RB")=0,"BYE, GAME NOT STARTED, OR NO STATS YET",iferror(MAXIFS('Player Stats - Current Week'!Q:Q,'Player Stats - Current Week'!C:C,B19,'Player Stats - Current Week'!D:D,"RB"),""))</f>
        <v>BYE, GAME NOT STARTED, OR NO STATS YET</v>
      </c>
      <c r="AN19" s="102" t="str">
        <f t="shared" si="1"/>
        <v>Chris</v>
      </c>
    </row>
    <row r="20">
      <c r="A20" s="86" t="s">
        <v>401</v>
      </c>
      <c r="B20" s="87" t="s">
        <v>15</v>
      </c>
      <c r="C20" s="87" t="str">
        <f>vlookup(A20,'Wins by Team'!A:C,3,false)</f>
        <v/>
      </c>
      <c r="D20" s="94" t="str">
        <f t="shared" si="2"/>
        <v>TEAM NOT DRAFTED2</v>
      </c>
      <c r="E20" s="87" t="s">
        <v>448</v>
      </c>
      <c r="F20" s="87" t="s">
        <v>448</v>
      </c>
      <c r="G20" s="87" t="s">
        <v>448</v>
      </c>
      <c r="H20" s="87" t="s">
        <v>448</v>
      </c>
      <c r="I20" s="87" t="s">
        <v>448</v>
      </c>
      <c r="J20" s="87" t="s">
        <v>448</v>
      </c>
      <c r="K20" s="87" t="s">
        <v>448</v>
      </c>
      <c r="L20" s="87" t="s">
        <v>448</v>
      </c>
      <c r="M20" s="87" t="s">
        <v>448</v>
      </c>
      <c r="N20" s="87" t="s">
        <v>448</v>
      </c>
      <c r="O20" s="87" t="s">
        <v>448</v>
      </c>
      <c r="P20" s="87" t="s">
        <v>448</v>
      </c>
      <c r="Q20" s="87" t="s">
        <v>448</v>
      </c>
      <c r="R20" s="87" t="s">
        <v>448</v>
      </c>
      <c r="S20" s="87" t="s">
        <v>448</v>
      </c>
      <c r="T20" s="87" t="s">
        <v>448</v>
      </c>
      <c r="U20" s="87" t="s">
        <v>448</v>
      </c>
      <c r="V20" s="87" t="s">
        <v>448</v>
      </c>
      <c r="W20" s="87" t="s">
        <v>448</v>
      </c>
      <c r="X20" s="87" t="s">
        <v>448</v>
      </c>
      <c r="Y20" s="87" t="s">
        <v>448</v>
      </c>
      <c r="Z20" s="87" t="s">
        <v>448</v>
      </c>
      <c r="AA20" s="87" t="s">
        <v>448</v>
      </c>
      <c r="AB20" s="87" t="s">
        <v>448</v>
      </c>
      <c r="AC20" s="87" t="s">
        <v>448</v>
      </c>
      <c r="AD20" s="87" t="s">
        <v>448</v>
      </c>
      <c r="AE20" s="87" t="s">
        <v>448</v>
      </c>
      <c r="AF20" s="87" t="s">
        <v>448</v>
      </c>
      <c r="AG20" s="87" t="s">
        <v>448</v>
      </c>
      <c r="AH20" s="87" t="s">
        <v>448</v>
      </c>
      <c r="AI20" s="87" t="str">
        <f>if(iferror(vlookup(CONCATENATE("Week 16",B20),'Raw With Formulas'!J:M,3,false),iferror(vlookup(CONCATENATE("Week 16",B20),'Raw With Formulas'!K:M,3,false),"BYE OR GAME NOT STARTED"))="","BYE OR GAME NOT STARTED",iferror(vlookup(CONCATENATE("Week 16",B20),'Raw With Formulas'!J:M,3,false),iferror(vlookup(CONCATENATE("Week 16",B20),'Raw With Formulas'!K:M,3,false),"BYE OR GAME NOT STARTED")))</f>
        <v>BYE OR GAME NOT STARTED</v>
      </c>
      <c r="AJ20" s="87" t="s">
        <v>448</v>
      </c>
      <c r="AK20" s="87" t="s">
        <v>448</v>
      </c>
      <c r="AL20" s="87" t="s">
        <v>448</v>
      </c>
      <c r="AM20" s="87" t="s">
        <v>448</v>
      </c>
      <c r="AN20" s="92" t="str">
        <f t="shared" si="1"/>
        <v/>
      </c>
    </row>
    <row r="21">
      <c r="A21" s="89" t="s">
        <v>31</v>
      </c>
      <c r="B21" s="90" t="s">
        <v>31</v>
      </c>
      <c r="C21" s="90" t="str">
        <f>vlookup(A21,'Wins by Team'!A:C,3,false)</f>
        <v>Jim</v>
      </c>
      <c r="D21" s="101" t="str">
        <f t="shared" si="2"/>
        <v>BYE, GAME NOT STARTED, OR NO STATS YET17</v>
      </c>
      <c r="E21" s="90" t="str">
        <f>if(MAXIFS('Player Stats - Current Week'!F:F,'Player Stats - Current Week'!C:C,B21,'Player Stats - Current Week'!D:D,"QB")=0,"BYE, GAME NOT STARTED, OR NO STATS YET",iferror(MAXIFS('Player Stats - Current Week'!F:F,,'Player Stats - Current Week'!C:C,B21,'Player Stats - Current Week'!D:D,"QB"),""))</f>
        <v>BYE, GAME NOT STARTED, OR NO STATS YET</v>
      </c>
      <c r="F21" s="101" t="str">
        <f t="shared" ref="F21:F33" si="9">G21&amp;COUNTIF($G$3:G21, G21)</f>
        <v>BYE OR GAME NOT STARTED17</v>
      </c>
      <c r="G21" s="90" t="str">
        <f>if(iferror(vlookup(CONCATENATE("Week 2",B21),'Raw With Formulas'!J:M,3,false),iferror(vlookup(CONCATENATE("Week 2",B21),'Raw With Formulas'!K:M,3,false),"BYE OR GAME NOT STARTED")) = "", "BYE OR GAME NOT STARTED", iferror(vlookup(CONCATENATE("Week 2",B21),'Raw With Formulas'!J:M,3,false),iferror(vlookup(CONCATENATE("Week 2",B21),'Raw With Formulas'!K:M,3,false),"BYE OR GAME NOT STARTED")))</f>
        <v>BYE OR GAME NOT STARTED</v>
      </c>
      <c r="H21" s="101" t="str">
        <f t="shared" ref="H21:H33" si="10">I21&amp;COUNTIF($I$3:I21, I21)</f>
        <v>BYE, GAME NOT STARTED, OR NO STATS YET17</v>
      </c>
      <c r="I21" s="90" t="str">
        <f>iferror(
if(
sumifs(
#REF!,
'Player Stats - Current Week'!C:C,
iferror(
vlookup(
CONCATENATE("Week 3",B21), 
'Raw With Formulas'!J:N,
2,false
),
vlookup(CONCATENATE("Week 3",B21), 'Raw With Formulas'!K:N,4,false))) 
= 0,
"BYE, GAME NOT STARTED, OR NO STATS YET",
iferror(
sumifs(
#REF!,
'Player Stats - Current Week'!C:C,
iferror(
vlookup(
CONCATENATE("Week 3",B21), 
'Raw With Formulas'!J:N,
2,false
),
vlookup(CONCATENATE("Week 3",B21), 'Raw With Formulas'!K:N,4,false))),
""
)
),
"BYE, GAME NOT STARTED, OR NO STATS YET"
)</f>
        <v>BYE, GAME NOT STARTED, OR NO STATS YET</v>
      </c>
      <c r="J21" s="90" t="s">
        <v>447</v>
      </c>
      <c r="K21" s="90" t="str">
        <f>if(MAXIFS('Player Stats - Current Week'!F:F,'Player Stats - Current Week'!C:C,B21,'Player Stats - Current Week'!D:D,"TE")=0,"BYE, GAME NOT STARTED, OR NO STATS YET",iferror(MAXIFS('Player Stats - Current Week'!F:F,'Player Stats - Current Week'!C:C,B21,'Player Stats - Current Week'!D:D,"TE"),""))</f>
        <v>BYE, GAME NOT STARTED, OR NO STATS YET</v>
      </c>
      <c r="L21" s="90" t="s">
        <v>447</v>
      </c>
      <c r="M21" s="90" t="str">
        <f>if(MAXIFS('Player Stats - Current Week'!Q:Q,'Player Stats - Current Week'!C:C,B21,'Player Stats - Current Week'!D:D,"WR")=0,"BYE, GAME NOT STARTED, OR NO STATS YET",iferror(MAXIFS('Player Stats - Current Week'!Q:Q,'Player Stats - Current Week'!C:C,B21,'Player Stats - Current Week'!D:D,"WR"),""))</f>
        <v>BYE, GAME NOT STARTED, OR NO STATS YET</v>
      </c>
      <c r="N21" s="90" t="s">
        <v>447</v>
      </c>
      <c r="O21" s="90" t="str">
        <f>if((SUMIFS('Player Stats - Current Week'!L:L,'Player Stats - Current Week'!C:C,B21)+SUMIFS('Player Stats - Current Week'!R:R,'Player Stats - Current Week'!C:C,B21))=0,"BYE, GAME NOT STARTED, OR NO STATS YET",((SUMIFS('Player Stats - Current Week'!R:R,'Player Stats - Current Week'!C:C,B21)*6)+SUMIFS('Player Stats - Current Week'!L:L,'Player Stats - Current Week'!C:C,B21)))</f>
        <v>BYE, GAME NOT STARTED, OR NO STATS YET</v>
      </c>
      <c r="P21" s="90" t="s">
        <v>447</v>
      </c>
      <c r="Q21" s="90" t="str">
        <f>if((SUMIFS('Player Stats - Current Week'!G:G,'Player Stats - Current Week'!C:C,B21,'Player Stats - Current Week'!D:D,"RB")+SUMIFS('Player Stats - Current Week'!E:E,'Player Stats - Current Week'!C:C,B21,'Player Stats - Current Week'!D:D,"RB"))=0,"BYE, GAME NOT STARTED, OR NO STATS YET",((SUMIFS('Player Stats - Current Week'!G:G,'Player Stats - Current Week'!C:C,B21,'Player Stats - Current Week'!D:D,"RB")*6)+SUMIFS('Player Stats - Current Week'!E:E,'Player Stats - Current Week'!C:C,B21,'Player Stats - Current Week'!D:D,"RB")))</f>
        <v>BYE, GAME NOT STARTED, OR NO STATS YET</v>
      </c>
      <c r="R21" s="90" t="s">
        <v>447</v>
      </c>
      <c r="S21" s="90" t="str">
        <f>if(MAXIFS('Player Stats - Current Week'!L:L,'Player Stats - Current Week'!C:C,B21,'Player Stats - Current Week'!D:D,"PK")=0,"BYE, GAME NOT STARTED, OR NO STATS YET",iferror(MAXIFS('Player Stats - Current Week'!L:L,'Player Stats - Current Week'!C:C,B21,'Player Stats - Current Week'!D:D,"PK"),""))</f>
        <v>BYE, GAME NOT STARTED, OR NO STATS YET</v>
      </c>
      <c r="T21" s="90" t="s">
        <v>447</v>
      </c>
      <c r="U21" s="90" t="str">
        <f>if(MAXIFS('Player Stats - Current Week'!N:N,'Player Stats - Current Week'!C:C,B21,'Player Stats - Current Week'!D:D,"QB")=0,"BYE, GAME NOT STARTED, OR NO STATS YET",iferror(MAXIFS('Player Stats - Current Week'!N:N,'Player Stats - Current Week'!C:C,B21,'Player Stats - Current Week'!D:D,"QB"),""))</f>
        <v>BYE, GAME NOT STARTED, OR NO STATS YET</v>
      </c>
      <c r="V21" s="90" t="s">
        <v>447</v>
      </c>
      <c r="W21" s="90" t="str">
        <f>if(SUMIFS('Player Stats - Current Week'!O:O,'Player Stats - Current Week'!C:C,B21)=0,"BYE, GAME NOT STARTED, OR NO STATS YET",iferror(SUMIFS('Player Stats - Current Week'!O:O,'Player Stats - Current Week'!C:C,B21),""))</f>
        <v>BYE, GAME NOT STARTED, OR NO STATS YET</v>
      </c>
      <c r="X21" s="90" t="s">
        <v>447</v>
      </c>
      <c r="Y21" s="90" t="str">
        <f>if(MAXIFS('Player Stats - Current Week'!Q:Q,'Player Stats - Current Week'!C:C,B21,'Player Stats - Current Week'!D:D,"TE")=0,"BYE, GAME NOT STARTED, OR NO STATS YET",iferror(MAXIFS('Player Stats - Current Week'!Q:Q,'Player Stats - Current Week'!C:C,B21,'Player Stats - Current Week'!D:D,"TE"),""))</f>
        <v>BYE, GAME NOT STARTED, OR NO STATS YET</v>
      </c>
      <c r="Z21" s="90" t="s">
        <v>447</v>
      </c>
      <c r="AA21" s="90" t="str">
        <f>if(MAXIFS('Player Stats - Current Week'!S:S,'Player Stats - Current Week'!C:C,B21)=0,"BYE, GAME NOT STARTED, OR NO STATS YET",iferror(MAXIFS('Player Stats - Current Week'!S:S,'Player Stats - Current Week'!C:C,B21),""))</f>
        <v>BYE, GAME NOT STARTED, OR NO STATS YET</v>
      </c>
      <c r="AB21" s="90" t="s">
        <v>447</v>
      </c>
      <c r="AC21" s="90" t="str">
        <f>if(MAXIFS('Player Stats - Current Week'!G:G,'Player Stats - Current Week'!C:C,B21,'Player Stats - Current Week'!D:D,"QB")=0,"BYE, GAME NOT STARTED, OR NO STATS YET",iferror(MAXIFS('Player Stats - Current Week'!G:G,'Player Stats - Current Week'!C:C,B21,'Player Stats - Current Week'!D:D,"QB"),""))</f>
        <v>BYE, GAME NOT STARTED, OR NO STATS YET</v>
      </c>
      <c r="AD21" s="101" t="str">
        <f t="shared" ref="AD21:AD33" si="11">AE21&amp;COUNTIF($AE$3:AE21, AE21)</f>
        <v>BYE OR GAME NOT STARTED17</v>
      </c>
      <c r="AE21" s="99" t="str">
        <f>if(iferror(vlookup(CONCATENATE("Week 14",B21),'Raw With Formulas'!J:M,4,false),iferror(vlookup(CONCATENATE("Week 14",B21),'Raw With Formulas'!K:M,2,false),"BYE OR GAME NOT STARTED"))="","BYE OR GAME NOT STARTED",iferror(vlookup(CONCATENATE("Week 14",B21),'Raw With Formulas'!J:M,4,false),iferror(vlookup(CONCATENATE("Week 14",B21),'Raw With Formulas'!K:M,2,false),"BYE OR GAME NOT STARTED")))</f>
        <v>BYE OR GAME NOT STARTED</v>
      </c>
      <c r="AF21" s="101" t="str">
        <f t="shared" ref="AF21:AF33" si="12">AG21&amp;COUNTIF($AG$3:AG21, AG21)</f>
        <v>BYE, GAME NOT STARTED, OR NO STATS YET17</v>
      </c>
      <c r="AG21" s="90" t="str">
        <f>if(MAXIFS('Player Stats - Current Week'!Q:Q,'Player Stats - Current Week'!C:C,B21,'Player Stats - Current Week'!D:D,"QB")=0,"BYE, GAME NOT STARTED, OR NO STATS YET",iferror(MAXIFS('Player Stats - Current Week'!Q:Q,'Player Stats - Current Week'!C:C,B21,'Player Stats - Current Week'!D:D,"QB"),""))</f>
        <v>BYE, GAME NOT STARTED, OR NO STATS YET</v>
      </c>
      <c r="AH21" s="101" t="str">
        <f t="shared" ref="AH21:AH33" si="13">AI21&amp;COUNTIF($AI$3:AI21, AI21)</f>
        <v>BYE OR GAME NOT STARTED19</v>
      </c>
      <c r="AI21" s="101" t="str">
        <f>if(iferror(vlookup(CONCATENATE("Week 16",B21),'Raw With Formulas'!J:M,3,false),iferror(vlookup(CONCATENATE("Week 16",B21),'Raw With Formulas'!K:M,3,false),"BYE OR GAME NOT STARTED"))="","BYE OR GAME NOT STARTED",iferror(vlookup(CONCATENATE("Week 16",B21),'Raw With Formulas'!J:M,3,false),iferror(vlookup(CONCATENATE("Week 16",B21),'Raw With Formulas'!K:M,3,false),"BYE OR GAME NOT STARTED")))</f>
        <v>BYE OR GAME NOT STARTED</v>
      </c>
      <c r="AJ21" s="101" t="str">
        <f t="shared" ref="AJ21:AJ33" si="14">AK21&amp;COUNTIF($AK$3:AK21, AK21)</f>
        <v>BYE, GAME NOT STARTED, OR NO STATS YET17</v>
      </c>
      <c r="AK21" s="90" t="str">
        <f>if(MAXIFS('Player Stats - Current Week'!F:F,'Player Stats - Current Week'!C:C,B21,'Player Stats - Current Week'!D:D,"WR")=0,"BYE, GAME NOT STARTED, OR NO STATS YET",iferror(MAXIFS('Player Stats - Current Week'!F:F,'Player Stats - Current Week'!C:C,B21,'Player Stats - Current Week'!D:D,"WR"),""))</f>
        <v>BYE, GAME NOT STARTED, OR NO STATS YET</v>
      </c>
      <c r="AL21" s="90" t="s">
        <v>447</v>
      </c>
      <c r="AM21" s="90" t="str">
        <f>if(MAXIFS('Player Stats - Current Week'!Q:Q,'Player Stats - Current Week'!C:C,B21,'Player Stats - Current Week'!D:D,"RB")=0,"BYE, GAME NOT STARTED, OR NO STATS YET",iferror(MAXIFS('Player Stats - Current Week'!Q:Q,'Player Stats - Current Week'!C:C,B21,'Player Stats - Current Week'!D:D,"RB"),""))</f>
        <v>BYE, GAME NOT STARTED, OR NO STATS YET</v>
      </c>
      <c r="AN21" s="102" t="str">
        <f t="shared" si="1"/>
        <v>Jim</v>
      </c>
    </row>
    <row r="22">
      <c r="A22" s="86" t="s">
        <v>8</v>
      </c>
      <c r="B22" s="87" t="s">
        <v>8</v>
      </c>
      <c r="C22" s="87" t="str">
        <f>vlookup(A22,'Wins by Team'!A:C,3,false)</f>
        <v>Kyle</v>
      </c>
      <c r="D22" s="94" t="str">
        <f t="shared" si="2"/>
        <v>BYE, GAME NOT STARTED, OR NO STATS YET18</v>
      </c>
      <c r="E22" s="87" t="str">
        <f>if(MAXIFS('Player Stats - Current Week'!F:F,'Player Stats - Current Week'!C:C,B22,'Player Stats - Current Week'!D:D,"QB")=0,"BYE, GAME NOT STARTED, OR NO STATS YET",iferror(MAXIFS('Player Stats - Current Week'!F:F,,'Player Stats - Current Week'!C:C,B22,'Player Stats - Current Week'!D:D,"QB"),""))</f>
        <v>BYE, GAME NOT STARTED, OR NO STATS YET</v>
      </c>
      <c r="F22" s="94" t="str">
        <f t="shared" si="9"/>
        <v>BYE OR GAME NOT STARTED18</v>
      </c>
      <c r="G22" s="87" t="str">
        <f>if(iferror(vlookup(CONCATENATE("Week 2",B22),'Raw With Formulas'!J:M,3,false),iferror(vlookup(CONCATENATE("Week 2",B22),'Raw With Formulas'!K:M,3,false),"BYE OR GAME NOT STARTED")) = "", "BYE OR GAME NOT STARTED", iferror(vlookup(CONCATENATE("Week 2",B22),'Raw With Formulas'!J:M,3,false),iferror(vlookup(CONCATENATE("Week 2",B22),'Raw With Formulas'!K:M,3,false),"BYE OR GAME NOT STARTED")))</f>
        <v>BYE OR GAME NOT STARTED</v>
      </c>
      <c r="H22" s="94" t="str">
        <f t="shared" si="10"/>
        <v>BYE, GAME NOT STARTED, OR NO STATS YET18</v>
      </c>
      <c r="I22" s="87" t="str">
        <f>iferror(
if(
sumifs(
#REF!,
'Player Stats - Current Week'!C:C,
iferror(
vlookup(
CONCATENATE("Week 3",B22), 
'Raw With Formulas'!J:N,
2,false
),
vlookup(CONCATENATE("Week 3",B22), 'Raw With Formulas'!K:N,4,false))) 
= 0,
"BYE, GAME NOT STARTED, OR NO STATS YET",
iferror(
sumifs(
#REF!,
'Player Stats - Current Week'!C:C,
iferror(
vlookup(
CONCATENATE("Week 3",B22), 
'Raw With Formulas'!J:N,
2,false
),
vlookup(CONCATENATE("Week 3",B22), 'Raw With Formulas'!K:N,4,false))),
""
)
),
"BYE, GAME NOT STARTED, OR NO STATS YET"
)</f>
        <v>BYE, GAME NOT STARTED, OR NO STATS YET</v>
      </c>
      <c r="J22" s="87" t="s">
        <v>447</v>
      </c>
      <c r="K22" s="87" t="str">
        <f>if(MAXIFS('Player Stats - Current Week'!F:F,'Player Stats - Current Week'!C:C,B22,'Player Stats - Current Week'!D:D,"TE")=0,"BYE, GAME NOT STARTED, OR NO STATS YET",iferror(MAXIFS('Player Stats - Current Week'!F:F,'Player Stats - Current Week'!C:C,B22,'Player Stats - Current Week'!D:D,"TE"),""))</f>
        <v>BYE, GAME NOT STARTED, OR NO STATS YET</v>
      </c>
      <c r="L22" s="87" t="s">
        <v>447</v>
      </c>
      <c r="M22" s="87" t="str">
        <f>if(MAXIFS('Player Stats - Current Week'!Q:Q,'Player Stats - Current Week'!C:C,B22,'Player Stats - Current Week'!D:D,"WR")=0,"BYE, GAME NOT STARTED, OR NO STATS YET",iferror(MAXIFS('Player Stats - Current Week'!Q:Q,'Player Stats - Current Week'!C:C,B22,'Player Stats - Current Week'!D:D,"WR"),""))</f>
        <v>BYE, GAME NOT STARTED, OR NO STATS YET</v>
      </c>
      <c r="N22" s="87" t="s">
        <v>447</v>
      </c>
      <c r="O22" s="87" t="str">
        <f>if((SUMIFS('Player Stats - Current Week'!L:L,'Player Stats - Current Week'!C:C,B22)+SUMIFS('Player Stats - Current Week'!R:R,'Player Stats - Current Week'!C:C,B22))=0,"BYE, GAME NOT STARTED, OR NO STATS YET",((SUMIFS('Player Stats - Current Week'!R:R,'Player Stats - Current Week'!C:C,B22)*6)+SUMIFS('Player Stats - Current Week'!L:L,'Player Stats - Current Week'!C:C,B22)))</f>
        <v>BYE, GAME NOT STARTED, OR NO STATS YET</v>
      </c>
      <c r="P22" s="87" t="s">
        <v>447</v>
      </c>
      <c r="Q22" s="87" t="str">
        <f>if((SUMIFS('Player Stats - Current Week'!G:G,'Player Stats - Current Week'!C:C,B22,'Player Stats - Current Week'!D:D,"RB")+SUMIFS('Player Stats - Current Week'!E:E,'Player Stats - Current Week'!C:C,B22,'Player Stats - Current Week'!D:D,"RB"))=0,"BYE, GAME NOT STARTED, OR NO STATS YET",((SUMIFS('Player Stats - Current Week'!G:G,'Player Stats - Current Week'!C:C,B22,'Player Stats - Current Week'!D:D,"RB")*6)+SUMIFS('Player Stats - Current Week'!E:E,'Player Stats - Current Week'!C:C,B22,'Player Stats - Current Week'!D:D,"RB")))</f>
        <v>BYE, GAME NOT STARTED, OR NO STATS YET</v>
      </c>
      <c r="R22" s="87" t="s">
        <v>447</v>
      </c>
      <c r="S22" s="87" t="str">
        <f>if(MAXIFS('Player Stats - Current Week'!L:L,'Player Stats - Current Week'!C:C,B22,'Player Stats - Current Week'!D:D,"PK")=0,"BYE, GAME NOT STARTED, OR NO STATS YET",iferror(MAXIFS('Player Stats - Current Week'!L:L,'Player Stats - Current Week'!C:C,B22,'Player Stats - Current Week'!D:D,"PK"),""))</f>
        <v>BYE, GAME NOT STARTED, OR NO STATS YET</v>
      </c>
      <c r="T22" s="87" t="s">
        <v>447</v>
      </c>
      <c r="U22" s="87" t="str">
        <f>if(MAXIFS('Player Stats - Current Week'!N:N,'Player Stats - Current Week'!C:C,B22,'Player Stats - Current Week'!D:D,"QB")=0,"BYE, GAME NOT STARTED, OR NO STATS YET",iferror(MAXIFS('Player Stats - Current Week'!N:N,'Player Stats - Current Week'!C:C,B22,'Player Stats - Current Week'!D:D,"QB"),""))</f>
        <v>BYE, GAME NOT STARTED, OR NO STATS YET</v>
      </c>
      <c r="V22" s="87" t="s">
        <v>447</v>
      </c>
      <c r="W22" s="87" t="str">
        <f>if(SUMIFS('Player Stats - Current Week'!O:O,'Player Stats - Current Week'!C:C,B22)=0,"BYE, GAME NOT STARTED, OR NO STATS YET",iferror(SUMIFS('Player Stats - Current Week'!O:O,'Player Stats - Current Week'!C:C,B22),""))</f>
        <v>BYE, GAME NOT STARTED, OR NO STATS YET</v>
      </c>
      <c r="X22" s="87" t="s">
        <v>447</v>
      </c>
      <c r="Y22" s="87" t="str">
        <f>if(MAXIFS('Player Stats - Current Week'!Q:Q,'Player Stats - Current Week'!C:C,B22,'Player Stats - Current Week'!D:D,"TE")=0,"BYE, GAME NOT STARTED, OR NO STATS YET",iferror(MAXIFS('Player Stats - Current Week'!Q:Q,'Player Stats - Current Week'!C:C,B22,'Player Stats - Current Week'!D:D,"TE"),""))</f>
        <v>BYE, GAME NOT STARTED, OR NO STATS YET</v>
      </c>
      <c r="Z22" s="87" t="s">
        <v>447</v>
      </c>
      <c r="AA22" s="87" t="str">
        <f>if(MAXIFS('Player Stats - Current Week'!S:S,'Player Stats - Current Week'!C:C,B22)=0,"BYE, GAME NOT STARTED, OR NO STATS YET",iferror(MAXIFS('Player Stats - Current Week'!S:S,'Player Stats - Current Week'!C:C,B22),""))</f>
        <v>BYE, GAME NOT STARTED, OR NO STATS YET</v>
      </c>
      <c r="AB22" s="87" t="s">
        <v>447</v>
      </c>
      <c r="AC22" s="87" t="str">
        <f>if(MAXIFS('Player Stats - Current Week'!G:G,'Player Stats - Current Week'!C:C,B22,'Player Stats - Current Week'!D:D,"QB")=0,"BYE, GAME NOT STARTED, OR NO STATS YET",iferror(MAXIFS('Player Stats - Current Week'!G:G,'Player Stats - Current Week'!C:C,B22,'Player Stats - Current Week'!D:D,"QB"),""))</f>
        <v>BYE, GAME NOT STARTED, OR NO STATS YET</v>
      </c>
      <c r="AD22" s="94" t="str">
        <f t="shared" si="11"/>
        <v>BYE OR GAME NOT STARTED18</v>
      </c>
      <c r="AE22" s="98" t="str">
        <f>if(iferror(vlookup(CONCATENATE("Week 14",B22),'Raw With Formulas'!J:M,4,false),iferror(vlookup(CONCATENATE("Week 14",B22),'Raw With Formulas'!K:M,2,false),"BYE OR GAME NOT STARTED"))="","BYE OR GAME NOT STARTED",iferror(vlookup(CONCATENATE("Week 14",B22),'Raw With Formulas'!J:M,4,false),iferror(vlookup(CONCATENATE("Week 14",B22),'Raw With Formulas'!K:M,2,false),"BYE OR GAME NOT STARTED")))</f>
        <v>BYE OR GAME NOT STARTED</v>
      </c>
      <c r="AF22" s="94" t="str">
        <f t="shared" si="12"/>
        <v>BYE, GAME NOT STARTED, OR NO STATS YET18</v>
      </c>
      <c r="AG22" s="87" t="str">
        <f>if(MAXIFS('Player Stats - Current Week'!Q:Q,'Player Stats - Current Week'!C:C,B22,'Player Stats - Current Week'!D:D,"QB")=0,"BYE, GAME NOT STARTED, OR NO STATS YET",iferror(MAXIFS('Player Stats - Current Week'!Q:Q,'Player Stats - Current Week'!C:C,B22,'Player Stats - Current Week'!D:D,"QB"),""))</f>
        <v>BYE, GAME NOT STARTED, OR NO STATS YET</v>
      </c>
      <c r="AH22" s="94" t="str">
        <f t="shared" si="13"/>
        <v>BYE OR GAME NOT STARTED20</v>
      </c>
      <c r="AI22" s="94" t="str">
        <f>if(iferror(vlookup(CONCATENATE("Week 16",B22),'Raw With Formulas'!J:M,3,false),iferror(vlookup(CONCATENATE("Week 16",B22),'Raw With Formulas'!K:M,3,false),"BYE OR GAME NOT STARTED"))="","BYE OR GAME NOT STARTED",iferror(vlookup(CONCATENATE("Week 16",B22),'Raw With Formulas'!J:M,3,false),iferror(vlookup(CONCATENATE("Week 16",B22),'Raw With Formulas'!K:M,3,false),"BYE OR GAME NOT STARTED")))</f>
        <v>BYE OR GAME NOT STARTED</v>
      </c>
      <c r="AJ22" s="94" t="str">
        <f t="shared" si="14"/>
        <v>BYE, GAME NOT STARTED, OR NO STATS YET18</v>
      </c>
      <c r="AK22" s="87" t="str">
        <f>if(MAXIFS('Player Stats - Current Week'!F:F,'Player Stats - Current Week'!C:C,B22,'Player Stats - Current Week'!D:D,"WR")=0,"BYE, GAME NOT STARTED, OR NO STATS YET",iferror(MAXIFS('Player Stats - Current Week'!F:F,'Player Stats - Current Week'!C:C,B22,'Player Stats - Current Week'!D:D,"WR"),""))</f>
        <v>BYE, GAME NOT STARTED, OR NO STATS YET</v>
      </c>
      <c r="AL22" s="87" t="s">
        <v>447</v>
      </c>
      <c r="AM22" s="87" t="str">
        <f>if(MAXIFS('Player Stats - Current Week'!Q:Q,'Player Stats - Current Week'!C:C,B22,'Player Stats - Current Week'!D:D,"RB")=0,"BYE, GAME NOT STARTED, OR NO STATS YET",iferror(MAXIFS('Player Stats - Current Week'!Q:Q,'Player Stats - Current Week'!C:C,B22,'Player Stats - Current Week'!D:D,"RB"),""))</f>
        <v>BYE, GAME NOT STARTED, OR NO STATS YET</v>
      </c>
      <c r="AN22" s="92" t="str">
        <f t="shared" si="1"/>
        <v>Kyle</v>
      </c>
    </row>
    <row r="23">
      <c r="A23" s="89" t="s">
        <v>402</v>
      </c>
      <c r="B23" s="90" t="s">
        <v>36</v>
      </c>
      <c r="C23" s="90" t="str">
        <f>vlookup(A23,'Wins by Team'!A:C,3,false)</f>
        <v>Budde</v>
      </c>
      <c r="D23" s="101" t="str">
        <f t="shared" si="2"/>
        <v>BYE, GAME NOT STARTED, OR NO STATS YET19</v>
      </c>
      <c r="E23" s="90" t="str">
        <f>if(MAXIFS('Player Stats - Current Week'!F:F,'Player Stats - Current Week'!C:C,B23,'Player Stats - Current Week'!D:D,"QB")=0,"BYE, GAME NOT STARTED, OR NO STATS YET",iferror(MAXIFS('Player Stats - Current Week'!F:F,,'Player Stats - Current Week'!C:C,B23,'Player Stats - Current Week'!D:D,"QB"),""))</f>
        <v>BYE, GAME NOT STARTED, OR NO STATS YET</v>
      </c>
      <c r="F23" s="101" t="str">
        <f t="shared" si="9"/>
        <v>BYE OR GAME NOT STARTED19</v>
      </c>
      <c r="G23" s="90" t="str">
        <f>if(iferror(vlookup(CONCATENATE("Week 2",B23),'Raw With Formulas'!J:M,3,false),iferror(vlookup(CONCATENATE("Week 2",B23),'Raw With Formulas'!K:M,3,false),"BYE OR GAME NOT STARTED")) = "", "BYE OR GAME NOT STARTED", iferror(vlookup(CONCATENATE("Week 2",B23),'Raw With Formulas'!J:M,3,false),iferror(vlookup(CONCATENATE("Week 2",B23),'Raw With Formulas'!K:M,3,false),"BYE OR GAME NOT STARTED")))</f>
        <v>BYE OR GAME NOT STARTED</v>
      </c>
      <c r="H23" s="101" t="str">
        <f t="shared" si="10"/>
        <v>BYE, GAME NOT STARTED, OR NO STATS YET19</v>
      </c>
      <c r="I23" s="90" t="str">
        <f>iferror(
if(
sumifs(
#REF!,
'Player Stats - Current Week'!C:C,
iferror(
vlookup(
CONCATENATE("Week 3",B23), 
'Raw With Formulas'!J:N,
2,false
),
vlookup(CONCATENATE("Week 3",B23), 'Raw With Formulas'!K:N,4,false))) 
= 0,
"BYE, GAME NOT STARTED, OR NO STATS YET",
iferror(
sumifs(
#REF!,
'Player Stats - Current Week'!C:C,
iferror(
vlookup(
CONCATENATE("Week 3",B23), 
'Raw With Formulas'!J:N,
2,false
),
vlookup(CONCATENATE("Week 3",B23), 'Raw With Formulas'!K:N,4,false))),
""
)
),
"BYE, GAME NOT STARTED, OR NO STATS YET"
)</f>
        <v>BYE, GAME NOT STARTED, OR NO STATS YET</v>
      </c>
      <c r="J23" s="90" t="s">
        <v>447</v>
      </c>
      <c r="K23" s="90" t="str">
        <f>if(MAXIFS('Player Stats - Current Week'!F:F,'Player Stats - Current Week'!C:C,B23,'Player Stats - Current Week'!D:D,"TE")=0,"BYE, GAME NOT STARTED, OR NO STATS YET",iferror(MAXIFS('Player Stats - Current Week'!F:F,'Player Stats - Current Week'!C:C,B23,'Player Stats - Current Week'!D:D,"TE"),""))</f>
        <v>BYE, GAME NOT STARTED, OR NO STATS YET</v>
      </c>
      <c r="L23" s="90" t="s">
        <v>447</v>
      </c>
      <c r="M23" s="90" t="str">
        <f>if(MAXIFS('Player Stats - Current Week'!Q:Q,'Player Stats - Current Week'!C:C,B23,'Player Stats - Current Week'!D:D,"WR")=0,"BYE, GAME NOT STARTED, OR NO STATS YET",iferror(MAXIFS('Player Stats - Current Week'!Q:Q,'Player Stats - Current Week'!C:C,B23,'Player Stats - Current Week'!D:D,"WR"),""))</f>
        <v>BYE, GAME NOT STARTED, OR NO STATS YET</v>
      </c>
      <c r="N23" s="90" t="s">
        <v>447</v>
      </c>
      <c r="O23" s="90" t="str">
        <f>if((SUMIFS('Player Stats - Current Week'!L:L,'Player Stats - Current Week'!C:C,B23)+SUMIFS('Player Stats - Current Week'!R:R,'Player Stats - Current Week'!C:C,B23))=0,"BYE, GAME NOT STARTED, OR NO STATS YET",((SUMIFS('Player Stats - Current Week'!R:R,'Player Stats - Current Week'!C:C,B23)*6)+SUMIFS('Player Stats - Current Week'!L:L,'Player Stats - Current Week'!C:C,B23)))</f>
        <v>BYE, GAME NOT STARTED, OR NO STATS YET</v>
      </c>
      <c r="P23" s="90" t="s">
        <v>447</v>
      </c>
      <c r="Q23" s="90" t="str">
        <f>if((SUMIFS('Player Stats - Current Week'!G:G,'Player Stats - Current Week'!C:C,B23,'Player Stats - Current Week'!D:D,"RB")+SUMIFS('Player Stats - Current Week'!E:E,'Player Stats - Current Week'!C:C,B23,'Player Stats - Current Week'!D:D,"RB"))=0,"BYE, GAME NOT STARTED, OR NO STATS YET",((SUMIFS('Player Stats - Current Week'!G:G,'Player Stats - Current Week'!C:C,B23,'Player Stats - Current Week'!D:D,"RB")*6)+SUMIFS('Player Stats - Current Week'!E:E,'Player Stats - Current Week'!C:C,B23,'Player Stats - Current Week'!D:D,"RB")))</f>
        <v>BYE, GAME NOT STARTED, OR NO STATS YET</v>
      </c>
      <c r="R23" s="90" t="s">
        <v>447</v>
      </c>
      <c r="S23" s="90" t="str">
        <f>if(MAXIFS('Player Stats - Current Week'!L:L,'Player Stats - Current Week'!C:C,B23,'Player Stats - Current Week'!D:D,"PK")=0,"BYE, GAME NOT STARTED, OR NO STATS YET",iferror(MAXIFS('Player Stats - Current Week'!L:L,'Player Stats - Current Week'!C:C,B23,'Player Stats - Current Week'!D:D,"PK"),""))</f>
        <v>BYE, GAME NOT STARTED, OR NO STATS YET</v>
      </c>
      <c r="T23" s="90" t="s">
        <v>447</v>
      </c>
      <c r="U23" s="90" t="str">
        <f>if(MAXIFS('Player Stats - Current Week'!N:N,'Player Stats - Current Week'!C:C,B23,'Player Stats - Current Week'!D:D,"QB")=0,"BYE, GAME NOT STARTED, OR NO STATS YET",iferror(MAXIFS('Player Stats - Current Week'!N:N,'Player Stats - Current Week'!C:C,B23,'Player Stats - Current Week'!D:D,"QB"),""))</f>
        <v>BYE, GAME NOT STARTED, OR NO STATS YET</v>
      </c>
      <c r="V23" s="90" t="s">
        <v>447</v>
      </c>
      <c r="W23" s="90" t="str">
        <f>if(SUMIFS('Player Stats - Current Week'!O:O,'Player Stats - Current Week'!C:C,B23)=0,"BYE, GAME NOT STARTED, OR NO STATS YET",iferror(SUMIFS('Player Stats - Current Week'!O:O,'Player Stats - Current Week'!C:C,B23),""))</f>
        <v>BYE, GAME NOT STARTED, OR NO STATS YET</v>
      </c>
      <c r="X23" s="90" t="s">
        <v>447</v>
      </c>
      <c r="Y23" s="90" t="str">
        <f>if(MAXIFS('Player Stats - Current Week'!Q:Q,'Player Stats - Current Week'!C:C,B23,'Player Stats - Current Week'!D:D,"TE")=0,"BYE, GAME NOT STARTED, OR NO STATS YET",iferror(MAXIFS('Player Stats - Current Week'!Q:Q,'Player Stats - Current Week'!C:C,B23,'Player Stats - Current Week'!D:D,"TE"),""))</f>
        <v>BYE, GAME NOT STARTED, OR NO STATS YET</v>
      </c>
      <c r="Z23" s="90" t="s">
        <v>447</v>
      </c>
      <c r="AA23" s="90" t="str">
        <f>if(MAXIFS('Player Stats - Current Week'!S:S,'Player Stats - Current Week'!C:C,B23)=0,"BYE, GAME NOT STARTED, OR NO STATS YET",iferror(MAXIFS('Player Stats - Current Week'!S:S,'Player Stats - Current Week'!C:C,B23),""))</f>
        <v>BYE, GAME NOT STARTED, OR NO STATS YET</v>
      </c>
      <c r="AB23" s="90" t="s">
        <v>447</v>
      </c>
      <c r="AC23" s="90" t="str">
        <f>if(MAXIFS('Player Stats - Current Week'!G:G,'Player Stats - Current Week'!C:C,B23,'Player Stats - Current Week'!D:D,"QB")=0,"BYE, GAME NOT STARTED, OR NO STATS YET",iferror(MAXIFS('Player Stats - Current Week'!G:G,'Player Stats - Current Week'!C:C,B23,'Player Stats - Current Week'!D:D,"QB"),""))</f>
        <v>BYE, GAME NOT STARTED, OR NO STATS YET</v>
      </c>
      <c r="AD23" s="101" t="str">
        <f t="shared" si="11"/>
        <v>BYE OR GAME NOT STARTED19</v>
      </c>
      <c r="AE23" s="99" t="str">
        <f>if(iferror(vlookup(CONCATENATE("Week 14",B23),'Raw With Formulas'!J:M,4,false),iferror(vlookup(CONCATENATE("Week 14",B23),'Raw With Formulas'!K:M,2,false),"BYE OR GAME NOT STARTED"))="","BYE OR GAME NOT STARTED",iferror(vlookup(CONCATENATE("Week 14",B23),'Raw With Formulas'!J:M,4,false),iferror(vlookup(CONCATENATE("Week 14",B23),'Raw With Formulas'!K:M,2,false),"BYE OR GAME NOT STARTED")))</f>
        <v>BYE OR GAME NOT STARTED</v>
      </c>
      <c r="AF23" s="101" t="str">
        <f t="shared" si="12"/>
        <v>BYE, GAME NOT STARTED, OR NO STATS YET19</v>
      </c>
      <c r="AG23" s="90" t="str">
        <f>if(MAXIFS('Player Stats - Current Week'!Q:Q,'Player Stats - Current Week'!C:C,B23,'Player Stats - Current Week'!D:D,"QB")=0,"BYE, GAME NOT STARTED, OR NO STATS YET",iferror(MAXIFS('Player Stats - Current Week'!Q:Q,'Player Stats - Current Week'!C:C,B23,'Player Stats - Current Week'!D:D,"QB"),""))</f>
        <v>BYE, GAME NOT STARTED, OR NO STATS YET</v>
      </c>
      <c r="AH23" s="101" t="str">
        <f t="shared" si="13"/>
        <v>BYE OR GAME NOT STARTED21</v>
      </c>
      <c r="AI23" s="101" t="str">
        <f>if(iferror(vlookup(CONCATENATE("Week 16",B23),'Raw With Formulas'!J:M,3,false),iferror(vlookup(CONCATENATE("Week 16",B23),'Raw With Formulas'!K:M,3,false),"BYE OR GAME NOT STARTED"))="","BYE OR GAME NOT STARTED",iferror(vlookup(CONCATENATE("Week 16",B23),'Raw With Formulas'!J:M,3,false),iferror(vlookup(CONCATENATE("Week 16",B23),'Raw With Formulas'!K:M,3,false),"BYE OR GAME NOT STARTED")))</f>
        <v>BYE OR GAME NOT STARTED</v>
      </c>
      <c r="AJ23" s="101" t="str">
        <f t="shared" si="14"/>
        <v>BYE, GAME NOT STARTED, OR NO STATS YET19</v>
      </c>
      <c r="AK23" s="90" t="str">
        <f>if(MAXIFS('Player Stats - Current Week'!F:F,'Player Stats - Current Week'!C:C,B23,'Player Stats - Current Week'!D:D,"WR")=0,"BYE, GAME NOT STARTED, OR NO STATS YET",iferror(MAXIFS('Player Stats - Current Week'!F:F,'Player Stats - Current Week'!C:C,B23,'Player Stats - Current Week'!D:D,"WR"),""))</f>
        <v>BYE, GAME NOT STARTED, OR NO STATS YET</v>
      </c>
      <c r="AL23" s="90" t="s">
        <v>447</v>
      </c>
      <c r="AM23" s="90" t="str">
        <f>if(MAXIFS('Player Stats - Current Week'!Q:Q,'Player Stats - Current Week'!C:C,B23,'Player Stats - Current Week'!D:D,"RB")=0,"BYE, GAME NOT STARTED, OR NO STATS YET",iferror(MAXIFS('Player Stats - Current Week'!Q:Q,'Player Stats - Current Week'!C:C,B23,'Player Stats - Current Week'!D:D,"RB"),""))</f>
        <v>BYE, GAME NOT STARTED, OR NO STATS YET</v>
      </c>
      <c r="AN23" s="102" t="str">
        <f t="shared" si="1"/>
        <v>Budde</v>
      </c>
    </row>
    <row r="24">
      <c r="A24" s="86" t="s">
        <v>52</v>
      </c>
      <c r="B24" s="87" t="s">
        <v>52</v>
      </c>
      <c r="C24" s="87" t="str">
        <f>vlookup(A24,'Wins by Team'!A:C,3,false)</f>
        <v>Chris</v>
      </c>
      <c r="D24" s="94" t="str">
        <f t="shared" si="2"/>
        <v>BYE, GAME NOT STARTED, OR NO STATS YET20</v>
      </c>
      <c r="E24" s="87" t="str">
        <f>if(MAXIFS('Player Stats - Current Week'!F:F,'Player Stats - Current Week'!C:C,B24,'Player Stats - Current Week'!D:D,"QB")=0,"BYE, GAME NOT STARTED, OR NO STATS YET",iferror(MAXIFS('Player Stats - Current Week'!F:F,,'Player Stats - Current Week'!C:C,B24,'Player Stats - Current Week'!D:D,"QB"),""))</f>
        <v>BYE, GAME NOT STARTED, OR NO STATS YET</v>
      </c>
      <c r="F24" s="94" t="str">
        <f t="shared" si="9"/>
        <v>BYE OR GAME NOT STARTED20</v>
      </c>
      <c r="G24" s="87" t="str">
        <f>if(iferror(vlookup(CONCATENATE("Week 2",B24),'Raw With Formulas'!J:M,3,false),iferror(vlookup(CONCATENATE("Week 2",B24),'Raw With Formulas'!K:M,3,false),"BYE OR GAME NOT STARTED")) = "", "BYE OR GAME NOT STARTED", iferror(vlookup(CONCATENATE("Week 2",B24),'Raw With Formulas'!J:M,3,false),iferror(vlookup(CONCATENATE("Week 2",B24),'Raw With Formulas'!K:M,3,false),"BYE OR GAME NOT STARTED")))</f>
        <v>BYE OR GAME NOT STARTED</v>
      </c>
      <c r="H24" s="94" t="str">
        <f t="shared" si="10"/>
        <v>BYE, GAME NOT STARTED, OR NO STATS YET20</v>
      </c>
      <c r="I24" s="87" t="str">
        <f>iferror(
if(
sumifs(
#REF!,
'Player Stats - Current Week'!C:C,
iferror(
vlookup(
CONCATENATE("Week 3",B24), 
'Raw With Formulas'!J:N,
2,false
),
vlookup(CONCATENATE("Week 3",B24), 'Raw With Formulas'!K:N,4,false))) 
= 0,
"BYE, GAME NOT STARTED, OR NO STATS YET",
iferror(
sumifs(
#REF!,
'Player Stats - Current Week'!C:C,
iferror(
vlookup(
CONCATENATE("Week 3",B24), 
'Raw With Formulas'!J:N,
2,false
),
vlookup(CONCATENATE("Week 3",B24), 'Raw With Formulas'!K:N,4,false))),
""
)
),
"BYE, GAME NOT STARTED, OR NO STATS YET"
)</f>
        <v>BYE, GAME NOT STARTED, OR NO STATS YET</v>
      </c>
      <c r="J24" s="87" t="s">
        <v>447</v>
      </c>
      <c r="K24" s="87" t="str">
        <f>if(MAXIFS('Player Stats - Current Week'!F:F,'Player Stats - Current Week'!C:C,B24,'Player Stats - Current Week'!D:D,"TE")=0,"BYE, GAME NOT STARTED, OR NO STATS YET",iferror(MAXIFS('Player Stats - Current Week'!F:F,'Player Stats - Current Week'!C:C,B24,'Player Stats - Current Week'!D:D,"TE"),""))</f>
        <v>BYE, GAME NOT STARTED, OR NO STATS YET</v>
      </c>
      <c r="L24" s="87" t="s">
        <v>447</v>
      </c>
      <c r="M24" s="87" t="str">
        <f>if(MAXIFS('Player Stats - Current Week'!Q:Q,'Player Stats - Current Week'!C:C,B24,'Player Stats - Current Week'!D:D,"WR")=0,"BYE, GAME NOT STARTED, OR NO STATS YET",iferror(MAXIFS('Player Stats - Current Week'!Q:Q,'Player Stats - Current Week'!C:C,B24,'Player Stats - Current Week'!D:D,"WR"),""))</f>
        <v>BYE, GAME NOT STARTED, OR NO STATS YET</v>
      </c>
      <c r="N24" s="87" t="s">
        <v>447</v>
      </c>
      <c r="O24" s="87" t="str">
        <f>if((SUMIFS('Player Stats - Current Week'!L:L,'Player Stats - Current Week'!C:C,B24)+SUMIFS('Player Stats - Current Week'!R:R,'Player Stats - Current Week'!C:C,B24))=0,"BYE, GAME NOT STARTED, OR NO STATS YET",((SUMIFS('Player Stats - Current Week'!R:R,'Player Stats - Current Week'!C:C,B24)*6)+SUMIFS('Player Stats - Current Week'!L:L,'Player Stats - Current Week'!C:C,B24)))</f>
        <v>BYE, GAME NOT STARTED, OR NO STATS YET</v>
      </c>
      <c r="P24" s="87" t="s">
        <v>447</v>
      </c>
      <c r="Q24" s="87" t="str">
        <f>if((SUMIFS('Player Stats - Current Week'!G:G,'Player Stats - Current Week'!C:C,B24,'Player Stats - Current Week'!D:D,"RB")+SUMIFS('Player Stats - Current Week'!E:E,'Player Stats - Current Week'!C:C,B24,'Player Stats - Current Week'!D:D,"RB"))=0,"BYE, GAME NOT STARTED, OR NO STATS YET",((SUMIFS('Player Stats - Current Week'!G:G,'Player Stats - Current Week'!C:C,B24,'Player Stats - Current Week'!D:D,"RB")*6)+SUMIFS('Player Stats - Current Week'!E:E,'Player Stats - Current Week'!C:C,B24,'Player Stats - Current Week'!D:D,"RB")))</f>
        <v>BYE, GAME NOT STARTED, OR NO STATS YET</v>
      </c>
      <c r="R24" s="87" t="s">
        <v>447</v>
      </c>
      <c r="S24" s="87" t="str">
        <f>if(MAXIFS('Player Stats - Current Week'!L:L,'Player Stats - Current Week'!C:C,B24,'Player Stats - Current Week'!D:D,"PK")=0,"BYE, GAME NOT STARTED, OR NO STATS YET",iferror(MAXIFS('Player Stats - Current Week'!L:L,'Player Stats - Current Week'!C:C,B24,'Player Stats - Current Week'!D:D,"PK"),""))</f>
        <v>BYE, GAME NOT STARTED, OR NO STATS YET</v>
      </c>
      <c r="T24" s="87" t="s">
        <v>447</v>
      </c>
      <c r="U24" s="87" t="str">
        <f>if(MAXIFS('Player Stats - Current Week'!N:N,'Player Stats - Current Week'!C:C,B24,'Player Stats - Current Week'!D:D,"QB")=0,"BYE, GAME NOT STARTED, OR NO STATS YET",iferror(MAXIFS('Player Stats - Current Week'!N:N,'Player Stats - Current Week'!C:C,B24,'Player Stats - Current Week'!D:D,"QB"),""))</f>
        <v>BYE, GAME NOT STARTED, OR NO STATS YET</v>
      </c>
      <c r="V24" s="87" t="s">
        <v>447</v>
      </c>
      <c r="W24" s="87" t="str">
        <f>if(SUMIFS('Player Stats - Current Week'!O:O,'Player Stats - Current Week'!C:C,B24)=0,"BYE, GAME NOT STARTED, OR NO STATS YET",iferror(SUMIFS('Player Stats - Current Week'!O:O,'Player Stats - Current Week'!C:C,B24),""))</f>
        <v>BYE, GAME NOT STARTED, OR NO STATS YET</v>
      </c>
      <c r="X24" s="87" t="s">
        <v>447</v>
      </c>
      <c r="Y24" s="87" t="str">
        <f>if(MAXIFS('Player Stats - Current Week'!Q:Q,'Player Stats - Current Week'!C:C,B24,'Player Stats - Current Week'!D:D,"TE")=0,"BYE, GAME NOT STARTED, OR NO STATS YET",iferror(MAXIFS('Player Stats - Current Week'!Q:Q,'Player Stats - Current Week'!C:C,B24,'Player Stats - Current Week'!D:D,"TE"),""))</f>
        <v>BYE, GAME NOT STARTED, OR NO STATS YET</v>
      </c>
      <c r="Z24" s="87" t="s">
        <v>447</v>
      </c>
      <c r="AA24" s="87" t="str">
        <f>if(MAXIFS('Player Stats - Current Week'!S:S,'Player Stats - Current Week'!C:C,B24)=0,"BYE, GAME NOT STARTED, OR NO STATS YET",iferror(MAXIFS('Player Stats - Current Week'!S:S,'Player Stats - Current Week'!C:C,B24),""))</f>
        <v>BYE, GAME NOT STARTED, OR NO STATS YET</v>
      </c>
      <c r="AB24" s="87" t="s">
        <v>447</v>
      </c>
      <c r="AC24" s="87" t="str">
        <f>if(MAXIFS('Player Stats - Current Week'!G:G,'Player Stats - Current Week'!C:C,B24,'Player Stats - Current Week'!D:D,"QB")=0,"BYE, GAME NOT STARTED, OR NO STATS YET",iferror(MAXIFS('Player Stats - Current Week'!G:G,'Player Stats - Current Week'!C:C,B24,'Player Stats - Current Week'!D:D,"QB"),""))</f>
        <v>BYE, GAME NOT STARTED, OR NO STATS YET</v>
      </c>
      <c r="AD24" s="94" t="str">
        <f t="shared" si="11"/>
        <v>BYE OR GAME NOT STARTED20</v>
      </c>
      <c r="AE24" s="98" t="str">
        <f>if(iferror(vlookup(CONCATENATE("Week 14",B24),'Raw With Formulas'!J:M,4,false),iferror(vlookup(CONCATENATE("Week 14",B24),'Raw With Formulas'!K:M,2,false),"BYE OR GAME NOT STARTED"))="","BYE OR GAME NOT STARTED",iferror(vlookup(CONCATENATE("Week 14",B24),'Raw With Formulas'!J:M,4,false),iferror(vlookup(CONCATENATE("Week 14",B24),'Raw With Formulas'!K:M,2,false),"BYE OR GAME NOT STARTED")))</f>
        <v>BYE OR GAME NOT STARTED</v>
      </c>
      <c r="AF24" s="94" t="str">
        <f t="shared" si="12"/>
        <v>BYE, GAME NOT STARTED, OR NO STATS YET20</v>
      </c>
      <c r="AG24" s="87" t="str">
        <f>if(MAXIFS('Player Stats - Current Week'!Q:Q,'Player Stats - Current Week'!C:C,B24,'Player Stats - Current Week'!D:D,"QB")=0,"BYE, GAME NOT STARTED, OR NO STATS YET",iferror(MAXIFS('Player Stats - Current Week'!Q:Q,'Player Stats - Current Week'!C:C,B24,'Player Stats - Current Week'!D:D,"QB"),""))</f>
        <v>BYE, GAME NOT STARTED, OR NO STATS YET</v>
      </c>
      <c r="AH24" s="94" t="str">
        <f t="shared" si="13"/>
        <v>BYE OR GAME NOT STARTED22</v>
      </c>
      <c r="AI24" s="94" t="str">
        <f>if(iferror(vlookup(CONCATENATE("Week 16",B24),'Raw With Formulas'!J:M,3,false),iferror(vlookup(CONCATENATE("Week 16",B24),'Raw With Formulas'!K:M,3,false),"BYE OR GAME NOT STARTED"))="","BYE OR GAME NOT STARTED",iferror(vlookup(CONCATENATE("Week 16",B24),'Raw With Formulas'!J:M,3,false),iferror(vlookup(CONCATENATE("Week 16",B24),'Raw With Formulas'!K:M,3,false),"BYE OR GAME NOT STARTED")))</f>
        <v>BYE OR GAME NOT STARTED</v>
      </c>
      <c r="AJ24" s="94" t="str">
        <f t="shared" si="14"/>
        <v>BYE, GAME NOT STARTED, OR NO STATS YET20</v>
      </c>
      <c r="AK24" s="87" t="str">
        <f>if(MAXIFS('Player Stats - Current Week'!F:F,'Player Stats - Current Week'!C:C,B24,'Player Stats - Current Week'!D:D,"WR")=0,"BYE, GAME NOT STARTED, OR NO STATS YET",iferror(MAXIFS('Player Stats - Current Week'!F:F,'Player Stats - Current Week'!C:C,B24,'Player Stats - Current Week'!D:D,"WR"),""))</f>
        <v>BYE, GAME NOT STARTED, OR NO STATS YET</v>
      </c>
      <c r="AL24" s="87" t="s">
        <v>447</v>
      </c>
      <c r="AM24" s="87" t="str">
        <f>if(MAXIFS('Player Stats - Current Week'!Q:Q,'Player Stats - Current Week'!C:C,B24,'Player Stats - Current Week'!D:D,"RB")=0,"BYE, GAME NOT STARTED, OR NO STATS YET",iferror(MAXIFS('Player Stats - Current Week'!Q:Q,'Player Stats - Current Week'!C:C,B24,'Player Stats - Current Week'!D:D,"RB"),""))</f>
        <v>BYE, GAME NOT STARTED, OR NO STATS YET</v>
      </c>
      <c r="AN24" s="92" t="str">
        <f t="shared" si="1"/>
        <v>Chris</v>
      </c>
    </row>
    <row r="25">
      <c r="A25" s="89" t="s">
        <v>48</v>
      </c>
      <c r="B25" s="90" t="s">
        <v>48</v>
      </c>
      <c r="C25" s="90" t="str">
        <f>vlookup(A25,'Wins by Team'!A:C,3,false)</f>
        <v>Sagar</v>
      </c>
      <c r="D25" s="101" t="str">
        <f t="shared" si="2"/>
        <v>BYE, GAME NOT STARTED, OR NO STATS YET21</v>
      </c>
      <c r="E25" s="90" t="str">
        <f>if(MAXIFS('Player Stats - Current Week'!F:F,'Player Stats - Current Week'!C:C,B25,'Player Stats - Current Week'!D:D,"QB")=0,"BYE, GAME NOT STARTED, OR NO STATS YET",iferror(MAXIFS('Player Stats - Current Week'!F:F,,'Player Stats - Current Week'!C:C,B25,'Player Stats - Current Week'!D:D,"QB"),""))</f>
        <v>BYE, GAME NOT STARTED, OR NO STATS YET</v>
      </c>
      <c r="F25" s="101" t="str">
        <f t="shared" si="9"/>
        <v>BYE OR GAME NOT STARTED21</v>
      </c>
      <c r="G25" s="90" t="str">
        <f>if(iferror(vlookup(CONCATENATE("Week 2",B25),'Raw With Formulas'!J:M,3,false),iferror(vlookup(CONCATENATE("Week 2",B25),'Raw With Formulas'!K:M,3,false),"BYE OR GAME NOT STARTED")) = "", "BYE OR GAME NOT STARTED", iferror(vlookup(CONCATENATE("Week 2",B25),'Raw With Formulas'!J:M,3,false),iferror(vlookup(CONCATENATE("Week 2",B25),'Raw With Formulas'!K:M,3,false),"BYE OR GAME NOT STARTED")))</f>
        <v>BYE OR GAME NOT STARTED</v>
      </c>
      <c r="H25" s="101" t="str">
        <f t="shared" si="10"/>
        <v>BYE, GAME NOT STARTED, OR NO STATS YET21</v>
      </c>
      <c r="I25" s="90" t="str">
        <f>iferror(
if(
sumifs(
#REF!,
'Player Stats - Current Week'!C:C,
iferror(
vlookup(
CONCATENATE("Week 3",B25), 
'Raw With Formulas'!J:N,
2,false
),
vlookup(CONCATENATE("Week 3",B25), 'Raw With Formulas'!K:N,4,false))) 
= 0,
"BYE, GAME NOT STARTED, OR NO STATS YET",
iferror(
sumifs(
#REF!,
'Player Stats - Current Week'!C:C,
iferror(
vlookup(
CONCATENATE("Week 3",B25), 
'Raw With Formulas'!J:N,
2,false
),
vlookup(CONCATENATE("Week 3",B25), 'Raw With Formulas'!K:N,4,false))),
""
)
),
"BYE, GAME NOT STARTED, OR NO STATS YET"
)</f>
        <v>BYE, GAME NOT STARTED, OR NO STATS YET</v>
      </c>
      <c r="J25" s="90" t="s">
        <v>447</v>
      </c>
      <c r="K25" s="90" t="str">
        <f>if(MAXIFS('Player Stats - Current Week'!F:F,'Player Stats - Current Week'!C:C,B25,'Player Stats - Current Week'!D:D,"TE")=0,"BYE, GAME NOT STARTED, OR NO STATS YET",iferror(MAXIFS('Player Stats - Current Week'!F:F,'Player Stats - Current Week'!C:C,B25,'Player Stats - Current Week'!D:D,"TE"),""))</f>
        <v>BYE, GAME NOT STARTED, OR NO STATS YET</v>
      </c>
      <c r="L25" s="90" t="s">
        <v>447</v>
      </c>
      <c r="M25" s="90" t="str">
        <f>if(MAXIFS('Player Stats - Current Week'!Q:Q,'Player Stats - Current Week'!C:C,B25,'Player Stats - Current Week'!D:D,"WR")=0,"BYE, GAME NOT STARTED, OR NO STATS YET",iferror(MAXIFS('Player Stats - Current Week'!Q:Q,'Player Stats - Current Week'!C:C,B25,'Player Stats - Current Week'!D:D,"WR"),""))</f>
        <v>BYE, GAME NOT STARTED, OR NO STATS YET</v>
      </c>
      <c r="N25" s="90" t="s">
        <v>447</v>
      </c>
      <c r="O25" s="90" t="str">
        <f>if((SUMIFS('Player Stats - Current Week'!L:L,'Player Stats - Current Week'!C:C,B25)+SUMIFS('Player Stats - Current Week'!R:R,'Player Stats - Current Week'!C:C,B25))=0,"BYE, GAME NOT STARTED, OR NO STATS YET",((SUMIFS('Player Stats - Current Week'!R:R,'Player Stats - Current Week'!C:C,B25)*6)+SUMIFS('Player Stats - Current Week'!L:L,'Player Stats - Current Week'!C:C,B25)))</f>
        <v>BYE, GAME NOT STARTED, OR NO STATS YET</v>
      </c>
      <c r="P25" s="90" t="s">
        <v>447</v>
      </c>
      <c r="Q25" s="90" t="str">
        <f>if((SUMIFS('Player Stats - Current Week'!G:G,'Player Stats - Current Week'!C:C,B25,'Player Stats - Current Week'!D:D,"RB")+SUMIFS('Player Stats - Current Week'!E:E,'Player Stats - Current Week'!C:C,B25,'Player Stats - Current Week'!D:D,"RB"))=0,"BYE, GAME NOT STARTED, OR NO STATS YET",((SUMIFS('Player Stats - Current Week'!G:G,'Player Stats - Current Week'!C:C,B25,'Player Stats - Current Week'!D:D,"RB")*6)+SUMIFS('Player Stats - Current Week'!E:E,'Player Stats - Current Week'!C:C,B25,'Player Stats - Current Week'!D:D,"RB")))</f>
        <v>BYE, GAME NOT STARTED, OR NO STATS YET</v>
      </c>
      <c r="R25" s="90" t="s">
        <v>447</v>
      </c>
      <c r="S25" s="90" t="str">
        <f>if(MAXIFS('Player Stats - Current Week'!L:L,'Player Stats - Current Week'!C:C,B25,'Player Stats - Current Week'!D:D,"PK")=0,"BYE, GAME NOT STARTED, OR NO STATS YET",iferror(MAXIFS('Player Stats - Current Week'!L:L,'Player Stats - Current Week'!C:C,B25,'Player Stats - Current Week'!D:D,"PK"),""))</f>
        <v>BYE, GAME NOT STARTED, OR NO STATS YET</v>
      </c>
      <c r="T25" s="90" t="s">
        <v>447</v>
      </c>
      <c r="U25" s="90" t="str">
        <f>if(MAXIFS('Player Stats - Current Week'!N:N,'Player Stats - Current Week'!C:C,B25,'Player Stats - Current Week'!D:D,"QB")=0,"BYE, GAME NOT STARTED, OR NO STATS YET",iferror(MAXIFS('Player Stats - Current Week'!N:N,'Player Stats - Current Week'!C:C,B25,'Player Stats - Current Week'!D:D,"QB"),""))</f>
        <v>BYE, GAME NOT STARTED, OR NO STATS YET</v>
      </c>
      <c r="V25" s="90" t="s">
        <v>447</v>
      </c>
      <c r="W25" s="90" t="str">
        <f>if(SUMIFS('Player Stats - Current Week'!O:O,'Player Stats - Current Week'!C:C,B25)=0,"BYE, GAME NOT STARTED, OR NO STATS YET",iferror(SUMIFS('Player Stats - Current Week'!O:O,'Player Stats - Current Week'!C:C,B25),""))</f>
        <v>BYE, GAME NOT STARTED, OR NO STATS YET</v>
      </c>
      <c r="X25" s="90" t="s">
        <v>447</v>
      </c>
      <c r="Y25" s="90" t="str">
        <f>if(MAXIFS('Player Stats - Current Week'!Q:Q,'Player Stats - Current Week'!C:C,B25,'Player Stats - Current Week'!D:D,"TE")=0,"BYE, GAME NOT STARTED, OR NO STATS YET",iferror(MAXIFS('Player Stats - Current Week'!Q:Q,'Player Stats - Current Week'!C:C,B25,'Player Stats - Current Week'!D:D,"TE"),""))</f>
        <v>BYE, GAME NOT STARTED, OR NO STATS YET</v>
      </c>
      <c r="Z25" s="90" t="s">
        <v>447</v>
      </c>
      <c r="AA25" s="90" t="str">
        <f>if(MAXIFS('Player Stats - Current Week'!S:S,'Player Stats - Current Week'!C:C,B25)=0,"BYE, GAME NOT STARTED, OR NO STATS YET",iferror(MAXIFS('Player Stats - Current Week'!S:S,'Player Stats - Current Week'!C:C,B25),""))</f>
        <v>BYE, GAME NOT STARTED, OR NO STATS YET</v>
      </c>
      <c r="AB25" s="90" t="s">
        <v>447</v>
      </c>
      <c r="AC25" s="90" t="str">
        <f>if(MAXIFS('Player Stats - Current Week'!G:G,'Player Stats - Current Week'!C:C,B25,'Player Stats - Current Week'!D:D,"QB")=0,"BYE, GAME NOT STARTED, OR NO STATS YET",iferror(MAXIFS('Player Stats - Current Week'!G:G,'Player Stats - Current Week'!C:C,B25,'Player Stats - Current Week'!D:D,"QB"),""))</f>
        <v>BYE, GAME NOT STARTED, OR NO STATS YET</v>
      </c>
      <c r="AD25" s="101" t="str">
        <f t="shared" si="11"/>
        <v>BYE OR GAME NOT STARTED21</v>
      </c>
      <c r="AE25" s="99" t="str">
        <f>if(iferror(vlookup(CONCATENATE("Week 14",B25),'Raw With Formulas'!J:M,4,false),iferror(vlookup(CONCATENATE("Week 14",B25),'Raw With Formulas'!K:M,2,false),"BYE OR GAME NOT STARTED"))="","BYE OR GAME NOT STARTED",iferror(vlookup(CONCATENATE("Week 14",B25),'Raw With Formulas'!J:M,4,false),iferror(vlookup(CONCATENATE("Week 14",B25),'Raw With Formulas'!K:M,2,false),"BYE OR GAME NOT STARTED")))</f>
        <v>BYE OR GAME NOT STARTED</v>
      </c>
      <c r="AF25" s="101" t="str">
        <f t="shared" si="12"/>
        <v>BYE, GAME NOT STARTED, OR NO STATS YET21</v>
      </c>
      <c r="AG25" s="90" t="str">
        <f>if(MAXIFS('Player Stats - Current Week'!Q:Q,'Player Stats - Current Week'!C:C,B25,'Player Stats - Current Week'!D:D,"QB")=0,"BYE, GAME NOT STARTED, OR NO STATS YET",iferror(MAXIFS('Player Stats - Current Week'!Q:Q,'Player Stats - Current Week'!C:C,B25,'Player Stats - Current Week'!D:D,"QB"),""))</f>
        <v>BYE, GAME NOT STARTED, OR NO STATS YET</v>
      </c>
      <c r="AH25" s="101" t="str">
        <f t="shared" si="13"/>
        <v>BYE OR GAME NOT STARTED23</v>
      </c>
      <c r="AI25" s="101" t="str">
        <f>if(iferror(vlookup(CONCATENATE("Week 16",B25),'Raw With Formulas'!J:M,3,false),iferror(vlookup(CONCATENATE("Week 16",B25),'Raw With Formulas'!K:M,3,false),"BYE OR GAME NOT STARTED"))="","BYE OR GAME NOT STARTED",iferror(vlookup(CONCATENATE("Week 16",B25),'Raw With Formulas'!J:M,3,false),iferror(vlookup(CONCATENATE("Week 16",B25),'Raw With Formulas'!K:M,3,false),"BYE OR GAME NOT STARTED")))</f>
        <v>BYE OR GAME NOT STARTED</v>
      </c>
      <c r="AJ25" s="101" t="str">
        <f t="shared" si="14"/>
        <v>BYE, GAME NOT STARTED, OR NO STATS YET21</v>
      </c>
      <c r="AK25" s="90" t="str">
        <f>if(MAXIFS('Player Stats - Current Week'!F:F,'Player Stats - Current Week'!C:C,B25,'Player Stats - Current Week'!D:D,"WR")=0,"BYE, GAME NOT STARTED, OR NO STATS YET",iferror(MAXIFS('Player Stats - Current Week'!F:F,'Player Stats - Current Week'!C:C,B25,'Player Stats - Current Week'!D:D,"WR"),""))</f>
        <v>BYE, GAME NOT STARTED, OR NO STATS YET</v>
      </c>
      <c r="AL25" s="90" t="s">
        <v>447</v>
      </c>
      <c r="AM25" s="90" t="str">
        <f>if(MAXIFS('Player Stats - Current Week'!Q:Q,'Player Stats - Current Week'!C:C,B25,'Player Stats - Current Week'!D:D,"RB")=0,"BYE, GAME NOT STARTED, OR NO STATS YET",iferror(MAXIFS('Player Stats - Current Week'!Q:Q,'Player Stats - Current Week'!C:C,B25,'Player Stats - Current Week'!D:D,"RB"),""))</f>
        <v>BYE, GAME NOT STARTED, OR NO STATS YET</v>
      </c>
      <c r="AN25" s="102" t="str">
        <f t="shared" si="1"/>
        <v>Sagar</v>
      </c>
    </row>
    <row r="26">
      <c r="A26" s="86" t="s">
        <v>403</v>
      </c>
      <c r="B26" s="87" t="s">
        <v>27</v>
      </c>
      <c r="C26" s="87" t="str">
        <f>vlookup(A26,'Wins by Team'!A:C,3,false)</f>
        <v>Wyatt</v>
      </c>
      <c r="D26" s="94" t="str">
        <f t="shared" si="2"/>
        <v>BYE, GAME NOT STARTED, OR NO STATS YET22</v>
      </c>
      <c r="E26" s="87" t="str">
        <f>if(MAXIFS('Player Stats - Current Week'!F:F,'Player Stats - Current Week'!C:C,B26,'Player Stats - Current Week'!D:D,"QB")=0,"BYE, GAME NOT STARTED, OR NO STATS YET",iferror(MAXIFS('Player Stats - Current Week'!F:F,,'Player Stats - Current Week'!C:C,B26,'Player Stats - Current Week'!D:D,"QB"),""))</f>
        <v>BYE, GAME NOT STARTED, OR NO STATS YET</v>
      </c>
      <c r="F26" s="94" t="str">
        <f t="shared" si="9"/>
        <v>BYE OR GAME NOT STARTED22</v>
      </c>
      <c r="G26" s="87" t="str">
        <f>if(iferror(vlookup(CONCATENATE("Week 2",B26),'Raw With Formulas'!J:M,3,false),iferror(vlookup(CONCATENATE("Week 2",B26),'Raw With Formulas'!K:M,3,false),"BYE OR GAME NOT STARTED")) = "", "BYE OR GAME NOT STARTED", iferror(vlookup(CONCATENATE("Week 2",B26),'Raw With Formulas'!J:M,3,false),iferror(vlookup(CONCATENATE("Week 2",B26),'Raw With Formulas'!K:M,3,false),"BYE OR GAME NOT STARTED")))</f>
        <v>BYE OR GAME NOT STARTED</v>
      </c>
      <c r="H26" s="94" t="str">
        <f t="shared" si="10"/>
        <v>BYE, GAME NOT STARTED, OR NO STATS YET22</v>
      </c>
      <c r="I26" s="87" t="str">
        <f>iferror(
if(
sumifs(
#REF!,
'Player Stats - Current Week'!C:C,
iferror(
vlookup(
CONCATENATE("Week 3",B26), 
'Raw With Formulas'!J:N,
2,false
),
vlookup(CONCATENATE("Week 3",B26), 'Raw With Formulas'!K:N,4,false))) 
= 0,
"BYE, GAME NOT STARTED, OR NO STATS YET",
iferror(
sumifs(
#REF!,
'Player Stats - Current Week'!C:C,
iferror(
vlookup(
CONCATENATE("Week 3",B26), 
'Raw With Formulas'!J:N,
2,false
),
vlookup(CONCATENATE("Week 3",B26), 'Raw With Formulas'!K:N,4,false))),
""
)
),
"BYE, GAME NOT STARTED, OR NO STATS YET"
)</f>
        <v>BYE, GAME NOT STARTED, OR NO STATS YET</v>
      </c>
      <c r="J26" s="87" t="s">
        <v>447</v>
      </c>
      <c r="K26" s="87" t="str">
        <f>if(MAXIFS('Player Stats - Current Week'!F:F,'Player Stats - Current Week'!C:C,B26,'Player Stats - Current Week'!D:D,"TE")=0,"BYE, GAME NOT STARTED, OR NO STATS YET",iferror(MAXIFS('Player Stats - Current Week'!F:F,'Player Stats - Current Week'!C:C,B26,'Player Stats - Current Week'!D:D,"TE"),""))</f>
        <v>BYE, GAME NOT STARTED, OR NO STATS YET</v>
      </c>
      <c r="L26" s="87" t="s">
        <v>447</v>
      </c>
      <c r="M26" s="87" t="str">
        <f>if(MAXIFS('Player Stats - Current Week'!Q:Q,'Player Stats - Current Week'!C:C,B26,'Player Stats - Current Week'!D:D,"WR")=0,"BYE, GAME NOT STARTED, OR NO STATS YET",iferror(MAXIFS('Player Stats - Current Week'!Q:Q,'Player Stats - Current Week'!C:C,B26,'Player Stats - Current Week'!D:D,"WR"),""))</f>
        <v>BYE, GAME NOT STARTED, OR NO STATS YET</v>
      </c>
      <c r="N26" s="87" t="s">
        <v>447</v>
      </c>
      <c r="O26" s="87" t="str">
        <f>if((SUMIFS('Player Stats - Current Week'!L:L,'Player Stats - Current Week'!C:C,B26)+SUMIFS('Player Stats - Current Week'!R:R,'Player Stats - Current Week'!C:C,B26))=0,"BYE, GAME NOT STARTED, OR NO STATS YET",((SUMIFS('Player Stats - Current Week'!R:R,'Player Stats - Current Week'!C:C,B26)*6)+SUMIFS('Player Stats - Current Week'!L:L,'Player Stats - Current Week'!C:C,B26)))</f>
        <v>BYE, GAME NOT STARTED, OR NO STATS YET</v>
      </c>
      <c r="P26" s="87" t="s">
        <v>447</v>
      </c>
      <c r="Q26" s="87" t="str">
        <f>if((SUMIFS('Player Stats - Current Week'!G:G,'Player Stats - Current Week'!C:C,B26,'Player Stats - Current Week'!D:D,"RB")+SUMIFS('Player Stats - Current Week'!E:E,'Player Stats - Current Week'!C:C,B26,'Player Stats - Current Week'!D:D,"RB"))=0,"BYE, GAME NOT STARTED, OR NO STATS YET",((SUMIFS('Player Stats - Current Week'!G:G,'Player Stats - Current Week'!C:C,B26,'Player Stats - Current Week'!D:D,"RB")*6)+SUMIFS('Player Stats - Current Week'!E:E,'Player Stats - Current Week'!C:C,B26,'Player Stats - Current Week'!D:D,"RB")))</f>
        <v>BYE, GAME NOT STARTED, OR NO STATS YET</v>
      </c>
      <c r="R26" s="87" t="s">
        <v>447</v>
      </c>
      <c r="S26" s="87" t="str">
        <f>if(MAXIFS('Player Stats - Current Week'!L:L,'Player Stats - Current Week'!C:C,B26,'Player Stats - Current Week'!D:D,"PK")=0,"BYE, GAME NOT STARTED, OR NO STATS YET",iferror(MAXIFS('Player Stats - Current Week'!L:L,'Player Stats - Current Week'!C:C,B26,'Player Stats - Current Week'!D:D,"PK"),""))</f>
        <v>BYE, GAME NOT STARTED, OR NO STATS YET</v>
      </c>
      <c r="T26" s="87" t="s">
        <v>447</v>
      </c>
      <c r="U26" s="87" t="str">
        <f>if(MAXIFS('Player Stats - Current Week'!N:N,'Player Stats - Current Week'!C:C,B26,'Player Stats - Current Week'!D:D,"QB")=0,"BYE, GAME NOT STARTED, OR NO STATS YET",iferror(MAXIFS('Player Stats - Current Week'!N:N,'Player Stats - Current Week'!C:C,B26,'Player Stats - Current Week'!D:D,"QB"),""))</f>
        <v>BYE, GAME NOT STARTED, OR NO STATS YET</v>
      </c>
      <c r="V26" s="87" t="s">
        <v>447</v>
      </c>
      <c r="W26" s="87" t="str">
        <f>if(SUMIFS('Player Stats - Current Week'!O:O,'Player Stats - Current Week'!C:C,B26)=0,"BYE, GAME NOT STARTED, OR NO STATS YET",iferror(SUMIFS('Player Stats - Current Week'!O:O,'Player Stats - Current Week'!C:C,B26),""))</f>
        <v>BYE, GAME NOT STARTED, OR NO STATS YET</v>
      </c>
      <c r="X26" s="87" t="s">
        <v>447</v>
      </c>
      <c r="Y26" s="87" t="str">
        <f>if(MAXIFS('Player Stats - Current Week'!Q:Q,'Player Stats - Current Week'!C:C,B26,'Player Stats - Current Week'!D:D,"TE")=0,"BYE, GAME NOT STARTED, OR NO STATS YET",iferror(MAXIFS('Player Stats - Current Week'!Q:Q,'Player Stats - Current Week'!C:C,B26,'Player Stats - Current Week'!D:D,"TE"),""))</f>
        <v>BYE, GAME NOT STARTED, OR NO STATS YET</v>
      </c>
      <c r="Z26" s="87" t="s">
        <v>447</v>
      </c>
      <c r="AA26" s="87" t="str">
        <f>if(MAXIFS('Player Stats - Current Week'!S:S,'Player Stats - Current Week'!C:C,B26)=0,"BYE, GAME NOT STARTED, OR NO STATS YET",iferror(MAXIFS('Player Stats - Current Week'!S:S,'Player Stats - Current Week'!C:C,B26),""))</f>
        <v>BYE, GAME NOT STARTED, OR NO STATS YET</v>
      </c>
      <c r="AB26" s="87" t="s">
        <v>447</v>
      </c>
      <c r="AC26" s="87" t="str">
        <f>if(MAXIFS('Player Stats - Current Week'!G:G,'Player Stats - Current Week'!C:C,B26,'Player Stats - Current Week'!D:D,"QB")=0,"BYE, GAME NOT STARTED, OR NO STATS YET",iferror(MAXIFS('Player Stats - Current Week'!G:G,'Player Stats - Current Week'!C:C,B26,'Player Stats - Current Week'!D:D,"QB"),""))</f>
        <v>BYE, GAME NOT STARTED, OR NO STATS YET</v>
      </c>
      <c r="AD26" s="94" t="str">
        <f t="shared" si="11"/>
        <v>BYE OR GAME NOT STARTED22</v>
      </c>
      <c r="AE26" s="98" t="str">
        <f>if(iferror(vlookup(CONCATENATE("Week 14",B26),'Raw With Formulas'!J:M,4,false),iferror(vlookup(CONCATENATE("Week 14",B26),'Raw With Formulas'!K:M,2,false),"BYE OR GAME NOT STARTED"))="","BYE OR GAME NOT STARTED",iferror(vlookup(CONCATENATE("Week 14",B26),'Raw With Formulas'!J:M,4,false),iferror(vlookup(CONCATENATE("Week 14",B26),'Raw With Formulas'!K:M,2,false),"BYE OR GAME NOT STARTED")))</f>
        <v>BYE OR GAME NOT STARTED</v>
      </c>
      <c r="AF26" s="94" t="str">
        <f t="shared" si="12"/>
        <v>BYE, GAME NOT STARTED, OR NO STATS YET22</v>
      </c>
      <c r="AG26" s="87" t="str">
        <f>if(MAXIFS('Player Stats - Current Week'!Q:Q,'Player Stats - Current Week'!C:C,B26,'Player Stats - Current Week'!D:D,"QB")=0,"BYE, GAME NOT STARTED, OR NO STATS YET",iferror(MAXIFS('Player Stats - Current Week'!Q:Q,'Player Stats - Current Week'!C:C,B26,'Player Stats - Current Week'!D:D,"QB"),""))</f>
        <v>BYE, GAME NOT STARTED, OR NO STATS YET</v>
      </c>
      <c r="AH26" s="94" t="str">
        <f t="shared" si="13"/>
        <v>BYE OR GAME NOT STARTED24</v>
      </c>
      <c r="AI26" s="94" t="str">
        <f>if(iferror(vlookup(CONCATENATE("Week 16",B26),'Raw With Formulas'!J:M,3,false),iferror(vlookup(CONCATENATE("Week 16",B26),'Raw With Formulas'!K:M,3,false),"BYE OR GAME NOT STARTED"))="","BYE OR GAME NOT STARTED",iferror(vlookup(CONCATENATE("Week 16",B26),'Raw With Formulas'!J:M,3,false),iferror(vlookup(CONCATENATE("Week 16",B26),'Raw With Formulas'!K:M,3,false),"BYE OR GAME NOT STARTED")))</f>
        <v>BYE OR GAME NOT STARTED</v>
      </c>
      <c r="AJ26" s="94" t="str">
        <f t="shared" si="14"/>
        <v>BYE, GAME NOT STARTED, OR NO STATS YET22</v>
      </c>
      <c r="AK26" s="87" t="str">
        <f>if(MAXIFS('Player Stats - Current Week'!F:F,'Player Stats - Current Week'!C:C,B26,'Player Stats - Current Week'!D:D,"WR")=0,"BYE, GAME NOT STARTED, OR NO STATS YET",iferror(MAXIFS('Player Stats - Current Week'!F:F,'Player Stats - Current Week'!C:C,B26,'Player Stats - Current Week'!D:D,"WR"),""))</f>
        <v>BYE, GAME NOT STARTED, OR NO STATS YET</v>
      </c>
      <c r="AL26" s="87" t="s">
        <v>447</v>
      </c>
      <c r="AM26" s="87" t="str">
        <f>if(MAXIFS('Player Stats - Current Week'!Q:Q,'Player Stats - Current Week'!C:C,B26,'Player Stats - Current Week'!D:D,"RB")=0,"BYE, GAME NOT STARTED, OR NO STATS YET",iferror(MAXIFS('Player Stats - Current Week'!Q:Q,'Player Stats - Current Week'!C:C,B26,'Player Stats - Current Week'!D:D,"RB"),""))</f>
        <v>BYE, GAME NOT STARTED, OR NO STATS YET</v>
      </c>
      <c r="AN26" s="92" t="str">
        <f t="shared" si="1"/>
        <v>Wyatt</v>
      </c>
    </row>
    <row r="27">
      <c r="A27" s="89" t="s">
        <v>404</v>
      </c>
      <c r="B27" s="90" t="s">
        <v>42</v>
      </c>
      <c r="C27" s="90" t="str">
        <f>vlookup(A27,'Wins by Team'!A:C,3,false)</f>
        <v>Chris</v>
      </c>
      <c r="D27" s="101" t="str">
        <f t="shared" si="2"/>
        <v>BYE, GAME NOT STARTED, OR NO STATS YET23</v>
      </c>
      <c r="E27" s="90" t="str">
        <f>if(MAXIFS('Player Stats - Current Week'!F:F,'Player Stats - Current Week'!C:C,B27,'Player Stats - Current Week'!D:D,"QB")=0,"BYE, GAME NOT STARTED, OR NO STATS YET",iferror(MAXIFS('Player Stats - Current Week'!F:F,,'Player Stats - Current Week'!C:C,B27,'Player Stats - Current Week'!D:D,"QB"),""))</f>
        <v>BYE, GAME NOT STARTED, OR NO STATS YET</v>
      </c>
      <c r="F27" s="101" t="str">
        <f t="shared" si="9"/>
        <v>BYE OR GAME NOT STARTED23</v>
      </c>
      <c r="G27" s="90" t="str">
        <f>if(iferror(vlookup(CONCATENATE("Week 2",B27),'Raw With Formulas'!J:M,3,false),iferror(vlookup(CONCATENATE("Week 2",B27),'Raw With Formulas'!K:M,3,false),"BYE OR GAME NOT STARTED")) = "", "BYE OR GAME NOT STARTED", iferror(vlookup(CONCATENATE("Week 2",B27),'Raw With Formulas'!J:M,3,false),iferror(vlookup(CONCATENATE("Week 2",B27),'Raw With Formulas'!K:M,3,false),"BYE OR GAME NOT STARTED")))</f>
        <v>BYE OR GAME NOT STARTED</v>
      </c>
      <c r="H27" s="101" t="str">
        <f t="shared" si="10"/>
        <v>BYE, GAME NOT STARTED, OR NO STATS YET23</v>
      </c>
      <c r="I27" s="90" t="str">
        <f>iferror(
if(
sumifs(
#REF!,
'Player Stats - Current Week'!C:C,
iferror(
vlookup(
CONCATENATE("Week 3",B27), 
'Raw With Formulas'!J:N,
2,false
),
vlookup(CONCATENATE("Week 3",B27), 'Raw With Formulas'!K:N,4,false))) 
= 0,
"BYE, GAME NOT STARTED, OR NO STATS YET",
iferror(
sumifs(
#REF!,
'Player Stats - Current Week'!C:C,
iferror(
vlookup(
CONCATENATE("Week 3",B27), 
'Raw With Formulas'!J:N,
2,false
),
vlookup(CONCATENATE("Week 3",B27), 'Raw With Formulas'!K:N,4,false))),
""
)
),
"BYE, GAME NOT STARTED, OR NO STATS YET"
)</f>
        <v>BYE, GAME NOT STARTED, OR NO STATS YET</v>
      </c>
      <c r="J27" s="90" t="s">
        <v>447</v>
      </c>
      <c r="K27" s="90" t="str">
        <f>if(MAXIFS('Player Stats - Current Week'!F:F,'Player Stats - Current Week'!C:C,B27,'Player Stats - Current Week'!D:D,"TE")=0,"BYE, GAME NOT STARTED, OR NO STATS YET",iferror(MAXIFS('Player Stats - Current Week'!F:F,'Player Stats - Current Week'!C:C,B27,'Player Stats - Current Week'!D:D,"TE"),""))</f>
        <v>BYE, GAME NOT STARTED, OR NO STATS YET</v>
      </c>
      <c r="L27" s="90" t="s">
        <v>447</v>
      </c>
      <c r="M27" s="90" t="str">
        <f>if(MAXIFS('Player Stats - Current Week'!Q:Q,'Player Stats - Current Week'!C:C,B27,'Player Stats - Current Week'!D:D,"WR")=0,"BYE, GAME NOT STARTED, OR NO STATS YET",iferror(MAXIFS('Player Stats - Current Week'!Q:Q,'Player Stats - Current Week'!C:C,B27,'Player Stats - Current Week'!D:D,"WR"),""))</f>
        <v>BYE, GAME NOT STARTED, OR NO STATS YET</v>
      </c>
      <c r="N27" s="90" t="s">
        <v>447</v>
      </c>
      <c r="O27" s="90" t="str">
        <f>if((SUMIFS('Player Stats - Current Week'!L:L,'Player Stats - Current Week'!C:C,B27)+SUMIFS('Player Stats - Current Week'!R:R,'Player Stats - Current Week'!C:C,B27))=0,"BYE, GAME NOT STARTED, OR NO STATS YET",((SUMIFS('Player Stats - Current Week'!R:R,'Player Stats - Current Week'!C:C,B27)*6)+SUMIFS('Player Stats - Current Week'!L:L,'Player Stats - Current Week'!C:C,B27)))</f>
        <v>BYE, GAME NOT STARTED, OR NO STATS YET</v>
      </c>
      <c r="P27" s="90" t="s">
        <v>447</v>
      </c>
      <c r="Q27" s="90" t="str">
        <f>if((SUMIFS('Player Stats - Current Week'!G:G,'Player Stats - Current Week'!C:C,B27,'Player Stats - Current Week'!D:D,"RB")+SUMIFS('Player Stats - Current Week'!E:E,'Player Stats - Current Week'!C:C,B27,'Player Stats - Current Week'!D:D,"RB"))=0,"BYE, GAME NOT STARTED, OR NO STATS YET",((SUMIFS('Player Stats - Current Week'!G:G,'Player Stats - Current Week'!C:C,B27,'Player Stats - Current Week'!D:D,"RB")*6)+SUMIFS('Player Stats - Current Week'!E:E,'Player Stats - Current Week'!C:C,B27,'Player Stats - Current Week'!D:D,"RB")))</f>
        <v>BYE, GAME NOT STARTED, OR NO STATS YET</v>
      </c>
      <c r="R27" s="90" t="s">
        <v>447</v>
      </c>
      <c r="S27" s="90" t="str">
        <f>if(MAXIFS('Player Stats - Current Week'!L:L,'Player Stats - Current Week'!C:C,B27,'Player Stats - Current Week'!D:D,"PK")=0,"BYE, GAME NOT STARTED, OR NO STATS YET",iferror(MAXIFS('Player Stats - Current Week'!L:L,'Player Stats - Current Week'!C:C,B27,'Player Stats - Current Week'!D:D,"PK"),""))</f>
        <v>BYE, GAME NOT STARTED, OR NO STATS YET</v>
      </c>
      <c r="T27" s="90" t="s">
        <v>447</v>
      </c>
      <c r="U27" s="90" t="str">
        <f>if(MAXIFS('Player Stats - Current Week'!N:N,'Player Stats - Current Week'!C:C,B27,'Player Stats - Current Week'!D:D,"QB")=0,"BYE, GAME NOT STARTED, OR NO STATS YET",iferror(MAXIFS('Player Stats - Current Week'!N:N,'Player Stats - Current Week'!C:C,B27,'Player Stats - Current Week'!D:D,"QB"),""))</f>
        <v>BYE, GAME NOT STARTED, OR NO STATS YET</v>
      </c>
      <c r="V27" s="90" t="s">
        <v>447</v>
      </c>
      <c r="W27" s="90" t="str">
        <f>if(SUMIFS('Player Stats - Current Week'!O:O,'Player Stats - Current Week'!C:C,B27)=0,"BYE, GAME NOT STARTED, OR NO STATS YET",iferror(SUMIFS('Player Stats - Current Week'!O:O,'Player Stats - Current Week'!C:C,B27),""))</f>
        <v>BYE, GAME NOT STARTED, OR NO STATS YET</v>
      </c>
      <c r="X27" s="90" t="s">
        <v>447</v>
      </c>
      <c r="Y27" s="90" t="str">
        <f>if(MAXIFS('Player Stats - Current Week'!Q:Q,'Player Stats - Current Week'!C:C,B27,'Player Stats - Current Week'!D:D,"TE")=0,"BYE, GAME NOT STARTED, OR NO STATS YET",iferror(MAXIFS('Player Stats - Current Week'!Q:Q,'Player Stats - Current Week'!C:C,B27,'Player Stats - Current Week'!D:D,"TE"),""))</f>
        <v>BYE, GAME NOT STARTED, OR NO STATS YET</v>
      </c>
      <c r="Z27" s="90" t="s">
        <v>447</v>
      </c>
      <c r="AA27" s="90" t="str">
        <f>if(MAXIFS('Player Stats - Current Week'!S:S,'Player Stats - Current Week'!C:C,B27)=0,"BYE, GAME NOT STARTED, OR NO STATS YET",iferror(MAXIFS('Player Stats - Current Week'!S:S,'Player Stats - Current Week'!C:C,B27),""))</f>
        <v>BYE, GAME NOT STARTED, OR NO STATS YET</v>
      </c>
      <c r="AB27" s="90" t="s">
        <v>447</v>
      </c>
      <c r="AC27" s="90" t="str">
        <f>if(MAXIFS('Player Stats - Current Week'!G:G,'Player Stats - Current Week'!C:C,B27,'Player Stats - Current Week'!D:D,"QB")=0,"BYE, GAME NOT STARTED, OR NO STATS YET",iferror(MAXIFS('Player Stats - Current Week'!G:G,'Player Stats - Current Week'!C:C,B27,'Player Stats - Current Week'!D:D,"QB"),""))</f>
        <v>BYE, GAME NOT STARTED, OR NO STATS YET</v>
      </c>
      <c r="AD27" s="101" t="str">
        <f t="shared" si="11"/>
        <v>BYE OR GAME NOT STARTED23</v>
      </c>
      <c r="AE27" s="99" t="str">
        <f>if(iferror(vlookup(CONCATENATE("Week 14",B27),'Raw With Formulas'!J:M,4,false),iferror(vlookup(CONCATENATE("Week 14",B27),'Raw With Formulas'!K:M,2,false),"BYE OR GAME NOT STARTED"))="","BYE OR GAME NOT STARTED",iferror(vlookup(CONCATENATE("Week 14",B27),'Raw With Formulas'!J:M,4,false),iferror(vlookup(CONCATENATE("Week 14",B27),'Raw With Formulas'!K:M,2,false),"BYE OR GAME NOT STARTED")))</f>
        <v>BYE OR GAME NOT STARTED</v>
      </c>
      <c r="AF27" s="101" t="str">
        <f t="shared" si="12"/>
        <v>BYE, GAME NOT STARTED, OR NO STATS YET23</v>
      </c>
      <c r="AG27" s="90" t="str">
        <f>if(MAXIFS('Player Stats - Current Week'!Q:Q,'Player Stats - Current Week'!C:C,B27,'Player Stats - Current Week'!D:D,"QB")=0,"BYE, GAME NOT STARTED, OR NO STATS YET",iferror(MAXIFS('Player Stats - Current Week'!Q:Q,'Player Stats - Current Week'!C:C,B27,'Player Stats - Current Week'!D:D,"QB"),""))</f>
        <v>BYE, GAME NOT STARTED, OR NO STATS YET</v>
      </c>
      <c r="AH27" s="101" t="str">
        <f t="shared" si="13"/>
        <v>BYE OR GAME NOT STARTED25</v>
      </c>
      <c r="AI27" s="101" t="str">
        <f>if(iferror(vlookup(CONCATENATE("Week 16",B27),'Raw With Formulas'!J:M,3,false),iferror(vlookup(CONCATENATE("Week 16",B27),'Raw With Formulas'!K:M,3,false),"BYE OR GAME NOT STARTED"))="","BYE OR GAME NOT STARTED",iferror(vlookup(CONCATENATE("Week 16",B27),'Raw With Formulas'!J:M,3,false),iferror(vlookup(CONCATENATE("Week 16",B27),'Raw With Formulas'!K:M,3,false),"BYE OR GAME NOT STARTED")))</f>
        <v>BYE OR GAME NOT STARTED</v>
      </c>
      <c r="AJ27" s="101" t="str">
        <f t="shared" si="14"/>
        <v>BYE, GAME NOT STARTED, OR NO STATS YET23</v>
      </c>
      <c r="AK27" s="90" t="str">
        <f>if(MAXIFS('Player Stats - Current Week'!F:F,'Player Stats - Current Week'!C:C,B27,'Player Stats - Current Week'!D:D,"WR")=0,"BYE, GAME NOT STARTED, OR NO STATS YET",iferror(MAXIFS('Player Stats - Current Week'!F:F,'Player Stats - Current Week'!C:C,B27,'Player Stats - Current Week'!D:D,"WR"),""))</f>
        <v>BYE, GAME NOT STARTED, OR NO STATS YET</v>
      </c>
      <c r="AL27" s="90" t="s">
        <v>447</v>
      </c>
      <c r="AM27" s="90" t="str">
        <f>if(MAXIFS('Player Stats - Current Week'!Q:Q,'Player Stats - Current Week'!C:C,B27,'Player Stats - Current Week'!D:D,"RB")=0,"BYE, GAME NOT STARTED, OR NO STATS YET",iferror(MAXIFS('Player Stats - Current Week'!Q:Q,'Player Stats - Current Week'!C:C,B27,'Player Stats - Current Week'!D:D,"RB"),""))</f>
        <v>BYE, GAME NOT STARTED, OR NO STATS YET</v>
      </c>
      <c r="AN27" s="102" t="str">
        <f t="shared" si="1"/>
        <v>Chris</v>
      </c>
    </row>
    <row r="28">
      <c r="A28" s="86" t="s">
        <v>405</v>
      </c>
      <c r="B28" s="87" t="s">
        <v>54</v>
      </c>
      <c r="C28" s="87" t="str">
        <f>vlookup(A28,'Wins by Team'!A:C,3,false)</f>
        <v>Kyle</v>
      </c>
      <c r="D28" s="94" t="str">
        <f t="shared" si="2"/>
        <v>BYE, GAME NOT STARTED, OR NO STATS YET24</v>
      </c>
      <c r="E28" s="87" t="str">
        <f>if(MAXIFS('Player Stats - Current Week'!F:F,'Player Stats - Current Week'!C:C,B28,'Player Stats - Current Week'!D:D,"QB")=0,"BYE, GAME NOT STARTED, OR NO STATS YET",iferror(MAXIFS('Player Stats - Current Week'!F:F,,'Player Stats - Current Week'!C:C,B28,'Player Stats - Current Week'!D:D,"QB"),""))</f>
        <v>BYE, GAME NOT STARTED, OR NO STATS YET</v>
      </c>
      <c r="F28" s="94" t="str">
        <f t="shared" si="9"/>
        <v>BYE OR GAME NOT STARTED24</v>
      </c>
      <c r="G28" s="87" t="str">
        <f>if(iferror(vlookup(CONCATENATE("Week 2",B28),'Raw With Formulas'!J:M,3,false),iferror(vlookup(CONCATENATE("Week 2",B28),'Raw With Formulas'!K:M,3,false),"BYE OR GAME NOT STARTED")) = "", "BYE OR GAME NOT STARTED", iferror(vlookup(CONCATENATE("Week 2",B28),'Raw With Formulas'!J:M,3,false),iferror(vlookup(CONCATENATE("Week 2",B28),'Raw With Formulas'!K:M,3,false),"BYE OR GAME NOT STARTED")))</f>
        <v>BYE OR GAME NOT STARTED</v>
      </c>
      <c r="H28" s="94" t="str">
        <f t="shared" si="10"/>
        <v>BYE, GAME NOT STARTED, OR NO STATS YET24</v>
      </c>
      <c r="I28" s="87" t="str">
        <f>iferror(
if(
sumifs(
#REF!,
'Player Stats - Current Week'!C:C,
iferror(
vlookup(
CONCATENATE("Week 3",B28), 
'Raw With Formulas'!J:N,
2,false
),
vlookup(CONCATENATE("Week 3",B28), 'Raw With Formulas'!K:N,4,false))) 
= 0,
"BYE, GAME NOT STARTED, OR NO STATS YET",
iferror(
sumifs(
#REF!,
'Player Stats - Current Week'!C:C,
iferror(
vlookup(
CONCATENATE("Week 3",B28), 
'Raw With Formulas'!J:N,
2,false
),
vlookup(CONCATENATE("Week 3",B28), 'Raw With Formulas'!K:N,4,false))),
""
)
),
"BYE, GAME NOT STARTED, OR NO STATS YET"
)</f>
        <v>BYE, GAME NOT STARTED, OR NO STATS YET</v>
      </c>
      <c r="J28" s="87" t="s">
        <v>447</v>
      </c>
      <c r="K28" s="87" t="str">
        <f>if(MAXIFS('Player Stats - Current Week'!F:F,'Player Stats - Current Week'!C:C,B28,'Player Stats - Current Week'!D:D,"TE")=0,"BYE, GAME NOT STARTED, OR NO STATS YET",iferror(MAXIFS('Player Stats - Current Week'!F:F,'Player Stats - Current Week'!C:C,B28,'Player Stats - Current Week'!D:D,"TE"),""))</f>
        <v>BYE, GAME NOT STARTED, OR NO STATS YET</v>
      </c>
      <c r="L28" s="87" t="s">
        <v>447</v>
      </c>
      <c r="M28" s="87" t="str">
        <f>if(MAXIFS('Player Stats - Current Week'!Q:Q,'Player Stats - Current Week'!C:C,B28,'Player Stats - Current Week'!D:D,"WR")=0,"BYE, GAME NOT STARTED, OR NO STATS YET",iferror(MAXIFS('Player Stats - Current Week'!Q:Q,'Player Stats - Current Week'!C:C,B28,'Player Stats - Current Week'!D:D,"WR"),""))</f>
        <v>BYE, GAME NOT STARTED, OR NO STATS YET</v>
      </c>
      <c r="N28" s="87" t="s">
        <v>447</v>
      </c>
      <c r="O28" s="87" t="str">
        <f>if((SUMIFS('Player Stats - Current Week'!L:L,'Player Stats - Current Week'!C:C,B28)+SUMIFS('Player Stats - Current Week'!R:R,'Player Stats - Current Week'!C:C,B28))=0,"BYE, GAME NOT STARTED, OR NO STATS YET",((SUMIFS('Player Stats - Current Week'!R:R,'Player Stats - Current Week'!C:C,B28)*6)+SUMIFS('Player Stats - Current Week'!L:L,'Player Stats - Current Week'!C:C,B28)))</f>
        <v>BYE, GAME NOT STARTED, OR NO STATS YET</v>
      </c>
      <c r="P28" s="87" t="s">
        <v>447</v>
      </c>
      <c r="Q28" s="87" t="str">
        <f>if((SUMIFS('Player Stats - Current Week'!G:G,'Player Stats - Current Week'!C:C,B28,'Player Stats - Current Week'!D:D,"RB")+SUMIFS('Player Stats - Current Week'!E:E,'Player Stats - Current Week'!C:C,B28,'Player Stats - Current Week'!D:D,"RB"))=0,"BYE, GAME NOT STARTED, OR NO STATS YET",((SUMIFS('Player Stats - Current Week'!G:G,'Player Stats - Current Week'!C:C,B28,'Player Stats - Current Week'!D:D,"RB")*6)+SUMIFS('Player Stats - Current Week'!E:E,'Player Stats - Current Week'!C:C,B28,'Player Stats - Current Week'!D:D,"RB")))</f>
        <v>BYE, GAME NOT STARTED, OR NO STATS YET</v>
      </c>
      <c r="R28" s="87" t="s">
        <v>447</v>
      </c>
      <c r="S28" s="87" t="str">
        <f>if(MAXIFS('Player Stats - Current Week'!L:L,'Player Stats - Current Week'!C:C,B28,'Player Stats - Current Week'!D:D,"PK")=0,"BYE, GAME NOT STARTED, OR NO STATS YET",iferror(MAXIFS('Player Stats - Current Week'!L:L,'Player Stats - Current Week'!C:C,B28,'Player Stats - Current Week'!D:D,"PK"),""))</f>
        <v>BYE, GAME NOT STARTED, OR NO STATS YET</v>
      </c>
      <c r="T28" s="87" t="s">
        <v>447</v>
      </c>
      <c r="U28" s="87" t="str">
        <f>if(MAXIFS('Player Stats - Current Week'!N:N,'Player Stats - Current Week'!C:C,B28,'Player Stats - Current Week'!D:D,"QB")=0,"BYE, GAME NOT STARTED, OR NO STATS YET",iferror(MAXIFS('Player Stats - Current Week'!N:N,'Player Stats - Current Week'!C:C,B28,'Player Stats - Current Week'!D:D,"QB"),""))</f>
        <v>BYE, GAME NOT STARTED, OR NO STATS YET</v>
      </c>
      <c r="V28" s="87" t="s">
        <v>447</v>
      </c>
      <c r="W28" s="87" t="str">
        <f>if(SUMIFS('Player Stats - Current Week'!O:O,'Player Stats - Current Week'!C:C,B28)=0,"BYE, GAME NOT STARTED, OR NO STATS YET",iferror(SUMIFS('Player Stats - Current Week'!O:O,'Player Stats - Current Week'!C:C,B28),""))</f>
        <v>BYE, GAME NOT STARTED, OR NO STATS YET</v>
      </c>
      <c r="X28" s="87" t="s">
        <v>447</v>
      </c>
      <c r="Y28" s="87" t="str">
        <f>if(MAXIFS('Player Stats - Current Week'!Q:Q,'Player Stats - Current Week'!C:C,B28,'Player Stats - Current Week'!D:D,"TE")=0,"BYE, GAME NOT STARTED, OR NO STATS YET",iferror(MAXIFS('Player Stats - Current Week'!Q:Q,'Player Stats - Current Week'!C:C,B28,'Player Stats - Current Week'!D:D,"TE"),""))</f>
        <v>BYE, GAME NOT STARTED, OR NO STATS YET</v>
      </c>
      <c r="Z28" s="87" t="s">
        <v>447</v>
      </c>
      <c r="AA28" s="87" t="str">
        <f>if(MAXIFS('Player Stats - Current Week'!S:S,'Player Stats - Current Week'!C:C,B28)=0,"BYE, GAME NOT STARTED, OR NO STATS YET",iferror(MAXIFS('Player Stats - Current Week'!S:S,'Player Stats - Current Week'!C:C,B28),""))</f>
        <v>BYE, GAME NOT STARTED, OR NO STATS YET</v>
      </c>
      <c r="AB28" s="87" t="s">
        <v>447</v>
      </c>
      <c r="AC28" s="87" t="str">
        <f>if(MAXIFS('Player Stats - Current Week'!G:G,'Player Stats - Current Week'!C:C,B28,'Player Stats - Current Week'!D:D,"QB")=0,"BYE, GAME NOT STARTED, OR NO STATS YET",iferror(MAXIFS('Player Stats - Current Week'!G:G,'Player Stats - Current Week'!C:C,B28,'Player Stats - Current Week'!D:D,"QB"),""))</f>
        <v>BYE, GAME NOT STARTED, OR NO STATS YET</v>
      </c>
      <c r="AD28" s="94" t="str">
        <f t="shared" si="11"/>
        <v>BYE OR GAME NOT STARTED24</v>
      </c>
      <c r="AE28" s="98" t="str">
        <f>if(iferror(vlookup(CONCATENATE("Week 14",B28),'Raw With Formulas'!J:M,4,false),iferror(vlookup(CONCATENATE("Week 14",B28),'Raw With Formulas'!K:M,2,false),"BYE OR GAME NOT STARTED"))="","BYE OR GAME NOT STARTED",iferror(vlookup(CONCATENATE("Week 14",B28),'Raw With Formulas'!J:M,4,false),iferror(vlookup(CONCATENATE("Week 14",B28),'Raw With Formulas'!K:M,2,false),"BYE OR GAME NOT STARTED")))</f>
        <v>BYE OR GAME NOT STARTED</v>
      </c>
      <c r="AF28" s="94" t="str">
        <f t="shared" si="12"/>
        <v>BYE, GAME NOT STARTED, OR NO STATS YET24</v>
      </c>
      <c r="AG28" s="87" t="str">
        <f>if(MAXIFS('Player Stats - Current Week'!Q:Q,'Player Stats - Current Week'!C:C,B28,'Player Stats - Current Week'!D:D,"QB")=0,"BYE, GAME NOT STARTED, OR NO STATS YET",iferror(MAXIFS('Player Stats - Current Week'!Q:Q,'Player Stats - Current Week'!C:C,B28,'Player Stats - Current Week'!D:D,"QB"),""))</f>
        <v>BYE, GAME NOT STARTED, OR NO STATS YET</v>
      </c>
      <c r="AH28" s="94" t="str">
        <f t="shared" si="13"/>
        <v>BYE OR GAME NOT STARTED26</v>
      </c>
      <c r="AI28" s="94" t="str">
        <f>if(iferror(vlookup(CONCATENATE("Week 16",B28),'Raw With Formulas'!J:M,3,false),iferror(vlookup(CONCATENATE("Week 16",B28),'Raw With Formulas'!K:M,3,false),"BYE OR GAME NOT STARTED"))="","BYE OR GAME NOT STARTED",iferror(vlookup(CONCATENATE("Week 16",B28),'Raw With Formulas'!J:M,3,false),iferror(vlookup(CONCATENATE("Week 16",B28),'Raw With Formulas'!K:M,3,false),"BYE OR GAME NOT STARTED")))</f>
        <v>BYE OR GAME NOT STARTED</v>
      </c>
      <c r="AJ28" s="94" t="str">
        <f t="shared" si="14"/>
        <v>BYE, GAME NOT STARTED, OR NO STATS YET24</v>
      </c>
      <c r="AK28" s="87" t="str">
        <f>if(MAXIFS('Player Stats - Current Week'!F:F,'Player Stats - Current Week'!C:C,B28,'Player Stats - Current Week'!D:D,"WR")=0,"BYE, GAME NOT STARTED, OR NO STATS YET",iferror(MAXIFS('Player Stats - Current Week'!F:F,'Player Stats - Current Week'!C:C,B28,'Player Stats - Current Week'!D:D,"WR"),""))</f>
        <v>BYE, GAME NOT STARTED, OR NO STATS YET</v>
      </c>
      <c r="AL28" s="87" t="s">
        <v>447</v>
      </c>
      <c r="AM28" s="87" t="str">
        <f>if(MAXIFS('Player Stats - Current Week'!Q:Q,'Player Stats - Current Week'!C:C,B28,'Player Stats - Current Week'!D:D,"RB")=0,"BYE, GAME NOT STARTED, OR NO STATS YET",iferror(MAXIFS('Player Stats - Current Week'!Q:Q,'Player Stats - Current Week'!C:C,B28,'Player Stats - Current Week'!D:D,"RB"),""))</f>
        <v>BYE, GAME NOT STARTED, OR NO STATS YET</v>
      </c>
      <c r="AN28" s="92" t="str">
        <f t="shared" si="1"/>
        <v>Kyle</v>
      </c>
    </row>
    <row r="29">
      <c r="A29" s="89" t="s">
        <v>406</v>
      </c>
      <c r="B29" s="90" t="s">
        <v>28</v>
      </c>
      <c r="C29" s="90" t="str">
        <f>vlookup(A29,'Wins by Team'!A:C,3,false)</f>
        <v>Jim</v>
      </c>
      <c r="D29" s="101" t="str">
        <f t="shared" si="2"/>
        <v>BYE, GAME NOT STARTED, OR NO STATS YET25</v>
      </c>
      <c r="E29" s="90" t="str">
        <f>if(MAXIFS('Player Stats - Current Week'!F:F,'Player Stats - Current Week'!C:C,B29,'Player Stats - Current Week'!D:D,"QB")=0,"BYE, GAME NOT STARTED, OR NO STATS YET",iferror(MAXIFS('Player Stats - Current Week'!F:F,,'Player Stats - Current Week'!C:C,B29,'Player Stats - Current Week'!D:D,"QB"),""))</f>
        <v>BYE, GAME NOT STARTED, OR NO STATS YET</v>
      </c>
      <c r="F29" s="101" t="str">
        <f t="shared" si="9"/>
        <v>BYE OR GAME NOT STARTED25</v>
      </c>
      <c r="G29" s="90" t="str">
        <f>if(iferror(vlookup(CONCATENATE("Week 2",B29),'Raw With Formulas'!J:M,3,false),iferror(vlookup(CONCATENATE("Week 2",B29),'Raw With Formulas'!K:M,3,false),"BYE OR GAME NOT STARTED")) = "", "BYE OR GAME NOT STARTED", iferror(vlookup(CONCATENATE("Week 2",B29),'Raw With Formulas'!J:M,3,false),iferror(vlookup(CONCATENATE("Week 2",B29),'Raw With Formulas'!K:M,3,false),"BYE OR GAME NOT STARTED")))</f>
        <v>BYE OR GAME NOT STARTED</v>
      </c>
      <c r="H29" s="101" t="str">
        <f t="shared" si="10"/>
        <v>BYE, GAME NOT STARTED, OR NO STATS YET25</v>
      </c>
      <c r="I29" s="90" t="str">
        <f>iferror(
if(
sumifs(
#REF!,
'Player Stats - Current Week'!C:C,
iferror(
vlookup(
CONCATENATE("Week 3",B29), 
'Raw With Formulas'!J:N,
2,false
),
vlookup(CONCATENATE("Week 3",B29), 'Raw With Formulas'!K:N,4,false))) 
= 0,
"BYE, GAME NOT STARTED, OR NO STATS YET",
iferror(
sumifs(
#REF!,
'Player Stats - Current Week'!C:C,
iferror(
vlookup(
CONCATENATE("Week 3",B29), 
'Raw With Formulas'!J:N,
2,false
),
vlookup(CONCATENATE("Week 3",B29), 'Raw With Formulas'!K:N,4,false))),
""
)
),
"BYE, GAME NOT STARTED, OR NO STATS YET"
)</f>
        <v>BYE, GAME NOT STARTED, OR NO STATS YET</v>
      </c>
      <c r="J29" s="90" t="s">
        <v>447</v>
      </c>
      <c r="K29" s="90" t="str">
        <f>if(MAXIFS('Player Stats - Current Week'!F:F,'Player Stats - Current Week'!C:C,B29,'Player Stats - Current Week'!D:D,"TE")=0,"BYE, GAME NOT STARTED, OR NO STATS YET",iferror(MAXIFS('Player Stats - Current Week'!F:F,'Player Stats - Current Week'!C:C,B29,'Player Stats - Current Week'!D:D,"TE"),""))</f>
        <v>BYE, GAME NOT STARTED, OR NO STATS YET</v>
      </c>
      <c r="L29" s="90" t="s">
        <v>447</v>
      </c>
      <c r="M29" s="90" t="str">
        <f>if(MAXIFS('Player Stats - Current Week'!Q:Q,'Player Stats - Current Week'!C:C,B29,'Player Stats - Current Week'!D:D,"WR")=0,"BYE, GAME NOT STARTED, OR NO STATS YET",iferror(MAXIFS('Player Stats - Current Week'!Q:Q,'Player Stats - Current Week'!C:C,B29,'Player Stats - Current Week'!D:D,"WR"),""))</f>
        <v>BYE, GAME NOT STARTED, OR NO STATS YET</v>
      </c>
      <c r="N29" s="90" t="s">
        <v>447</v>
      </c>
      <c r="O29" s="90" t="str">
        <f>if((SUMIFS('Player Stats - Current Week'!L:L,'Player Stats - Current Week'!C:C,B29)+SUMIFS('Player Stats - Current Week'!R:R,'Player Stats - Current Week'!C:C,B29))=0,"BYE, GAME NOT STARTED, OR NO STATS YET",((SUMIFS('Player Stats - Current Week'!R:R,'Player Stats - Current Week'!C:C,B29)*6)+SUMIFS('Player Stats - Current Week'!L:L,'Player Stats - Current Week'!C:C,B29)))</f>
        <v>BYE, GAME NOT STARTED, OR NO STATS YET</v>
      </c>
      <c r="P29" s="90" t="s">
        <v>447</v>
      </c>
      <c r="Q29" s="90" t="str">
        <f>if((SUMIFS('Player Stats - Current Week'!G:G,'Player Stats - Current Week'!C:C,B29,'Player Stats - Current Week'!D:D,"RB")+SUMIFS('Player Stats - Current Week'!E:E,'Player Stats - Current Week'!C:C,B29,'Player Stats - Current Week'!D:D,"RB"))=0,"BYE, GAME NOT STARTED, OR NO STATS YET",((SUMIFS('Player Stats - Current Week'!G:G,'Player Stats - Current Week'!C:C,B29,'Player Stats - Current Week'!D:D,"RB")*6)+SUMIFS('Player Stats - Current Week'!E:E,'Player Stats - Current Week'!C:C,B29,'Player Stats - Current Week'!D:D,"RB")))</f>
        <v>BYE, GAME NOT STARTED, OR NO STATS YET</v>
      </c>
      <c r="R29" s="90" t="s">
        <v>447</v>
      </c>
      <c r="S29" s="90" t="str">
        <f>if(MAXIFS('Player Stats - Current Week'!L:L,'Player Stats - Current Week'!C:C,B29,'Player Stats - Current Week'!D:D,"PK")=0,"BYE, GAME NOT STARTED, OR NO STATS YET",iferror(MAXIFS('Player Stats - Current Week'!L:L,'Player Stats - Current Week'!C:C,B29,'Player Stats - Current Week'!D:D,"PK"),""))</f>
        <v>BYE, GAME NOT STARTED, OR NO STATS YET</v>
      </c>
      <c r="T29" s="90" t="s">
        <v>447</v>
      </c>
      <c r="U29" s="90" t="str">
        <f>if(MAXIFS('Player Stats - Current Week'!N:N,'Player Stats - Current Week'!C:C,B29,'Player Stats - Current Week'!D:D,"QB")=0,"BYE, GAME NOT STARTED, OR NO STATS YET",iferror(MAXIFS('Player Stats - Current Week'!N:N,'Player Stats - Current Week'!C:C,B29,'Player Stats - Current Week'!D:D,"QB"),""))</f>
        <v>BYE, GAME NOT STARTED, OR NO STATS YET</v>
      </c>
      <c r="V29" s="90" t="s">
        <v>447</v>
      </c>
      <c r="W29" s="90" t="str">
        <f>if(SUMIFS('Player Stats - Current Week'!O:O,'Player Stats - Current Week'!C:C,B29)=0,"BYE, GAME NOT STARTED, OR NO STATS YET",iferror(SUMIFS('Player Stats - Current Week'!O:O,'Player Stats - Current Week'!C:C,B29),""))</f>
        <v>BYE, GAME NOT STARTED, OR NO STATS YET</v>
      </c>
      <c r="X29" s="90" t="s">
        <v>447</v>
      </c>
      <c r="Y29" s="90" t="str">
        <f>if(MAXIFS('Player Stats - Current Week'!Q:Q,'Player Stats - Current Week'!C:C,B29,'Player Stats - Current Week'!D:D,"TE")=0,"BYE, GAME NOT STARTED, OR NO STATS YET",iferror(MAXIFS('Player Stats - Current Week'!Q:Q,'Player Stats - Current Week'!C:C,B29,'Player Stats - Current Week'!D:D,"TE"),""))</f>
        <v>BYE, GAME NOT STARTED, OR NO STATS YET</v>
      </c>
      <c r="Z29" s="90" t="s">
        <v>447</v>
      </c>
      <c r="AA29" s="90" t="str">
        <f>if(MAXIFS('Player Stats - Current Week'!S:S,'Player Stats - Current Week'!C:C,B29)=0,"BYE, GAME NOT STARTED, OR NO STATS YET",iferror(MAXIFS('Player Stats - Current Week'!S:S,'Player Stats - Current Week'!C:C,B29),""))</f>
        <v>BYE, GAME NOT STARTED, OR NO STATS YET</v>
      </c>
      <c r="AB29" s="90" t="s">
        <v>447</v>
      </c>
      <c r="AC29" s="90" t="str">
        <f>if(MAXIFS('Player Stats - Current Week'!G:G,'Player Stats - Current Week'!C:C,B29,'Player Stats - Current Week'!D:D,"QB")=0,"BYE, GAME NOT STARTED, OR NO STATS YET",iferror(MAXIFS('Player Stats - Current Week'!G:G,'Player Stats - Current Week'!C:C,B29,'Player Stats - Current Week'!D:D,"QB"),""))</f>
        <v>BYE, GAME NOT STARTED, OR NO STATS YET</v>
      </c>
      <c r="AD29" s="101" t="str">
        <f t="shared" si="11"/>
        <v>BYE OR GAME NOT STARTED25</v>
      </c>
      <c r="AE29" s="99" t="str">
        <f>if(iferror(vlookup(CONCATENATE("Week 14",B29),'Raw With Formulas'!J:M,4,false),iferror(vlookup(CONCATENATE("Week 14",B29),'Raw With Formulas'!K:M,2,false),"BYE OR GAME NOT STARTED"))="","BYE OR GAME NOT STARTED",iferror(vlookup(CONCATENATE("Week 14",B29),'Raw With Formulas'!J:M,4,false),iferror(vlookup(CONCATENATE("Week 14",B29),'Raw With Formulas'!K:M,2,false),"BYE OR GAME NOT STARTED")))</f>
        <v>BYE OR GAME NOT STARTED</v>
      </c>
      <c r="AF29" s="101" t="str">
        <f t="shared" si="12"/>
        <v>BYE, GAME NOT STARTED, OR NO STATS YET25</v>
      </c>
      <c r="AG29" s="90" t="str">
        <f>if(MAXIFS('Player Stats - Current Week'!Q:Q,'Player Stats - Current Week'!C:C,B29,'Player Stats - Current Week'!D:D,"QB")=0,"BYE, GAME NOT STARTED, OR NO STATS YET",iferror(MAXIFS('Player Stats - Current Week'!Q:Q,'Player Stats - Current Week'!C:C,B29,'Player Stats - Current Week'!D:D,"QB"),""))</f>
        <v>BYE, GAME NOT STARTED, OR NO STATS YET</v>
      </c>
      <c r="AH29" s="101" t="str">
        <f t="shared" si="13"/>
        <v>BYE OR GAME NOT STARTED27</v>
      </c>
      <c r="AI29" s="101" t="str">
        <f>if(iferror(vlookup(CONCATENATE("Week 16",B29),'Raw With Formulas'!J:M,3,false),iferror(vlookup(CONCATENATE("Week 16",B29),'Raw With Formulas'!K:M,3,false),"BYE OR GAME NOT STARTED"))="","BYE OR GAME NOT STARTED",iferror(vlookup(CONCATENATE("Week 16",B29),'Raw With Formulas'!J:M,3,false),iferror(vlookup(CONCATENATE("Week 16",B29),'Raw With Formulas'!K:M,3,false),"BYE OR GAME NOT STARTED")))</f>
        <v>BYE OR GAME NOT STARTED</v>
      </c>
      <c r="AJ29" s="101" t="str">
        <f t="shared" si="14"/>
        <v>BYE, GAME NOT STARTED, OR NO STATS YET25</v>
      </c>
      <c r="AK29" s="90" t="str">
        <f>if(MAXIFS('Player Stats - Current Week'!F:F,'Player Stats - Current Week'!C:C,B29,'Player Stats - Current Week'!D:D,"WR")=0,"BYE, GAME NOT STARTED, OR NO STATS YET",iferror(MAXIFS('Player Stats - Current Week'!F:F,'Player Stats - Current Week'!C:C,B29,'Player Stats - Current Week'!D:D,"WR"),""))</f>
        <v>BYE, GAME NOT STARTED, OR NO STATS YET</v>
      </c>
      <c r="AL29" s="90" t="s">
        <v>447</v>
      </c>
      <c r="AM29" s="90" t="str">
        <f>if(MAXIFS('Player Stats - Current Week'!Q:Q,'Player Stats - Current Week'!C:C,B29,'Player Stats - Current Week'!D:D,"RB")=0,"BYE, GAME NOT STARTED, OR NO STATS YET",iferror(MAXIFS('Player Stats - Current Week'!Q:Q,'Player Stats - Current Week'!C:C,B29,'Player Stats - Current Week'!D:D,"RB"),""))</f>
        <v>BYE, GAME NOT STARTED, OR NO STATS YET</v>
      </c>
      <c r="AN29" s="102" t="str">
        <f t="shared" si="1"/>
        <v>Jim</v>
      </c>
    </row>
    <row r="30">
      <c r="A30" s="86" t="s">
        <v>19</v>
      </c>
      <c r="B30" s="87" t="s">
        <v>19</v>
      </c>
      <c r="C30" s="87" t="str">
        <f>vlookup(A30,'Wins by Team'!A:C,3,false)</f>
        <v>Steve|Sutter</v>
      </c>
      <c r="D30" s="94" t="str">
        <f t="shared" si="2"/>
        <v>BYE, GAME NOT STARTED, OR NO STATS YET26</v>
      </c>
      <c r="E30" s="87" t="str">
        <f>if(MAXIFS('Player Stats - Current Week'!F:F,'Player Stats - Current Week'!C:C,B30,'Player Stats - Current Week'!D:D,"QB")=0,"BYE, GAME NOT STARTED, OR NO STATS YET",iferror(MAXIFS('Player Stats - Current Week'!F:F,,'Player Stats - Current Week'!C:C,B30,'Player Stats - Current Week'!D:D,"QB"),""))</f>
        <v>BYE, GAME NOT STARTED, OR NO STATS YET</v>
      </c>
      <c r="F30" s="94" t="str">
        <f t="shared" si="9"/>
        <v>BYE OR GAME NOT STARTED26</v>
      </c>
      <c r="G30" s="87" t="str">
        <f>if(iferror(vlookup(CONCATENATE("Week 2",B30),'Raw With Formulas'!J:M,3,false),iferror(vlookup(CONCATENATE("Week 2",B30),'Raw With Formulas'!K:M,3,false),"BYE OR GAME NOT STARTED")) = "", "BYE OR GAME NOT STARTED", iferror(vlookup(CONCATENATE("Week 2",B30),'Raw With Formulas'!J:M,3,false),iferror(vlookup(CONCATENATE("Week 2",B30),'Raw With Formulas'!K:M,3,false),"BYE OR GAME NOT STARTED")))</f>
        <v>BYE OR GAME NOT STARTED</v>
      </c>
      <c r="H30" s="94" t="str">
        <f t="shared" si="10"/>
        <v>BYE, GAME NOT STARTED, OR NO STATS YET26</v>
      </c>
      <c r="I30" s="87" t="str">
        <f>iferror(
if(
sumifs(
#REF!,
'Player Stats - Current Week'!C:C,
iferror(
vlookup(
CONCATENATE("Week 3",B30), 
'Raw With Formulas'!J:N,
2,false
),
vlookup(CONCATENATE("Week 3",B30), 'Raw With Formulas'!K:N,4,false))) 
= 0,
"BYE, GAME NOT STARTED, OR NO STATS YET",
iferror(
sumifs(
#REF!,
'Player Stats - Current Week'!C:C,
iferror(
vlookup(
CONCATENATE("Week 3",B30), 
'Raw With Formulas'!J:N,
2,false
),
vlookup(CONCATENATE("Week 3",B30), 'Raw With Formulas'!K:N,4,false))),
""
)
),
"BYE, GAME NOT STARTED, OR NO STATS YET"
)</f>
        <v>BYE, GAME NOT STARTED, OR NO STATS YET</v>
      </c>
      <c r="J30" s="87" t="s">
        <v>447</v>
      </c>
      <c r="K30" s="87" t="str">
        <f>if(MAXIFS('Player Stats - Current Week'!F:F,'Player Stats - Current Week'!C:C,B30,'Player Stats - Current Week'!D:D,"TE")=0,"BYE, GAME NOT STARTED, OR NO STATS YET",iferror(MAXIFS('Player Stats - Current Week'!F:F,'Player Stats - Current Week'!C:C,B30,'Player Stats - Current Week'!D:D,"TE"),""))</f>
        <v>BYE, GAME NOT STARTED, OR NO STATS YET</v>
      </c>
      <c r="L30" s="87" t="s">
        <v>447</v>
      </c>
      <c r="M30" s="87" t="str">
        <f>if(MAXIFS('Player Stats - Current Week'!Q:Q,'Player Stats - Current Week'!C:C,B30,'Player Stats - Current Week'!D:D,"WR")=0,"BYE, GAME NOT STARTED, OR NO STATS YET",iferror(MAXIFS('Player Stats - Current Week'!Q:Q,'Player Stats - Current Week'!C:C,B30,'Player Stats - Current Week'!D:D,"WR"),""))</f>
        <v>BYE, GAME NOT STARTED, OR NO STATS YET</v>
      </c>
      <c r="N30" s="87" t="s">
        <v>447</v>
      </c>
      <c r="O30" s="87" t="str">
        <f>if((SUMIFS('Player Stats - Current Week'!L:L,'Player Stats - Current Week'!C:C,B30)+SUMIFS('Player Stats - Current Week'!R:R,'Player Stats - Current Week'!C:C,B30))=0,"BYE, GAME NOT STARTED, OR NO STATS YET",((SUMIFS('Player Stats - Current Week'!R:R,'Player Stats - Current Week'!C:C,B30)*6)+SUMIFS('Player Stats - Current Week'!L:L,'Player Stats - Current Week'!C:C,B30)))</f>
        <v>BYE, GAME NOT STARTED, OR NO STATS YET</v>
      </c>
      <c r="P30" s="87" t="s">
        <v>447</v>
      </c>
      <c r="Q30" s="87" t="str">
        <f>if((SUMIFS('Player Stats - Current Week'!G:G,'Player Stats - Current Week'!C:C,B30,'Player Stats - Current Week'!D:D,"RB")+SUMIFS('Player Stats - Current Week'!E:E,'Player Stats - Current Week'!C:C,B30,'Player Stats - Current Week'!D:D,"RB"))=0,"BYE, GAME NOT STARTED, OR NO STATS YET",((SUMIFS('Player Stats - Current Week'!G:G,'Player Stats - Current Week'!C:C,B30,'Player Stats - Current Week'!D:D,"RB")*6)+SUMIFS('Player Stats - Current Week'!E:E,'Player Stats - Current Week'!C:C,B30,'Player Stats - Current Week'!D:D,"RB")))</f>
        <v>BYE, GAME NOT STARTED, OR NO STATS YET</v>
      </c>
      <c r="R30" s="87" t="s">
        <v>447</v>
      </c>
      <c r="S30" s="87" t="str">
        <f>if(MAXIFS('Player Stats - Current Week'!L:L,'Player Stats - Current Week'!C:C,B30,'Player Stats - Current Week'!D:D,"PK")=0,"BYE, GAME NOT STARTED, OR NO STATS YET",iferror(MAXIFS('Player Stats - Current Week'!L:L,'Player Stats - Current Week'!C:C,B30,'Player Stats - Current Week'!D:D,"PK"),""))</f>
        <v>BYE, GAME NOT STARTED, OR NO STATS YET</v>
      </c>
      <c r="T30" s="87" t="s">
        <v>447</v>
      </c>
      <c r="U30" s="87" t="str">
        <f>if(MAXIFS('Player Stats - Current Week'!N:N,'Player Stats - Current Week'!C:C,B30,'Player Stats - Current Week'!D:D,"QB")=0,"BYE, GAME NOT STARTED, OR NO STATS YET",iferror(MAXIFS('Player Stats - Current Week'!N:N,'Player Stats - Current Week'!C:C,B30,'Player Stats - Current Week'!D:D,"QB"),""))</f>
        <v>BYE, GAME NOT STARTED, OR NO STATS YET</v>
      </c>
      <c r="V30" s="87" t="s">
        <v>447</v>
      </c>
      <c r="W30" s="87" t="str">
        <f>if(SUMIFS('Player Stats - Current Week'!O:O,'Player Stats - Current Week'!C:C,B30)=0,"BYE, GAME NOT STARTED, OR NO STATS YET",iferror(SUMIFS('Player Stats - Current Week'!O:O,'Player Stats - Current Week'!C:C,B30),""))</f>
        <v>BYE, GAME NOT STARTED, OR NO STATS YET</v>
      </c>
      <c r="X30" s="87" t="s">
        <v>447</v>
      </c>
      <c r="Y30" s="87" t="str">
        <f>if(MAXIFS('Player Stats - Current Week'!Q:Q,'Player Stats - Current Week'!C:C,B30,'Player Stats - Current Week'!D:D,"TE")=0,"BYE, GAME NOT STARTED, OR NO STATS YET",iferror(MAXIFS('Player Stats - Current Week'!Q:Q,'Player Stats - Current Week'!C:C,B30,'Player Stats - Current Week'!D:D,"TE"),""))</f>
        <v>BYE, GAME NOT STARTED, OR NO STATS YET</v>
      </c>
      <c r="Z30" s="87" t="s">
        <v>447</v>
      </c>
      <c r="AA30" s="87" t="str">
        <f>if(MAXIFS('Player Stats - Current Week'!S:S,'Player Stats - Current Week'!C:C,B30)=0,"BYE, GAME NOT STARTED, OR NO STATS YET",iferror(MAXIFS('Player Stats - Current Week'!S:S,'Player Stats - Current Week'!C:C,B30),""))</f>
        <v>BYE, GAME NOT STARTED, OR NO STATS YET</v>
      </c>
      <c r="AB30" s="87" t="s">
        <v>447</v>
      </c>
      <c r="AC30" s="87" t="str">
        <f>if(MAXIFS('Player Stats - Current Week'!G:G,'Player Stats - Current Week'!C:C,B30,'Player Stats - Current Week'!D:D,"QB")=0,"BYE, GAME NOT STARTED, OR NO STATS YET",iferror(MAXIFS('Player Stats - Current Week'!G:G,'Player Stats - Current Week'!C:C,B30,'Player Stats - Current Week'!D:D,"QB"),""))</f>
        <v>BYE, GAME NOT STARTED, OR NO STATS YET</v>
      </c>
      <c r="AD30" s="94" t="str">
        <f t="shared" si="11"/>
        <v>BYE OR GAME NOT STARTED26</v>
      </c>
      <c r="AE30" s="98" t="str">
        <f>if(iferror(vlookup(CONCATENATE("Week 14",B30),'Raw With Formulas'!J:M,4,false),iferror(vlookup(CONCATENATE("Week 14",B30),'Raw With Formulas'!K:M,2,false),"BYE OR GAME NOT STARTED"))="","BYE OR GAME NOT STARTED",iferror(vlookup(CONCATENATE("Week 14",B30),'Raw With Formulas'!J:M,4,false),iferror(vlookup(CONCATENATE("Week 14",B30),'Raw With Formulas'!K:M,2,false),"BYE OR GAME NOT STARTED")))</f>
        <v>BYE OR GAME NOT STARTED</v>
      </c>
      <c r="AF30" s="94" t="str">
        <f t="shared" si="12"/>
        <v>BYE, GAME NOT STARTED, OR NO STATS YET26</v>
      </c>
      <c r="AG30" s="87" t="str">
        <f>if(MAXIFS('Player Stats - Current Week'!Q:Q,'Player Stats - Current Week'!C:C,B30,'Player Stats - Current Week'!D:D,"QB")=0,"BYE, GAME NOT STARTED, OR NO STATS YET",iferror(MAXIFS('Player Stats - Current Week'!Q:Q,'Player Stats - Current Week'!C:C,B30,'Player Stats - Current Week'!D:D,"QB"),""))</f>
        <v>BYE, GAME NOT STARTED, OR NO STATS YET</v>
      </c>
      <c r="AH30" s="94" t="str">
        <f t="shared" si="13"/>
        <v>BYE OR GAME NOT STARTED28</v>
      </c>
      <c r="AI30" s="94" t="str">
        <f>if(iferror(vlookup(CONCATENATE("Week 16",B30),'Raw With Formulas'!J:M,3,false),iferror(vlookup(CONCATENATE("Week 16",B30),'Raw With Formulas'!K:M,3,false),"BYE OR GAME NOT STARTED"))="","BYE OR GAME NOT STARTED",iferror(vlookup(CONCATENATE("Week 16",B30),'Raw With Formulas'!J:M,3,false),iferror(vlookup(CONCATENATE("Week 16",B30),'Raw With Formulas'!K:M,3,false),"BYE OR GAME NOT STARTED")))</f>
        <v>BYE OR GAME NOT STARTED</v>
      </c>
      <c r="AJ30" s="94" t="str">
        <f t="shared" si="14"/>
        <v>BYE, GAME NOT STARTED, OR NO STATS YET26</v>
      </c>
      <c r="AK30" s="87" t="str">
        <f>if(MAXIFS('Player Stats - Current Week'!F:F,'Player Stats - Current Week'!C:C,B30,'Player Stats - Current Week'!D:D,"WR")=0,"BYE, GAME NOT STARTED, OR NO STATS YET",iferror(MAXIFS('Player Stats - Current Week'!F:F,'Player Stats - Current Week'!C:C,B30,'Player Stats - Current Week'!D:D,"WR"),""))</f>
        <v>BYE, GAME NOT STARTED, OR NO STATS YET</v>
      </c>
      <c r="AL30" s="87" t="s">
        <v>447</v>
      </c>
      <c r="AM30" s="87" t="str">
        <f>if(MAXIFS('Player Stats - Current Week'!Q:Q,'Player Stats - Current Week'!C:C,B30,'Player Stats - Current Week'!D:D,"RB")=0,"BYE, GAME NOT STARTED, OR NO STATS YET",iferror(MAXIFS('Player Stats - Current Week'!Q:Q,'Player Stats - Current Week'!C:C,B30,'Player Stats - Current Week'!D:D,"RB"),""))</f>
        <v>BYE, GAME NOT STARTED, OR NO STATS YET</v>
      </c>
      <c r="AN30" s="92" t="str">
        <f t="shared" si="1"/>
        <v>Steve|Sutter</v>
      </c>
    </row>
    <row r="31">
      <c r="A31" s="89" t="s">
        <v>407</v>
      </c>
      <c r="B31" s="90" t="s">
        <v>9</v>
      </c>
      <c r="C31" s="90" t="str">
        <f>vlookup(A31,'Wins by Team'!A:C,3,false)</f>
        <v>Jim</v>
      </c>
      <c r="D31" s="101" t="str">
        <f t="shared" si="2"/>
        <v>BYE, GAME NOT STARTED, OR NO STATS YET27</v>
      </c>
      <c r="E31" s="90" t="str">
        <f>if(MAXIFS('Player Stats - Current Week'!F:F,'Player Stats - Current Week'!C:C,B31,'Player Stats - Current Week'!D:D,"QB")=0,"BYE, GAME NOT STARTED, OR NO STATS YET",iferror(MAXIFS('Player Stats - Current Week'!F:F,,'Player Stats - Current Week'!C:C,B31,'Player Stats - Current Week'!D:D,"QB"),""))</f>
        <v>BYE, GAME NOT STARTED, OR NO STATS YET</v>
      </c>
      <c r="F31" s="101" t="str">
        <f t="shared" si="9"/>
        <v>BYE OR GAME NOT STARTED27</v>
      </c>
      <c r="G31" s="90" t="str">
        <f>if(iferror(vlookup(CONCATENATE("Week 2",B31),'Raw With Formulas'!J:M,3,false),iferror(vlookup(CONCATENATE("Week 2",B31),'Raw With Formulas'!K:M,3,false),"BYE OR GAME NOT STARTED")) = "", "BYE OR GAME NOT STARTED", iferror(vlookup(CONCATENATE("Week 2",B31),'Raw With Formulas'!J:M,3,false),iferror(vlookup(CONCATENATE("Week 2",B31),'Raw With Formulas'!K:M,3,false),"BYE OR GAME NOT STARTED")))</f>
        <v>BYE OR GAME NOT STARTED</v>
      </c>
      <c r="H31" s="101" t="str">
        <f t="shared" si="10"/>
        <v>BYE, GAME NOT STARTED, OR NO STATS YET27</v>
      </c>
      <c r="I31" s="90" t="str">
        <f>iferror(
if(
sumifs(
#REF!,
'Player Stats - Current Week'!C:C,
iferror(
vlookup(
CONCATENATE("Week 3",B31), 
'Raw With Formulas'!J:N,
2,false
),
vlookup(CONCATENATE("Week 3",B31), 'Raw With Formulas'!K:N,4,false))) 
= 0,
"BYE, GAME NOT STARTED, OR NO STATS YET",
iferror(
sumifs(
#REF!,
'Player Stats - Current Week'!C:C,
iferror(
vlookup(
CONCATENATE("Week 3",B31), 
'Raw With Formulas'!J:N,
2,false
),
vlookup(CONCATENATE("Week 3",B31), 'Raw With Formulas'!K:N,4,false))),
""
)
),
"BYE, GAME NOT STARTED, OR NO STATS YET"
)</f>
        <v>BYE, GAME NOT STARTED, OR NO STATS YET</v>
      </c>
      <c r="J31" s="90" t="s">
        <v>447</v>
      </c>
      <c r="K31" s="90" t="str">
        <f>if(MAXIFS('Player Stats - Current Week'!F:F,'Player Stats - Current Week'!C:C,B31,'Player Stats - Current Week'!D:D,"TE")=0,"BYE, GAME NOT STARTED, OR NO STATS YET",iferror(MAXIFS('Player Stats - Current Week'!F:F,'Player Stats - Current Week'!C:C,B31,'Player Stats - Current Week'!D:D,"TE"),""))</f>
        <v>BYE, GAME NOT STARTED, OR NO STATS YET</v>
      </c>
      <c r="L31" s="90" t="s">
        <v>447</v>
      </c>
      <c r="M31" s="90" t="str">
        <f>if(MAXIFS('Player Stats - Current Week'!Q:Q,'Player Stats - Current Week'!C:C,B31,'Player Stats - Current Week'!D:D,"WR")=0,"BYE, GAME NOT STARTED, OR NO STATS YET",iferror(MAXIFS('Player Stats - Current Week'!Q:Q,'Player Stats - Current Week'!C:C,B31,'Player Stats - Current Week'!D:D,"WR"),""))</f>
        <v>BYE, GAME NOT STARTED, OR NO STATS YET</v>
      </c>
      <c r="N31" s="90" t="s">
        <v>447</v>
      </c>
      <c r="O31" s="90" t="str">
        <f>if((SUMIFS('Player Stats - Current Week'!L:L,'Player Stats - Current Week'!C:C,B31)+SUMIFS('Player Stats - Current Week'!R:R,'Player Stats - Current Week'!C:C,B31))=0,"BYE, GAME NOT STARTED, OR NO STATS YET",((SUMIFS('Player Stats - Current Week'!R:R,'Player Stats - Current Week'!C:C,B31)*6)+SUMIFS('Player Stats - Current Week'!L:L,'Player Stats - Current Week'!C:C,B31)))</f>
        <v>BYE, GAME NOT STARTED, OR NO STATS YET</v>
      </c>
      <c r="P31" s="90" t="s">
        <v>447</v>
      </c>
      <c r="Q31" s="90" t="str">
        <f>if((SUMIFS('Player Stats - Current Week'!G:G,'Player Stats - Current Week'!C:C,B31,'Player Stats - Current Week'!D:D,"RB")+SUMIFS('Player Stats - Current Week'!E:E,'Player Stats - Current Week'!C:C,B31,'Player Stats - Current Week'!D:D,"RB"))=0,"BYE, GAME NOT STARTED, OR NO STATS YET",((SUMIFS('Player Stats - Current Week'!G:G,'Player Stats - Current Week'!C:C,B31,'Player Stats - Current Week'!D:D,"RB")*6)+SUMIFS('Player Stats - Current Week'!E:E,'Player Stats - Current Week'!C:C,B31,'Player Stats - Current Week'!D:D,"RB")))</f>
        <v>BYE, GAME NOT STARTED, OR NO STATS YET</v>
      </c>
      <c r="R31" s="90" t="s">
        <v>447</v>
      </c>
      <c r="S31" s="90" t="str">
        <f>if(MAXIFS('Player Stats - Current Week'!L:L,'Player Stats - Current Week'!C:C,B31,'Player Stats - Current Week'!D:D,"PK")=0,"BYE, GAME NOT STARTED, OR NO STATS YET",iferror(MAXIFS('Player Stats - Current Week'!L:L,'Player Stats - Current Week'!C:C,B31,'Player Stats - Current Week'!D:D,"PK"),""))</f>
        <v>BYE, GAME NOT STARTED, OR NO STATS YET</v>
      </c>
      <c r="T31" s="90" t="s">
        <v>447</v>
      </c>
      <c r="U31" s="90" t="str">
        <f>if(MAXIFS('Player Stats - Current Week'!N:N,'Player Stats - Current Week'!C:C,B31,'Player Stats - Current Week'!D:D,"QB")=0,"BYE, GAME NOT STARTED, OR NO STATS YET",iferror(MAXIFS('Player Stats - Current Week'!N:N,'Player Stats - Current Week'!C:C,B31,'Player Stats - Current Week'!D:D,"QB"),""))</f>
        <v>BYE, GAME NOT STARTED, OR NO STATS YET</v>
      </c>
      <c r="V31" s="90" t="s">
        <v>447</v>
      </c>
      <c r="W31" s="90" t="str">
        <f>if(SUMIFS('Player Stats - Current Week'!O:O,'Player Stats - Current Week'!C:C,B31)=0,"BYE, GAME NOT STARTED, OR NO STATS YET",iferror(SUMIFS('Player Stats - Current Week'!O:O,'Player Stats - Current Week'!C:C,B31),""))</f>
        <v>BYE, GAME NOT STARTED, OR NO STATS YET</v>
      </c>
      <c r="X31" s="90" t="s">
        <v>447</v>
      </c>
      <c r="Y31" s="90" t="str">
        <f>if(MAXIFS('Player Stats - Current Week'!Q:Q,'Player Stats - Current Week'!C:C,B31,'Player Stats - Current Week'!D:D,"TE")=0,"BYE, GAME NOT STARTED, OR NO STATS YET",iferror(MAXIFS('Player Stats - Current Week'!Q:Q,'Player Stats - Current Week'!C:C,B31,'Player Stats - Current Week'!D:D,"TE"),""))</f>
        <v>BYE, GAME NOT STARTED, OR NO STATS YET</v>
      </c>
      <c r="Z31" s="90" t="s">
        <v>447</v>
      </c>
      <c r="AA31" s="90" t="str">
        <f>if(MAXIFS('Player Stats - Current Week'!S:S,'Player Stats - Current Week'!C:C,B31)=0,"BYE, GAME NOT STARTED, OR NO STATS YET",iferror(MAXIFS('Player Stats - Current Week'!S:S,'Player Stats - Current Week'!C:C,B31),""))</f>
        <v>BYE, GAME NOT STARTED, OR NO STATS YET</v>
      </c>
      <c r="AB31" s="90" t="s">
        <v>447</v>
      </c>
      <c r="AC31" s="90" t="str">
        <f>if(MAXIFS('Player Stats - Current Week'!G:G,'Player Stats - Current Week'!C:C,B31,'Player Stats - Current Week'!D:D,"QB")=0,"BYE, GAME NOT STARTED, OR NO STATS YET",iferror(MAXIFS('Player Stats - Current Week'!G:G,'Player Stats - Current Week'!C:C,B31,'Player Stats - Current Week'!D:D,"QB"),""))</f>
        <v>BYE, GAME NOT STARTED, OR NO STATS YET</v>
      </c>
      <c r="AD31" s="101" t="str">
        <f t="shared" si="11"/>
        <v>BYE OR GAME NOT STARTED27</v>
      </c>
      <c r="AE31" s="99" t="str">
        <f>if(iferror(vlookup(CONCATENATE("Week 14",B31),'Raw With Formulas'!J:M,4,false),iferror(vlookup(CONCATENATE("Week 14",B31),'Raw With Formulas'!K:M,2,false),"BYE OR GAME NOT STARTED"))="","BYE OR GAME NOT STARTED",iferror(vlookup(CONCATENATE("Week 14",B31),'Raw With Formulas'!J:M,4,false),iferror(vlookup(CONCATENATE("Week 14",B31),'Raw With Formulas'!K:M,2,false),"BYE OR GAME NOT STARTED")))</f>
        <v>BYE OR GAME NOT STARTED</v>
      </c>
      <c r="AF31" s="101" t="str">
        <f t="shared" si="12"/>
        <v>BYE, GAME NOT STARTED, OR NO STATS YET27</v>
      </c>
      <c r="AG31" s="90" t="str">
        <f>if(MAXIFS('Player Stats - Current Week'!Q:Q,'Player Stats - Current Week'!C:C,B31,'Player Stats - Current Week'!D:D,"QB")=0,"BYE, GAME NOT STARTED, OR NO STATS YET",iferror(MAXIFS('Player Stats - Current Week'!Q:Q,'Player Stats - Current Week'!C:C,B31,'Player Stats - Current Week'!D:D,"QB"),""))</f>
        <v>BYE, GAME NOT STARTED, OR NO STATS YET</v>
      </c>
      <c r="AH31" s="101" t="str">
        <f t="shared" si="13"/>
        <v>BYE OR GAME NOT STARTED29</v>
      </c>
      <c r="AI31" s="101" t="str">
        <f>if(iferror(vlookup(CONCATENATE("Week 16",B31),'Raw With Formulas'!J:M,3,false),iferror(vlookup(CONCATENATE("Week 16",B31),'Raw With Formulas'!K:M,3,false),"BYE OR GAME NOT STARTED"))="","BYE OR GAME NOT STARTED",iferror(vlookup(CONCATENATE("Week 16",B31),'Raw With Formulas'!J:M,3,false),iferror(vlookup(CONCATENATE("Week 16",B31),'Raw With Formulas'!K:M,3,false),"BYE OR GAME NOT STARTED")))</f>
        <v>BYE OR GAME NOT STARTED</v>
      </c>
      <c r="AJ31" s="101" t="str">
        <f t="shared" si="14"/>
        <v>BYE, GAME NOT STARTED, OR NO STATS YET27</v>
      </c>
      <c r="AK31" s="90" t="str">
        <f>if(MAXIFS('Player Stats - Current Week'!F:F,'Player Stats - Current Week'!C:C,B31,'Player Stats - Current Week'!D:D,"WR")=0,"BYE, GAME NOT STARTED, OR NO STATS YET",iferror(MAXIFS('Player Stats - Current Week'!F:F,'Player Stats - Current Week'!C:C,B31,'Player Stats - Current Week'!D:D,"WR"),""))</f>
        <v>BYE, GAME NOT STARTED, OR NO STATS YET</v>
      </c>
      <c r="AL31" s="90" t="s">
        <v>447</v>
      </c>
      <c r="AM31" s="90" t="str">
        <f>if(MAXIFS('Player Stats - Current Week'!Q:Q,'Player Stats - Current Week'!C:C,B31,'Player Stats - Current Week'!D:D,"RB")=0,"BYE, GAME NOT STARTED, OR NO STATS YET",iferror(MAXIFS('Player Stats - Current Week'!Q:Q,'Player Stats - Current Week'!C:C,B31,'Player Stats - Current Week'!D:D,"RB"),""))</f>
        <v>BYE, GAME NOT STARTED, OR NO STATS YET</v>
      </c>
      <c r="AN31" s="102" t="str">
        <f t="shared" si="1"/>
        <v>Jim</v>
      </c>
    </row>
    <row r="32">
      <c r="A32" s="86" t="s">
        <v>408</v>
      </c>
      <c r="B32" s="87" t="s">
        <v>40</v>
      </c>
      <c r="C32" s="87" t="str">
        <f>vlookup(A32,'Wins by Team'!A:C,3,false)</f>
        <v>Rob</v>
      </c>
      <c r="D32" s="94" t="str">
        <f t="shared" si="2"/>
        <v>BYE, GAME NOT STARTED, OR NO STATS YET28</v>
      </c>
      <c r="E32" s="87" t="str">
        <f>if(MAXIFS('Player Stats - Current Week'!F:F,'Player Stats - Current Week'!C:C,B32,'Player Stats - Current Week'!D:D,"QB")=0,"BYE, GAME NOT STARTED, OR NO STATS YET",iferror(MAXIFS('Player Stats - Current Week'!F:F,,'Player Stats - Current Week'!C:C,B32,'Player Stats - Current Week'!D:D,"QB"),""))</f>
        <v>BYE, GAME NOT STARTED, OR NO STATS YET</v>
      </c>
      <c r="F32" s="94" t="str">
        <f t="shared" si="9"/>
        <v>BYE OR GAME NOT STARTED28</v>
      </c>
      <c r="G32" s="87" t="str">
        <f>if(iferror(vlookup(CONCATENATE("Week 2",B32),'Raw With Formulas'!J:M,3,false),iferror(vlookup(CONCATENATE("Week 2",B32),'Raw With Formulas'!K:M,3,false),"BYE OR GAME NOT STARTED")) = "", "BYE OR GAME NOT STARTED", iferror(vlookup(CONCATENATE("Week 2",B32),'Raw With Formulas'!J:M,3,false),iferror(vlookup(CONCATENATE("Week 2",B32),'Raw With Formulas'!K:M,3,false),"BYE OR GAME NOT STARTED")))</f>
        <v>BYE OR GAME NOT STARTED</v>
      </c>
      <c r="H32" s="94" t="str">
        <f t="shared" si="10"/>
        <v>BYE, GAME NOT STARTED, OR NO STATS YET28</v>
      </c>
      <c r="I32" s="87" t="str">
        <f>iferror(
if(
sumifs(
#REF!,
'Player Stats - Current Week'!C:C,
iferror(
vlookup(
CONCATENATE("Week 3",B32), 
'Raw With Formulas'!J:N,
2,false
),
vlookup(CONCATENATE("Week 3",B32), 'Raw With Formulas'!K:N,4,false))) 
= 0,
"BYE, GAME NOT STARTED, OR NO STATS YET",
iferror(
sumifs(
#REF!,
'Player Stats - Current Week'!C:C,
iferror(
vlookup(
CONCATENATE("Week 3",B32), 
'Raw With Formulas'!J:N,
2,false
),
vlookup(CONCATENATE("Week 3",B32), 'Raw With Formulas'!K:N,4,false))),
""
)
),
"BYE, GAME NOT STARTED, OR NO STATS YET"
)</f>
        <v>BYE, GAME NOT STARTED, OR NO STATS YET</v>
      </c>
      <c r="J32" s="87" t="s">
        <v>447</v>
      </c>
      <c r="K32" s="87" t="str">
        <f>if(MAXIFS('Player Stats - Current Week'!F:F,'Player Stats - Current Week'!C:C,B32,'Player Stats - Current Week'!D:D,"TE")=0,"BYE, GAME NOT STARTED, OR NO STATS YET",iferror(MAXIFS('Player Stats - Current Week'!F:F,'Player Stats - Current Week'!C:C,B32,'Player Stats - Current Week'!D:D,"TE"),""))</f>
        <v>BYE, GAME NOT STARTED, OR NO STATS YET</v>
      </c>
      <c r="L32" s="87" t="s">
        <v>447</v>
      </c>
      <c r="M32" s="87" t="str">
        <f>if(MAXIFS('Player Stats - Current Week'!Q:Q,'Player Stats - Current Week'!C:C,B32,'Player Stats - Current Week'!D:D,"WR")=0,"BYE, GAME NOT STARTED, OR NO STATS YET",iferror(MAXIFS('Player Stats - Current Week'!Q:Q,'Player Stats - Current Week'!C:C,B32,'Player Stats - Current Week'!D:D,"WR"),""))</f>
        <v>BYE, GAME NOT STARTED, OR NO STATS YET</v>
      </c>
      <c r="N32" s="87" t="s">
        <v>447</v>
      </c>
      <c r="O32" s="87" t="str">
        <f>if((SUMIFS('Player Stats - Current Week'!L:L,'Player Stats - Current Week'!C:C,B32)+SUMIFS('Player Stats - Current Week'!R:R,'Player Stats - Current Week'!C:C,B32))=0,"BYE, GAME NOT STARTED, OR NO STATS YET",((SUMIFS('Player Stats - Current Week'!R:R,'Player Stats - Current Week'!C:C,B32)*6)+SUMIFS('Player Stats - Current Week'!L:L,'Player Stats - Current Week'!C:C,B32)))</f>
        <v>BYE, GAME NOT STARTED, OR NO STATS YET</v>
      </c>
      <c r="P32" s="87" t="s">
        <v>447</v>
      </c>
      <c r="Q32" s="87" t="str">
        <f>if((SUMIFS('Player Stats - Current Week'!G:G,'Player Stats - Current Week'!C:C,B32,'Player Stats - Current Week'!D:D,"RB")+SUMIFS('Player Stats - Current Week'!E:E,'Player Stats - Current Week'!C:C,B32,'Player Stats - Current Week'!D:D,"RB"))=0,"BYE, GAME NOT STARTED, OR NO STATS YET",((SUMIFS('Player Stats - Current Week'!G:G,'Player Stats - Current Week'!C:C,B32,'Player Stats - Current Week'!D:D,"RB")*6)+SUMIFS('Player Stats - Current Week'!E:E,'Player Stats - Current Week'!C:C,B32,'Player Stats - Current Week'!D:D,"RB")))</f>
        <v>BYE, GAME NOT STARTED, OR NO STATS YET</v>
      </c>
      <c r="R32" s="87" t="s">
        <v>447</v>
      </c>
      <c r="S32" s="87" t="str">
        <f>if(MAXIFS('Player Stats - Current Week'!L:L,'Player Stats - Current Week'!C:C,B32,'Player Stats - Current Week'!D:D,"PK")=0,"BYE, GAME NOT STARTED, OR NO STATS YET",iferror(MAXIFS('Player Stats - Current Week'!L:L,'Player Stats - Current Week'!C:C,B32,'Player Stats - Current Week'!D:D,"PK"),""))</f>
        <v>BYE, GAME NOT STARTED, OR NO STATS YET</v>
      </c>
      <c r="T32" s="87" t="s">
        <v>447</v>
      </c>
      <c r="U32" s="87" t="str">
        <f>if(MAXIFS('Player Stats - Current Week'!N:N,'Player Stats - Current Week'!C:C,B32,'Player Stats - Current Week'!D:D,"QB")=0,"BYE, GAME NOT STARTED, OR NO STATS YET",iferror(MAXIFS('Player Stats - Current Week'!N:N,'Player Stats - Current Week'!C:C,B32,'Player Stats - Current Week'!D:D,"QB"),""))</f>
        <v>BYE, GAME NOT STARTED, OR NO STATS YET</v>
      </c>
      <c r="V32" s="87" t="s">
        <v>447</v>
      </c>
      <c r="W32" s="87" t="str">
        <f>if(SUMIFS('Player Stats - Current Week'!O:O,'Player Stats - Current Week'!C:C,B32)=0,"BYE, GAME NOT STARTED, OR NO STATS YET",iferror(SUMIFS('Player Stats - Current Week'!O:O,'Player Stats - Current Week'!C:C,B32),""))</f>
        <v>BYE, GAME NOT STARTED, OR NO STATS YET</v>
      </c>
      <c r="X32" s="87" t="s">
        <v>447</v>
      </c>
      <c r="Y32" s="87" t="str">
        <f>if(MAXIFS('Player Stats - Current Week'!Q:Q,'Player Stats - Current Week'!C:C,B32,'Player Stats - Current Week'!D:D,"TE")=0,"BYE, GAME NOT STARTED, OR NO STATS YET",iferror(MAXIFS('Player Stats - Current Week'!Q:Q,'Player Stats - Current Week'!C:C,B32,'Player Stats - Current Week'!D:D,"TE"),""))</f>
        <v>BYE, GAME NOT STARTED, OR NO STATS YET</v>
      </c>
      <c r="Z32" s="87" t="s">
        <v>447</v>
      </c>
      <c r="AA32" s="87" t="str">
        <f>if(MAXIFS('Player Stats - Current Week'!S:S,'Player Stats - Current Week'!C:C,B32)=0,"BYE, GAME NOT STARTED, OR NO STATS YET",iferror(MAXIFS('Player Stats - Current Week'!S:S,'Player Stats - Current Week'!C:C,B32),""))</f>
        <v>BYE, GAME NOT STARTED, OR NO STATS YET</v>
      </c>
      <c r="AB32" s="87" t="s">
        <v>447</v>
      </c>
      <c r="AC32" s="87" t="str">
        <f>if(MAXIFS('Player Stats - Current Week'!G:G,'Player Stats - Current Week'!C:C,B32,'Player Stats - Current Week'!D:D,"QB")=0,"BYE, GAME NOT STARTED, OR NO STATS YET",iferror(MAXIFS('Player Stats - Current Week'!G:G,'Player Stats - Current Week'!C:C,B32,'Player Stats - Current Week'!D:D,"QB"),""))</f>
        <v>BYE, GAME NOT STARTED, OR NO STATS YET</v>
      </c>
      <c r="AD32" s="94" t="str">
        <f t="shared" si="11"/>
        <v>BYE OR GAME NOT STARTED28</v>
      </c>
      <c r="AE32" s="98" t="str">
        <f>if(iferror(vlookup(CONCATENATE("Week 14",B32),'Raw With Formulas'!J:M,4,false),iferror(vlookup(CONCATENATE("Week 14",B32),'Raw With Formulas'!K:M,2,false),"BYE OR GAME NOT STARTED"))="","BYE OR GAME NOT STARTED",iferror(vlookup(CONCATENATE("Week 14",B32),'Raw With Formulas'!J:M,4,false),iferror(vlookup(CONCATENATE("Week 14",B32),'Raw With Formulas'!K:M,2,false),"BYE OR GAME NOT STARTED")))</f>
        <v>BYE OR GAME NOT STARTED</v>
      </c>
      <c r="AF32" s="94" t="str">
        <f t="shared" si="12"/>
        <v>BYE, GAME NOT STARTED, OR NO STATS YET28</v>
      </c>
      <c r="AG32" s="87" t="str">
        <f>if(MAXIFS('Player Stats - Current Week'!Q:Q,'Player Stats - Current Week'!C:C,B32,'Player Stats - Current Week'!D:D,"QB")=0,"BYE, GAME NOT STARTED, OR NO STATS YET",iferror(MAXIFS('Player Stats - Current Week'!Q:Q,'Player Stats - Current Week'!C:C,B32,'Player Stats - Current Week'!D:D,"QB"),""))</f>
        <v>BYE, GAME NOT STARTED, OR NO STATS YET</v>
      </c>
      <c r="AH32" s="94" t="str">
        <f t="shared" si="13"/>
        <v>BYE OR GAME NOT STARTED30</v>
      </c>
      <c r="AI32" s="94" t="str">
        <f>if(iferror(vlookup(CONCATENATE("Week 16",B32),'Raw With Formulas'!J:M,3,false),iferror(vlookup(CONCATENATE("Week 16",B32),'Raw With Formulas'!K:M,3,false),"BYE OR GAME NOT STARTED"))="","BYE OR GAME NOT STARTED",iferror(vlookup(CONCATENATE("Week 16",B32),'Raw With Formulas'!J:M,3,false),iferror(vlookup(CONCATENATE("Week 16",B32),'Raw With Formulas'!K:M,3,false),"BYE OR GAME NOT STARTED")))</f>
        <v>BYE OR GAME NOT STARTED</v>
      </c>
      <c r="AJ32" s="94" t="str">
        <f t="shared" si="14"/>
        <v>BYE, GAME NOT STARTED, OR NO STATS YET28</v>
      </c>
      <c r="AK32" s="87" t="str">
        <f>if(MAXIFS('Player Stats - Current Week'!F:F,'Player Stats - Current Week'!C:C,B32,'Player Stats - Current Week'!D:D,"WR")=0,"BYE, GAME NOT STARTED, OR NO STATS YET",iferror(MAXIFS('Player Stats - Current Week'!F:F,'Player Stats - Current Week'!C:C,B32,'Player Stats - Current Week'!D:D,"WR"),""))</f>
        <v>BYE, GAME NOT STARTED, OR NO STATS YET</v>
      </c>
      <c r="AL32" s="87" t="s">
        <v>447</v>
      </c>
      <c r="AM32" s="87" t="str">
        <f>if(MAXIFS('Player Stats - Current Week'!Q:Q,'Player Stats - Current Week'!C:C,B32,'Player Stats - Current Week'!D:D,"RB")=0,"BYE, GAME NOT STARTED, OR NO STATS YET",iferror(MAXIFS('Player Stats - Current Week'!Q:Q,'Player Stats - Current Week'!C:C,B32,'Player Stats - Current Week'!D:D,"RB"),""))</f>
        <v>BYE, GAME NOT STARTED, OR NO STATS YET</v>
      </c>
      <c r="AN32" s="92" t="str">
        <f t="shared" si="1"/>
        <v>Rob</v>
      </c>
    </row>
    <row r="33">
      <c r="A33" s="95" t="s">
        <v>409</v>
      </c>
      <c r="B33" s="96" t="s">
        <v>39</v>
      </c>
      <c r="C33" s="96" t="str">
        <f>vlookup(A33,'Wins by Team'!A:C,3,false)</f>
        <v>Max</v>
      </c>
      <c r="D33" s="103" t="str">
        <f t="shared" si="2"/>
        <v>BYE, GAME NOT STARTED, OR NO STATS YET29</v>
      </c>
      <c r="E33" s="96" t="str">
        <f>if(MAXIFS('Player Stats - Current Week'!F:F,'Player Stats - Current Week'!C:C,B33,'Player Stats - Current Week'!D:D,"QB")=0,"BYE, GAME NOT STARTED, OR NO STATS YET",iferror(MAXIFS('Player Stats - Current Week'!F:F,,'Player Stats - Current Week'!C:C,B33,'Player Stats - Current Week'!D:D,"QB"),""))</f>
        <v>BYE, GAME NOT STARTED, OR NO STATS YET</v>
      </c>
      <c r="F33" s="103" t="str">
        <f t="shared" si="9"/>
        <v>BYE OR GAME NOT STARTED29</v>
      </c>
      <c r="G33" s="96" t="str">
        <f>if(iferror(vlookup(CONCATENATE("Week 2",B33),'Raw With Formulas'!J:M,3,false),iferror(vlookup(CONCATENATE("Week 2",B33),'Raw With Formulas'!K:M,3,false),"BYE OR GAME NOT STARTED")) = "", "BYE OR GAME NOT STARTED", iferror(vlookup(CONCATENATE("Week 2",B33),'Raw With Formulas'!J:M,3,false),iferror(vlookup(CONCATENATE("Week 2",B33),'Raw With Formulas'!K:M,3,false),"BYE OR GAME NOT STARTED")))</f>
        <v>BYE OR GAME NOT STARTED</v>
      </c>
      <c r="H33" s="103" t="str">
        <f t="shared" si="10"/>
        <v>BYE, GAME NOT STARTED, OR NO STATS YET29</v>
      </c>
      <c r="I33" s="96" t="str">
        <f>iferror(
if(
sumifs(
#REF!,
'Player Stats - Current Week'!C:C,
iferror(
vlookup(
CONCATENATE("Week 3",B33), 
'Raw With Formulas'!J:N,
2,false
),
vlookup(CONCATENATE("Week 3",B33), 'Raw With Formulas'!K:N,4,false))) 
= 0,
"BYE, GAME NOT STARTED, OR NO STATS YET",
iferror(
sumifs(
#REF!,
'Player Stats - Current Week'!C:C,
iferror(
vlookup(
CONCATENATE("Week 3",B33), 
'Raw With Formulas'!J:N,
2,false
),
vlookup(CONCATENATE("Week 3",B33), 'Raw With Formulas'!K:N,4,false))),
""
)
),
"BYE, GAME NOT STARTED, OR NO STATS YET"
)</f>
        <v>BYE, GAME NOT STARTED, OR NO STATS YET</v>
      </c>
      <c r="J33" s="96" t="s">
        <v>447</v>
      </c>
      <c r="K33" s="96" t="str">
        <f>if(MAXIFS('Player Stats - Current Week'!F:F,'Player Stats - Current Week'!C:C,B33,'Player Stats - Current Week'!D:D,"TE")=0,"BYE, GAME NOT STARTED, OR NO STATS YET",iferror(MAXIFS('Player Stats - Current Week'!F:F,'Player Stats - Current Week'!C:C,B33,'Player Stats - Current Week'!D:D,"TE"),""))</f>
        <v>BYE, GAME NOT STARTED, OR NO STATS YET</v>
      </c>
      <c r="L33" s="96" t="s">
        <v>447</v>
      </c>
      <c r="M33" s="96" t="str">
        <f>if(MAXIFS('Player Stats - Current Week'!Q:Q,'Player Stats - Current Week'!C:C,B33,'Player Stats - Current Week'!D:D,"WR")=0,"BYE, GAME NOT STARTED, OR NO STATS YET",iferror(MAXIFS('Player Stats - Current Week'!Q:Q,'Player Stats - Current Week'!C:C,B33,'Player Stats - Current Week'!D:D,"WR"),""))</f>
        <v>BYE, GAME NOT STARTED, OR NO STATS YET</v>
      </c>
      <c r="N33" s="96" t="s">
        <v>447</v>
      </c>
      <c r="O33" s="96" t="str">
        <f>if((SUMIFS('Player Stats - Current Week'!L:L,'Player Stats - Current Week'!C:C,B33)+SUMIFS('Player Stats - Current Week'!R:R,'Player Stats - Current Week'!C:C,B33))=0,"BYE, GAME NOT STARTED, OR NO STATS YET",((SUMIFS('Player Stats - Current Week'!R:R,'Player Stats - Current Week'!C:C,B33)*6)+SUMIFS('Player Stats - Current Week'!L:L,'Player Stats - Current Week'!C:C,B33)))</f>
        <v>BYE, GAME NOT STARTED, OR NO STATS YET</v>
      </c>
      <c r="P33" s="96" t="s">
        <v>447</v>
      </c>
      <c r="Q33" s="96" t="str">
        <f>if((SUMIFS('Player Stats - Current Week'!G:G,'Player Stats - Current Week'!C:C,B33,'Player Stats - Current Week'!D:D,"RB")+SUMIFS('Player Stats - Current Week'!E:E,'Player Stats - Current Week'!C:C,B33,'Player Stats - Current Week'!D:D,"RB"))=0,"BYE, GAME NOT STARTED, OR NO STATS YET",((SUMIFS('Player Stats - Current Week'!G:G,'Player Stats - Current Week'!C:C,B33,'Player Stats - Current Week'!D:D,"RB")*6)+SUMIFS('Player Stats - Current Week'!E:E,'Player Stats - Current Week'!C:C,B33,'Player Stats - Current Week'!D:D,"RB")))</f>
        <v>BYE, GAME NOT STARTED, OR NO STATS YET</v>
      </c>
      <c r="R33" s="96" t="s">
        <v>447</v>
      </c>
      <c r="S33" s="96" t="str">
        <f>if(MAXIFS('Player Stats - Current Week'!L:L,'Player Stats - Current Week'!C:C,B33,'Player Stats - Current Week'!D:D,"PK")=0,"BYE, GAME NOT STARTED, OR NO STATS YET",iferror(MAXIFS('Player Stats - Current Week'!L:L,'Player Stats - Current Week'!C:C,B33,'Player Stats - Current Week'!D:D,"PK"),""))</f>
        <v>BYE, GAME NOT STARTED, OR NO STATS YET</v>
      </c>
      <c r="T33" s="96" t="s">
        <v>447</v>
      </c>
      <c r="U33" s="96" t="str">
        <f>if(MAXIFS('Player Stats - Current Week'!N:N,'Player Stats - Current Week'!C:C,B33,'Player Stats - Current Week'!D:D,"QB")=0,"BYE, GAME NOT STARTED, OR NO STATS YET",iferror(MAXIFS('Player Stats - Current Week'!N:N,'Player Stats - Current Week'!C:C,B33,'Player Stats - Current Week'!D:D,"QB"),""))</f>
        <v>BYE, GAME NOT STARTED, OR NO STATS YET</v>
      </c>
      <c r="V33" s="96" t="s">
        <v>447</v>
      </c>
      <c r="W33" s="96" t="str">
        <f>if(SUMIFS('Player Stats - Current Week'!O:O,'Player Stats - Current Week'!C:C,B33)=0,"BYE, GAME NOT STARTED, OR NO STATS YET",iferror(SUMIFS('Player Stats - Current Week'!O:O,'Player Stats - Current Week'!C:C,B33),""))</f>
        <v>BYE, GAME NOT STARTED, OR NO STATS YET</v>
      </c>
      <c r="X33" s="96" t="s">
        <v>447</v>
      </c>
      <c r="Y33" s="96" t="str">
        <f>if(MAXIFS('Player Stats - Current Week'!Q:Q,'Player Stats - Current Week'!C:C,B33,'Player Stats - Current Week'!D:D,"TE")=0,"BYE, GAME NOT STARTED, OR NO STATS YET",iferror(MAXIFS('Player Stats - Current Week'!Q:Q,'Player Stats - Current Week'!C:C,B33,'Player Stats - Current Week'!D:D,"TE"),""))</f>
        <v>BYE, GAME NOT STARTED, OR NO STATS YET</v>
      </c>
      <c r="Z33" s="96" t="s">
        <v>447</v>
      </c>
      <c r="AA33" s="96" t="str">
        <f>if(MAXIFS('Player Stats - Current Week'!S:S,'Player Stats - Current Week'!C:C,B33)=0,"BYE, GAME NOT STARTED, OR NO STATS YET",iferror(MAXIFS('Player Stats - Current Week'!S:S,'Player Stats - Current Week'!C:C,B33),""))</f>
        <v>BYE, GAME NOT STARTED, OR NO STATS YET</v>
      </c>
      <c r="AB33" s="96" t="s">
        <v>447</v>
      </c>
      <c r="AC33" s="96" t="str">
        <f>if(MAXIFS('Player Stats - Current Week'!G:G,'Player Stats - Current Week'!C:C,B33,'Player Stats - Current Week'!D:D,"QB")=0,"BYE, GAME NOT STARTED, OR NO STATS YET",iferror(MAXIFS('Player Stats - Current Week'!G:G,'Player Stats - Current Week'!C:C,B33,'Player Stats - Current Week'!D:D,"QB"),""))</f>
        <v>BYE, GAME NOT STARTED, OR NO STATS YET</v>
      </c>
      <c r="AD33" s="103" t="str">
        <f t="shared" si="11"/>
        <v>BYE OR GAME NOT STARTED29</v>
      </c>
      <c r="AE33" s="104" t="str">
        <f>if(iferror(vlookup(CONCATENATE("Week 14",B33),'Raw With Formulas'!J:M,4,false),iferror(vlookup(CONCATENATE("Week 14",B33),'Raw With Formulas'!K:M,2,false),"BYE OR GAME NOT STARTED"))="","BYE OR GAME NOT STARTED",iferror(vlookup(CONCATENATE("Week 14",B33),'Raw With Formulas'!J:M,4,false),iferror(vlookup(CONCATENATE("Week 14",B33),'Raw With Formulas'!K:M,2,false),"BYE OR GAME NOT STARTED")))</f>
        <v>BYE OR GAME NOT STARTED</v>
      </c>
      <c r="AF33" s="103" t="str">
        <f t="shared" si="12"/>
        <v>BYE, GAME NOT STARTED, OR NO STATS YET29</v>
      </c>
      <c r="AG33" s="96" t="str">
        <f>if(MAXIFS('Player Stats - Current Week'!Q:Q,'Player Stats - Current Week'!C:C,B33,'Player Stats - Current Week'!D:D,"QB")=0,"BYE, GAME NOT STARTED, OR NO STATS YET",iferror(MAXIFS('Player Stats - Current Week'!Q:Q,'Player Stats - Current Week'!C:C,B33,'Player Stats - Current Week'!D:D,"QB"),""))</f>
        <v>BYE, GAME NOT STARTED, OR NO STATS YET</v>
      </c>
      <c r="AH33" s="103" t="str">
        <f t="shared" si="13"/>
        <v>BYE OR GAME NOT STARTED31</v>
      </c>
      <c r="AI33" s="103" t="str">
        <f>if(iferror(vlookup(CONCATENATE("Week 16",B33),'Raw With Formulas'!J:M,3,false),iferror(vlookup(CONCATENATE("Week 16",B33),'Raw With Formulas'!K:M,3,false),"BYE OR GAME NOT STARTED"))="","BYE OR GAME NOT STARTED",iferror(vlookup(CONCATENATE("Week 16",B33),'Raw With Formulas'!J:M,3,false),iferror(vlookup(CONCATENATE("Week 16",B33),'Raw With Formulas'!K:M,3,false),"BYE OR GAME NOT STARTED")))</f>
        <v>BYE OR GAME NOT STARTED</v>
      </c>
      <c r="AJ33" s="103" t="str">
        <f t="shared" si="14"/>
        <v>BYE, GAME NOT STARTED, OR NO STATS YET29</v>
      </c>
      <c r="AK33" s="96" t="str">
        <f>if(MAXIFS('Player Stats - Current Week'!F:F,'Player Stats - Current Week'!C:C,B33,'Player Stats - Current Week'!D:D,"WR")=0,"BYE, GAME NOT STARTED, OR NO STATS YET",iferror(MAXIFS('Player Stats - Current Week'!F:F,'Player Stats - Current Week'!C:C,B33,'Player Stats - Current Week'!D:D,"WR"),""))</f>
        <v>BYE, GAME NOT STARTED, OR NO STATS YET</v>
      </c>
      <c r="AL33" s="96" t="s">
        <v>447</v>
      </c>
      <c r="AM33" s="96" t="str">
        <f>if(MAXIFS('Player Stats - Current Week'!Q:Q,'Player Stats - Current Week'!C:C,B33,'Player Stats - Current Week'!D:D,"RB")=0,"BYE, GAME NOT STARTED, OR NO STATS YET",iferror(MAXIFS('Player Stats - Current Week'!Q:Q,'Player Stats - Current Week'!C:C,B33,'Player Stats - Current Week'!D:D,"RB"),""))</f>
        <v>BYE, GAME NOT STARTED, OR NO STATS YET</v>
      </c>
      <c r="AN33" s="105" t="str">
        <f t="shared" si="1"/>
        <v>Max</v>
      </c>
    </row>
  </sheetData>
  <conditionalFormatting sqref="E3 E5 E7 E9 E11 E13 E15 E17 E19 E21:E33">
    <cfRule type="containsBlanks" dxfId="6" priority="1">
      <formula>LEN(TRIM(E3))=0</formula>
    </cfRule>
  </conditionalFormatting>
  <conditionalFormatting sqref="O2:O33 Q18 Q20">
    <cfRule type="expression" dxfId="4" priority="2">
      <formula>O2=MAX($O$2:$O$33)</formula>
    </cfRule>
  </conditionalFormatting>
  <conditionalFormatting sqref="O2:O33 Q18 Q20">
    <cfRule type="expression" dxfId="7" priority="3">
      <formula>O2=LARGE($O$2:$O$33,2)</formula>
    </cfRule>
  </conditionalFormatting>
  <conditionalFormatting sqref="E2:E33 F18:AM18 F20:AM20">
    <cfRule type="expression" dxfId="4" priority="4">
      <formula>E2=MAX($E$3:$E$33)</formula>
    </cfRule>
  </conditionalFormatting>
  <conditionalFormatting sqref="E2:E33 F18:AM18 F20:AM20">
    <cfRule type="expression" dxfId="7" priority="5">
      <formula>E2=LARGE($E$3:$E$33,2)</formula>
    </cfRule>
  </conditionalFormatting>
  <conditionalFormatting sqref="G3 G5 G7 G9 G11 G13 G15 G17 G19 G21 G23 G25 G27 G29 G31 G33">
    <cfRule type="cellIs" dxfId="6" priority="6" operator="equal">
      <formula>"""BYE OR GAME NOT STARTED"""</formula>
    </cfRule>
  </conditionalFormatting>
  <conditionalFormatting sqref="G2 G4 G6 G8 G10 G12 G14 G16 G18 G20 G22 G24 G26 G28 G30 G32">
    <cfRule type="cellIs" dxfId="3" priority="7" operator="equal">
      <formula>"""BYE OR GAME NOT STARTED"""</formula>
    </cfRule>
  </conditionalFormatting>
  <conditionalFormatting sqref="G2:G33">
    <cfRule type="expression" dxfId="4" priority="8">
      <formula>G2=MAX($G$2:$G$33)</formula>
    </cfRule>
  </conditionalFormatting>
  <conditionalFormatting sqref="G2:G33">
    <cfRule type="expression" dxfId="7" priority="9">
      <formula>G2=LARGE($G$2:$G$33,2)</formula>
    </cfRule>
  </conditionalFormatting>
  <conditionalFormatting sqref="AI2 AI4 AI6 AI8 AI10 AI12 AI14 AI16 AI18 AI20 AI22 AI24 AI26 AI28 AI30 AI32">
    <cfRule type="cellIs" dxfId="3" priority="10" operator="equal">
      <formula>"""BYE OR GAME NOT STARTED"""</formula>
    </cfRule>
  </conditionalFormatting>
  <conditionalFormatting sqref="AI3 AI5 AI7 AI9 AI11 AI13 AI15 AI17 AI19 AI21 AI23 AI25 AI27 AI29 AI31 AI33">
    <cfRule type="cellIs" dxfId="6" priority="11" operator="equal">
      <formula>"""BYE OR GAME NOT STARTED"""</formula>
    </cfRule>
  </conditionalFormatting>
  <conditionalFormatting sqref="AI2:AI33">
    <cfRule type="expression" dxfId="4" priority="12">
      <formula>AI2=MIN($AI$2:$AI$33)</formula>
    </cfRule>
  </conditionalFormatting>
  <conditionalFormatting sqref="AI2:AI33">
    <cfRule type="expression" dxfId="7" priority="13">
      <formula>AI2=SMALL($AI$2:$AI$33,2)</formula>
    </cfRule>
  </conditionalFormatting>
  <conditionalFormatting sqref="AE2 AE4 AE6 AE8 AE10 AE12 AE14 AE16 AE18 AE20 AE22 AE24 AE28 AE30 AE32">
    <cfRule type="cellIs" dxfId="3" priority="14" operator="equal">
      <formula>"""BYE OR GAME NOT STARTED"""</formula>
    </cfRule>
  </conditionalFormatting>
  <conditionalFormatting sqref="AE3 AE5 AE7 AE9 AE11 AE13 AE15 AE17 AE19 AE21 AE23 AE25 AE27 AE29 AE31 AE33">
    <cfRule type="cellIs" dxfId="6" priority="15" operator="equal">
      <formula>"""BYE OR GAME NOT STARTED"""</formula>
    </cfRule>
  </conditionalFormatting>
  <conditionalFormatting sqref="AE2:AE33">
    <cfRule type="expression" dxfId="4" priority="16">
      <formula>AE2=MIN($AE$2:$AE$33)</formula>
    </cfRule>
  </conditionalFormatting>
  <conditionalFormatting sqref="AE2:AE33">
    <cfRule type="expression" dxfId="7" priority="17">
      <formula>AE2=SMALL($AE$2:$AE$33,2)</formula>
    </cfRule>
  </conditionalFormatting>
  <conditionalFormatting sqref="I2:I33 E18 G18 E20 G20">
    <cfRule type="expression" dxfId="4" priority="18">
      <formula>I2=min($I$2:$I$33)</formula>
    </cfRule>
  </conditionalFormatting>
  <conditionalFormatting sqref="I2:I33 E18 G18 E20 G20">
    <cfRule type="expression" dxfId="7" priority="19">
      <formula>I2=small($I$2:$I$33,2)</formula>
    </cfRule>
  </conditionalFormatting>
  <conditionalFormatting sqref="K2:K33 M18 O18 Q18 M20 O20 Q20">
    <cfRule type="expression" dxfId="4" priority="20">
      <formula>K2=MAX($K$2:$K$33)</formula>
    </cfRule>
  </conditionalFormatting>
  <conditionalFormatting sqref="K2:K33 M18 O18 Q18 M20 O20 Q20">
    <cfRule type="expression" dxfId="7" priority="21">
      <formula>K2=LARGE($K$2:$K$33,2)</formula>
    </cfRule>
  </conditionalFormatting>
  <conditionalFormatting sqref="AC2:AC33 AE18 AG18 AE20 AG20">
    <cfRule type="expression" dxfId="4" priority="22">
      <formula>AC2=MAX($AC$2:$AC$33)</formula>
    </cfRule>
  </conditionalFormatting>
  <conditionalFormatting sqref="AC2:AC33 AE18 AG18 AE20 AG20">
    <cfRule type="expression" dxfId="7" priority="23">
      <formula>AC2=LARGE($AC$2:$AC$33,2)</formula>
    </cfRule>
  </conditionalFormatting>
  <conditionalFormatting sqref="AK2:AK33 AM18 AM20">
    <cfRule type="expression" dxfId="4" priority="24">
      <formula>AK2=MAX($AK$2:$AK$33)</formula>
    </cfRule>
  </conditionalFormatting>
  <conditionalFormatting sqref="AK2:AK33 AM18 AM20">
    <cfRule type="expression" dxfId="7" priority="25">
      <formula>AK2=LARGE($AK$2:$AK$33,2)</formula>
    </cfRule>
  </conditionalFormatting>
  <conditionalFormatting sqref="Q2:Q33 S18 U18 W18 Y18 AA18 AC18 AE18 AG18 S20 U20 W20 Y20 AA20 AC20 AE20 AG20">
    <cfRule type="expression" dxfId="4" priority="26">
      <formula>Q2=MAX($Q$2:$Q$33)</formula>
    </cfRule>
  </conditionalFormatting>
  <conditionalFormatting sqref="Q2:Q33 S18 U18 W18 Y18 AA18 AC18 AE18 AG18 S20 U20 W20 Y20 AA20 AC20 AE20 AG20">
    <cfRule type="expression" dxfId="7" priority="27">
      <formula>Q2=LARGE($Q$2:$Q$33,2)</formula>
    </cfRule>
  </conditionalFormatting>
  <conditionalFormatting sqref="S2:S33 U18 W18 Y18 AA18 AC18 AE18 AG18 U20 W20 Y20 AA20 AC20 AE20 AG20">
    <cfRule type="expression" dxfId="4" priority="28">
      <formula>S2=MAX($S$2:$S$33)</formula>
    </cfRule>
  </conditionalFormatting>
  <conditionalFormatting sqref="S2:S33 U18 W18 Y18 AA18 AC18 AE18 AG18 U20 W20 Y20 AA20 AC20 AE20 AG20">
    <cfRule type="expression" dxfId="7" priority="29">
      <formula>S2=LARGE($S$2:$S$33,2)</formula>
    </cfRule>
  </conditionalFormatting>
  <conditionalFormatting sqref="U2:U33 W18 Y18 AA18 AC18 AE18 AG18 W20 Y20 AA20 AC20 AE20 AG20">
    <cfRule type="expression" dxfId="4" priority="30">
      <formula>U2=MAX($U$2:$U$33)</formula>
    </cfRule>
  </conditionalFormatting>
  <conditionalFormatting sqref="U2:U33 W18 Y18 AA18 AC18 AE18 AG18 W20 Y20 AA20 AC20 AE20 AG20">
    <cfRule type="expression" dxfId="7" priority="31">
      <formula>U2=LARGE($U$2:$U$33,2)</formula>
    </cfRule>
  </conditionalFormatting>
  <conditionalFormatting sqref="W2:W33 Y18 AA18 AC18 AE18 AG18 Y20 AA20 AC20 AE20 AG20">
    <cfRule type="expression" dxfId="4" priority="32">
      <formula>W2=MAX($W$2:$W$33)</formula>
    </cfRule>
  </conditionalFormatting>
  <conditionalFormatting sqref="W2:W33 Y18 AA18 AC18 AE18 AG18 Y20 AA20 AC20 AE20 AG20">
    <cfRule type="expression" dxfId="7" priority="33">
      <formula>W2=LARGE($W$2:$W$33,2)</formula>
    </cfRule>
  </conditionalFormatting>
  <conditionalFormatting sqref="M2:M33 O18 Q18 O20 Q20">
    <cfRule type="expression" dxfId="4" priority="34">
      <formula>M2=MAX($M$2:$M$33)</formula>
    </cfRule>
  </conditionalFormatting>
  <conditionalFormatting sqref="M2:M33 O18 Q18 O20 Q20">
    <cfRule type="expression" dxfId="7" priority="35">
      <formula>M2=LARGE($M$2:$M$33,2)</formula>
    </cfRule>
  </conditionalFormatting>
  <conditionalFormatting sqref="Y2:Y33 AA18 AC18 AE18 AG18 AA20 AC20 AE20 AG20">
    <cfRule type="expression" dxfId="4" priority="36">
      <formula>Y2=MAX($Y$2:$Y$33)</formula>
    </cfRule>
  </conditionalFormatting>
  <conditionalFormatting sqref="Y2:Y33 AA18 AC18 AE18 AG18 AA20 AC20 AE20 AG20">
    <cfRule type="expression" dxfId="7" priority="37">
      <formula>Y2=LARGE($Y$2:$Y$33,2)</formula>
    </cfRule>
  </conditionalFormatting>
  <conditionalFormatting sqref="AG2:AG33">
    <cfRule type="expression" dxfId="4" priority="38">
      <formula>AG2=MAX($AG$2:$AG$33)</formula>
    </cfRule>
  </conditionalFormatting>
  <conditionalFormatting sqref="AG2:AG33">
    <cfRule type="expression" dxfId="7" priority="39">
      <formula>AG2=LARGE($AG$2:$AG$33,2)</formula>
    </cfRule>
  </conditionalFormatting>
  <conditionalFormatting sqref="AM2:AM33">
    <cfRule type="expression" dxfId="4" priority="40">
      <formula>AM2=MAX($AM$2:$AM$33)</formula>
    </cfRule>
  </conditionalFormatting>
  <conditionalFormatting sqref="AM2:AM33">
    <cfRule type="expression" dxfId="7" priority="41">
      <formula>AM2=LARGE($AM$2:$AM$33,2)</formula>
    </cfRule>
  </conditionalFormatting>
  <conditionalFormatting sqref="AA2:AA33 AC18 AE18 AG18 AC20 AE20 AG20">
    <cfRule type="expression" dxfId="4" priority="42">
      <formula>AA2=MAX($AA$2:$AA$33)</formula>
    </cfRule>
  </conditionalFormatting>
  <conditionalFormatting sqref="AA2:AA33 AC18 AE18 AG18 AC20 AE20 AG20">
    <cfRule type="expression" dxfId="7" priority="43">
      <formula>AA2=LARGE($AA$2:$AA$33,2)</formula>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5.38"/>
    <col customWidth="1" min="3" max="3" width="2.0"/>
    <col customWidth="1" min="4" max="4" width="32.0"/>
  </cols>
  <sheetData>
    <row r="1">
      <c r="A1" s="106" t="s">
        <v>449</v>
      </c>
      <c r="B1" s="107"/>
      <c r="C1" s="10"/>
      <c r="D1" s="108"/>
      <c r="E1" s="10"/>
      <c r="F1" s="10"/>
      <c r="G1" s="10"/>
      <c r="H1" s="10"/>
      <c r="I1" s="10"/>
      <c r="J1" s="10"/>
      <c r="K1" s="10"/>
      <c r="L1" s="10"/>
      <c r="M1" s="10"/>
      <c r="N1" s="10"/>
      <c r="O1" s="10"/>
    </row>
    <row r="2">
      <c r="A2" s="109" t="s">
        <v>450</v>
      </c>
      <c r="B2" s="22"/>
      <c r="C2" s="22"/>
      <c r="D2" s="109"/>
      <c r="E2" s="22"/>
      <c r="F2" s="22"/>
      <c r="G2" s="22"/>
      <c r="H2" s="22"/>
      <c r="I2" s="22"/>
      <c r="J2" s="22"/>
      <c r="K2" s="22"/>
      <c r="L2" s="22"/>
      <c r="M2" s="22"/>
      <c r="N2" s="22"/>
      <c r="O2" s="22"/>
    </row>
    <row r="3">
      <c r="A3" s="109" t="s">
        <v>451</v>
      </c>
      <c r="B3" s="22"/>
      <c r="C3" s="22"/>
      <c r="D3" s="110"/>
      <c r="E3" s="22"/>
      <c r="F3" s="22"/>
      <c r="G3" s="22"/>
      <c r="H3" s="22"/>
      <c r="I3" s="22"/>
      <c r="J3" s="22"/>
      <c r="K3" s="22"/>
      <c r="L3" s="22"/>
      <c r="M3" s="22"/>
      <c r="N3" s="22"/>
      <c r="O3" s="22"/>
    </row>
    <row r="4">
      <c r="A4" s="109" t="s">
        <v>452</v>
      </c>
      <c r="B4" s="22"/>
      <c r="C4" s="22"/>
      <c r="D4" s="111"/>
      <c r="E4" s="22"/>
      <c r="F4" s="22"/>
      <c r="G4" s="22"/>
      <c r="H4" s="22"/>
      <c r="I4" s="22"/>
      <c r="J4" s="22"/>
      <c r="K4" s="22"/>
      <c r="L4" s="22"/>
      <c r="M4" s="22"/>
      <c r="N4" s="22"/>
      <c r="O4" s="22"/>
    </row>
    <row r="5">
      <c r="A5" s="109" t="s">
        <v>453</v>
      </c>
      <c r="B5" s="22"/>
      <c r="C5" s="22"/>
      <c r="D5" s="109"/>
      <c r="E5" s="22"/>
      <c r="F5" s="22"/>
      <c r="G5" s="22"/>
      <c r="H5" s="22"/>
      <c r="I5" s="22"/>
      <c r="J5" s="22"/>
      <c r="K5" s="22"/>
      <c r="L5" s="22"/>
      <c r="M5" s="22"/>
      <c r="N5" s="22"/>
      <c r="O5" s="22"/>
    </row>
    <row r="6">
      <c r="A6" s="109" t="s">
        <v>454</v>
      </c>
      <c r="B6" s="112"/>
      <c r="C6" s="22"/>
      <c r="D6" s="109"/>
      <c r="E6" s="22"/>
      <c r="F6" s="22"/>
      <c r="G6" s="22"/>
      <c r="H6" s="22"/>
      <c r="I6" s="22"/>
      <c r="J6" s="22"/>
      <c r="K6" s="22"/>
      <c r="L6" s="22"/>
      <c r="M6" s="22"/>
      <c r="N6" s="22"/>
      <c r="O6" s="22"/>
    </row>
    <row r="7">
      <c r="A7" s="109" t="s">
        <v>455</v>
      </c>
      <c r="B7" s="113"/>
      <c r="C7" s="22"/>
      <c r="D7" s="109"/>
      <c r="E7" s="22"/>
      <c r="F7" s="22"/>
      <c r="G7" s="22"/>
      <c r="H7" s="22"/>
      <c r="I7" s="22"/>
      <c r="J7" s="22"/>
      <c r="K7" s="22"/>
      <c r="L7" s="22"/>
      <c r="M7" s="22"/>
      <c r="N7" s="22"/>
      <c r="O7" s="22"/>
    </row>
    <row r="8">
      <c r="A8" s="109" t="s">
        <v>456</v>
      </c>
      <c r="B8" s="114"/>
      <c r="C8" s="20"/>
      <c r="D8" s="20"/>
      <c r="E8" s="22"/>
      <c r="F8" s="22"/>
      <c r="G8" s="22"/>
      <c r="H8" s="22"/>
      <c r="I8" s="22"/>
      <c r="J8" s="22"/>
      <c r="K8" s="22"/>
      <c r="L8" s="22"/>
      <c r="M8" s="22"/>
      <c r="N8" s="22"/>
      <c r="O8" s="22"/>
    </row>
    <row r="9">
      <c r="A9" s="109" t="s">
        <v>457</v>
      </c>
      <c r="B9" s="114"/>
      <c r="C9" s="20"/>
      <c r="D9" s="20"/>
      <c r="E9" s="22"/>
      <c r="F9" s="22"/>
      <c r="G9" s="22"/>
      <c r="H9" s="22"/>
      <c r="I9" s="22"/>
      <c r="J9" s="22"/>
      <c r="K9" s="22"/>
      <c r="L9" s="22"/>
      <c r="M9" s="22"/>
      <c r="N9" s="22"/>
      <c r="O9" s="22"/>
    </row>
    <row r="10">
      <c r="A10" s="109" t="s">
        <v>458</v>
      </c>
      <c r="B10" s="114"/>
      <c r="C10" s="20"/>
      <c r="D10" s="20"/>
      <c r="E10" s="22"/>
      <c r="F10" s="22"/>
      <c r="G10" s="22"/>
      <c r="H10" s="22"/>
      <c r="I10" s="22"/>
      <c r="J10" s="22"/>
      <c r="K10" s="22"/>
      <c r="L10" s="22"/>
      <c r="M10" s="22"/>
      <c r="N10" s="22"/>
      <c r="O10" s="22"/>
    </row>
    <row r="11">
      <c r="A11" s="109"/>
      <c r="B11" s="114"/>
      <c r="C11" s="20"/>
      <c r="D11" s="20"/>
      <c r="E11" s="22"/>
      <c r="F11" s="22"/>
      <c r="G11" s="22"/>
      <c r="H11" s="22"/>
      <c r="I11" s="22"/>
      <c r="J11" s="22"/>
      <c r="K11" s="22"/>
      <c r="L11" s="22"/>
      <c r="M11" s="22"/>
      <c r="N11" s="22"/>
      <c r="O11" s="22"/>
    </row>
    <row r="12">
      <c r="A12" s="115" t="s">
        <v>5</v>
      </c>
      <c r="B12" s="116" t="s">
        <v>459</v>
      </c>
      <c r="C12" s="117"/>
      <c r="D12" s="118"/>
      <c r="E12" s="119"/>
      <c r="F12" s="22"/>
      <c r="G12" s="22"/>
      <c r="H12" s="22"/>
      <c r="I12" s="22"/>
      <c r="J12" s="22"/>
      <c r="K12" s="22"/>
      <c r="L12" s="22"/>
      <c r="M12" s="22"/>
      <c r="N12" s="22"/>
      <c r="O12" s="22"/>
    </row>
    <row r="13">
      <c r="A13" s="120" t="s">
        <v>10</v>
      </c>
      <c r="B13" s="121" t="str">
        <f>if(MAXIFS('Player Stats - Current Week'!F:F,'Player Stats - Current Week'!C:C,B2,'Player Stats - Current Week'!D:D,"QB")=0,"BYE, GAME NOT STARTED, OR NO STATS YET",iferror(MAXIFS('Player Stats - Current Week'!F:F,,'Player Stats - Current Week'!C:C,B2,'Player Stats - Current Week'!D:D,"QB"),""))</f>
        <v>BYE, GAME NOT STARTED, OR NO STATS YET</v>
      </c>
      <c r="C13" s="22"/>
      <c r="D13" s="122"/>
      <c r="E13" s="119"/>
      <c r="F13" s="22"/>
      <c r="G13" s="22"/>
      <c r="H13" s="22"/>
      <c r="I13" s="22"/>
      <c r="J13" s="22"/>
      <c r="K13" s="22"/>
      <c r="L13" s="22"/>
      <c r="M13" s="22"/>
      <c r="N13" s="22"/>
      <c r="O13" s="22"/>
    </row>
    <row r="14">
      <c r="A14" s="120" t="s">
        <v>57</v>
      </c>
      <c r="B14" s="121" t="str">
        <f>if(iferror(vlookup(CONCATENATE("Week 2",B2),'Raw With Formulas'!J:M,3,false),iferror(vlookup(CONCATENATE("Week 2",B2),'Raw With Formulas'!K:M,3,false),"BYE OR GAME NOT STARTED")) = "", "BYE OR GAME NOT STARTED", iferror(vlookup(CONCATENATE("Week 2",B2),'Raw With Formulas'!J:M,3,false),iferror(vlookup(CONCATENATE("Week 2",B2),'Raw With Formulas'!K:M,3,false),"BYE OR GAME NOT STARTED")))</f>
        <v>BYE OR GAME NOT STARTED</v>
      </c>
      <c r="C14" s="22"/>
      <c r="D14" s="122"/>
      <c r="E14" s="119"/>
      <c r="F14" s="22"/>
      <c r="G14" s="22"/>
      <c r="H14" s="22"/>
      <c r="I14" s="22"/>
      <c r="J14" s="22"/>
      <c r="K14" s="22"/>
      <c r="L14" s="22"/>
      <c r="M14" s="22"/>
      <c r="N14" s="22"/>
      <c r="O14" s="22"/>
    </row>
    <row r="15">
      <c r="A15" s="120" t="s">
        <v>74</v>
      </c>
      <c r="B15" s="121" t="str">
        <f>iferror(
if(
sumifs(
#REF!,
'Player Stats - Current Week'!C:C,
iferror(
vlookup(
CONCATENATE("Week 3",B2), 
'Raw With Formulas'!J:N,
2,false
),
vlookup(CONCATENATE("Week 3",B2), 'Raw With Formulas'!K:N,4,false))) 
= 0,
"BYE, GAME NOT STARTED, OR NO STATS YET",
iferror(
sumifs(
#REF!,
'Player Stats - Current Week'!C:C,
iferror(
vlookup(
CONCATENATE("Week 3",B2), 
'Raw With Formulas'!J:N,
2,false
),
vlookup(CONCATENATE("Week 3",B2), 'Raw With Formulas'!K:N,4,false))),
""
)
),
"BYE, GAME NOT STARTED, OR NO STATS YET"
)</f>
        <v>BYE, GAME NOT STARTED, OR NO STATS YET</v>
      </c>
      <c r="C15" s="22"/>
      <c r="D15" s="122"/>
      <c r="E15" s="119"/>
      <c r="F15" s="22"/>
      <c r="H15" s="22"/>
      <c r="I15" s="22"/>
      <c r="J15" s="22"/>
      <c r="K15" s="22"/>
      <c r="L15" s="22"/>
      <c r="M15" s="22"/>
      <c r="N15" s="22"/>
      <c r="O15" s="22"/>
    </row>
    <row r="16">
      <c r="A16" s="120" t="s">
        <v>91</v>
      </c>
      <c r="B16" s="121" t="str">
        <f>if(MAXIFS('Player Stats - Current Week'!F:F,'Player Stats - Current Week'!C:C,B2,'Player Stats - Current Week'!D:D,"TE")=0,"BYE, GAME NOT STARTED, OR NO STATS YET",iferror(MAXIFS('Player Stats - Current Week'!F:F,'Player Stats - Current Week'!C:C,B2,'Player Stats - Current Week'!D:D,"TE"),""))</f>
        <v>BYE, GAME NOT STARTED, OR NO STATS YET</v>
      </c>
      <c r="C16" s="22"/>
      <c r="D16" s="122"/>
      <c r="E16" s="119"/>
      <c r="F16" s="22"/>
      <c r="G16" s="22"/>
      <c r="H16" s="22"/>
      <c r="I16" s="22"/>
      <c r="J16" s="22"/>
      <c r="K16" s="22"/>
      <c r="L16" s="22"/>
      <c r="M16" s="22"/>
      <c r="N16" s="22"/>
      <c r="O16" s="22"/>
    </row>
    <row r="17">
      <c r="A17" s="120" t="s">
        <v>108</v>
      </c>
      <c r="B17" s="121" t="str">
        <f>if(MAXIFS('Player Stats - Current Week'!Q:Q,'Player Stats - Current Week'!C:C,B2,'Player Stats - Current Week'!D:D,"WR")=0,"BYE, GAME NOT STARTED, OR NO STATS YET",iferror(MAXIFS('Player Stats - Current Week'!Q:Q,'Player Stats - Current Week'!C:C,B2,'Player Stats - Current Week'!D:D,"WR"),""))</f>
        <v>BYE, GAME NOT STARTED, OR NO STATS YET</v>
      </c>
      <c r="C17" s="22"/>
      <c r="D17" s="123"/>
      <c r="E17" s="119"/>
      <c r="F17" s="22"/>
      <c r="G17" s="22"/>
      <c r="H17" s="22"/>
      <c r="I17" s="22"/>
      <c r="J17" s="22"/>
      <c r="K17" s="22"/>
      <c r="L17" s="22"/>
      <c r="M17" s="22"/>
      <c r="N17" s="22"/>
      <c r="O17" s="22"/>
    </row>
    <row r="18">
      <c r="A18" s="120" t="s">
        <v>123</v>
      </c>
      <c r="B18" s="121" t="str">
        <f>if((SUMIFS('Player Stats - Current Week'!L:L,'Player Stats - Current Week'!C:C,B2)+SUMIFS('Player Stats - Current Week'!R:R,'Player Stats - Current Week'!C:C,B2))=0,"BYE, GAME NOT STARTED, OR NO STATS YET",((SUMIFS('Player Stats - Current Week'!R:R,'Player Stats - Current Week'!C:C,B2)*6)+SUMIFS('Player Stats - Current Week'!L:L,'Player Stats - Current Week'!C:C,B2)))</f>
        <v>BYE, GAME NOT STARTED, OR NO STATS YET</v>
      </c>
      <c r="C18" s="22"/>
      <c r="D18" s="124"/>
      <c r="E18" s="119"/>
      <c r="F18" s="22"/>
      <c r="G18" s="22"/>
      <c r="H18" s="22"/>
      <c r="I18" s="22"/>
      <c r="J18" s="22"/>
      <c r="K18" s="22"/>
      <c r="L18" s="22"/>
      <c r="M18" s="22"/>
      <c r="N18" s="22"/>
      <c r="O18" s="22"/>
    </row>
    <row r="19" ht="18.75" customHeight="1">
      <c r="A19" s="120" t="s">
        <v>138</v>
      </c>
      <c r="B19" s="110" t="str">
        <f>if((SUMIFS('Player Stats - Current Week'!G:G,'Player Stats - Current Week'!C:C,B2,'Player Stats - Current Week'!D:D,"RB")+SUMIFS('Player Stats - Current Week'!E:E,'Player Stats - Current Week'!C:C,B2,'Player Stats - Current Week'!D:D,"RB"))=0,"BYE, GAME NOT STARTED, OR NO STATS YET",((SUMIFS('Player Stats - Current Week'!G:G,'Player Stats - Current Week'!C:C,B2,'Player Stats - Current Week'!D:D,"RB")*6)+SUMIFS('Player Stats - Current Week'!E:E,'Player Stats - Current Week'!C:C,B2,'Player Stats - Current Week'!D:D,"RB")))</f>
        <v>BYE, GAME NOT STARTED, OR NO STATS YET</v>
      </c>
      <c r="C19" s="22"/>
      <c r="D19" s="125"/>
      <c r="E19" s="119"/>
      <c r="F19" s="22"/>
      <c r="G19" s="22"/>
      <c r="H19" s="22"/>
      <c r="I19" s="22"/>
      <c r="J19" s="22"/>
      <c r="K19" s="22"/>
      <c r="L19" s="22"/>
      <c r="M19" s="22"/>
      <c r="N19" s="22"/>
      <c r="O19" s="22"/>
    </row>
    <row r="20" ht="20.25" customHeight="1">
      <c r="A20" s="120" t="s">
        <v>154</v>
      </c>
      <c r="B20" s="110" t="str">
        <f>if(MAXIFS('Player Stats - Current Week'!L:L,'Player Stats - Current Week'!C:C,B2,'Player Stats - Current Week'!D:D,"PK")=0,"BYE, GAME NOT STARTED, OR NO STATS YET",iferror(MAXIFS('Player Stats - Current Week'!L:L,'Player Stats - Current Week'!C:C,B2,'Player Stats - Current Week'!D:D,"PK"),""))</f>
        <v>BYE, GAME NOT STARTED, OR NO STATS YET</v>
      </c>
      <c r="C20" s="22"/>
      <c r="D20" s="123"/>
      <c r="E20" s="119"/>
      <c r="F20" s="22"/>
      <c r="G20" s="22"/>
      <c r="H20" s="22"/>
      <c r="I20" s="126"/>
      <c r="J20" s="22"/>
      <c r="K20" s="22"/>
      <c r="L20" s="22"/>
      <c r="M20" s="22"/>
      <c r="N20" s="22"/>
      <c r="O20" s="22"/>
    </row>
    <row r="21">
      <c r="A21" s="120" t="s">
        <v>171</v>
      </c>
      <c r="B21" s="110" t="str">
        <f>if(MAXIFS('Player Stats - Current Week'!N:N,'Player Stats - Current Week'!C:C,B2,'Player Stats - Current Week'!D:D,"QB")=0,"BYE, GAME NOT STARTED, OR NO STATS YET",iferror(MAXIFS('Player Stats - Current Week'!N:N,'Player Stats - Current Week'!C:C,B2,'Player Stats - Current Week'!D:D,"QB"),""))</f>
        <v>BYE, GAME NOT STARTED, OR NO STATS YET</v>
      </c>
      <c r="C21" s="22"/>
      <c r="D21" s="123"/>
      <c r="E21" s="119"/>
      <c r="F21" s="22"/>
      <c r="G21" s="22"/>
      <c r="H21" s="22"/>
      <c r="I21" s="22"/>
      <c r="J21" s="22"/>
      <c r="K21" s="22"/>
      <c r="L21" s="22"/>
      <c r="M21" s="22"/>
      <c r="N21" s="22"/>
      <c r="O21" s="22"/>
    </row>
    <row r="22">
      <c r="A22" s="120" t="s">
        <v>187</v>
      </c>
      <c r="B22" s="110" t="str">
        <f>if(SUMIFS('Player Stats - Current Week'!O:O,'Player Stats - Current Week'!C:C,B2)=0,"BYE, GAME NOT STARTED, OR NO STATS YET",iferror(SUMIFS('Player Stats - Current Week'!O:O,'Player Stats - Current Week'!C:C,B2),""))</f>
        <v>BYE, GAME NOT STARTED, OR NO STATS YET</v>
      </c>
      <c r="C22" s="110"/>
      <c r="D22" s="124"/>
      <c r="E22" s="119"/>
      <c r="F22" s="22"/>
      <c r="G22" s="22"/>
      <c r="H22" s="22"/>
      <c r="I22" s="22"/>
      <c r="J22" s="22"/>
      <c r="K22" s="22"/>
      <c r="L22" s="22"/>
      <c r="M22" s="22"/>
      <c r="N22" s="22"/>
      <c r="O22" s="22"/>
    </row>
    <row r="23">
      <c r="A23" s="120" t="s">
        <v>202</v>
      </c>
      <c r="B23" s="110" t="str">
        <f>if(MAXIFS('Player Stats - Current Week'!Q:Q,'Player Stats - Current Week'!C:C,B2,'Player Stats - Current Week'!D:D,"TE")=0,"BYE, GAME NOT STARTED, OR NO STATS YET",iferror(MAXIFS('Player Stats - Current Week'!Q:Q,'Player Stats - Current Week'!C:C,B2,'Player Stats - Current Week'!D:D,"TE"),""))</f>
        <v>BYE, GAME NOT STARTED, OR NO STATS YET</v>
      </c>
      <c r="C23" s="110"/>
      <c r="D23" s="124"/>
      <c r="E23" s="119"/>
      <c r="F23" s="22"/>
      <c r="G23" s="22"/>
      <c r="H23" s="22"/>
      <c r="I23" s="22"/>
      <c r="J23" s="22"/>
      <c r="K23" s="22"/>
      <c r="L23" s="22"/>
      <c r="M23" s="22"/>
      <c r="N23" s="22"/>
      <c r="O23" s="22"/>
    </row>
    <row r="24">
      <c r="A24" s="120" t="s">
        <v>217</v>
      </c>
      <c r="B24" s="110" t="str">
        <f>if(MAXIFS('Player Stats - Current Week'!S:S,'Player Stats - Current Week'!C:C,B2)=0,"BYE, GAME NOT STARTED, OR NO STATS YET",iferror(MAXIFS('Player Stats - Current Week'!S:S,'Player Stats - Current Week'!C:C,B2),""))</f>
        <v>BYE, GAME NOT STARTED, OR NO STATS YET</v>
      </c>
      <c r="C24" s="110"/>
      <c r="D24" s="127"/>
      <c r="E24" s="119"/>
      <c r="F24" s="22"/>
      <c r="G24" s="22"/>
      <c r="H24" s="22"/>
      <c r="I24" s="22"/>
      <c r="J24" s="22"/>
      <c r="K24" s="22"/>
      <c r="L24" s="22"/>
      <c r="M24" s="22"/>
      <c r="N24" s="22"/>
      <c r="O24" s="22"/>
    </row>
    <row r="25">
      <c r="A25" s="120" t="s">
        <v>231</v>
      </c>
      <c r="B25" s="109" t="str">
        <f>if(MAXIFS('Player Stats - Current Week'!G:G,'Player Stats - Current Week'!C:C,B2,'Player Stats - Current Week'!D:D,"QB")=0,"BYE, GAME NOT STARTED, OR NO STATS YET",iferror(MAXIFS('Player Stats - Current Week'!G:G,'Player Stats - Current Week'!C:C,B2,'Player Stats - Current Week'!D:D,"QB"),""))</f>
        <v>BYE, GAME NOT STARTED, OR NO STATS YET</v>
      </c>
      <c r="C25" s="22"/>
      <c r="D25" s="128"/>
      <c r="E25" s="119"/>
      <c r="F25" s="22"/>
      <c r="G25" s="22"/>
      <c r="H25" s="22"/>
      <c r="I25" s="22"/>
      <c r="J25" s="22"/>
      <c r="K25" s="22"/>
      <c r="L25" s="22"/>
      <c r="M25" s="22"/>
      <c r="N25" s="22"/>
      <c r="O25" s="22"/>
    </row>
    <row r="26">
      <c r="A26" s="120" t="s">
        <v>248</v>
      </c>
      <c r="B26" s="109" t="str">
        <f>if(iferror(vlookup(CONCATENATE("Week 14",B2),'Raw With Formulas'!J:M,4,false),iferror(vlookup(CONCATENATE("Week 14",B2),'Raw With Formulas'!K:M,2,false),"BYE OR GAME NOT STARTED"))="","BYE OR GAME NOT STARTED",iferror(vlookup(CONCATENATE("Week 14",B2),'Raw With Formulas'!J:M,4,false),iferror(vlookup(CONCATENATE("Week 14",B2),'Raw With Formulas'!K:M,2,false),"BYE OR GAME NOT STARTED")))</f>
        <v>BYE OR GAME NOT STARTED</v>
      </c>
      <c r="C26" s="22"/>
      <c r="D26" s="128"/>
      <c r="E26" s="119"/>
      <c r="F26" s="22"/>
      <c r="G26" s="22"/>
      <c r="H26" s="22"/>
      <c r="I26" s="22"/>
      <c r="J26" s="22"/>
      <c r="K26" s="22"/>
      <c r="L26" s="22"/>
      <c r="M26" s="22"/>
      <c r="N26" s="22"/>
      <c r="O26" s="22"/>
    </row>
    <row r="27">
      <c r="A27" s="120" t="s">
        <v>262</v>
      </c>
      <c r="B27" s="109" t="str">
        <f>if(MAXIFS('Player Stats - Current Week'!Q:Q,'Player Stats - Current Week'!C:C,B2,'Player Stats - Current Week'!D:D,"QB")=0,"BYE, GAME NOT STARTED, OR NO STATS YET",iferror(MAXIFS('Player Stats - Current Week'!Q:Q,'Player Stats - Current Week'!C:C,B2,'Player Stats - Current Week'!D:D,"QB"),""))</f>
        <v>BYE, GAME NOT STARTED, OR NO STATS YET</v>
      </c>
      <c r="C27" s="22"/>
      <c r="D27" s="128"/>
      <c r="E27" s="119"/>
      <c r="F27" s="22"/>
      <c r="G27" s="22"/>
      <c r="H27" s="22"/>
      <c r="I27" s="22"/>
      <c r="J27" s="22"/>
      <c r="K27" s="22"/>
      <c r="L27" s="22"/>
      <c r="M27" s="22"/>
      <c r="N27" s="22"/>
      <c r="O27" s="22"/>
    </row>
    <row r="28">
      <c r="A28" s="120" t="s">
        <v>279</v>
      </c>
      <c r="B28" s="109" t="str">
        <f>if(iferror(vlookup(CONCATENATE("Week 16",B2),'Raw With Formulas'!J:M,3,false),iferror(vlookup(CONCATENATE("Week 16",B2),'Raw With Formulas'!K:M,3,false),"BYE OR GAME NOT STARTED"))="","BYE OR GAME NOT STARTED",iferror(vlookup(CONCATENATE("Week 16",B2),'Raw With Formulas'!J:M,3,false),iferror(vlookup(CONCATENATE("Week 16",B2),'Raw With Formulas'!K:M,3,false),"BYE OR GAME NOT STARTED")))</f>
        <v>BYE OR GAME NOT STARTED</v>
      </c>
      <c r="C28" s="22"/>
      <c r="D28" s="128"/>
      <c r="E28" s="119"/>
      <c r="F28" s="22"/>
      <c r="G28" s="22"/>
      <c r="H28" s="22"/>
      <c r="I28" s="22"/>
      <c r="J28" s="22"/>
      <c r="K28" s="22"/>
      <c r="L28" s="22"/>
      <c r="M28" s="22"/>
      <c r="N28" s="22"/>
      <c r="O28" s="22"/>
    </row>
    <row r="29">
      <c r="A29" s="120" t="s">
        <v>296</v>
      </c>
      <c r="B29" s="109" t="str">
        <f>if(MAXIFS('Player Stats - Current Week'!F:F,'Player Stats - Current Week'!C:C,B2,'Player Stats - Current Week'!D:D,"WR")=0,"BYE, GAME NOT STARTED, OR NO STATS YET",iferror(MAXIFS('Player Stats - Current Week'!F:F,'Player Stats - Current Week'!C:C,B2,'Player Stats - Current Week'!D:D,"WR"),""))</f>
        <v>BYE, GAME NOT STARTED, OR NO STATS YET</v>
      </c>
      <c r="C29" s="22"/>
      <c r="D29" s="128"/>
      <c r="E29" s="119"/>
      <c r="F29" s="22"/>
      <c r="G29" s="22"/>
      <c r="H29" s="22"/>
      <c r="I29" s="22"/>
      <c r="J29" s="22"/>
      <c r="K29" s="22"/>
      <c r="L29" s="22"/>
      <c r="M29" s="22"/>
      <c r="N29" s="22"/>
      <c r="O29" s="22"/>
    </row>
    <row r="30">
      <c r="A30" s="129" t="s">
        <v>313</v>
      </c>
      <c r="B30" s="130" t="str">
        <f>if(MAXIFS('Player Stats - Current Week'!Q:Q,'Player Stats - Current Week'!C:C,B2,'Player Stats - Current Week'!D:D,"RB")=0,"BYE, GAME NOT STARTED, OR NO STATS YET",iferror(MAXIFS('Player Stats - Current Week'!Q:Q,'Player Stats - Current Week'!C:C,B2,'Player Stats - Current Week'!D:D,"RB"),""))</f>
        <v>BYE, GAME NOT STARTED, OR NO STATS YET</v>
      </c>
      <c r="C30" s="131"/>
      <c r="D30" s="132"/>
      <c r="E30" s="119"/>
      <c r="F30" s="22"/>
      <c r="G30" s="22"/>
      <c r="H30" s="22"/>
      <c r="I30" s="22"/>
      <c r="J30" s="22"/>
      <c r="K30" s="22"/>
      <c r="L30" s="22"/>
      <c r="M30" s="22"/>
      <c r="N30" s="22"/>
      <c r="O30" s="22"/>
    </row>
    <row r="31">
      <c r="A31" s="133"/>
      <c r="B31" s="134"/>
      <c r="C31" s="25"/>
      <c r="D31" s="25"/>
      <c r="E31" s="22"/>
      <c r="F31" s="22"/>
      <c r="G31" s="22"/>
      <c r="H31" s="22"/>
      <c r="I31" s="22"/>
      <c r="J31" s="22"/>
      <c r="K31" s="22"/>
      <c r="L31" s="22"/>
      <c r="M31" s="22"/>
      <c r="N31" s="22"/>
      <c r="O31" s="22"/>
    </row>
    <row r="32">
      <c r="A32" s="135" t="s">
        <v>460</v>
      </c>
      <c r="B32" s="109"/>
      <c r="C32" s="22"/>
      <c r="D32" s="136"/>
      <c r="E32" s="22"/>
      <c r="F32" s="22"/>
      <c r="G32" s="22"/>
      <c r="H32" s="22"/>
      <c r="I32" s="22"/>
      <c r="J32" s="22"/>
      <c r="K32" s="22"/>
      <c r="L32" s="22"/>
      <c r="M32" s="22"/>
      <c r="N32" s="22"/>
      <c r="O32" s="22"/>
    </row>
    <row r="33">
      <c r="A33" s="109" t="s">
        <v>461</v>
      </c>
      <c r="B33" s="126"/>
      <c r="C33" s="22"/>
      <c r="D33" s="22"/>
      <c r="E33" s="22"/>
      <c r="F33" s="22"/>
      <c r="G33" s="22"/>
      <c r="H33" s="22"/>
      <c r="I33" s="22"/>
      <c r="J33" s="22"/>
      <c r="K33" s="22"/>
      <c r="L33" s="22"/>
      <c r="M33" s="22"/>
      <c r="N33" s="22"/>
      <c r="O33" s="22"/>
    </row>
    <row r="34">
      <c r="A34" s="126"/>
      <c r="B34" s="126"/>
      <c r="C34" s="22"/>
      <c r="D34" s="22"/>
      <c r="E34" s="22"/>
      <c r="F34" s="22"/>
      <c r="G34" s="22"/>
      <c r="H34" s="22"/>
      <c r="I34" s="22"/>
      <c r="J34" s="22"/>
      <c r="K34" s="22"/>
      <c r="L34" s="22"/>
      <c r="M34" s="22"/>
      <c r="N34" s="22"/>
      <c r="O34" s="22"/>
    </row>
    <row r="35">
      <c r="A35" s="126"/>
      <c r="B35" s="126"/>
      <c r="C35" s="22"/>
      <c r="D35" s="22"/>
      <c r="E35" s="22"/>
      <c r="F35" s="22"/>
      <c r="G35" s="22"/>
      <c r="H35" s="22"/>
      <c r="I35" s="22"/>
      <c r="J35" s="22"/>
      <c r="K35" s="22"/>
      <c r="L35" s="22"/>
      <c r="M35" s="22"/>
      <c r="N35" s="22"/>
      <c r="O35" s="22"/>
    </row>
    <row r="36">
      <c r="A36" s="126"/>
      <c r="B36" s="126"/>
      <c r="C36" s="22"/>
      <c r="D36" s="22"/>
      <c r="E36" s="22"/>
      <c r="F36" s="22"/>
      <c r="G36" s="22"/>
      <c r="H36" s="22"/>
      <c r="I36" s="22"/>
      <c r="J36" s="22"/>
      <c r="K36" s="22"/>
      <c r="L36" s="22"/>
      <c r="M36" s="22"/>
      <c r="N36" s="22"/>
      <c r="O36" s="22"/>
    </row>
    <row r="37">
      <c r="A37" s="126"/>
      <c r="B37" s="126"/>
      <c r="C37" s="22"/>
      <c r="D37" s="22"/>
      <c r="E37" s="22"/>
      <c r="F37" s="22"/>
      <c r="G37" s="22"/>
      <c r="H37" s="22"/>
      <c r="I37" s="22"/>
      <c r="J37" s="22"/>
      <c r="K37" s="22"/>
      <c r="L37" s="22"/>
      <c r="M37" s="22"/>
      <c r="N37" s="22"/>
      <c r="O37" s="22"/>
    </row>
    <row r="38">
      <c r="A38" s="126"/>
      <c r="B38" s="126"/>
      <c r="C38" s="22"/>
      <c r="D38" s="22"/>
      <c r="E38" s="22"/>
      <c r="F38" s="22"/>
      <c r="G38" s="22"/>
      <c r="H38" s="22"/>
      <c r="I38" s="22"/>
      <c r="J38" s="22"/>
      <c r="K38" s="22"/>
      <c r="L38" s="22"/>
      <c r="M38" s="22"/>
      <c r="N38" s="22"/>
      <c r="O38" s="22"/>
    </row>
    <row r="39">
      <c r="A39" s="126"/>
      <c r="B39" s="126"/>
      <c r="C39" s="22"/>
      <c r="D39" s="22"/>
      <c r="E39" s="22"/>
      <c r="F39" s="22"/>
      <c r="G39" s="22"/>
      <c r="H39" s="22"/>
      <c r="I39" s="22"/>
      <c r="J39" s="22"/>
      <c r="K39" s="22"/>
      <c r="L39" s="22"/>
      <c r="M39" s="22"/>
      <c r="N39" s="22"/>
      <c r="O39" s="22"/>
    </row>
    <row r="40">
      <c r="A40" s="126"/>
      <c r="B40" s="126"/>
      <c r="C40" s="22"/>
      <c r="D40" s="22"/>
      <c r="E40" s="22"/>
      <c r="F40" s="22"/>
      <c r="G40" s="22"/>
      <c r="H40" s="22"/>
      <c r="I40" s="22"/>
      <c r="J40" s="22"/>
      <c r="K40" s="22"/>
      <c r="L40" s="22"/>
      <c r="M40" s="22"/>
      <c r="N40" s="22"/>
      <c r="O40" s="22"/>
    </row>
    <row r="41">
      <c r="A41" s="126"/>
      <c r="B41" s="126"/>
      <c r="C41" s="22"/>
      <c r="D41" s="22"/>
      <c r="E41" s="22"/>
      <c r="F41" s="22"/>
      <c r="G41" s="22"/>
      <c r="H41" s="22"/>
      <c r="I41" s="22"/>
      <c r="J41" s="22"/>
      <c r="K41" s="22"/>
      <c r="L41" s="22"/>
      <c r="M41" s="22"/>
      <c r="N41" s="22"/>
      <c r="O41" s="22"/>
    </row>
    <row r="42">
      <c r="A42" s="126"/>
      <c r="B42" s="126"/>
      <c r="C42" s="22"/>
      <c r="D42" s="22"/>
      <c r="E42" s="22"/>
      <c r="F42" s="22"/>
      <c r="G42" s="22"/>
      <c r="H42" s="22"/>
      <c r="I42" s="22"/>
      <c r="J42" s="22"/>
      <c r="K42" s="22"/>
      <c r="L42" s="22"/>
      <c r="M42" s="22"/>
      <c r="N42" s="22"/>
      <c r="O42" s="22"/>
    </row>
  </sheetData>
  <drawing r:id="rId1"/>
  <tableParts count="3">
    <tablePart r:id="rId5"/>
    <tablePart r:id="rId6"/>
    <tablePart r:id="rId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5.38"/>
    <col customWidth="1" min="11" max="11" width="15.88"/>
    <col customWidth="1" min="14" max="14" width="20.63"/>
  </cols>
  <sheetData>
    <row r="1">
      <c r="A1" s="137" t="str">
        <f>IFERROR(__xludf.DUMMYFUNCTION("IMPORTRANGE(""https://docs.google.com/spreadsheets/d/1nAB4oWA_Z2OlfafXAET78w79PCBTfcdCGC-Nl-GK2Ug/edit?gid=2141469202#gid=2141469202"",""'Raw Game Level Data - API Import'!A:G"")"),"Game")</f>
        <v>Game</v>
      </c>
      <c r="B1" s="137" t="str">
        <f>IFERROR(__xludf.DUMMYFUNCTION("""COMPUTED_VALUE"""),"Away_Team")</f>
        <v>Away_Team</v>
      </c>
      <c r="C1" s="137" t="str">
        <f>IFERROR(__xludf.DUMMYFUNCTION("""COMPUTED_VALUE"""),"Home_Team")</f>
        <v>Home_Team</v>
      </c>
      <c r="D1" s="137" t="str">
        <f>IFERROR(__xludf.DUMMYFUNCTION("""COMPUTED_VALUE"""),"Away_Pts")</f>
        <v>Away_Pts</v>
      </c>
      <c r="E1" s="137" t="str">
        <f>IFERROR(__xludf.DUMMYFUNCTION("""COMPUTED_VALUE"""),"Home_Pts")</f>
        <v>Home_Pts</v>
      </c>
      <c r="F1" s="137" t="str">
        <f>IFERROR(__xludf.DUMMYFUNCTION("""COMPUTED_VALUE"""),"Week")</f>
        <v>Week</v>
      </c>
      <c r="G1" s="137" t="str">
        <f>IFERROR(__xludf.DUMMYFUNCTION("""COMPUTED_VALUE"""),"Status")</f>
        <v>Status</v>
      </c>
      <c r="H1" s="1" t="s">
        <v>462</v>
      </c>
      <c r="I1" s="1" t="s">
        <v>463</v>
      </c>
      <c r="J1" s="1" t="s">
        <v>464</v>
      </c>
      <c r="K1" s="1" t="s">
        <v>465</v>
      </c>
      <c r="L1" s="1" t="s">
        <v>466</v>
      </c>
      <c r="M1" s="1" t="s">
        <v>467</v>
      </c>
      <c r="N1" s="1" t="s">
        <v>468</v>
      </c>
    </row>
    <row r="2">
      <c r="A2" s="137" t="str">
        <f>IFERROR(__xludf.DUMMYFUNCTION("""COMPUTED_VALUE"""),"20240909_NYJ@SF")</f>
        <v>20240909_NYJ@SF</v>
      </c>
      <c r="B2" s="137" t="str">
        <f>IFERROR(__xludf.DUMMYFUNCTION("""COMPUTED_VALUE"""),"NYJ")</f>
        <v>NYJ</v>
      </c>
      <c r="C2" s="137" t="str">
        <f>IFERROR(__xludf.DUMMYFUNCTION("""COMPUTED_VALUE"""),"SF")</f>
        <v>SF</v>
      </c>
      <c r="D2" s="137"/>
      <c r="E2" s="137"/>
      <c r="F2" s="137" t="str">
        <f>IFERROR(__xludf.DUMMYFUNCTION("""COMPUTED_VALUE"""),"Week 1")</f>
        <v>Week 1</v>
      </c>
      <c r="G2" s="137">
        <f>IFERROR(__xludf.DUMMYFUNCTION("""COMPUTED_VALUE"""),0.0)</f>
        <v>0</v>
      </c>
      <c r="H2" s="137" t="str">
        <f t="shared" ref="H2:H481" si="2">if(E2&gt;D2,C2,if(D2&gt;E2,B2,""))</f>
        <v/>
      </c>
      <c r="I2" s="137" t="str">
        <f t="shared" ref="I2:I481" si="3">if(E2&lt;D2,C2,if(D2&lt;E2,B2,""))</f>
        <v/>
      </c>
      <c r="J2" s="137" t="str">
        <f t="shared" ref="J2:J481" si="4">CONCAT(F2,B2)</f>
        <v>Week 1NYJ</v>
      </c>
      <c r="K2" s="137" t="str">
        <f t="shared" ref="K2:K481" si="5">CONCAT(F2,C2)</f>
        <v>Week 1SF</v>
      </c>
      <c r="L2" s="137" t="str">
        <f t="shared" ref="L2:M2" si="1">D2</f>
        <v/>
      </c>
      <c r="M2" s="137" t="str">
        <f t="shared" si="1"/>
        <v/>
      </c>
      <c r="N2" s="137" t="str">
        <f t="shared" ref="N2:N481" si="7">CONCAT(F2,B2)</f>
        <v>Week 1NYJ</v>
      </c>
    </row>
    <row r="3">
      <c r="A3" s="137" t="str">
        <f>IFERROR(__xludf.DUMMYFUNCTION("""COMPUTED_VALUE"""),"20240908_ARI@BUF")</f>
        <v>20240908_ARI@BUF</v>
      </c>
      <c r="B3" s="137" t="str">
        <f>IFERROR(__xludf.DUMMYFUNCTION("""COMPUTED_VALUE"""),"ARI")</f>
        <v>ARI</v>
      </c>
      <c r="C3" s="137" t="str">
        <f>IFERROR(__xludf.DUMMYFUNCTION("""COMPUTED_VALUE"""),"BUF")</f>
        <v>BUF</v>
      </c>
      <c r="D3" s="137"/>
      <c r="E3" s="137"/>
      <c r="F3" s="137" t="str">
        <f>IFERROR(__xludf.DUMMYFUNCTION("""COMPUTED_VALUE"""),"Week 1")</f>
        <v>Week 1</v>
      </c>
      <c r="G3" s="137">
        <f>IFERROR(__xludf.DUMMYFUNCTION("""COMPUTED_VALUE"""),0.0)</f>
        <v>0</v>
      </c>
      <c r="H3" s="137" t="str">
        <f t="shared" si="2"/>
        <v/>
      </c>
      <c r="I3" s="137" t="str">
        <f t="shared" si="3"/>
        <v/>
      </c>
      <c r="J3" s="137" t="str">
        <f t="shared" si="4"/>
        <v>Week 1ARI</v>
      </c>
      <c r="K3" s="137" t="str">
        <f t="shared" si="5"/>
        <v>Week 1BUF</v>
      </c>
      <c r="L3" s="137" t="str">
        <f t="shared" ref="L3:M3" si="6">D3</f>
        <v/>
      </c>
      <c r="M3" s="137" t="str">
        <f t="shared" si="6"/>
        <v/>
      </c>
      <c r="N3" s="137" t="str">
        <f t="shared" si="7"/>
        <v>Week 1ARI</v>
      </c>
    </row>
    <row r="4">
      <c r="A4" s="137" t="str">
        <f>IFERROR(__xludf.DUMMYFUNCTION("""COMPUTED_VALUE"""),"20240908_NE@CIN")</f>
        <v>20240908_NE@CIN</v>
      </c>
      <c r="B4" s="137" t="str">
        <f>IFERROR(__xludf.DUMMYFUNCTION("""COMPUTED_VALUE"""),"NE")</f>
        <v>NE</v>
      </c>
      <c r="C4" s="137" t="str">
        <f>IFERROR(__xludf.DUMMYFUNCTION("""COMPUTED_VALUE"""),"CIN")</f>
        <v>CIN</v>
      </c>
      <c r="D4" s="137"/>
      <c r="E4" s="137"/>
      <c r="F4" s="137" t="str">
        <f>IFERROR(__xludf.DUMMYFUNCTION("""COMPUTED_VALUE"""),"Week 1")</f>
        <v>Week 1</v>
      </c>
      <c r="G4" s="137">
        <f>IFERROR(__xludf.DUMMYFUNCTION("""COMPUTED_VALUE"""),0.0)</f>
        <v>0</v>
      </c>
      <c r="H4" s="137" t="str">
        <f t="shared" si="2"/>
        <v/>
      </c>
      <c r="I4" s="137" t="str">
        <f t="shared" si="3"/>
        <v/>
      </c>
      <c r="J4" s="137" t="str">
        <f t="shared" si="4"/>
        <v>Week 1NE</v>
      </c>
      <c r="K4" s="137" t="str">
        <f t="shared" si="5"/>
        <v>Week 1CIN</v>
      </c>
      <c r="L4" s="137" t="str">
        <f t="shared" ref="L4:M4" si="8">D4</f>
        <v/>
      </c>
      <c r="M4" s="137" t="str">
        <f t="shared" si="8"/>
        <v/>
      </c>
      <c r="N4" s="137" t="str">
        <f t="shared" si="7"/>
        <v>Week 1NE</v>
      </c>
    </row>
    <row r="5">
      <c r="A5" s="137" t="str">
        <f>IFERROR(__xludf.DUMMYFUNCTION("""COMPUTED_VALUE"""),"20240908_DEN@SEA")</f>
        <v>20240908_DEN@SEA</v>
      </c>
      <c r="B5" s="137" t="str">
        <f>IFERROR(__xludf.DUMMYFUNCTION("""COMPUTED_VALUE"""),"DEN")</f>
        <v>DEN</v>
      </c>
      <c r="C5" s="137" t="str">
        <f>IFERROR(__xludf.DUMMYFUNCTION("""COMPUTED_VALUE"""),"SEA")</f>
        <v>SEA</v>
      </c>
      <c r="D5" s="137"/>
      <c r="E5" s="137"/>
      <c r="F5" s="137" t="str">
        <f>IFERROR(__xludf.DUMMYFUNCTION("""COMPUTED_VALUE"""),"Week 1")</f>
        <v>Week 1</v>
      </c>
      <c r="G5" s="137">
        <f>IFERROR(__xludf.DUMMYFUNCTION("""COMPUTED_VALUE"""),0.0)</f>
        <v>0</v>
      </c>
      <c r="H5" s="137" t="str">
        <f t="shared" si="2"/>
        <v/>
      </c>
      <c r="I5" s="137" t="str">
        <f t="shared" si="3"/>
        <v/>
      </c>
      <c r="J5" s="137" t="str">
        <f t="shared" si="4"/>
        <v>Week 1DEN</v>
      </c>
      <c r="K5" s="137" t="str">
        <f t="shared" si="5"/>
        <v>Week 1SEA</v>
      </c>
      <c r="L5" s="137" t="str">
        <f t="shared" ref="L5:M5" si="9">D5</f>
        <v/>
      </c>
      <c r="M5" s="137" t="str">
        <f t="shared" si="9"/>
        <v/>
      </c>
      <c r="N5" s="137" t="str">
        <f t="shared" si="7"/>
        <v>Week 1DEN</v>
      </c>
    </row>
    <row r="6">
      <c r="A6" s="137" t="str">
        <f>IFERROR(__xludf.DUMMYFUNCTION("""COMPUTED_VALUE"""),"20240908_DAL@CLE")</f>
        <v>20240908_DAL@CLE</v>
      </c>
      <c r="B6" s="137" t="str">
        <f>IFERROR(__xludf.DUMMYFUNCTION("""COMPUTED_VALUE"""),"DAL")</f>
        <v>DAL</v>
      </c>
      <c r="C6" s="137" t="str">
        <f>IFERROR(__xludf.DUMMYFUNCTION("""COMPUTED_VALUE"""),"CLE")</f>
        <v>CLE</v>
      </c>
      <c r="D6" s="137"/>
      <c r="E6" s="137"/>
      <c r="F6" s="137" t="str">
        <f>IFERROR(__xludf.DUMMYFUNCTION("""COMPUTED_VALUE"""),"Week 1")</f>
        <v>Week 1</v>
      </c>
      <c r="G6" s="137">
        <f>IFERROR(__xludf.DUMMYFUNCTION("""COMPUTED_VALUE"""),0.0)</f>
        <v>0</v>
      </c>
      <c r="H6" s="137" t="str">
        <f t="shared" si="2"/>
        <v/>
      </c>
      <c r="I6" s="137" t="str">
        <f t="shared" si="3"/>
        <v/>
      </c>
      <c r="J6" s="137" t="str">
        <f t="shared" si="4"/>
        <v>Week 1DAL</v>
      </c>
      <c r="K6" s="137" t="str">
        <f t="shared" si="5"/>
        <v>Week 1CLE</v>
      </c>
      <c r="L6" s="137" t="str">
        <f t="shared" ref="L6:M6" si="10">D6</f>
        <v/>
      </c>
      <c r="M6" s="137" t="str">
        <f t="shared" si="10"/>
        <v/>
      </c>
      <c r="N6" s="137" t="str">
        <f t="shared" si="7"/>
        <v>Week 1DAL</v>
      </c>
    </row>
    <row r="7">
      <c r="A7" s="137" t="str">
        <f>IFERROR(__xludf.DUMMYFUNCTION("""COMPUTED_VALUE"""),"20240908_HOU@IND")</f>
        <v>20240908_HOU@IND</v>
      </c>
      <c r="B7" s="137" t="str">
        <f>IFERROR(__xludf.DUMMYFUNCTION("""COMPUTED_VALUE"""),"HOU")</f>
        <v>HOU</v>
      </c>
      <c r="C7" s="137" t="str">
        <f>IFERROR(__xludf.DUMMYFUNCTION("""COMPUTED_VALUE"""),"IND")</f>
        <v>IND</v>
      </c>
      <c r="D7" s="137"/>
      <c r="E7" s="137"/>
      <c r="F7" s="137" t="str">
        <f>IFERROR(__xludf.DUMMYFUNCTION("""COMPUTED_VALUE"""),"Week 1")</f>
        <v>Week 1</v>
      </c>
      <c r="G7" s="137">
        <f>IFERROR(__xludf.DUMMYFUNCTION("""COMPUTED_VALUE"""),0.0)</f>
        <v>0</v>
      </c>
      <c r="H7" s="137" t="str">
        <f t="shared" si="2"/>
        <v/>
      </c>
      <c r="I7" s="137" t="str">
        <f t="shared" si="3"/>
        <v/>
      </c>
      <c r="J7" s="137" t="str">
        <f t="shared" si="4"/>
        <v>Week 1HOU</v>
      </c>
      <c r="K7" s="137" t="str">
        <f t="shared" si="5"/>
        <v>Week 1IND</v>
      </c>
      <c r="L7" s="137" t="str">
        <f t="shared" ref="L7:M7" si="11">D7</f>
        <v/>
      </c>
      <c r="M7" s="137" t="str">
        <f t="shared" si="11"/>
        <v/>
      </c>
      <c r="N7" s="137" t="str">
        <f t="shared" si="7"/>
        <v>Week 1HOU</v>
      </c>
    </row>
    <row r="8">
      <c r="A8" s="137" t="str">
        <f>IFERROR(__xludf.DUMMYFUNCTION("""COMPUTED_VALUE"""),"20240908_LV@LAC")</f>
        <v>20240908_LV@LAC</v>
      </c>
      <c r="B8" s="137" t="str">
        <f>IFERROR(__xludf.DUMMYFUNCTION("""COMPUTED_VALUE"""),"LV")</f>
        <v>LV</v>
      </c>
      <c r="C8" s="137" t="str">
        <f>IFERROR(__xludf.DUMMYFUNCTION("""COMPUTED_VALUE"""),"LAC")</f>
        <v>LAC</v>
      </c>
      <c r="D8" s="137"/>
      <c r="E8" s="137"/>
      <c r="F8" s="137" t="str">
        <f>IFERROR(__xludf.DUMMYFUNCTION("""COMPUTED_VALUE"""),"Week 1")</f>
        <v>Week 1</v>
      </c>
      <c r="G8" s="137">
        <f>IFERROR(__xludf.DUMMYFUNCTION("""COMPUTED_VALUE"""),0.0)</f>
        <v>0</v>
      </c>
      <c r="H8" s="137" t="str">
        <f t="shared" si="2"/>
        <v/>
      </c>
      <c r="I8" s="137" t="str">
        <f t="shared" si="3"/>
        <v/>
      </c>
      <c r="J8" s="137" t="str">
        <f t="shared" si="4"/>
        <v>Week 1LV</v>
      </c>
      <c r="K8" s="137" t="str">
        <f t="shared" si="5"/>
        <v>Week 1LAC</v>
      </c>
      <c r="L8" s="137" t="str">
        <f t="shared" ref="L8:M8" si="12">D8</f>
        <v/>
      </c>
      <c r="M8" s="137" t="str">
        <f t="shared" si="12"/>
        <v/>
      </c>
      <c r="N8" s="137" t="str">
        <f t="shared" si="7"/>
        <v>Week 1LV</v>
      </c>
    </row>
    <row r="9">
      <c r="A9" s="137" t="str">
        <f>IFERROR(__xludf.DUMMYFUNCTION("""COMPUTED_VALUE"""),"20240908_MIN@NYG")</f>
        <v>20240908_MIN@NYG</v>
      </c>
      <c r="B9" s="137" t="str">
        <f>IFERROR(__xludf.DUMMYFUNCTION("""COMPUTED_VALUE"""),"MIN")</f>
        <v>MIN</v>
      </c>
      <c r="C9" s="137" t="str">
        <f>IFERROR(__xludf.DUMMYFUNCTION("""COMPUTED_VALUE"""),"NYG")</f>
        <v>NYG</v>
      </c>
      <c r="D9" s="137"/>
      <c r="E9" s="137"/>
      <c r="F9" s="137" t="str">
        <f>IFERROR(__xludf.DUMMYFUNCTION("""COMPUTED_VALUE"""),"Week 1")</f>
        <v>Week 1</v>
      </c>
      <c r="G9" s="137">
        <f>IFERROR(__xludf.DUMMYFUNCTION("""COMPUTED_VALUE"""),0.0)</f>
        <v>0</v>
      </c>
      <c r="H9" s="137" t="str">
        <f t="shared" si="2"/>
        <v/>
      </c>
      <c r="I9" s="137" t="str">
        <f t="shared" si="3"/>
        <v/>
      </c>
      <c r="J9" s="137" t="str">
        <f t="shared" si="4"/>
        <v>Week 1MIN</v>
      </c>
      <c r="K9" s="137" t="str">
        <f t="shared" si="5"/>
        <v>Week 1NYG</v>
      </c>
      <c r="L9" s="137" t="str">
        <f t="shared" ref="L9:M9" si="13">D9</f>
        <v/>
      </c>
      <c r="M9" s="137" t="str">
        <f t="shared" si="13"/>
        <v/>
      </c>
      <c r="N9" s="137" t="str">
        <f t="shared" si="7"/>
        <v>Week 1MIN</v>
      </c>
    </row>
    <row r="10">
      <c r="A10" s="137" t="str">
        <f>IFERROR(__xludf.DUMMYFUNCTION("""COMPUTED_VALUE"""),"20240908_CAR@NO")</f>
        <v>20240908_CAR@NO</v>
      </c>
      <c r="B10" s="137" t="str">
        <f>IFERROR(__xludf.DUMMYFUNCTION("""COMPUTED_VALUE"""),"CAR")</f>
        <v>CAR</v>
      </c>
      <c r="C10" s="137" t="str">
        <f>IFERROR(__xludf.DUMMYFUNCTION("""COMPUTED_VALUE"""),"NO")</f>
        <v>NO</v>
      </c>
      <c r="D10" s="137"/>
      <c r="E10" s="137"/>
      <c r="F10" s="137" t="str">
        <f>IFERROR(__xludf.DUMMYFUNCTION("""COMPUTED_VALUE"""),"Week 1")</f>
        <v>Week 1</v>
      </c>
      <c r="G10" s="137">
        <f>IFERROR(__xludf.DUMMYFUNCTION("""COMPUTED_VALUE"""),0.0)</f>
        <v>0</v>
      </c>
      <c r="H10" s="137" t="str">
        <f t="shared" si="2"/>
        <v/>
      </c>
      <c r="I10" s="137" t="str">
        <f t="shared" si="3"/>
        <v/>
      </c>
      <c r="J10" s="137" t="str">
        <f t="shared" si="4"/>
        <v>Week 1CAR</v>
      </c>
      <c r="K10" s="137" t="str">
        <f t="shared" si="5"/>
        <v>Week 1NO</v>
      </c>
      <c r="L10" s="137" t="str">
        <f t="shared" ref="L10:M10" si="14">D10</f>
        <v/>
      </c>
      <c r="M10" s="137" t="str">
        <f t="shared" si="14"/>
        <v/>
      </c>
      <c r="N10" s="137" t="str">
        <f t="shared" si="7"/>
        <v>Week 1CAR</v>
      </c>
    </row>
    <row r="11">
      <c r="A11" s="137" t="str">
        <f>IFERROR(__xludf.DUMMYFUNCTION("""COMPUTED_VALUE"""),"20240908_TEN@CHI")</f>
        <v>20240908_TEN@CHI</v>
      </c>
      <c r="B11" s="137" t="str">
        <f>IFERROR(__xludf.DUMMYFUNCTION("""COMPUTED_VALUE"""),"TEN")</f>
        <v>TEN</v>
      </c>
      <c r="C11" s="137" t="str">
        <f>IFERROR(__xludf.DUMMYFUNCTION("""COMPUTED_VALUE"""),"CHI")</f>
        <v>CHI</v>
      </c>
      <c r="D11" s="137"/>
      <c r="E11" s="137"/>
      <c r="F11" s="137" t="str">
        <f>IFERROR(__xludf.DUMMYFUNCTION("""COMPUTED_VALUE"""),"Week 1")</f>
        <v>Week 1</v>
      </c>
      <c r="G11" s="137">
        <f>IFERROR(__xludf.DUMMYFUNCTION("""COMPUTED_VALUE"""),0.0)</f>
        <v>0</v>
      </c>
      <c r="H11" s="137" t="str">
        <f t="shared" si="2"/>
        <v/>
      </c>
      <c r="I11" s="137" t="str">
        <f t="shared" si="3"/>
        <v/>
      </c>
      <c r="J11" s="137" t="str">
        <f t="shared" si="4"/>
        <v>Week 1TEN</v>
      </c>
      <c r="K11" s="137" t="str">
        <f t="shared" si="5"/>
        <v>Week 1CHI</v>
      </c>
      <c r="L11" s="137" t="str">
        <f t="shared" ref="L11:M11" si="15">D11</f>
        <v/>
      </c>
      <c r="M11" s="137" t="str">
        <f t="shared" si="15"/>
        <v/>
      </c>
      <c r="N11" s="137" t="str">
        <f t="shared" si="7"/>
        <v>Week 1TEN</v>
      </c>
    </row>
    <row r="12">
      <c r="A12" s="137" t="str">
        <f>IFERROR(__xludf.DUMMYFUNCTION("""COMPUTED_VALUE"""),"20240908_WSH@TB")</f>
        <v>20240908_WSH@TB</v>
      </c>
      <c r="B12" s="137" t="str">
        <f>IFERROR(__xludf.DUMMYFUNCTION("""COMPUTED_VALUE"""),"WSH")</f>
        <v>WSH</v>
      </c>
      <c r="C12" s="137" t="str">
        <f>IFERROR(__xludf.DUMMYFUNCTION("""COMPUTED_VALUE"""),"TB")</f>
        <v>TB</v>
      </c>
      <c r="D12" s="137"/>
      <c r="E12" s="137"/>
      <c r="F12" s="137" t="str">
        <f>IFERROR(__xludf.DUMMYFUNCTION("""COMPUTED_VALUE"""),"Week 1")</f>
        <v>Week 1</v>
      </c>
      <c r="G12" s="137">
        <f>IFERROR(__xludf.DUMMYFUNCTION("""COMPUTED_VALUE"""),0.0)</f>
        <v>0</v>
      </c>
      <c r="H12" s="137" t="str">
        <f t="shared" si="2"/>
        <v/>
      </c>
      <c r="I12" s="137" t="str">
        <f t="shared" si="3"/>
        <v/>
      </c>
      <c r="J12" s="137" t="str">
        <f t="shared" si="4"/>
        <v>Week 1WSH</v>
      </c>
      <c r="K12" s="137" t="str">
        <f t="shared" si="5"/>
        <v>Week 1TB</v>
      </c>
      <c r="L12" s="137" t="str">
        <f t="shared" ref="L12:M12" si="16">D12</f>
        <v/>
      </c>
      <c r="M12" s="137" t="str">
        <f t="shared" si="16"/>
        <v/>
      </c>
      <c r="N12" s="137" t="str">
        <f t="shared" si="7"/>
        <v>Week 1WSH</v>
      </c>
    </row>
    <row r="13">
      <c r="A13" s="137" t="str">
        <f>IFERROR(__xludf.DUMMYFUNCTION("""COMPUTED_VALUE"""),"20240908_LAR@DET")</f>
        <v>20240908_LAR@DET</v>
      </c>
      <c r="B13" s="137" t="str">
        <f>IFERROR(__xludf.DUMMYFUNCTION("""COMPUTED_VALUE"""),"LAR")</f>
        <v>LAR</v>
      </c>
      <c r="C13" s="137" t="str">
        <f>IFERROR(__xludf.DUMMYFUNCTION("""COMPUTED_VALUE"""),"DET")</f>
        <v>DET</v>
      </c>
      <c r="D13" s="137"/>
      <c r="E13" s="137"/>
      <c r="F13" s="137" t="str">
        <f>IFERROR(__xludf.DUMMYFUNCTION("""COMPUTED_VALUE"""),"Week 1")</f>
        <v>Week 1</v>
      </c>
      <c r="G13" s="137">
        <f>IFERROR(__xludf.DUMMYFUNCTION("""COMPUTED_VALUE"""),0.0)</f>
        <v>0</v>
      </c>
      <c r="H13" s="137" t="str">
        <f t="shared" si="2"/>
        <v/>
      </c>
      <c r="I13" s="137" t="str">
        <f t="shared" si="3"/>
        <v/>
      </c>
      <c r="J13" s="137" t="str">
        <f t="shared" si="4"/>
        <v>Week 1LAR</v>
      </c>
      <c r="K13" s="137" t="str">
        <f t="shared" si="5"/>
        <v>Week 1DET</v>
      </c>
      <c r="L13" s="137" t="str">
        <f t="shared" ref="L13:M13" si="17">D13</f>
        <v/>
      </c>
      <c r="M13" s="137" t="str">
        <f t="shared" si="17"/>
        <v/>
      </c>
      <c r="N13" s="137" t="str">
        <f t="shared" si="7"/>
        <v>Week 1LAR</v>
      </c>
    </row>
    <row r="14">
      <c r="A14" s="137" t="str">
        <f>IFERROR(__xludf.DUMMYFUNCTION("""COMPUTED_VALUE"""),"20240908_JAX@MIA")</f>
        <v>20240908_JAX@MIA</v>
      </c>
      <c r="B14" s="137" t="str">
        <f>IFERROR(__xludf.DUMMYFUNCTION("""COMPUTED_VALUE"""),"JAX")</f>
        <v>JAX</v>
      </c>
      <c r="C14" s="137" t="str">
        <f>IFERROR(__xludf.DUMMYFUNCTION("""COMPUTED_VALUE"""),"MIA")</f>
        <v>MIA</v>
      </c>
      <c r="D14" s="137"/>
      <c r="E14" s="137"/>
      <c r="F14" s="137" t="str">
        <f>IFERROR(__xludf.DUMMYFUNCTION("""COMPUTED_VALUE"""),"Week 1")</f>
        <v>Week 1</v>
      </c>
      <c r="G14" s="137">
        <f>IFERROR(__xludf.DUMMYFUNCTION("""COMPUTED_VALUE"""),0.0)</f>
        <v>0</v>
      </c>
      <c r="H14" s="137" t="str">
        <f t="shared" si="2"/>
        <v/>
      </c>
      <c r="I14" s="137" t="str">
        <f t="shared" si="3"/>
        <v/>
      </c>
      <c r="J14" s="137" t="str">
        <f t="shared" si="4"/>
        <v>Week 1JAX</v>
      </c>
      <c r="K14" s="137" t="str">
        <f t="shared" si="5"/>
        <v>Week 1MIA</v>
      </c>
      <c r="L14" s="137" t="str">
        <f t="shared" ref="L14:M14" si="18">D14</f>
        <v/>
      </c>
      <c r="M14" s="137" t="str">
        <f t="shared" si="18"/>
        <v/>
      </c>
      <c r="N14" s="137" t="str">
        <f t="shared" si="7"/>
        <v>Week 1JAX</v>
      </c>
    </row>
    <row r="15">
      <c r="A15" s="137" t="str">
        <f>IFERROR(__xludf.DUMMYFUNCTION("""COMPUTED_VALUE"""),"20240908_PIT@ATL")</f>
        <v>20240908_PIT@ATL</v>
      </c>
      <c r="B15" s="137" t="str">
        <f>IFERROR(__xludf.DUMMYFUNCTION("""COMPUTED_VALUE"""),"PIT")</f>
        <v>PIT</v>
      </c>
      <c r="C15" s="137" t="str">
        <f>IFERROR(__xludf.DUMMYFUNCTION("""COMPUTED_VALUE"""),"ATL")</f>
        <v>ATL</v>
      </c>
      <c r="D15" s="137"/>
      <c r="E15" s="137"/>
      <c r="F15" s="137" t="str">
        <f>IFERROR(__xludf.DUMMYFUNCTION("""COMPUTED_VALUE"""),"Week 1")</f>
        <v>Week 1</v>
      </c>
      <c r="G15" s="137">
        <f>IFERROR(__xludf.DUMMYFUNCTION("""COMPUTED_VALUE"""),0.0)</f>
        <v>0</v>
      </c>
      <c r="H15" s="137" t="str">
        <f t="shared" si="2"/>
        <v/>
      </c>
      <c r="I15" s="137" t="str">
        <f t="shared" si="3"/>
        <v/>
      </c>
      <c r="J15" s="137" t="str">
        <f t="shared" si="4"/>
        <v>Week 1PIT</v>
      </c>
      <c r="K15" s="137" t="str">
        <f t="shared" si="5"/>
        <v>Week 1ATL</v>
      </c>
      <c r="L15" s="137" t="str">
        <f t="shared" ref="L15:M15" si="19">D15</f>
        <v/>
      </c>
      <c r="M15" s="137" t="str">
        <f t="shared" si="19"/>
        <v/>
      </c>
      <c r="N15" s="137" t="str">
        <f t="shared" si="7"/>
        <v>Week 1PIT</v>
      </c>
    </row>
    <row r="16">
      <c r="A16" s="137" t="str">
        <f>IFERROR(__xludf.DUMMYFUNCTION("""COMPUTED_VALUE"""),"20240906_GB@PHI")</f>
        <v>20240906_GB@PHI</v>
      </c>
      <c r="B16" s="137" t="str">
        <f>IFERROR(__xludf.DUMMYFUNCTION("""COMPUTED_VALUE"""),"GB")</f>
        <v>GB</v>
      </c>
      <c r="C16" s="137" t="str">
        <f>IFERROR(__xludf.DUMMYFUNCTION("""COMPUTED_VALUE"""),"PHI")</f>
        <v>PHI</v>
      </c>
      <c r="D16" s="137"/>
      <c r="E16" s="137"/>
      <c r="F16" s="137" t="str">
        <f>IFERROR(__xludf.DUMMYFUNCTION("""COMPUTED_VALUE"""),"Week 1")</f>
        <v>Week 1</v>
      </c>
      <c r="G16" s="137">
        <f>IFERROR(__xludf.DUMMYFUNCTION("""COMPUTED_VALUE"""),0.0)</f>
        <v>0</v>
      </c>
      <c r="H16" s="137" t="str">
        <f t="shared" si="2"/>
        <v/>
      </c>
      <c r="I16" s="137" t="str">
        <f t="shared" si="3"/>
        <v/>
      </c>
      <c r="J16" s="137" t="str">
        <f t="shared" si="4"/>
        <v>Week 1GB</v>
      </c>
      <c r="K16" s="137" t="str">
        <f t="shared" si="5"/>
        <v>Week 1PHI</v>
      </c>
      <c r="L16" s="137" t="str">
        <f t="shared" ref="L16:M16" si="20">D16</f>
        <v/>
      </c>
      <c r="M16" s="137" t="str">
        <f t="shared" si="20"/>
        <v/>
      </c>
      <c r="N16" s="137" t="str">
        <f t="shared" si="7"/>
        <v>Week 1GB</v>
      </c>
    </row>
    <row r="17">
      <c r="A17" s="137" t="str">
        <f>IFERROR(__xludf.DUMMYFUNCTION("""COMPUTED_VALUE"""),"20240905_BAL@KC")</f>
        <v>20240905_BAL@KC</v>
      </c>
      <c r="B17" s="137" t="str">
        <f>IFERROR(__xludf.DUMMYFUNCTION("""COMPUTED_VALUE"""),"BAL")</f>
        <v>BAL</v>
      </c>
      <c r="C17" s="137" t="str">
        <f>IFERROR(__xludf.DUMMYFUNCTION("""COMPUTED_VALUE"""),"KC")</f>
        <v>KC</v>
      </c>
      <c r="D17" s="137"/>
      <c r="E17" s="137"/>
      <c r="F17" s="137" t="str">
        <f>IFERROR(__xludf.DUMMYFUNCTION("""COMPUTED_VALUE"""),"Week 1")</f>
        <v>Week 1</v>
      </c>
      <c r="G17" s="137">
        <f>IFERROR(__xludf.DUMMYFUNCTION("""COMPUTED_VALUE"""),0.0)</f>
        <v>0</v>
      </c>
      <c r="H17" s="137" t="str">
        <f t="shared" si="2"/>
        <v/>
      </c>
      <c r="I17" s="137" t="str">
        <f t="shared" si="3"/>
        <v/>
      </c>
      <c r="J17" s="137" t="str">
        <f t="shared" si="4"/>
        <v>Week 1BAL</v>
      </c>
      <c r="K17" s="137" t="str">
        <f t="shared" si="5"/>
        <v>Week 1KC</v>
      </c>
      <c r="L17" s="137" t="str">
        <f t="shared" ref="L17:M17" si="21">D17</f>
        <v/>
      </c>
      <c r="M17" s="137" t="str">
        <f t="shared" si="21"/>
        <v/>
      </c>
      <c r="N17" s="137" t="str">
        <f t="shared" si="7"/>
        <v>Week 1BAL</v>
      </c>
    </row>
    <row r="18">
      <c r="A18" s="137" t="str">
        <f>IFERROR(__xludf.DUMMYFUNCTION("""COMPUTED_VALUE"""),"20240916_ATL@PHI")</f>
        <v>20240916_ATL@PHI</v>
      </c>
      <c r="B18" s="137" t="str">
        <f>IFERROR(__xludf.DUMMYFUNCTION("""COMPUTED_VALUE"""),"ATL")</f>
        <v>ATL</v>
      </c>
      <c r="C18" s="137" t="str">
        <f>IFERROR(__xludf.DUMMYFUNCTION("""COMPUTED_VALUE"""),"PHI")</f>
        <v>PHI</v>
      </c>
      <c r="D18" s="137"/>
      <c r="E18" s="137"/>
      <c r="F18" s="137" t="str">
        <f>IFERROR(__xludf.DUMMYFUNCTION("""COMPUTED_VALUE"""),"Week 2")</f>
        <v>Week 2</v>
      </c>
      <c r="G18" s="137">
        <f>IFERROR(__xludf.DUMMYFUNCTION("""COMPUTED_VALUE"""),0.0)</f>
        <v>0</v>
      </c>
      <c r="H18" s="137" t="str">
        <f t="shared" si="2"/>
        <v/>
      </c>
      <c r="I18" s="137" t="str">
        <f t="shared" si="3"/>
        <v/>
      </c>
      <c r="J18" s="137" t="str">
        <f t="shared" si="4"/>
        <v>Week 2ATL</v>
      </c>
      <c r="K18" s="137" t="str">
        <f t="shared" si="5"/>
        <v>Week 2PHI</v>
      </c>
      <c r="L18" s="137" t="str">
        <f t="shared" ref="L18:M18" si="22">D18</f>
        <v/>
      </c>
      <c r="M18" s="137" t="str">
        <f t="shared" si="22"/>
        <v/>
      </c>
      <c r="N18" s="137" t="str">
        <f t="shared" si="7"/>
        <v>Week 2ATL</v>
      </c>
    </row>
    <row r="19">
      <c r="A19" s="137" t="str">
        <f>IFERROR(__xludf.DUMMYFUNCTION("""COMPUTED_VALUE"""),"20240912_BUF@MIA")</f>
        <v>20240912_BUF@MIA</v>
      </c>
      <c r="B19" s="137" t="str">
        <f>IFERROR(__xludf.DUMMYFUNCTION("""COMPUTED_VALUE"""),"BUF")</f>
        <v>BUF</v>
      </c>
      <c r="C19" s="137" t="str">
        <f>IFERROR(__xludf.DUMMYFUNCTION("""COMPUTED_VALUE"""),"MIA")</f>
        <v>MIA</v>
      </c>
      <c r="D19" s="137"/>
      <c r="E19" s="137"/>
      <c r="F19" s="137" t="str">
        <f>IFERROR(__xludf.DUMMYFUNCTION("""COMPUTED_VALUE"""),"Week 2")</f>
        <v>Week 2</v>
      </c>
      <c r="G19" s="137">
        <f>IFERROR(__xludf.DUMMYFUNCTION("""COMPUTED_VALUE"""),0.0)</f>
        <v>0</v>
      </c>
      <c r="H19" s="137" t="str">
        <f t="shared" si="2"/>
        <v/>
      </c>
      <c r="I19" s="137" t="str">
        <f t="shared" si="3"/>
        <v/>
      </c>
      <c r="J19" s="137" t="str">
        <f t="shared" si="4"/>
        <v>Week 2BUF</v>
      </c>
      <c r="K19" s="137" t="str">
        <f t="shared" si="5"/>
        <v>Week 2MIA</v>
      </c>
      <c r="L19" s="137" t="str">
        <f t="shared" ref="L19:M19" si="23">D19</f>
        <v/>
      </c>
      <c r="M19" s="137" t="str">
        <f t="shared" si="23"/>
        <v/>
      </c>
      <c r="N19" s="137" t="str">
        <f t="shared" si="7"/>
        <v>Week 2BUF</v>
      </c>
    </row>
    <row r="20">
      <c r="A20" s="137" t="str">
        <f>IFERROR(__xludf.DUMMYFUNCTION("""COMPUTED_VALUE"""),"20240915_PIT@DEN")</f>
        <v>20240915_PIT@DEN</v>
      </c>
      <c r="B20" s="137" t="str">
        <f>IFERROR(__xludf.DUMMYFUNCTION("""COMPUTED_VALUE"""),"PIT")</f>
        <v>PIT</v>
      </c>
      <c r="C20" s="137" t="str">
        <f>IFERROR(__xludf.DUMMYFUNCTION("""COMPUTED_VALUE"""),"DEN")</f>
        <v>DEN</v>
      </c>
      <c r="D20" s="137"/>
      <c r="E20" s="137"/>
      <c r="F20" s="137" t="str">
        <f>IFERROR(__xludf.DUMMYFUNCTION("""COMPUTED_VALUE"""),"Week 2")</f>
        <v>Week 2</v>
      </c>
      <c r="G20" s="137">
        <f>IFERROR(__xludf.DUMMYFUNCTION("""COMPUTED_VALUE"""),0.0)</f>
        <v>0</v>
      </c>
      <c r="H20" s="137" t="str">
        <f t="shared" si="2"/>
        <v/>
      </c>
      <c r="I20" s="137" t="str">
        <f t="shared" si="3"/>
        <v/>
      </c>
      <c r="J20" s="137" t="str">
        <f t="shared" si="4"/>
        <v>Week 2PIT</v>
      </c>
      <c r="K20" s="137" t="str">
        <f t="shared" si="5"/>
        <v>Week 2DEN</v>
      </c>
      <c r="L20" s="137" t="str">
        <f t="shared" ref="L20:M20" si="24">D20</f>
        <v/>
      </c>
      <c r="M20" s="137" t="str">
        <f t="shared" si="24"/>
        <v/>
      </c>
      <c r="N20" s="137" t="str">
        <f t="shared" si="7"/>
        <v>Week 2PIT</v>
      </c>
    </row>
    <row r="21">
      <c r="A21" s="137" t="str">
        <f>IFERROR(__xludf.DUMMYFUNCTION("""COMPUTED_VALUE"""),"20240915_NYJ@TEN")</f>
        <v>20240915_NYJ@TEN</v>
      </c>
      <c r="B21" s="137" t="str">
        <f>IFERROR(__xludf.DUMMYFUNCTION("""COMPUTED_VALUE"""),"NYJ")</f>
        <v>NYJ</v>
      </c>
      <c r="C21" s="137" t="str">
        <f>IFERROR(__xludf.DUMMYFUNCTION("""COMPUTED_VALUE"""),"TEN")</f>
        <v>TEN</v>
      </c>
      <c r="D21" s="137"/>
      <c r="E21" s="137"/>
      <c r="F21" s="137" t="str">
        <f>IFERROR(__xludf.DUMMYFUNCTION("""COMPUTED_VALUE"""),"Week 2")</f>
        <v>Week 2</v>
      </c>
      <c r="G21" s="137">
        <f>IFERROR(__xludf.DUMMYFUNCTION("""COMPUTED_VALUE"""),0.0)</f>
        <v>0</v>
      </c>
      <c r="H21" s="137" t="str">
        <f t="shared" si="2"/>
        <v/>
      </c>
      <c r="I21" s="137" t="str">
        <f t="shared" si="3"/>
        <v/>
      </c>
      <c r="J21" s="137" t="str">
        <f t="shared" si="4"/>
        <v>Week 2NYJ</v>
      </c>
      <c r="K21" s="137" t="str">
        <f t="shared" si="5"/>
        <v>Week 2TEN</v>
      </c>
      <c r="L21" s="137" t="str">
        <f t="shared" ref="L21:M21" si="25">D21</f>
        <v/>
      </c>
      <c r="M21" s="137" t="str">
        <f t="shared" si="25"/>
        <v/>
      </c>
      <c r="N21" s="137" t="str">
        <f t="shared" si="7"/>
        <v>Week 2NYJ</v>
      </c>
    </row>
    <row r="22">
      <c r="A22" s="137" t="str">
        <f>IFERROR(__xludf.DUMMYFUNCTION("""COMPUTED_VALUE"""),"20240915_LV@BAL")</f>
        <v>20240915_LV@BAL</v>
      </c>
      <c r="B22" s="137" t="str">
        <f>IFERROR(__xludf.DUMMYFUNCTION("""COMPUTED_VALUE"""),"LV")</f>
        <v>LV</v>
      </c>
      <c r="C22" s="137" t="str">
        <f>IFERROR(__xludf.DUMMYFUNCTION("""COMPUTED_VALUE"""),"BAL")</f>
        <v>BAL</v>
      </c>
      <c r="D22" s="137"/>
      <c r="E22" s="137"/>
      <c r="F22" s="137" t="str">
        <f>IFERROR(__xludf.DUMMYFUNCTION("""COMPUTED_VALUE"""),"Week 2")</f>
        <v>Week 2</v>
      </c>
      <c r="G22" s="137">
        <f>IFERROR(__xludf.DUMMYFUNCTION("""COMPUTED_VALUE"""),0.0)</f>
        <v>0</v>
      </c>
      <c r="H22" s="137" t="str">
        <f t="shared" si="2"/>
        <v/>
      </c>
      <c r="I22" s="137" t="str">
        <f t="shared" si="3"/>
        <v/>
      </c>
      <c r="J22" s="137" t="str">
        <f t="shared" si="4"/>
        <v>Week 2LV</v>
      </c>
      <c r="K22" s="137" t="str">
        <f t="shared" si="5"/>
        <v>Week 2BAL</v>
      </c>
      <c r="L22" s="137" t="str">
        <f t="shared" ref="L22:M22" si="26">D22</f>
        <v/>
      </c>
      <c r="M22" s="137" t="str">
        <f t="shared" si="26"/>
        <v/>
      </c>
      <c r="N22" s="137" t="str">
        <f t="shared" si="7"/>
        <v>Week 2LV</v>
      </c>
    </row>
    <row r="23">
      <c r="A23" s="137" t="str">
        <f>IFERROR(__xludf.DUMMYFUNCTION("""COMPUTED_VALUE"""),"20240915_TB@DET")</f>
        <v>20240915_TB@DET</v>
      </c>
      <c r="B23" s="137" t="str">
        <f>IFERROR(__xludf.DUMMYFUNCTION("""COMPUTED_VALUE"""),"TB")</f>
        <v>TB</v>
      </c>
      <c r="C23" s="137" t="str">
        <f>IFERROR(__xludf.DUMMYFUNCTION("""COMPUTED_VALUE"""),"DET")</f>
        <v>DET</v>
      </c>
      <c r="D23" s="137"/>
      <c r="E23" s="137"/>
      <c r="F23" s="137" t="str">
        <f>IFERROR(__xludf.DUMMYFUNCTION("""COMPUTED_VALUE"""),"Week 2")</f>
        <v>Week 2</v>
      </c>
      <c r="G23" s="137">
        <f>IFERROR(__xludf.DUMMYFUNCTION("""COMPUTED_VALUE"""),0.0)</f>
        <v>0</v>
      </c>
      <c r="H23" s="137" t="str">
        <f t="shared" si="2"/>
        <v/>
      </c>
      <c r="I23" s="137" t="str">
        <f t="shared" si="3"/>
        <v/>
      </c>
      <c r="J23" s="137" t="str">
        <f t="shared" si="4"/>
        <v>Week 2TB</v>
      </c>
      <c r="K23" s="137" t="str">
        <f t="shared" si="5"/>
        <v>Week 2DET</v>
      </c>
      <c r="L23" s="137" t="str">
        <f t="shared" ref="L23:M23" si="27">D23</f>
        <v/>
      </c>
      <c r="M23" s="137" t="str">
        <f t="shared" si="27"/>
        <v/>
      </c>
      <c r="N23" s="137" t="str">
        <f t="shared" si="7"/>
        <v>Week 2TB</v>
      </c>
    </row>
    <row r="24">
      <c r="A24" s="137" t="str">
        <f>IFERROR(__xludf.DUMMYFUNCTION("""COMPUTED_VALUE"""),"20240915_SF@MIN")</f>
        <v>20240915_SF@MIN</v>
      </c>
      <c r="B24" s="137" t="str">
        <f>IFERROR(__xludf.DUMMYFUNCTION("""COMPUTED_VALUE"""),"SF")</f>
        <v>SF</v>
      </c>
      <c r="C24" s="137" t="str">
        <f>IFERROR(__xludf.DUMMYFUNCTION("""COMPUTED_VALUE"""),"MIN")</f>
        <v>MIN</v>
      </c>
      <c r="D24" s="137"/>
      <c r="E24" s="137"/>
      <c r="F24" s="137" t="str">
        <f>IFERROR(__xludf.DUMMYFUNCTION("""COMPUTED_VALUE"""),"Week 2")</f>
        <v>Week 2</v>
      </c>
      <c r="G24" s="137">
        <f>IFERROR(__xludf.DUMMYFUNCTION("""COMPUTED_VALUE"""),0.0)</f>
        <v>0</v>
      </c>
      <c r="H24" s="137" t="str">
        <f t="shared" si="2"/>
        <v/>
      </c>
      <c r="I24" s="137" t="str">
        <f t="shared" si="3"/>
        <v/>
      </c>
      <c r="J24" s="137" t="str">
        <f t="shared" si="4"/>
        <v>Week 2SF</v>
      </c>
      <c r="K24" s="137" t="str">
        <f t="shared" si="5"/>
        <v>Week 2MIN</v>
      </c>
      <c r="L24" s="137" t="str">
        <f t="shared" ref="L24:M24" si="28">D24</f>
        <v/>
      </c>
      <c r="M24" s="137" t="str">
        <f t="shared" si="28"/>
        <v/>
      </c>
      <c r="N24" s="137" t="str">
        <f t="shared" si="7"/>
        <v>Week 2SF</v>
      </c>
    </row>
    <row r="25">
      <c r="A25" s="137" t="str">
        <f>IFERROR(__xludf.DUMMYFUNCTION("""COMPUTED_VALUE"""),"20240915_NO@DAL")</f>
        <v>20240915_NO@DAL</v>
      </c>
      <c r="B25" s="137" t="str">
        <f>IFERROR(__xludf.DUMMYFUNCTION("""COMPUTED_VALUE"""),"NO")</f>
        <v>NO</v>
      </c>
      <c r="C25" s="137" t="str">
        <f>IFERROR(__xludf.DUMMYFUNCTION("""COMPUTED_VALUE"""),"DAL")</f>
        <v>DAL</v>
      </c>
      <c r="D25" s="137"/>
      <c r="E25" s="137"/>
      <c r="F25" s="137" t="str">
        <f>IFERROR(__xludf.DUMMYFUNCTION("""COMPUTED_VALUE"""),"Week 2")</f>
        <v>Week 2</v>
      </c>
      <c r="G25" s="137">
        <f>IFERROR(__xludf.DUMMYFUNCTION("""COMPUTED_VALUE"""),0.0)</f>
        <v>0</v>
      </c>
      <c r="H25" s="137" t="str">
        <f t="shared" si="2"/>
        <v/>
      </c>
      <c r="I25" s="137" t="str">
        <f t="shared" si="3"/>
        <v/>
      </c>
      <c r="J25" s="137" t="str">
        <f t="shared" si="4"/>
        <v>Week 2NO</v>
      </c>
      <c r="K25" s="137" t="str">
        <f t="shared" si="5"/>
        <v>Week 2DAL</v>
      </c>
      <c r="L25" s="137" t="str">
        <f t="shared" ref="L25:M25" si="29">D25</f>
        <v/>
      </c>
      <c r="M25" s="137" t="str">
        <f t="shared" si="29"/>
        <v/>
      </c>
      <c r="N25" s="137" t="str">
        <f t="shared" si="7"/>
        <v>Week 2NO</v>
      </c>
    </row>
    <row r="26">
      <c r="A26" s="137" t="str">
        <f>IFERROR(__xludf.DUMMYFUNCTION("""COMPUTED_VALUE"""),"20240915_IND@GB")</f>
        <v>20240915_IND@GB</v>
      </c>
      <c r="B26" s="137" t="str">
        <f>IFERROR(__xludf.DUMMYFUNCTION("""COMPUTED_VALUE"""),"IND")</f>
        <v>IND</v>
      </c>
      <c r="C26" s="137" t="str">
        <f>IFERROR(__xludf.DUMMYFUNCTION("""COMPUTED_VALUE"""),"GB")</f>
        <v>GB</v>
      </c>
      <c r="D26" s="137"/>
      <c r="E26" s="137"/>
      <c r="F26" s="137" t="str">
        <f>IFERROR(__xludf.DUMMYFUNCTION("""COMPUTED_VALUE"""),"Week 2")</f>
        <v>Week 2</v>
      </c>
      <c r="G26" s="137">
        <f>IFERROR(__xludf.DUMMYFUNCTION("""COMPUTED_VALUE"""),0.0)</f>
        <v>0</v>
      </c>
      <c r="H26" s="137" t="str">
        <f t="shared" si="2"/>
        <v/>
      </c>
      <c r="I26" s="137" t="str">
        <f t="shared" si="3"/>
        <v/>
      </c>
      <c r="J26" s="137" t="str">
        <f t="shared" si="4"/>
        <v>Week 2IND</v>
      </c>
      <c r="K26" s="137" t="str">
        <f t="shared" si="5"/>
        <v>Week 2GB</v>
      </c>
      <c r="L26" s="137" t="str">
        <f t="shared" ref="L26:M26" si="30">D26</f>
        <v/>
      </c>
      <c r="M26" s="137" t="str">
        <f t="shared" si="30"/>
        <v/>
      </c>
      <c r="N26" s="137" t="str">
        <f t="shared" si="7"/>
        <v>Week 2IND</v>
      </c>
    </row>
    <row r="27">
      <c r="A27" s="137" t="str">
        <f>IFERROR(__xludf.DUMMYFUNCTION("""COMPUTED_VALUE"""),"20240915_CHI@HOU")</f>
        <v>20240915_CHI@HOU</v>
      </c>
      <c r="B27" s="137" t="str">
        <f>IFERROR(__xludf.DUMMYFUNCTION("""COMPUTED_VALUE"""),"CHI")</f>
        <v>CHI</v>
      </c>
      <c r="C27" s="137" t="str">
        <f>IFERROR(__xludf.DUMMYFUNCTION("""COMPUTED_VALUE"""),"HOU")</f>
        <v>HOU</v>
      </c>
      <c r="D27" s="137"/>
      <c r="E27" s="137"/>
      <c r="F27" s="137" t="str">
        <f>IFERROR(__xludf.DUMMYFUNCTION("""COMPUTED_VALUE"""),"Week 2")</f>
        <v>Week 2</v>
      </c>
      <c r="G27" s="137">
        <f>IFERROR(__xludf.DUMMYFUNCTION("""COMPUTED_VALUE"""),0.0)</f>
        <v>0</v>
      </c>
      <c r="H27" s="137" t="str">
        <f t="shared" si="2"/>
        <v/>
      </c>
      <c r="I27" s="137" t="str">
        <f t="shared" si="3"/>
        <v/>
      </c>
      <c r="J27" s="137" t="str">
        <f t="shared" si="4"/>
        <v>Week 2CHI</v>
      </c>
      <c r="K27" s="137" t="str">
        <f t="shared" si="5"/>
        <v>Week 2HOU</v>
      </c>
      <c r="L27" s="137" t="str">
        <f t="shared" ref="L27:M27" si="31">D27</f>
        <v/>
      </c>
      <c r="M27" s="137" t="str">
        <f t="shared" si="31"/>
        <v/>
      </c>
      <c r="N27" s="137" t="str">
        <f t="shared" si="7"/>
        <v>Week 2CHI</v>
      </c>
    </row>
    <row r="28">
      <c r="A28" s="137" t="str">
        <f>IFERROR(__xludf.DUMMYFUNCTION("""COMPUTED_VALUE"""),"20240915_LAC@CAR")</f>
        <v>20240915_LAC@CAR</v>
      </c>
      <c r="B28" s="137" t="str">
        <f>IFERROR(__xludf.DUMMYFUNCTION("""COMPUTED_VALUE"""),"LAC")</f>
        <v>LAC</v>
      </c>
      <c r="C28" s="137" t="str">
        <f>IFERROR(__xludf.DUMMYFUNCTION("""COMPUTED_VALUE"""),"CAR")</f>
        <v>CAR</v>
      </c>
      <c r="D28" s="137"/>
      <c r="E28" s="137"/>
      <c r="F28" s="137" t="str">
        <f>IFERROR(__xludf.DUMMYFUNCTION("""COMPUTED_VALUE"""),"Week 2")</f>
        <v>Week 2</v>
      </c>
      <c r="G28" s="137">
        <f>IFERROR(__xludf.DUMMYFUNCTION("""COMPUTED_VALUE"""),0.0)</f>
        <v>0</v>
      </c>
      <c r="H28" s="137" t="str">
        <f t="shared" si="2"/>
        <v/>
      </c>
      <c r="I28" s="137" t="str">
        <f t="shared" si="3"/>
        <v/>
      </c>
      <c r="J28" s="137" t="str">
        <f t="shared" si="4"/>
        <v>Week 2LAC</v>
      </c>
      <c r="K28" s="137" t="str">
        <f t="shared" si="5"/>
        <v>Week 2CAR</v>
      </c>
      <c r="L28" s="137" t="str">
        <f t="shared" ref="L28:M28" si="32">D28</f>
        <v/>
      </c>
      <c r="M28" s="137" t="str">
        <f t="shared" si="32"/>
        <v/>
      </c>
      <c r="N28" s="137" t="str">
        <f t="shared" si="7"/>
        <v>Week 2LAC</v>
      </c>
    </row>
    <row r="29">
      <c r="A29" s="137" t="str">
        <f>IFERROR(__xludf.DUMMYFUNCTION("""COMPUTED_VALUE"""),"20240915_NYG@WSH")</f>
        <v>20240915_NYG@WSH</v>
      </c>
      <c r="B29" s="137" t="str">
        <f>IFERROR(__xludf.DUMMYFUNCTION("""COMPUTED_VALUE"""),"NYG")</f>
        <v>NYG</v>
      </c>
      <c r="C29" s="137" t="str">
        <f>IFERROR(__xludf.DUMMYFUNCTION("""COMPUTED_VALUE"""),"WSH")</f>
        <v>WSH</v>
      </c>
      <c r="D29" s="137"/>
      <c r="E29" s="137"/>
      <c r="F29" s="137" t="str">
        <f>IFERROR(__xludf.DUMMYFUNCTION("""COMPUTED_VALUE"""),"Week 2")</f>
        <v>Week 2</v>
      </c>
      <c r="G29" s="137">
        <f>IFERROR(__xludf.DUMMYFUNCTION("""COMPUTED_VALUE"""),0.0)</f>
        <v>0</v>
      </c>
      <c r="H29" s="137" t="str">
        <f t="shared" si="2"/>
        <v/>
      </c>
      <c r="I29" s="137" t="str">
        <f t="shared" si="3"/>
        <v/>
      </c>
      <c r="J29" s="137" t="str">
        <f t="shared" si="4"/>
        <v>Week 2NYG</v>
      </c>
      <c r="K29" s="137" t="str">
        <f t="shared" si="5"/>
        <v>Week 2WSH</v>
      </c>
      <c r="L29" s="137" t="str">
        <f t="shared" ref="L29:M29" si="33">D29</f>
        <v/>
      </c>
      <c r="M29" s="137" t="str">
        <f t="shared" si="33"/>
        <v/>
      </c>
      <c r="N29" s="137" t="str">
        <f t="shared" si="7"/>
        <v>Week 2NYG</v>
      </c>
    </row>
    <row r="30">
      <c r="A30" s="137" t="str">
        <f>IFERROR(__xludf.DUMMYFUNCTION("""COMPUTED_VALUE"""),"20240915_SEA@NE")</f>
        <v>20240915_SEA@NE</v>
      </c>
      <c r="B30" s="137" t="str">
        <f>IFERROR(__xludf.DUMMYFUNCTION("""COMPUTED_VALUE"""),"SEA")</f>
        <v>SEA</v>
      </c>
      <c r="C30" s="137" t="str">
        <f>IFERROR(__xludf.DUMMYFUNCTION("""COMPUTED_VALUE"""),"NE")</f>
        <v>NE</v>
      </c>
      <c r="D30" s="137"/>
      <c r="E30" s="137"/>
      <c r="F30" s="137" t="str">
        <f>IFERROR(__xludf.DUMMYFUNCTION("""COMPUTED_VALUE"""),"Week 2")</f>
        <v>Week 2</v>
      </c>
      <c r="G30" s="137">
        <f>IFERROR(__xludf.DUMMYFUNCTION("""COMPUTED_VALUE"""),0.0)</f>
        <v>0</v>
      </c>
      <c r="H30" s="137" t="str">
        <f t="shared" si="2"/>
        <v/>
      </c>
      <c r="I30" s="137" t="str">
        <f t="shared" si="3"/>
        <v/>
      </c>
      <c r="J30" s="137" t="str">
        <f t="shared" si="4"/>
        <v>Week 2SEA</v>
      </c>
      <c r="K30" s="137" t="str">
        <f t="shared" si="5"/>
        <v>Week 2NE</v>
      </c>
      <c r="L30" s="137" t="str">
        <f t="shared" ref="L30:M30" si="34">D30</f>
        <v/>
      </c>
      <c r="M30" s="137" t="str">
        <f t="shared" si="34"/>
        <v/>
      </c>
      <c r="N30" s="137" t="str">
        <f t="shared" si="7"/>
        <v>Week 2SEA</v>
      </c>
    </row>
    <row r="31">
      <c r="A31" s="137" t="str">
        <f>IFERROR(__xludf.DUMMYFUNCTION("""COMPUTED_VALUE"""),"20240915_LAR@ARI")</f>
        <v>20240915_LAR@ARI</v>
      </c>
      <c r="B31" s="137" t="str">
        <f>IFERROR(__xludf.DUMMYFUNCTION("""COMPUTED_VALUE"""),"LAR")</f>
        <v>LAR</v>
      </c>
      <c r="C31" s="137" t="str">
        <f>IFERROR(__xludf.DUMMYFUNCTION("""COMPUTED_VALUE"""),"ARI")</f>
        <v>ARI</v>
      </c>
      <c r="D31" s="137"/>
      <c r="E31" s="137"/>
      <c r="F31" s="137" t="str">
        <f>IFERROR(__xludf.DUMMYFUNCTION("""COMPUTED_VALUE"""),"Week 2")</f>
        <v>Week 2</v>
      </c>
      <c r="G31" s="137">
        <f>IFERROR(__xludf.DUMMYFUNCTION("""COMPUTED_VALUE"""),0.0)</f>
        <v>0</v>
      </c>
      <c r="H31" s="137" t="str">
        <f t="shared" si="2"/>
        <v/>
      </c>
      <c r="I31" s="137" t="str">
        <f t="shared" si="3"/>
        <v/>
      </c>
      <c r="J31" s="137" t="str">
        <f t="shared" si="4"/>
        <v>Week 2LAR</v>
      </c>
      <c r="K31" s="137" t="str">
        <f t="shared" si="5"/>
        <v>Week 2ARI</v>
      </c>
      <c r="L31" s="137" t="str">
        <f t="shared" ref="L31:M31" si="35">D31</f>
        <v/>
      </c>
      <c r="M31" s="137" t="str">
        <f t="shared" si="35"/>
        <v/>
      </c>
      <c r="N31" s="137" t="str">
        <f t="shared" si="7"/>
        <v>Week 2LAR</v>
      </c>
    </row>
    <row r="32">
      <c r="A32" s="137" t="str">
        <f>IFERROR(__xludf.DUMMYFUNCTION("""COMPUTED_VALUE"""),"20240915_CLE@JAX")</f>
        <v>20240915_CLE@JAX</v>
      </c>
      <c r="B32" s="137" t="str">
        <f>IFERROR(__xludf.DUMMYFUNCTION("""COMPUTED_VALUE"""),"CLE")</f>
        <v>CLE</v>
      </c>
      <c r="C32" s="137" t="str">
        <f>IFERROR(__xludf.DUMMYFUNCTION("""COMPUTED_VALUE"""),"JAX")</f>
        <v>JAX</v>
      </c>
      <c r="D32" s="137"/>
      <c r="E32" s="137"/>
      <c r="F32" s="137" t="str">
        <f>IFERROR(__xludf.DUMMYFUNCTION("""COMPUTED_VALUE"""),"Week 2")</f>
        <v>Week 2</v>
      </c>
      <c r="G32" s="137">
        <f>IFERROR(__xludf.DUMMYFUNCTION("""COMPUTED_VALUE"""),0.0)</f>
        <v>0</v>
      </c>
      <c r="H32" s="137" t="str">
        <f t="shared" si="2"/>
        <v/>
      </c>
      <c r="I32" s="137" t="str">
        <f t="shared" si="3"/>
        <v/>
      </c>
      <c r="J32" s="137" t="str">
        <f t="shared" si="4"/>
        <v>Week 2CLE</v>
      </c>
      <c r="K32" s="137" t="str">
        <f t="shared" si="5"/>
        <v>Week 2JAX</v>
      </c>
      <c r="L32" s="137" t="str">
        <f t="shared" ref="L32:M32" si="36">D32</f>
        <v/>
      </c>
      <c r="M32" s="137" t="str">
        <f t="shared" si="36"/>
        <v/>
      </c>
      <c r="N32" s="137" t="str">
        <f t="shared" si="7"/>
        <v>Week 2CLE</v>
      </c>
    </row>
    <row r="33">
      <c r="A33" s="137" t="str">
        <f>IFERROR(__xludf.DUMMYFUNCTION("""COMPUTED_VALUE"""),"20240915_CIN@KC")</f>
        <v>20240915_CIN@KC</v>
      </c>
      <c r="B33" s="137" t="str">
        <f>IFERROR(__xludf.DUMMYFUNCTION("""COMPUTED_VALUE"""),"CIN")</f>
        <v>CIN</v>
      </c>
      <c r="C33" s="137" t="str">
        <f>IFERROR(__xludf.DUMMYFUNCTION("""COMPUTED_VALUE"""),"KC")</f>
        <v>KC</v>
      </c>
      <c r="D33" s="137"/>
      <c r="E33" s="137"/>
      <c r="F33" s="137" t="str">
        <f>IFERROR(__xludf.DUMMYFUNCTION("""COMPUTED_VALUE"""),"Week 2")</f>
        <v>Week 2</v>
      </c>
      <c r="G33" s="137">
        <f>IFERROR(__xludf.DUMMYFUNCTION("""COMPUTED_VALUE"""),0.0)</f>
        <v>0</v>
      </c>
      <c r="H33" s="137" t="str">
        <f t="shared" si="2"/>
        <v/>
      </c>
      <c r="I33" s="137" t="str">
        <f t="shared" si="3"/>
        <v/>
      </c>
      <c r="J33" s="137" t="str">
        <f t="shared" si="4"/>
        <v>Week 2CIN</v>
      </c>
      <c r="K33" s="137" t="str">
        <f t="shared" si="5"/>
        <v>Week 2KC</v>
      </c>
      <c r="L33" s="137" t="str">
        <f t="shared" ref="L33:M33" si="37">D33</f>
        <v/>
      </c>
      <c r="M33" s="137" t="str">
        <f t="shared" si="37"/>
        <v/>
      </c>
      <c r="N33" s="137" t="str">
        <f t="shared" si="7"/>
        <v>Week 2CIN</v>
      </c>
    </row>
    <row r="34">
      <c r="A34" s="137" t="str">
        <f>IFERROR(__xludf.DUMMYFUNCTION("""COMPUTED_VALUE"""),"20240923_JAX@BUF")</f>
        <v>20240923_JAX@BUF</v>
      </c>
      <c r="B34" s="137" t="str">
        <f>IFERROR(__xludf.DUMMYFUNCTION("""COMPUTED_VALUE"""),"JAX")</f>
        <v>JAX</v>
      </c>
      <c r="C34" s="137" t="str">
        <f>IFERROR(__xludf.DUMMYFUNCTION("""COMPUTED_VALUE"""),"BUF")</f>
        <v>BUF</v>
      </c>
      <c r="D34" s="137"/>
      <c r="E34" s="137"/>
      <c r="F34" s="137" t="str">
        <f>IFERROR(__xludf.DUMMYFUNCTION("""COMPUTED_VALUE"""),"Week 3")</f>
        <v>Week 3</v>
      </c>
      <c r="G34" s="137">
        <f>IFERROR(__xludf.DUMMYFUNCTION("""COMPUTED_VALUE"""),0.0)</f>
        <v>0</v>
      </c>
      <c r="H34" s="137" t="str">
        <f t="shared" si="2"/>
        <v/>
      </c>
      <c r="I34" s="137" t="str">
        <f t="shared" si="3"/>
        <v/>
      </c>
      <c r="J34" s="137" t="str">
        <f t="shared" si="4"/>
        <v>Week 3JAX</v>
      </c>
      <c r="K34" s="137" t="str">
        <f t="shared" si="5"/>
        <v>Week 3BUF</v>
      </c>
      <c r="L34" s="137" t="str">
        <f t="shared" ref="L34:M34" si="38">D34</f>
        <v/>
      </c>
      <c r="M34" s="137" t="str">
        <f t="shared" si="38"/>
        <v/>
      </c>
      <c r="N34" s="137" t="str">
        <f t="shared" si="7"/>
        <v>Week 3JAX</v>
      </c>
    </row>
    <row r="35">
      <c r="A35" s="137" t="str">
        <f>IFERROR(__xludf.DUMMYFUNCTION("""COMPUTED_VALUE"""),"20240923_WSH@CIN")</f>
        <v>20240923_WSH@CIN</v>
      </c>
      <c r="B35" s="137" t="str">
        <f>IFERROR(__xludf.DUMMYFUNCTION("""COMPUTED_VALUE"""),"WSH")</f>
        <v>WSH</v>
      </c>
      <c r="C35" s="137" t="str">
        <f>IFERROR(__xludf.DUMMYFUNCTION("""COMPUTED_VALUE"""),"CIN")</f>
        <v>CIN</v>
      </c>
      <c r="D35" s="137"/>
      <c r="E35" s="137"/>
      <c r="F35" s="137" t="str">
        <f>IFERROR(__xludf.DUMMYFUNCTION("""COMPUTED_VALUE"""),"Week 3")</f>
        <v>Week 3</v>
      </c>
      <c r="G35" s="137">
        <f>IFERROR(__xludf.DUMMYFUNCTION("""COMPUTED_VALUE"""),0.0)</f>
        <v>0</v>
      </c>
      <c r="H35" s="137" t="str">
        <f t="shared" si="2"/>
        <v/>
      </c>
      <c r="I35" s="137" t="str">
        <f t="shared" si="3"/>
        <v/>
      </c>
      <c r="J35" s="137" t="str">
        <f t="shared" si="4"/>
        <v>Week 3WSH</v>
      </c>
      <c r="K35" s="137" t="str">
        <f t="shared" si="5"/>
        <v>Week 3CIN</v>
      </c>
      <c r="L35" s="137" t="str">
        <f t="shared" ref="L35:M35" si="39">D35</f>
        <v/>
      </c>
      <c r="M35" s="137" t="str">
        <f t="shared" si="39"/>
        <v/>
      </c>
      <c r="N35" s="137" t="str">
        <f t="shared" si="7"/>
        <v>Week 3WSH</v>
      </c>
    </row>
    <row r="36">
      <c r="A36" s="137" t="str">
        <f>IFERROR(__xludf.DUMMYFUNCTION("""COMPUTED_VALUE"""),"20240922_DET@ARI")</f>
        <v>20240922_DET@ARI</v>
      </c>
      <c r="B36" s="137" t="str">
        <f>IFERROR(__xludf.DUMMYFUNCTION("""COMPUTED_VALUE"""),"DET")</f>
        <v>DET</v>
      </c>
      <c r="C36" s="137" t="str">
        <f>IFERROR(__xludf.DUMMYFUNCTION("""COMPUTED_VALUE"""),"ARI")</f>
        <v>ARI</v>
      </c>
      <c r="D36" s="137"/>
      <c r="E36" s="137"/>
      <c r="F36" s="137" t="str">
        <f>IFERROR(__xludf.DUMMYFUNCTION("""COMPUTED_VALUE"""),"Week 3")</f>
        <v>Week 3</v>
      </c>
      <c r="G36" s="137">
        <f>IFERROR(__xludf.DUMMYFUNCTION("""COMPUTED_VALUE"""),0.0)</f>
        <v>0</v>
      </c>
      <c r="H36" s="137" t="str">
        <f t="shared" si="2"/>
        <v/>
      </c>
      <c r="I36" s="137" t="str">
        <f t="shared" si="3"/>
        <v/>
      </c>
      <c r="J36" s="137" t="str">
        <f t="shared" si="4"/>
        <v>Week 3DET</v>
      </c>
      <c r="K36" s="137" t="str">
        <f t="shared" si="5"/>
        <v>Week 3ARI</v>
      </c>
      <c r="L36" s="137" t="str">
        <f t="shared" ref="L36:M36" si="40">D36</f>
        <v/>
      </c>
      <c r="M36" s="137" t="str">
        <f t="shared" si="40"/>
        <v/>
      </c>
      <c r="N36" s="137" t="str">
        <f t="shared" si="7"/>
        <v>Week 3DET</v>
      </c>
    </row>
    <row r="37">
      <c r="A37" s="137" t="str">
        <f>IFERROR(__xludf.DUMMYFUNCTION("""COMPUTED_VALUE"""),"20240922_HOU@MIN")</f>
        <v>20240922_HOU@MIN</v>
      </c>
      <c r="B37" s="137" t="str">
        <f>IFERROR(__xludf.DUMMYFUNCTION("""COMPUTED_VALUE"""),"HOU")</f>
        <v>HOU</v>
      </c>
      <c r="C37" s="137" t="str">
        <f>IFERROR(__xludf.DUMMYFUNCTION("""COMPUTED_VALUE"""),"MIN")</f>
        <v>MIN</v>
      </c>
      <c r="D37" s="137"/>
      <c r="E37" s="137"/>
      <c r="F37" s="137" t="str">
        <f>IFERROR(__xludf.DUMMYFUNCTION("""COMPUTED_VALUE"""),"Week 3")</f>
        <v>Week 3</v>
      </c>
      <c r="G37" s="137">
        <f>IFERROR(__xludf.DUMMYFUNCTION("""COMPUTED_VALUE"""),0.0)</f>
        <v>0</v>
      </c>
      <c r="H37" s="137" t="str">
        <f t="shared" si="2"/>
        <v/>
      </c>
      <c r="I37" s="137" t="str">
        <f t="shared" si="3"/>
        <v/>
      </c>
      <c r="J37" s="137" t="str">
        <f t="shared" si="4"/>
        <v>Week 3HOU</v>
      </c>
      <c r="K37" s="137" t="str">
        <f t="shared" si="5"/>
        <v>Week 3MIN</v>
      </c>
      <c r="L37" s="137" t="str">
        <f t="shared" ref="L37:M37" si="41">D37</f>
        <v/>
      </c>
      <c r="M37" s="137" t="str">
        <f t="shared" si="41"/>
        <v/>
      </c>
      <c r="N37" s="137" t="str">
        <f t="shared" si="7"/>
        <v>Week 3HOU</v>
      </c>
    </row>
    <row r="38">
      <c r="A38" s="137" t="str">
        <f>IFERROR(__xludf.DUMMYFUNCTION("""COMPUTED_VALUE"""),"20240922_GB@TEN")</f>
        <v>20240922_GB@TEN</v>
      </c>
      <c r="B38" s="137" t="str">
        <f>IFERROR(__xludf.DUMMYFUNCTION("""COMPUTED_VALUE"""),"GB")</f>
        <v>GB</v>
      </c>
      <c r="C38" s="137" t="str">
        <f>IFERROR(__xludf.DUMMYFUNCTION("""COMPUTED_VALUE"""),"TEN")</f>
        <v>TEN</v>
      </c>
      <c r="D38" s="137"/>
      <c r="E38" s="137"/>
      <c r="F38" s="137" t="str">
        <f>IFERROR(__xludf.DUMMYFUNCTION("""COMPUTED_VALUE"""),"Week 3")</f>
        <v>Week 3</v>
      </c>
      <c r="G38" s="137">
        <f>IFERROR(__xludf.DUMMYFUNCTION("""COMPUTED_VALUE"""),0.0)</f>
        <v>0</v>
      </c>
      <c r="H38" s="137" t="str">
        <f t="shared" si="2"/>
        <v/>
      </c>
      <c r="I38" s="137" t="str">
        <f t="shared" si="3"/>
        <v/>
      </c>
      <c r="J38" s="137" t="str">
        <f t="shared" si="4"/>
        <v>Week 3GB</v>
      </c>
      <c r="K38" s="137" t="str">
        <f t="shared" si="5"/>
        <v>Week 3TEN</v>
      </c>
      <c r="L38" s="137" t="str">
        <f t="shared" ref="L38:M38" si="42">D38</f>
        <v/>
      </c>
      <c r="M38" s="137" t="str">
        <f t="shared" si="42"/>
        <v/>
      </c>
      <c r="N38" s="137" t="str">
        <f t="shared" si="7"/>
        <v>Week 3GB</v>
      </c>
    </row>
    <row r="39">
      <c r="A39" s="137" t="str">
        <f>IFERROR(__xludf.DUMMYFUNCTION("""COMPUTED_VALUE"""),"20240922_BAL@DAL")</f>
        <v>20240922_BAL@DAL</v>
      </c>
      <c r="B39" s="137" t="str">
        <f>IFERROR(__xludf.DUMMYFUNCTION("""COMPUTED_VALUE"""),"BAL")</f>
        <v>BAL</v>
      </c>
      <c r="C39" s="137" t="str">
        <f>IFERROR(__xludf.DUMMYFUNCTION("""COMPUTED_VALUE"""),"DAL")</f>
        <v>DAL</v>
      </c>
      <c r="D39" s="137"/>
      <c r="E39" s="137"/>
      <c r="F39" s="137" t="str">
        <f>IFERROR(__xludf.DUMMYFUNCTION("""COMPUTED_VALUE"""),"Week 3")</f>
        <v>Week 3</v>
      </c>
      <c r="G39" s="137">
        <f>IFERROR(__xludf.DUMMYFUNCTION("""COMPUTED_VALUE"""),0.0)</f>
        <v>0</v>
      </c>
      <c r="H39" s="137" t="str">
        <f t="shared" si="2"/>
        <v/>
      </c>
      <c r="I39" s="137" t="str">
        <f t="shared" si="3"/>
        <v/>
      </c>
      <c r="J39" s="137" t="str">
        <f t="shared" si="4"/>
        <v>Week 3BAL</v>
      </c>
      <c r="K39" s="137" t="str">
        <f t="shared" si="5"/>
        <v>Week 3DAL</v>
      </c>
      <c r="L39" s="137" t="str">
        <f t="shared" ref="L39:M39" si="43">D39</f>
        <v/>
      </c>
      <c r="M39" s="137" t="str">
        <f t="shared" si="43"/>
        <v/>
      </c>
      <c r="N39" s="137" t="str">
        <f t="shared" si="7"/>
        <v>Week 3BAL</v>
      </c>
    </row>
    <row r="40">
      <c r="A40" s="137" t="str">
        <f>IFERROR(__xludf.DUMMYFUNCTION("""COMPUTED_VALUE"""),"20240922_MIA@SEA")</f>
        <v>20240922_MIA@SEA</v>
      </c>
      <c r="B40" s="137" t="str">
        <f>IFERROR(__xludf.DUMMYFUNCTION("""COMPUTED_VALUE"""),"MIA")</f>
        <v>MIA</v>
      </c>
      <c r="C40" s="137" t="str">
        <f>IFERROR(__xludf.DUMMYFUNCTION("""COMPUTED_VALUE"""),"SEA")</f>
        <v>SEA</v>
      </c>
      <c r="D40" s="137"/>
      <c r="E40" s="137"/>
      <c r="F40" s="137" t="str">
        <f>IFERROR(__xludf.DUMMYFUNCTION("""COMPUTED_VALUE"""),"Week 3")</f>
        <v>Week 3</v>
      </c>
      <c r="G40" s="137">
        <f>IFERROR(__xludf.DUMMYFUNCTION("""COMPUTED_VALUE"""),0.0)</f>
        <v>0</v>
      </c>
      <c r="H40" s="137" t="str">
        <f t="shared" si="2"/>
        <v/>
      </c>
      <c r="I40" s="137" t="str">
        <f t="shared" si="3"/>
        <v/>
      </c>
      <c r="J40" s="137" t="str">
        <f t="shared" si="4"/>
        <v>Week 3MIA</v>
      </c>
      <c r="K40" s="137" t="str">
        <f t="shared" si="5"/>
        <v>Week 3SEA</v>
      </c>
      <c r="L40" s="137" t="str">
        <f t="shared" ref="L40:M40" si="44">D40</f>
        <v/>
      </c>
      <c r="M40" s="137" t="str">
        <f t="shared" si="44"/>
        <v/>
      </c>
      <c r="N40" s="137" t="str">
        <f t="shared" si="7"/>
        <v>Week 3MIA</v>
      </c>
    </row>
    <row r="41">
      <c r="A41" s="137" t="str">
        <f>IFERROR(__xludf.DUMMYFUNCTION("""COMPUTED_VALUE"""),"20240922_KC@ATL")</f>
        <v>20240922_KC@ATL</v>
      </c>
      <c r="B41" s="137" t="str">
        <f>IFERROR(__xludf.DUMMYFUNCTION("""COMPUTED_VALUE"""),"KC")</f>
        <v>KC</v>
      </c>
      <c r="C41" s="137" t="str">
        <f>IFERROR(__xludf.DUMMYFUNCTION("""COMPUTED_VALUE"""),"ATL")</f>
        <v>ATL</v>
      </c>
      <c r="D41" s="137"/>
      <c r="E41" s="137"/>
      <c r="F41" s="137" t="str">
        <f>IFERROR(__xludf.DUMMYFUNCTION("""COMPUTED_VALUE"""),"Week 3")</f>
        <v>Week 3</v>
      </c>
      <c r="G41" s="137">
        <f>IFERROR(__xludf.DUMMYFUNCTION("""COMPUTED_VALUE"""),0.0)</f>
        <v>0</v>
      </c>
      <c r="H41" s="137" t="str">
        <f t="shared" si="2"/>
        <v/>
      </c>
      <c r="I41" s="137" t="str">
        <f t="shared" si="3"/>
        <v/>
      </c>
      <c r="J41" s="137" t="str">
        <f t="shared" si="4"/>
        <v>Week 3KC</v>
      </c>
      <c r="K41" s="137" t="str">
        <f t="shared" si="5"/>
        <v>Week 3ATL</v>
      </c>
      <c r="L41" s="137" t="str">
        <f t="shared" ref="L41:M41" si="45">D41</f>
        <v/>
      </c>
      <c r="M41" s="137" t="str">
        <f t="shared" si="45"/>
        <v/>
      </c>
      <c r="N41" s="137" t="str">
        <f t="shared" si="7"/>
        <v>Week 3KC</v>
      </c>
    </row>
    <row r="42">
      <c r="A42" s="137" t="str">
        <f>IFERROR(__xludf.DUMMYFUNCTION("""COMPUTED_VALUE"""),"20240922_DEN@TB")</f>
        <v>20240922_DEN@TB</v>
      </c>
      <c r="B42" s="137" t="str">
        <f>IFERROR(__xludf.DUMMYFUNCTION("""COMPUTED_VALUE"""),"DEN")</f>
        <v>DEN</v>
      </c>
      <c r="C42" s="137" t="str">
        <f>IFERROR(__xludf.DUMMYFUNCTION("""COMPUTED_VALUE"""),"TB")</f>
        <v>TB</v>
      </c>
      <c r="D42" s="137"/>
      <c r="E42" s="137"/>
      <c r="F42" s="137" t="str">
        <f>IFERROR(__xludf.DUMMYFUNCTION("""COMPUTED_VALUE"""),"Week 3")</f>
        <v>Week 3</v>
      </c>
      <c r="G42" s="137">
        <f>IFERROR(__xludf.DUMMYFUNCTION("""COMPUTED_VALUE"""),0.0)</f>
        <v>0</v>
      </c>
      <c r="H42" s="137" t="str">
        <f t="shared" si="2"/>
        <v/>
      </c>
      <c r="I42" s="137" t="str">
        <f t="shared" si="3"/>
        <v/>
      </c>
      <c r="J42" s="137" t="str">
        <f t="shared" si="4"/>
        <v>Week 3DEN</v>
      </c>
      <c r="K42" s="137" t="str">
        <f t="shared" si="5"/>
        <v>Week 3TB</v>
      </c>
      <c r="L42" s="137" t="str">
        <f t="shared" ref="L42:M42" si="46">D42</f>
        <v/>
      </c>
      <c r="M42" s="137" t="str">
        <f t="shared" si="46"/>
        <v/>
      </c>
      <c r="N42" s="137" t="str">
        <f t="shared" si="7"/>
        <v>Week 3DEN</v>
      </c>
    </row>
    <row r="43">
      <c r="A43" s="137" t="str">
        <f>IFERROR(__xludf.DUMMYFUNCTION("""COMPUTED_VALUE"""),"20240922_LAC@PIT")</f>
        <v>20240922_LAC@PIT</v>
      </c>
      <c r="B43" s="137" t="str">
        <f>IFERROR(__xludf.DUMMYFUNCTION("""COMPUTED_VALUE"""),"LAC")</f>
        <v>LAC</v>
      </c>
      <c r="C43" s="137" t="str">
        <f>IFERROR(__xludf.DUMMYFUNCTION("""COMPUTED_VALUE"""),"PIT")</f>
        <v>PIT</v>
      </c>
      <c r="D43" s="137"/>
      <c r="E43" s="137"/>
      <c r="F43" s="137" t="str">
        <f>IFERROR(__xludf.DUMMYFUNCTION("""COMPUTED_VALUE"""),"Week 3")</f>
        <v>Week 3</v>
      </c>
      <c r="G43" s="137">
        <f>IFERROR(__xludf.DUMMYFUNCTION("""COMPUTED_VALUE"""),0.0)</f>
        <v>0</v>
      </c>
      <c r="H43" s="137" t="str">
        <f t="shared" si="2"/>
        <v/>
      </c>
      <c r="I43" s="137" t="str">
        <f t="shared" si="3"/>
        <v/>
      </c>
      <c r="J43" s="137" t="str">
        <f t="shared" si="4"/>
        <v>Week 3LAC</v>
      </c>
      <c r="K43" s="137" t="str">
        <f t="shared" si="5"/>
        <v>Week 3PIT</v>
      </c>
      <c r="L43" s="137" t="str">
        <f t="shared" ref="L43:M43" si="47">D43</f>
        <v/>
      </c>
      <c r="M43" s="137" t="str">
        <f t="shared" si="47"/>
        <v/>
      </c>
      <c r="N43" s="137" t="str">
        <f t="shared" si="7"/>
        <v>Week 3LAC</v>
      </c>
    </row>
    <row r="44">
      <c r="A44" s="137" t="str">
        <f>IFERROR(__xludf.DUMMYFUNCTION("""COMPUTED_VALUE"""),"20240922_PHI@NO")</f>
        <v>20240922_PHI@NO</v>
      </c>
      <c r="B44" s="137" t="str">
        <f>IFERROR(__xludf.DUMMYFUNCTION("""COMPUTED_VALUE"""),"PHI")</f>
        <v>PHI</v>
      </c>
      <c r="C44" s="137" t="str">
        <f>IFERROR(__xludf.DUMMYFUNCTION("""COMPUTED_VALUE"""),"NO")</f>
        <v>NO</v>
      </c>
      <c r="D44" s="137"/>
      <c r="E44" s="137"/>
      <c r="F44" s="137" t="str">
        <f>IFERROR(__xludf.DUMMYFUNCTION("""COMPUTED_VALUE"""),"Week 3")</f>
        <v>Week 3</v>
      </c>
      <c r="G44" s="137">
        <f>IFERROR(__xludf.DUMMYFUNCTION("""COMPUTED_VALUE"""),0.0)</f>
        <v>0</v>
      </c>
      <c r="H44" s="137" t="str">
        <f t="shared" si="2"/>
        <v/>
      </c>
      <c r="I44" s="137" t="str">
        <f t="shared" si="3"/>
        <v/>
      </c>
      <c r="J44" s="137" t="str">
        <f t="shared" si="4"/>
        <v>Week 3PHI</v>
      </c>
      <c r="K44" s="137" t="str">
        <f t="shared" si="5"/>
        <v>Week 3NO</v>
      </c>
      <c r="L44" s="137" t="str">
        <f t="shared" ref="L44:M44" si="48">D44</f>
        <v/>
      </c>
      <c r="M44" s="137" t="str">
        <f t="shared" si="48"/>
        <v/>
      </c>
      <c r="N44" s="137" t="str">
        <f t="shared" si="7"/>
        <v>Week 3PHI</v>
      </c>
    </row>
    <row r="45">
      <c r="A45" s="137" t="str">
        <f>IFERROR(__xludf.DUMMYFUNCTION("""COMPUTED_VALUE"""),"20240922_SF@LAR")</f>
        <v>20240922_SF@LAR</v>
      </c>
      <c r="B45" s="137" t="str">
        <f>IFERROR(__xludf.DUMMYFUNCTION("""COMPUTED_VALUE"""),"SF")</f>
        <v>SF</v>
      </c>
      <c r="C45" s="137" t="str">
        <f>IFERROR(__xludf.DUMMYFUNCTION("""COMPUTED_VALUE"""),"LAR")</f>
        <v>LAR</v>
      </c>
      <c r="D45" s="137"/>
      <c r="E45" s="137"/>
      <c r="F45" s="137" t="str">
        <f>IFERROR(__xludf.DUMMYFUNCTION("""COMPUTED_VALUE"""),"Week 3")</f>
        <v>Week 3</v>
      </c>
      <c r="G45" s="137">
        <f>IFERROR(__xludf.DUMMYFUNCTION("""COMPUTED_VALUE"""),0.0)</f>
        <v>0</v>
      </c>
      <c r="H45" s="137" t="str">
        <f t="shared" si="2"/>
        <v/>
      </c>
      <c r="I45" s="137" t="str">
        <f t="shared" si="3"/>
        <v/>
      </c>
      <c r="J45" s="137" t="str">
        <f t="shared" si="4"/>
        <v>Week 3SF</v>
      </c>
      <c r="K45" s="137" t="str">
        <f t="shared" si="5"/>
        <v>Week 3LAR</v>
      </c>
      <c r="L45" s="137" t="str">
        <f t="shared" ref="L45:M45" si="49">D45</f>
        <v/>
      </c>
      <c r="M45" s="137" t="str">
        <f t="shared" si="49"/>
        <v/>
      </c>
      <c r="N45" s="137" t="str">
        <f t="shared" si="7"/>
        <v>Week 3SF</v>
      </c>
    </row>
    <row r="46">
      <c r="A46" s="137" t="str">
        <f>IFERROR(__xludf.DUMMYFUNCTION("""COMPUTED_VALUE"""),"20240922_CAR@LV")</f>
        <v>20240922_CAR@LV</v>
      </c>
      <c r="B46" s="137" t="str">
        <f>IFERROR(__xludf.DUMMYFUNCTION("""COMPUTED_VALUE"""),"CAR")</f>
        <v>CAR</v>
      </c>
      <c r="C46" s="137" t="str">
        <f>IFERROR(__xludf.DUMMYFUNCTION("""COMPUTED_VALUE"""),"LV")</f>
        <v>LV</v>
      </c>
      <c r="D46" s="137"/>
      <c r="E46" s="137"/>
      <c r="F46" s="137" t="str">
        <f>IFERROR(__xludf.DUMMYFUNCTION("""COMPUTED_VALUE"""),"Week 3")</f>
        <v>Week 3</v>
      </c>
      <c r="G46" s="137">
        <f>IFERROR(__xludf.DUMMYFUNCTION("""COMPUTED_VALUE"""),0.0)</f>
        <v>0</v>
      </c>
      <c r="H46" s="137" t="str">
        <f t="shared" si="2"/>
        <v/>
      </c>
      <c r="I46" s="137" t="str">
        <f t="shared" si="3"/>
        <v/>
      </c>
      <c r="J46" s="137" t="str">
        <f t="shared" si="4"/>
        <v>Week 3CAR</v>
      </c>
      <c r="K46" s="137" t="str">
        <f t="shared" si="5"/>
        <v>Week 3LV</v>
      </c>
      <c r="L46" s="137" t="str">
        <f t="shared" ref="L46:M46" si="50">D46</f>
        <v/>
      </c>
      <c r="M46" s="137" t="str">
        <f t="shared" si="50"/>
        <v/>
      </c>
      <c r="N46" s="137" t="str">
        <f t="shared" si="7"/>
        <v>Week 3CAR</v>
      </c>
    </row>
    <row r="47">
      <c r="A47" s="137" t="str">
        <f>IFERROR(__xludf.DUMMYFUNCTION("""COMPUTED_VALUE"""),"20240922_CHI@IND")</f>
        <v>20240922_CHI@IND</v>
      </c>
      <c r="B47" s="137" t="str">
        <f>IFERROR(__xludf.DUMMYFUNCTION("""COMPUTED_VALUE"""),"CHI")</f>
        <v>CHI</v>
      </c>
      <c r="C47" s="137" t="str">
        <f>IFERROR(__xludf.DUMMYFUNCTION("""COMPUTED_VALUE"""),"IND")</f>
        <v>IND</v>
      </c>
      <c r="D47" s="137"/>
      <c r="E47" s="137"/>
      <c r="F47" s="137" t="str">
        <f>IFERROR(__xludf.DUMMYFUNCTION("""COMPUTED_VALUE"""),"Week 3")</f>
        <v>Week 3</v>
      </c>
      <c r="G47" s="137">
        <f>IFERROR(__xludf.DUMMYFUNCTION("""COMPUTED_VALUE"""),0.0)</f>
        <v>0</v>
      </c>
      <c r="H47" s="137" t="str">
        <f t="shared" si="2"/>
        <v/>
      </c>
      <c r="I47" s="137" t="str">
        <f t="shared" si="3"/>
        <v/>
      </c>
      <c r="J47" s="137" t="str">
        <f t="shared" si="4"/>
        <v>Week 3CHI</v>
      </c>
      <c r="K47" s="137" t="str">
        <f t="shared" si="5"/>
        <v>Week 3IND</v>
      </c>
      <c r="L47" s="137" t="str">
        <f t="shared" ref="L47:M47" si="51">D47</f>
        <v/>
      </c>
      <c r="M47" s="137" t="str">
        <f t="shared" si="51"/>
        <v/>
      </c>
      <c r="N47" s="137" t="str">
        <f t="shared" si="7"/>
        <v>Week 3CHI</v>
      </c>
    </row>
    <row r="48">
      <c r="A48" s="137" t="str">
        <f>IFERROR(__xludf.DUMMYFUNCTION("""COMPUTED_VALUE"""),"20240922_NYG@CLE")</f>
        <v>20240922_NYG@CLE</v>
      </c>
      <c r="B48" s="137" t="str">
        <f>IFERROR(__xludf.DUMMYFUNCTION("""COMPUTED_VALUE"""),"NYG")</f>
        <v>NYG</v>
      </c>
      <c r="C48" s="137" t="str">
        <f>IFERROR(__xludf.DUMMYFUNCTION("""COMPUTED_VALUE"""),"CLE")</f>
        <v>CLE</v>
      </c>
      <c r="D48" s="137"/>
      <c r="E48" s="137"/>
      <c r="F48" s="137" t="str">
        <f>IFERROR(__xludf.DUMMYFUNCTION("""COMPUTED_VALUE"""),"Week 3")</f>
        <v>Week 3</v>
      </c>
      <c r="G48" s="137">
        <f>IFERROR(__xludf.DUMMYFUNCTION("""COMPUTED_VALUE"""),0.0)</f>
        <v>0</v>
      </c>
      <c r="H48" s="137" t="str">
        <f t="shared" si="2"/>
        <v/>
      </c>
      <c r="I48" s="137" t="str">
        <f t="shared" si="3"/>
        <v/>
      </c>
      <c r="J48" s="137" t="str">
        <f t="shared" si="4"/>
        <v>Week 3NYG</v>
      </c>
      <c r="K48" s="137" t="str">
        <f t="shared" si="5"/>
        <v>Week 3CLE</v>
      </c>
      <c r="L48" s="137" t="str">
        <f t="shared" ref="L48:M48" si="52">D48</f>
        <v/>
      </c>
      <c r="M48" s="137" t="str">
        <f t="shared" si="52"/>
        <v/>
      </c>
      <c r="N48" s="137" t="str">
        <f t="shared" si="7"/>
        <v>Week 3NYG</v>
      </c>
    </row>
    <row r="49">
      <c r="A49" s="137" t="str">
        <f>IFERROR(__xludf.DUMMYFUNCTION("""COMPUTED_VALUE"""),"20240919_NE@NYJ")</f>
        <v>20240919_NE@NYJ</v>
      </c>
      <c r="B49" s="137" t="str">
        <f>IFERROR(__xludf.DUMMYFUNCTION("""COMPUTED_VALUE"""),"NE")</f>
        <v>NE</v>
      </c>
      <c r="C49" s="137" t="str">
        <f>IFERROR(__xludf.DUMMYFUNCTION("""COMPUTED_VALUE"""),"NYJ")</f>
        <v>NYJ</v>
      </c>
      <c r="D49" s="137"/>
      <c r="E49" s="137"/>
      <c r="F49" s="137" t="str">
        <f>IFERROR(__xludf.DUMMYFUNCTION("""COMPUTED_VALUE"""),"Week 3")</f>
        <v>Week 3</v>
      </c>
      <c r="G49" s="137">
        <f>IFERROR(__xludf.DUMMYFUNCTION("""COMPUTED_VALUE"""),0.0)</f>
        <v>0</v>
      </c>
      <c r="H49" s="137" t="str">
        <f t="shared" si="2"/>
        <v/>
      </c>
      <c r="I49" s="137" t="str">
        <f t="shared" si="3"/>
        <v/>
      </c>
      <c r="J49" s="137" t="str">
        <f t="shared" si="4"/>
        <v>Week 3NE</v>
      </c>
      <c r="K49" s="137" t="str">
        <f t="shared" si="5"/>
        <v>Week 3NYJ</v>
      </c>
      <c r="L49" s="137" t="str">
        <f t="shared" ref="L49:M49" si="53">D49</f>
        <v/>
      </c>
      <c r="M49" s="137" t="str">
        <f t="shared" si="53"/>
        <v/>
      </c>
      <c r="N49" s="137" t="str">
        <f t="shared" si="7"/>
        <v>Week 3NE</v>
      </c>
    </row>
    <row r="50">
      <c r="A50" s="137" t="str">
        <f>IFERROR(__xludf.DUMMYFUNCTION("""COMPUTED_VALUE"""),"20240930_TEN@MIA")</f>
        <v>20240930_TEN@MIA</v>
      </c>
      <c r="B50" s="137" t="str">
        <f>IFERROR(__xludf.DUMMYFUNCTION("""COMPUTED_VALUE"""),"TEN")</f>
        <v>TEN</v>
      </c>
      <c r="C50" s="137" t="str">
        <f>IFERROR(__xludf.DUMMYFUNCTION("""COMPUTED_VALUE"""),"MIA")</f>
        <v>MIA</v>
      </c>
      <c r="D50" s="137"/>
      <c r="E50" s="137"/>
      <c r="F50" s="137" t="str">
        <f>IFERROR(__xludf.DUMMYFUNCTION("""COMPUTED_VALUE"""),"Week 4")</f>
        <v>Week 4</v>
      </c>
      <c r="G50" s="137">
        <f>IFERROR(__xludf.DUMMYFUNCTION("""COMPUTED_VALUE"""),0.0)</f>
        <v>0</v>
      </c>
      <c r="H50" s="137" t="str">
        <f t="shared" si="2"/>
        <v/>
      </c>
      <c r="I50" s="137" t="str">
        <f t="shared" si="3"/>
        <v/>
      </c>
      <c r="J50" s="137" t="str">
        <f t="shared" si="4"/>
        <v>Week 4TEN</v>
      </c>
      <c r="K50" s="137" t="str">
        <f t="shared" si="5"/>
        <v>Week 4MIA</v>
      </c>
      <c r="L50" s="137" t="str">
        <f t="shared" ref="L50:M50" si="54">D50</f>
        <v/>
      </c>
      <c r="M50" s="137" t="str">
        <f t="shared" si="54"/>
        <v/>
      </c>
      <c r="N50" s="137" t="str">
        <f t="shared" si="7"/>
        <v>Week 4TEN</v>
      </c>
    </row>
    <row r="51">
      <c r="A51" s="137" t="str">
        <f>IFERROR(__xludf.DUMMYFUNCTION("""COMPUTED_VALUE"""),"20240930_SEA@DET")</f>
        <v>20240930_SEA@DET</v>
      </c>
      <c r="B51" s="137" t="str">
        <f>IFERROR(__xludf.DUMMYFUNCTION("""COMPUTED_VALUE"""),"SEA")</f>
        <v>SEA</v>
      </c>
      <c r="C51" s="137" t="str">
        <f>IFERROR(__xludf.DUMMYFUNCTION("""COMPUTED_VALUE"""),"DET")</f>
        <v>DET</v>
      </c>
      <c r="D51" s="137"/>
      <c r="E51" s="137"/>
      <c r="F51" s="137" t="str">
        <f>IFERROR(__xludf.DUMMYFUNCTION("""COMPUTED_VALUE"""),"Week 4")</f>
        <v>Week 4</v>
      </c>
      <c r="G51" s="137">
        <f>IFERROR(__xludf.DUMMYFUNCTION("""COMPUTED_VALUE"""),0.0)</f>
        <v>0</v>
      </c>
      <c r="H51" s="137" t="str">
        <f t="shared" si="2"/>
        <v/>
      </c>
      <c r="I51" s="137" t="str">
        <f t="shared" si="3"/>
        <v/>
      </c>
      <c r="J51" s="137" t="str">
        <f t="shared" si="4"/>
        <v>Week 4SEA</v>
      </c>
      <c r="K51" s="137" t="str">
        <f t="shared" si="5"/>
        <v>Week 4DET</v>
      </c>
      <c r="L51" s="137" t="str">
        <f t="shared" ref="L51:M51" si="55">D51</f>
        <v/>
      </c>
      <c r="M51" s="137" t="str">
        <f t="shared" si="55"/>
        <v/>
      </c>
      <c r="N51" s="137" t="str">
        <f t="shared" si="7"/>
        <v>Week 4SEA</v>
      </c>
    </row>
    <row r="52">
      <c r="A52" s="137" t="str">
        <f>IFERROR(__xludf.DUMMYFUNCTION("""COMPUTED_VALUE"""),"20240926_DAL@NYG")</f>
        <v>20240926_DAL@NYG</v>
      </c>
      <c r="B52" s="137" t="str">
        <f>IFERROR(__xludf.DUMMYFUNCTION("""COMPUTED_VALUE"""),"DAL")</f>
        <v>DAL</v>
      </c>
      <c r="C52" s="137" t="str">
        <f>IFERROR(__xludf.DUMMYFUNCTION("""COMPUTED_VALUE"""),"NYG")</f>
        <v>NYG</v>
      </c>
      <c r="D52" s="137"/>
      <c r="E52" s="137"/>
      <c r="F52" s="137" t="str">
        <f>IFERROR(__xludf.DUMMYFUNCTION("""COMPUTED_VALUE"""),"Week 4")</f>
        <v>Week 4</v>
      </c>
      <c r="G52" s="137">
        <f>IFERROR(__xludf.DUMMYFUNCTION("""COMPUTED_VALUE"""),0.0)</f>
        <v>0</v>
      </c>
      <c r="H52" s="137" t="str">
        <f t="shared" si="2"/>
        <v/>
      </c>
      <c r="I52" s="137" t="str">
        <f t="shared" si="3"/>
        <v/>
      </c>
      <c r="J52" s="137" t="str">
        <f t="shared" si="4"/>
        <v>Week 4DAL</v>
      </c>
      <c r="K52" s="137" t="str">
        <f t="shared" si="5"/>
        <v>Week 4NYG</v>
      </c>
      <c r="L52" s="137" t="str">
        <f t="shared" ref="L52:M52" si="56">D52</f>
        <v/>
      </c>
      <c r="M52" s="137" t="str">
        <f t="shared" si="56"/>
        <v/>
      </c>
      <c r="N52" s="137" t="str">
        <f t="shared" si="7"/>
        <v>Week 4DAL</v>
      </c>
    </row>
    <row r="53">
      <c r="A53" s="137" t="str">
        <f>IFERROR(__xludf.DUMMYFUNCTION("""COMPUTED_VALUE"""),"20240929_MIN@GB")</f>
        <v>20240929_MIN@GB</v>
      </c>
      <c r="B53" s="137" t="str">
        <f>IFERROR(__xludf.DUMMYFUNCTION("""COMPUTED_VALUE"""),"MIN")</f>
        <v>MIN</v>
      </c>
      <c r="C53" s="137" t="str">
        <f>IFERROR(__xludf.DUMMYFUNCTION("""COMPUTED_VALUE"""),"GB")</f>
        <v>GB</v>
      </c>
      <c r="D53" s="137"/>
      <c r="E53" s="137"/>
      <c r="F53" s="137" t="str">
        <f>IFERROR(__xludf.DUMMYFUNCTION("""COMPUTED_VALUE"""),"Week 4")</f>
        <v>Week 4</v>
      </c>
      <c r="G53" s="137">
        <f>IFERROR(__xludf.DUMMYFUNCTION("""COMPUTED_VALUE"""),0.0)</f>
        <v>0</v>
      </c>
      <c r="H53" s="137" t="str">
        <f t="shared" si="2"/>
        <v/>
      </c>
      <c r="I53" s="137" t="str">
        <f t="shared" si="3"/>
        <v/>
      </c>
      <c r="J53" s="137" t="str">
        <f t="shared" si="4"/>
        <v>Week 4MIN</v>
      </c>
      <c r="K53" s="137" t="str">
        <f t="shared" si="5"/>
        <v>Week 4GB</v>
      </c>
      <c r="L53" s="137" t="str">
        <f t="shared" ref="L53:M53" si="57">D53</f>
        <v/>
      </c>
      <c r="M53" s="137" t="str">
        <f t="shared" si="57"/>
        <v/>
      </c>
      <c r="N53" s="137" t="str">
        <f t="shared" si="7"/>
        <v>Week 4MIN</v>
      </c>
    </row>
    <row r="54">
      <c r="A54" s="137" t="str">
        <f>IFERROR(__xludf.DUMMYFUNCTION("""COMPUTED_VALUE"""),"20240929_DEN@NYJ")</f>
        <v>20240929_DEN@NYJ</v>
      </c>
      <c r="B54" s="137" t="str">
        <f>IFERROR(__xludf.DUMMYFUNCTION("""COMPUTED_VALUE"""),"DEN")</f>
        <v>DEN</v>
      </c>
      <c r="C54" s="137" t="str">
        <f>IFERROR(__xludf.DUMMYFUNCTION("""COMPUTED_VALUE"""),"NYJ")</f>
        <v>NYJ</v>
      </c>
      <c r="D54" s="137"/>
      <c r="E54" s="137"/>
      <c r="F54" s="137" t="str">
        <f>IFERROR(__xludf.DUMMYFUNCTION("""COMPUTED_VALUE"""),"Week 4")</f>
        <v>Week 4</v>
      </c>
      <c r="G54" s="137">
        <f>IFERROR(__xludf.DUMMYFUNCTION("""COMPUTED_VALUE"""),0.0)</f>
        <v>0</v>
      </c>
      <c r="H54" s="137" t="str">
        <f t="shared" si="2"/>
        <v/>
      </c>
      <c r="I54" s="137" t="str">
        <f t="shared" si="3"/>
        <v/>
      </c>
      <c r="J54" s="137" t="str">
        <f t="shared" si="4"/>
        <v>Week 4DEN</v>
      </c>
      <c r="K54" s="137" t="str">
        <f t="shared" si="5"/>
        <v>Week 4NYJ</v>
      </c>
      <c r="L54" s="137" t="str">
        <f t="shared" ref="L54:M54" si="58">D54</f>
        <v/>
      </c>
      <c r="M54" s="137" t="str">
        <f t="shared" si="58"/>
        <v/>
      </c>
      <c r="N54" s="137" t="str">
        <f t="shared" si="7"/>
        <v>Week 4DEN</v>
      </c>
    </row>
    <row r="55">
      <c r="A55" s="137" t="str">
        <f>IFERROR(__xludf.DUMMYFUNCTION("""COMPUTED_VALUE"""),"20240929_CIN@CAR")</f>
        <v>20240929_CIN@CAR</v>
      </c>
      <c r="B55" s="137" t="str">
        <f>IFERROR(__xludf.DUMMYFUNCTION("""COMPUTED_VALUE"""),"CIN")</f>
        <v>CIN</v>
      </c>
      <c r="C55" s="137" t="str">
        <f>IFERROR(__xludf.DUMMYFUNCTION("""COMPUTED_VALUE"""),"CAR")</f>
        <v>CAR</v>
      </c>
      <c r="D55" s="137"/>
      <c r="E55" s="137"/>
      <c r="F55" s="137" t="str">
        <f>IFERROR(__xludf.DUMMYFUNCTION("""COMPUTED_VALUE"""),"Week 4")</f>
        <v>Week 4</v>
      </c>
      <c r="G55" s="137">
        <f>IFERROR(__xludf.DUMMYFUNCTION("""COMPUTED_VALUE"""),0.0)</f>
        <v>0</v>
      </c>
      <c r="H55" s="137" t="str">
        <f t="shared" si="2"/>
        <v/>
      </c>
      <c r="I55" s="137" t="str">
        <f t="shared" si="3"/>
        <v/>
      </c>
      <c r="J55" s="137" t="str">
        <f t="shared" si="4"/>
        <v>Week 4CIN</v>
      </c>
      <c r="K55" s="137" t="str">
        <f t="shared" si="5"/>
        <v>Week 4CAR</v>
      </c>
      <c r="L55" s="137" t="str">
        <f t="shared" ref="L55:M55" si="59">D55</f>
        <v/>
      </c>
      <c r="M55" s="137" t="str">
        <f t="shared" si="59"/>
        <v/>
      </c>
      <c r="N55" s="137" t="str">
        <f t="shared" si="7"/>
        <v>Week 4CIN</v>
      </c>
    </row>
    <row r="56">
      <c r="A56" s="137" t="str">
        <f>IFERROR(__xludf.DUMMYFUNCTION("""COMPUTED_VALUE"""),"20240929_KC@LAC")</f>
        <v>20240929_KC@LAC</v>
      </c>
      <c r="B56" s="137" t="str">
        <f>IFERROR(__xludf.DUMMYFUNCTION("""COMPUTED_VALUE"""),"KC")</f>
        <v>KC</v>
      </c>
      <c r="C56" s="137" t="str">
        <f>IFERROR(__xludf.DUMMYFUNCTION("""COMPUTED_VALUE"""),"LAC")</f>
        <v>LAC</v>
      </c>
      <c r="D56" s="137"/>
      <c r="E56" s="137"/>
      <c r="F56" s="137" t="str">
        <f>IFERROR(__xludf.DUMMYFUNCTION("""COMPUTED_VALUE"""),"Week 4")</f>
        <v>Week 4</v>
      </c>
      <c r="G56" s="137">
        <f>IFERROR(__xludf.DUMMYFUNCTION("""COMPUTED_VALUE"""),0.0)</f>
        <v>0</v>
      </c>
      <c r="H56" s="137" t="str">
        <f t="shared" si="2"/>
        <v/>
      </c>
      <c r="I56" s="137" t="str">
        <f t="shared" si="3"/>
        <v/>
      </c>
      <c r="J56" s="137" t="str">
        <f t="shared" si="4"/>
        <v>Week 4KC</v>
      </c>
      <c r="K56" s="137" t="str">
        <f t="shared" si="5"/>
        <v>Week 4LAC</v>
      </c>
      <c r="L56" s="137" t="str">
        <f t="shared" ref="L56:M56" si="60">D56</f>
        <v/>
      </c>
      <c r="M56" s="137" t="str">
        <f t="shared" si="60"/>
        <v/>
      </c>
      <c r="N56" s="137" t="str">
        <f t="shared" si="7"/>
        <v>Week 4KC</v>
      </c>
    </row>
    <row r="57">
      <c r="A57" s="137" t="str">
        <f>IFERROR(__xludf.DUMMYFUNCTION("""COMPUTED_VALUE"""),"20240929_LAR@CHI")</f>
        <v>20240929_LAR@CHI</v>
      </c>
      <c r="B57" s="137" t="str">
        <f>IFERROR(__xludf.DUMMYFUNCTION("""COMPUTED_VALUE"""),"LAR")</f>
        <v>LAR</v>
      </c>
      <c r="C57" s="137" t="str">
        <f>IFERROR(__xludf.DUMMYFUNCTION("""COMPUTED_VALUE"""),"CHI")</f>
        <v>CHI</v>
      </c>
      <c r="D57" s="137"/>
      <c r="E57" s="137"/>
      <c r="F57" s="137" t="str">
        <f>IFERROR(__xludf.DUMMYFUNCTION("""COMPUTED_VALUE"""),"Week 4")</f>
        <v>Week 4</v>
      </c>
      <c r="G57" s="137">
        <f>IFERROR(__xludf.DUMMYFUNCTION("""COMPUTED_VALUE"""),0.0)</f>
        <v>0</v>
      </c>
      <c r="H57" s="137" t="str">
        <f t="shared" si="2"/>
        <v/>
      </c>
      <c r="I57" s="137" t="str">
        <f t="shared" si="3"/>
        <v/>
      </c>
      <c r="J57" s="137" t="str">
        <f t="shared" si="4"/>
        <v>Week 4LAR</v>
      </c>
      <c r="K57" s="137" t="str">
        <f t="shared" si="5"/>
        <v>Week 4CHI</v>
      </c>
      <c r="L57" s="137" t="str">
        <f t="shared" ref="L57:M57" si="61">D57</f>
        <v/>
      </c>
      <c r="M57" s="137" t="str">
        <f t="shared" si="61"/>
        <v/>
      </c>
      <c r="N57" s="137" t="str">
        <f t="shared" si="7"/>
        <v>Week 4LAR</v>
      </c>
    </row>
    <row r="58">
      <c r="A58" s="137" t="str">
        <f>IFERROR(__xludf.DUMMYFUNCTION("""COMPUTED_VALUE"""),"20240929_PHI@TB")</f>
        <v>20240929_PHI@TB</v>
      </c>
      <c r="B58" s="137" t="str">
        <f>IFERROR(__xludf.DUMMYFUNCTION("""COMPUTED_VALUE"""),"PHI")</f>
        <v>PHI</v>
      </c>
      <c r="C58" s="137" t="str">
        <f>IFERROR(__xludf.DUMMYFUNCTION("""COMPUTED_VALUE"""),"TB")</f>
        <v>TB</v>
      </c>
      <c r="D58" s="137"/>
      <c r="E58" s="137"/>
      <c r="F58" s="137" t="str">
        <f>IFERROR(__xludf.DUMMYFUNCTION("""COMPUTED_VALUE"""),"Week 4")</f>
        <v>Week 4</v>
      </c>
      <c r="G58" s="137">
        <f>IFERROR(__xludf.DUMMYFUNCTION("""COMPUTED_VALUE"""),0.0)</f>
        <v>0</v>
      </c>
      <c r="H58" s="137" t="str">
        <f t="shared" si="2"/>
        <v/>
      </c>
      <c r="I58" s="137" t="str">
        <f t="shared" si="3"/>
        <v/>
      </c>
      <c r="J58" s="137" t="str">
        <f t="shared" si="4"/>
        <v>Week 4PHI</v>
      </c>
      <c r="K58" s="137" t="str">
        <f t="shared" si="5"/>
        <v>Week 4TB</v>
      </c>
      <c r="L58" s="137" t="str">
        <f t="shared" ref="L58:M58" si="62">D58</f>
        <v/>
      </c>
      <c r="M58" s="137" t="str">
        <f t="shared" si="62"/>
        <v/>
      </c>
      <c r="N58" s="137" t="str">
        <f t="shared" si="7"/>
        <v>Week 4PHI</v>
      </c>
    </row>
    <row r="59">
      <c r="A59" s="137" t="str">
        <f>IFERROR(__xludf.DUMMYFUNCTION("""COMPUTED_VALUE"""),"20240929_CLE@LV")</f>
        <v>20240929_CLE@LV</v>
      </c>
      <c r="B59" s="137" t="str">
        <f>IFERROR(__xludf.DUMMYFUNCTION("""COMPUTED_VALUE"""),"CLE")</f>
        <v>CLE</v>
      </c>
      <c r="C59" s="137" t="str">
        <f>IFERROR(__xludf.DUMMYFUNCTION("""COMPUTED_VALUE"""),"LV")</f>
        <v>LV</v>
      </c>
      <c r="D59" s="137"/>
      <c r="E59" s="137"/>
      <c r="F59" s="137" t="str">
        <f>IFERROR(__xludf.DUMMYFUNCTION("""COMPUTED_VALUE"""),"Week 4")</f>
        <v>Week 4</v>
      </c>
      <c r="G59" s="137">
        <f>IFERROR(__xludf.DUMMYFUNCTION("""COMPUTED_VALUE"""),0.0)</f>
        <v>0</v>
      </c>
      <c r="H59" s="137" t="str">
        <f t="shared" si="2"/>
        <v/>
      </c>
      <c r="I59" s="137" t="str">
        <f t="shared" si="3"/>
        <v/>
      </c>
      <c r="J59" s="137" t="str">
        <f t="shared" si="4"/>
        <v>Week 4CLE</v>
      </c>
      <c r="K59" s="137" t="str">
        <f t="shared" si="5"/>
        <v>Week 4LV</v>
      </c>
      <c r="L59" s="137" t="str">
        <f t="shared" ref="L59:M59" si="63">D59</f>
        <v/>
      </c>
      <c r="M59" s="137" t="str">
        <f t="shared" si="63"/>
        <v/>
      </c>
      <c r="N59" s="137" t="str">
        <f t="shared" si="7"/>
        <v>Week 4CLE</v>
      </c>
    </row>
    <row r="60">
      <c r="A60" s="137" t="str">
        <f>IFERROR(__xludf.DUMMYFUNCTION("""COMPUTED_VALUE"""),"20240929_WSH@ARI")</f>
        <v>20240929_WSH@ARI</v>
      </c>
      <c r="B60" s="137" t="str">
        <f>IFERROR(__xludf.DUMMYFUNCTION("""COMPUTED_VALUE"""),"WSH")</f>
        <v>WSH</v>
      </c>
      <c r="C60" s="137" t="str">
        <f>IFERROR(__xludf.DUMMYFUNCTION("""COMPUTED_VALUE"""),"ARI")</f>
        <v>ARI</v>
      </c>
      <c r="D60" s="137"/>
      <c r="E60" s="137"/>
      <c r="F60" s="137" t="str">
        <f>IFERROR(__xludf.DUMMYFUNCTION("""COMPUTED_VALUE"""),"Week 4")</f>
        <v>Week 4</v>
      </c>
      <c r="G60" s="137">
        <f>IFERROR(__xludf.DUMMYFUNCTION("""COMPUTED_VALUE"""),0.0)</f>
        <v>0</v>
      </c>
      <c r="H60" s="137" t="str">
        <f t="shared" si="2"/>
        <v/>
      </c>
      <c r="I60" s="137" t="str">
        <f t="shared" si="3"/>
        <v/>
      </c>
      <c r="J60" s="137" t="str">
        <f t="shared" si="4"/>
        <v>Week 4WSH</v>
      </c>
      <c r="K60" s="137" t="str">
        <f t="shared" si="5"/>
        <v>Week 4ARI</v>
      </c>
      <c r="L60" s="137" t="str">
        <f t="shared" ref="L60:M60" si="64">D60</f>
        <v/>
      </c>
      <c r="M60" s="137" t="str">
        <f t="shared" si="64"/>
        <v/>
      </c>
      <c r="N60" s="137" t="str">
        <f t="shared" si="7"/>
        <v>Week 4WSH</v>
      </c>
    </row>
    <row r="61">
      <c r="A61" s="137" t="str">
        <f>IFERROR(__xludf.DUMMYFUNCTION("""COMPUTED_VALUE"""),"20240929_NO@ATL")</f>
        <v>20240929_NO@ATL</v>
      </c>
      <c r="B61" s="137" t="str">
        <f>IFERROR(__xludf.DUMMYFUNCTION("""COMPUTED_VALUE"""),"NO")</f>
        <v>NO</v>
      </c>
      <c r="C61" s="137" t="str">
        <f>IFERROR(__xludf.DUMMYFUNCTION("""COMPUTED_VALUE"""),"ATL")</f>
        <v>ATL</v>
      </c>
      <c r="D61" s="137"/>
      <c r="E61" s="137"/>
      <c r="F61" s="137" t="str">
        <f>IFERROR(__xludf.DUMMYFUNCTION("""COMPUTED_VALUE"""),"Week 4")</f>
        <v>Week 4</v>
      </c>
      <c r="G61" s="137">
        <f>IFERROR(__xludf.DUMMYFUNCTION("""COMPUTED_VALUE"""),0.0)</f>
        <v>0</v>
      </c>
      <c r="H61" s="137" t="str">
        <f t="shared" si="2"/>
        <v/>
      </c>
      <c r="I61" s="137" t="str">
        <f t="shared" si="3"/>
        <v/>
      </c>
      <c r="J61" s="137" t="str">
        <f t="shared" si="4"/>
        <v>Week 4NO</v>
      </c>
      <c r="K61" s="137" t="str">
        <f t="shared" si="5"/>
        <v>Week 4ATL</v>
      </c>
      <c r="L61" s="137" t="str">
        <f t="shared" ref="L61:M61" si="65">D61</f>
        <v/>
      </c>
      <c r="M61" s="137" t="str">
        <f t="shared" si="65"/>
        <v/>
      </c>
      <c r="N61" s="137" t="str">
        <f t="shared" si="7"/>
        <v>Week 4NO</v>
      </c>
    </row>
    <row r="62">
      <c r="A62" s="137" t="str">
        <f>IFERROR(__xludf.DUMMYFUNCTION("""COMPUTED_VALUE"""),"20240929_PIT@IND")</f>
        <v>20240929_PIT@IND</v>
      </c>
      <c r="B62" s="137" t="str">
        <f>IFERROR(__xludf.DUMMYFUNCTION("""COMPUTED_VALUE"""),"PIT")</f>
        <v>PIT</v>
      </c>
      <c r="C62" s="137" t="str">
        <f>IFERROR(__xludf.DUMMYFUNCTION("""COMPUTED_VALUE"""),"IND")</f>
        <v>IND</v>
      </c>
      <c r="D62" s="137"/>
      <c r="E62" s="137"/>
      <c r="F62" s="137" t="str">
        <f>IFERROR(__xludf.DUMMYFUNCTION("""COMPUTED_VALUE"""),"Week 4")</f>
        <v>Week 4</v>
      </c>
      <c r="G62" s="137">
        <f>IFERROR(__xludf.DUMMYFUNCTION("""COMPUTED_VALUE"""),0.0)</f>
        <v>0</v>
      </c>
      <c r="H62" s="137" t="str">
        <f t="shared" si="2"/>
        <v/>
      </c>
      <c r="I62" s="137" t="str">
        <f t="shared" si="3"/>
        <v/>
      </c>
      <c r="J62" s="137" t="str">
        <f t="shared" si="4"/>
        <v>Week 4PIT</v>
      </c>
      <c r="K62" s="137" t="str">
        <f t="shared" si="5"/>
        <v>Week 4IND</v>
      </c>
      <c r="L62" s="137" t="str">
        <f t="shared" ref="L62:M62" si="66">D62</f>
        <v/>
      </c>
      <c r="M62" s="137" t="str">
        <f t="shared" si="66"/>
        <v/>
      </c>
      <c r="N62" s="137" t="str">
        <f t="shared" si="7"/>
        <v>Week 4PIT</v>
      </c>
    </row>
    <row r="63">
      <c r="A63" s="137" t="str">
        <f>IFERROR(__xludf.DUMMYFUNCTION("""COMPUTED_VALUE"""),"20240929_JAX@HOU")</f>
        <v>20240929_JAX@HOU</v>
      </c>
      <c r="B63" s="137" t="str">
        <f>IFERROR(__xludf.DUMMYFUNCTION("""COMPUTED_VALUE"""),"JAX")</f>
        <v>JAX</v>
      </c>
      <c r="C63" s="137" t="str">
        <f>IFERROR(__xludf.DUMMYFUNCTION("""COMPUTED_VALUE"""),"HOU")</f>
        <v>HOU</v>
      </c>
      <c r="D63" s="137"/>
      <c r="E63" s="137"/>
      <c r="F63" s="137" t="str">
        <f>IFERROR(__xludf.DUMMYFUNCTION("""COMPUTED_VALUE"""),"Week 4")</f>
        <v>Week 4</v>
      </c>
      <c r="G63" s="137">
        <f>IFERROR(__xludf.DUMMYFUNCTION("""COMPUTED_VALUE"""),0.0)</f>
        <v>0</v>
      </c>
      <c r="H63" s="137" t="str">
        <f t="shared" si="2"/>
        <v/>
      </c>
      <c r="I63" s="137" t="str">
        <f t="shared" si="3"/>
        <v/>
      </c>
      <c r="J63" s="137" t="str">
        <f t="shared" si="4"/>
        <v>Week 4JAX</v>
      </c>
      <c r="K63" s="137" t="str">
        <f t="shared" si="5"/>
        <v>Week 4HOU</v>
      </c>
      <c r="L63" s="137" t="str">
        <f t="shared" ref="L63:M63" si="67">D63</f>
        <v/>
      </c>
      <c r="M63" s="137" t="str">
        <f t="shared" si="67"/>
        <v/>
      </c>
      <c r="N63" s="137" t="str">
        <f t="shared" si="7"/>
        <v>Week 4JAX</v>
      </c>
    </row>
    <row r="64">
      <c r="A64" s="137" t="str">
        <f>IFERROR(__xludf.DUMMYFUNCTION("""COMPUTED_VALUE"""),"20240929_NE@SF")</f>
        <v>20240929_NE@SF</v>
      </c>
      <c r="B64" s="137" t="str">
        <f>IFERROR(__xludf.DUMMYFUNCTION("""COMPUTED_VALUE"""),"NE")</f>
        <v>NE</v>
      </c>
      <c r="C64" s="137" t="str">
        <f>IFERROR(__xludf.DUMMYFUNCTION("""COMPUTED_VALUE"""),"SF")</f>
        <v>SF</v>
      </c>
      <c r="D64" s="137"/>
      <c r="E64" s="137"/>
      <c r="F64" s="137" t="str">
        <f>IFERROR(__xludf.DUMMYFUNCTION("""COMPUTED_VALUE"""),"Week 4")</f>
        <v>Week 4</v>
      </c>
      <c r="G64" s="137">
        <f>IFERROR(__xludf.DUMMYFUNCTION("""COMPUTED_VALUE"""),0.0)</f>
        <v>0</v>
      </c>
      <c r="H64" s="137" t="str">
        <f t="shared" si="2"/>
        <v/>
      </c>
      <c r="I64" s="137" t="str">
        <f t="shared" si="3"/>
        <v/>
      </c>
      <c r="J64" s="137" t="str">
        <f t="shared" si="4"/>
        <v>Week 4NE</v>
      </c>
      <c r="K64" s="137" t="str">
        <f t="shared" si="5"/>
        <v>Week 4SF</v>
      </c>
      <c r="L64" s="137" t="str">
        <f t="shared" ref="L64:M64" si="68">D64</f>
        <v/>
      </c>
      <c r="M64" s="137" t="str">
        <f t="shared" si="68"/>
        <v/>
      </c>
      <c r="N64" s="137" t="str">
        <f t="shared" si="7"/>
        <v>Week 4NE</v>
      </c>
    </row>
    <row r="65">
      <c r="A65" s="137" t="str">
        <f>IFERROR(__xludf.DUMMYFUNCTION("""COMPUTED_VALUE"""),"20240929_BUF@BAL")</f>
        <v>20240929_BUF@BAL</v>
      </c>
      <c r="B65" s="137" t="str">
        <f>IFERROR(__xludf.DUMMYFUNCTION("""COMPUTED_VALUE"""),"BUF")</f>
        <v>BUF</v>
      </c>
      <c r="C65" s="137" t="str">
        <f>IFERROR(__xludf.DUMMYFUNCTION("""COMPUTED_VALUE"""),"BAL")</f>
        <v>BAL</v>
      </c>
      <c r="D65" s="137"/>
      <c r="E65" s="137"/>
      <c r="F65" s="137" t="str">
        <f>IFERROR(__xludf.DUMMYFUNCTION("""COMPUTED_VALUE"""),"Week 4")</f>
        <v>Week 4</v>
      </c>
      <c r="G65" s="137">
        <f>IFERROR(__xludf.DUMMYFUNCTION("""COMPUTED_VALUE"""),0.0)</f>
        <v>0</v>
      </c>
      <c r="H65" s="137" t="str">
        <f t="shared" si="2"/>
        <v/>
      </c>
      <c r="I65" s="137" t="str">
        <f t="shared" si="3"/>
        <v/>
      </c>
      <c r="J65" s="137" t="str">
        <f t="shared" si="4"/>
        <v>Week 4BUF</v>
      </c>
      <c r="K65" s="137" t="str">
        <f t="shared" si="5"/>
        <v>Week 4BAL</v>
      </c>
      <c r="L65" s="137" t="str">
        <f t="shared" ref="L65:M65" si="69">D65</f>
        <v/>
      </c>
      <c r="M65" s="137" t="str">
        <f t="shared" si="69"/>
        <v/>
      </c>
      <c r="N65" s="137" t="str">
        <f t="shared" si="7"/>
        <v>Week 4BUF</v>
      </c>
    </row>
    <row r="66">
      <c r="A66" s="137" t="str">
        <f>IFERROR(__xludf.DUMMYFUNCTION("""COMPUTED_VALUE"""),"20241003_TB@ATL")</f>
        <v>20241003_TB@ATL</v>
      </c>
      <c r="B66" s="137" t="str">
        <f>IFERROR(__xludf.DUMMYFUNCTION("""COMPUTED_VALUE"""),"TB")</f>
        <v>TB</v>
      </c>
      <c r="C66" s="137" t="str">
        <f>IFERROR(__xludf.DUMMYFUNCTION("""COMPUTED_VALUE"""),"ATL")</f>
        <v>ATL</v>
      </c>
      <c r="D66" s="137"/>
      <c r="E66" s="137"/>
      <c r="F66" s="137" t="str">
        <f>IFERROR(__xludf.DUMMYFUNCTION("""COMPUTED_VALUE"""),"Week 5")</f>
        <v>Week 5</v>
      </c>
      <c r="G66" s="137">
        <f>IFERROR(__xludf.DUMMYFUNCTION("""COMPUTED_VALUE"""),0.0)</f>
        <v>0</v>
      </c>
      <c r="H66" s="137" t="str">
        <f t="shared" si="2"/>
        <v/>
      </c>
      <c r="I66" s="137" t="str">
        <f t="shared" si="3"/>
        <v/>
      </c>
      <c r="J66" s="137" t="str">
        <f t="shared" si="4"/>
        <v>Week 5TB</v>
      </c>
      <c r="K66" s="137" t="str">
        <f t="shared" si="5"/>
        <v>Week 5ATL</v>
      </c>
      <c r="L66" s="137" t="str">
        <f t="shared" ref="L66:M66" si="70">D66</f>
        <v/>
      </c>
      <c r="M66" s="137" t="str">
        <f t="shared" si="70"/>
        <v/>
      </c>
      <c r="N66" s="137" t="str">
        <f t="shared" si="7"/>
        <v>Week 5TB</v>
      </c>
    </row>
    <row r="67">
      <c r="A67" s="137" t="str">
        <f>IFERROR(__xludf.DUMMYFUNCTION("""COMPUTED_VALUE"""),"20241007_NO@KC")</f>
        <v>20241007_NO@KC</v>
      </c>
      <c r="B67" s="137" t="str">
        <f>IFERROR(__xludf.DUMMYFUNCTION("""COMPUTED_VALUE"""),"NO")</f>
        <v>NO</v>
      </c>
      <c r="C67" s="137" t="str">
        <f>IFERROR(__xludf.DUMMYFUNCTION("""COMPUTED_VALUE"""),"KC")</f>
        <v>KC</v>
      </c>
      <c r="D67" s="137"/>
      <c r="E67" s="137"/>
      <c r="F67" s="137" t="str">
        <f>IFERROR(__xludf.DUMMYFUNCTION("""COMPUTED_VALUE"""),"Week 5")</f>
        <v>Week 5</v>
      </c>
      <c r="G67" s="137">
        <f>IFERROR(__xludf.DUMMYFUNCTION("""COMPUTED_VALUE"""),0.0)</f>
        <v>0</v>
      </c>
      <c r="H67" s="137" t="str">
        <f t="shared" si="2"/>
        <v/>
      </c>
      <c r="I67" s="137" t="str">
        <f t="shared" si="3"/>
        <v/>
      </c>
      <c r="J67" s="137" t="str">
        <f t="shared" si="4"/>
        <v>Week 5NO</v>
      </c>
      <c r="K67" s="137" t="str">
        <f t="shared" si="5"/>
        <v>Week 5KC</v>
      </c>
      <c r="L67" s="137" t="str">
        <f t="shared" ref="L67:M67" si="71">D67</f>
        <v/>
      </c>
      <c r="M67" s="137" t="str">
        <f t="shared" si="71"/>
        <v/>
      </c>
      <c r="N67" s="137" t="str">
        <f t="shared" si="7"/>
        <v>Week 5NO</v>
      </c>
    </row>
    <row r="68">
      <c r="A68" s="137" t="str">
        <f>IFERROR(__xludf.DUMMYFUNCTION("""COMPUTED_VALUE"""),"20241006_BUF@HOU")</f>
        <v>20241006_BUF@HOU</v>
      </c>
      <c r="B68" s="137" t="str">
        <f>IFERROR(__xludf.DUMMYFUNCTION("""COMPUTED_VALUE"""),"BUF")</f>
        <v>BUF</v>
      </c>
      <c r="C68" s="137" t="str">
        <f>IFERROR(__xludf.DUMMYFUNCTION("""COMPUTED_VALUE"""),"HOU")</f>
        <v>HOU</v>
      </c>
      <c r="D68" s="137"/>
      <c r="E68" s="137"/>
      <c r="F68" s="137" t="str">
        <f>IFERROR(__xludf.DUMMYFUNCTION("""COMPUTED_VALUE"""),"Week 5")</f>
        <v>Week 5</v>
      </c>
      <c r="G68" s="137">
        <f>IFERROR(__xludf.DUMMYFUNCTION("""COMPUTED_VALUE"""),0.0)</f>
        <v>0</v>
      </c>
      <c r="H68" s="137" t="str">
        <f t="shared" si="2"/>
        <v/>
      </c>
      <c r="I68" s="137" t="str">
        <f t="shared" si="3"/>
        <v/>
      </c>
      <c r="J68" s="137" t="str">
        <f t="shared" si="4"/>
        <v>Week 5BUF</v>
      </c>
      <c r="K68" s="137" t="str">
        <f t="shared" si="5"/>
        <v>Week 5HOU</v>
      </c>
      <c r="L68" s="137" t="str">
        <f t="shared" ref="L68:M68" si="72">D68</f>
        <v/>
      </c>
      <c r="M68" s="137" t="str">
        <f t="shared" si="72"/>
        <v/>
      </c>
      <c r="N68" s="137" t="str">
        <f t="shared" si="7"/>
        <v>Week 5BUF</v>
      </c>
    </row>
    <row r="69">
      <c r="A69" s="137" t="str">
        <f>IFERROR(__xludf.DUMMYFUNCTION("""COMPUTED_VALUE"""),"20241006_BAL@CIN")</f>
        <v>20241006_BAL@CIN</v>
      </c>
      <c r="B69" s="137" t="str">
        <f>IFERROR(__xludf.DUMMYFUNCTION("""COMPUTED_VALUE"""),"BAL")</f>
        <v>BAL</v>
      </c>
      <c r="C69" s="137" t="str">
        <f>IFERROR(__xludf.DUMMYFUNCTION("""COMPUTED_VALUE"""),"CIN")</f>
        <v>CIN</v>
      </c>
      <c r="D69" s="137"/>
      <c r="E69" s="137"/>
      <c r="F69" s="137" t="str">
        <f>IFERROR(__xludf.DUMMYFUNCTION("""COMPUTED_VALUE"""),"Week 5")</f>
        <v>Week 5</v>
      </c>
      <c r="G69" s="137">
        <f>IFERROR(__xludf.DUMMYFUNCTION("""COMPUTED_VALUE"""),0.0)</f>
        <v>0</v>
      </c>
      <c r="H69" s="137" t="str">
        <f t="shared" si="2"/>
        <v/>
      </c>
      <c r="I69" s="137" t="str">
        <f t="shared" si="3"/>
        <v/>
      </c>
      <c r="J69" s="137" t="str">
        <f t="shared" si="4"/>
        <v>Week 5BAL</v>
      </c>
      <c r="K69" s="137" t="str">
        <f t="shared" si="5"/>
        <v>Week 5CIN</v>
      </c>
      <c r="L69" s="137" t="str">
        <f t="shared" ref="L69:M69" si="73">D69</f>
        <v/>
      </c>
      <c r="M69" s="137" t="str">
        <f t="shared" si="73"/>
        <v/>
      </c>
      <c r="N69" s="137" t="str">
        <f t="shared" si="7"/>
        <v>Week 5BAL</v>
      </c>
    </row>
    <row r="70">
      <c r="A70" s="137" t="str">
        <f>IFERROR(__xludf.DUMMYFUNCTION("""COMPUTED_VALUE"""),"20241006_NYG@SEA")</f>
        <v>20241006_NYG@SEA</v>
      </c>
      <c r="B70" s="137" t="str">
        <f>IFERROR(__xludf.DUMMYFUNCTION("""COMPUTED_VALUE"""),"NYG")</f>
        <v>NYG</v>
      </c>
      <c r="C70" s="137" t="str">
        <f>IFERROR(__xludf.DUMMYFUNCTION("""COMPUTED_VALUE"""),"SEA")</f>
        <v>SEA</v>
      </c>
      <c r="D70" s="137"/>
      <c r="E70" s="137"/>
      <c r="F70" s="137" t="str">
        <f>IFERROR(__xludf.DUMMYFUNCTION("""COMPUTED_VALUE"""),"Week 5")</f>
        <v>Week 5</v>
      </c>
      <c r="G70" s="137">
        <f>IFERROR(__xludf.DUMMYFUNCTION("""COMPUTED_VALUE"""),0.0)</f>
        <v>0</v>
      </c>
      <c r="H70" s="137" t="str">
        <f t="shared" si="2"/>
        <v/>
      </c>
      <c r="I70" s="137" t="str">
        <f t="shared" si="3"/>
        <v/>
      </c>
      <c r="J70" s="137" t="str">
        <f t="shared" si="4"/>
        <v>Week 5NYG</v>
      </c>
      <c r="K70" s="137" t="str">
        <f t="shared" si="5"/>
        <v>Week 5SEA</v>
      </c>
      <c r="L70" s="137" t="str">
        <f t="shared" ref="L70:M70" si="74">D70</f>
        <v/>
      </c>
      <c r="M70" s="137" t="str">
        <f t="shared" si="74"/>
        <v/>
      </c>
      <c r="N70" s="137" t="str">
        <f t="shared" si="7"/>
        <v>Week 5NYG</v>
      </c>
    </row>
    <row r="71">
      <c r="A71" s="137" t="str">
        <f>IFERROR(__xludf.DUMMYFUNCTION("""COMPUTED_VALUE"""),"20241006_IND@JAX")</f>
        <v>20241006_IND@JAX</v>
      </c>
      <c r="B71" s="137" t="str">
        <f>IFERROR(__xludf.DUMMYFUNCTION("""COMPUTED_VALUE"""),"IND")</f>
        <v>IND</v>
      </c>
      <c r="C71" s="137" t="str">
        <f>IFERROR(__xludf.DUMMYFUNCTION("""COMPUTED_VALUE"""),"JAX")</f>
        <v>JAX</v>
      </c>
      <c r="D71" s="137"/>
      <c r="E71" s="137"/>
      <c r="F71" s="137" t="str">
        <f>IFERROR(__xludf.DUMMYFUNCTION("""COMPUTED_VALUE"""),"Week 5")</f>
        <v>Week 5</v>
      </c>
      <c r="G71" s="137">
        <f>IFERROR(__xludf.DUMMYFUNCTION("""COMPUTED_VALUE"""),0.0)</f>
        <v>0</v>
      </c>
      <c r="H71" s="137" t="str">
        <f t="shared" si="2"/>
        <v/>
      </c>
      <c r="I71" s="137" t="str">
        <f t="shared" si="3"/>
        <v/>
      </c>
      <c r="J71" s="137" t="str">
        <f t="shared" si="4"/>
        <v>Week 5IND</v>
      </c>
      <c r="K71" s="137" t="str">
        <f t="shared" si="5"/>
        <v>Week 5JAX</v>
      </c>
      <c r="L71" s="137" t="str">
        <f t="shared" ref="L71:M71" si="75">D71</f>
        <v/>
      </c>
      <c r="M71" s="137" t="str">
        <f t="shared" si="75"/>
        <v/>
      </c>
      <c r="N71" s="137" t="str">
        <f t="shared" si="7"/>
        <v>Week 5IND</v>
      </c>
    </row>
    <row r="72">
      <c r="A72" s="137" t="str">
        <f>IFERROR(__xludf.DUMMYFUNCTION("""COMPUTED_VALUE"""),"20241006_DAL@PIT")</f>
        <v>20241006_DAL@PIT</v>
      </c>
      <c r="B72" s="137" t="str">
        <f>IFERROR(__xludf.DUMMYFUNCTION("""COMPUTED_VALUE"""),"DAL")</f>
        <v>DAL</v>
      </c>
      <c r="C72" s="137" t="str">
        <f>IFERROR(__xludf.DUMMYFUNCTION("""COMPUTED_VALUE"""),"PIT")</f>
        <v>PIT</v>
      </c>
      <c r="D72" s="137"/>
      <c r="E72" s="137"/>
      <c r="F72" s="137" t="str">
        <f>IFERROR(__xludf.DUMMYFUNCTION("""COMPUTED_VALUE"""),"Week 5")</f>
        <v>Week 5</v>
      </c>
      <c r="G72" s="137">
        <f>IFERROR(__xludf.DUMMYFUNCTION("""COMPUTED_VALUE"""),0.0)</f>
        <v>0</v>
      </c>
      <c r="H72" s="137" t="str">
        <f t="shared" si="2"/>
        <v/>
      </c>
      <c r="I72" s="137" t="str">
        <f t="shared" si="3"/>
        <v/>
      </c>
      <c r="J72" s="137" t="str">
        <f t="shared" si="4"/>
        <v>Week 5DAL</v>
      </c>
      <c r="K72" s="137" t="str">
        <f t="shared" si="5"/>
        <v>Week 5PIT</v>
      </c>
      <c r="L72" s="137" t="str">
        <f t="shared" ref="L72:M72" si="76">D72</f>
        <v/>
      </c>
      <c r="M72" s="137" t="str">
        <f t="shared" si="76"/>
        <v/>
      </c>
      <c r="N72" s="137" t="str">
        <f t="shared" si="7"/>
        <v>Week 5DAL</v>
      </c>
    </row>
    <row r="73">
      <c r="A73" s="137" t="str">
        <f>IFERROR(__xludf.DUMMYFUNCTION("""COMPUTED_VALUE"""),"20241006_LV@DEN")</f>
        <v>20241006_LV@DEN</v>
      </c>
      <c r="B73" s="137" t="str">
        <f>IFERROR(__xludf.DUMMYFUNCTION("""COMPUTED_VALUE"""),"LV")</f>
        <v>LV</v>
      </c>
      <c r="C73" s="137" t="str">
        <f>IFERROR(__xludf.DUMMYFUNCTION("""COMPUTED_VALUE"""),"DEN")</f>
        <v>DEN</v>
      </c>
      <c r="D73" s="137"/>
      <c r="E73" s="137"/>
      <c r="F73" s="137" t="str">
        <f>IFERROR(__xludf.DUMMYFUNCTION("""COMPUTED_VALUE"""),"Week 5")</f>
        <v>Week 5</v>
      </c>
      <c r="G73" s="137">
        <f>IFERROR(__xludf.DUMMYFUNCTION("""COMPUTED_VALUE"""),0.0)</f>
        <v>0</v>
      </c>
      <c r="H73" s="137" t="str">
        <f t="shared" si="2"/>
        <v/>
      </c>
      <c r="I73" s="137" t="str">
        <f t="shared" si="3"/>
        <v/>
      </c>
      <c r="J73" s="137" t="str">
        <f t="shared" si="4"/>
        <v>Week 5LV</v>
      </c>
      <c r="K73" s="137" t="str">
        <f t="shared" si="5"/>
        <v>Week 5DEN</v>
      </c>
      <c r="L73" s="137" t="str">
        <f t="shared" ref="L73:M73" si="77">D73</f>
        <v/>
      </c>
      <c r="M73" s="137" t="str">
        <f t="shared" si="77"/>
        <v/>
      </c>
      <c r="N73" s="137" t="str">
        <f t="shared" si="7"/>
        <v>Week 5LV</v>
      </c>
    </row>
    <row r="74">
      <c r="A74" s="137" t="str">
        <f>IFERROR(__xludf.DUMMYFUNCTION("""COMPUTED_VALUE"""),"20241006_GB@LAR")</f>
        <v>20241006_GB@LAR</v>
      </c>
      <c r="B74" s="137" t="str">
        <f>IFERROR(__xludf.DUMMYFUNCTION("""COMPUTED_VALUE"""),"GB")</f>
        <v>GB</v>
      </c>
      <c r="C74" s="137" t="str">
        <f>IFERROR(__xludf.DUMMYFUNCTION("""COMPUTED_VALUE"""),"LAR")</f>
        <v>LAR</v>
      </c>
      <c r="D74" s="137"/>
      <c r="E74" s="137"/>
      <c r="F74" s="137" t="str">
        <f>IFERROR(__xludf.DUMMYFUNCTION("""COMPUTED_VALUE"""),"Week 5")</f>
        <v>Week 5</v>
      </c>
      <c r="G74" s="137">
        <f>IFERROR(__xludf.DUMMYFUNCTION("""COMPUTED_VALUE"""),0.0)</f>
        <v>0</v>
      </c>
      <c r="H74" s="137" t="str">
        <f t="shared" si="2"/>
        <v/>
      </c>
      <c r="I74" s="137" t="str">
        <f t="shared" si="3"/>
        <v/>
      </c>
      <c r="J74" s="137" t="str">
        <f t="shared" si="4"/>
        <v>Week 5GB</v>
      </c>
      <c r="K74" s="137" t="str">
        <f t="shared" si="5"/>
        <v>Week 5LAR</v>
      </c>
      <c r="L74" s="137" t="str">
        <f t="shared" ref="L74:M74" si="78">D74</f>
        <v/>
      </c>
      <c r="M74" s="137" t="str">
        <f t="shared" si="78"/>
        <v/>
      </c>
      <c r="N74" s="137" t="str">
        <f t="shared" si="7"/>
        <v>Week 5GB</v>
      </c>
    </row>
    <row r="75">
      <c r="A75" s="137" t="str">
        <f>IFERROR(__xludf.DUMMYFUNCTION("""COMPUTED_VALUE"""),"20241006_ARI@SF")</f>
        <v>20241006_ARI@SF</v>
      </c>
      <c r="B75" s="137" t="str">
        <f>IFERROR(__xludf.DUMMYFUNCTION("""COMPUTED_VALUE"""),"ARI")</f>
        <v>ARI</v>
      </c>
      <c r="C75" s="137" t="str">
        <f>IFERROR(__xludf.DUMMYFUNCTION("""COMPUTED_VALUE"""),"SF")</f>
        <v>SF</v>
      </c>
      <c r="D75" s="137"/>
      <c r="E75" s="137"/>
      <c r="F75" s="137" t="str">
        <f>IFERROR(__xludf.DUMMYFUNCTION("""COMPUTED_VALUE"""),"Week 5")</f>
        <v>Week 5</v>
      </c>
      <c r="G75" s="137">
        <f>IFERROR(__xludf.DUMMYFUNCTION("""COMPUTED_VALUE"""),0.0)</f>
        <v>0</v>
      </c>
      <c r="H75" s="137" t="str">
        <f t="shared" si="2"/>
        <v/>
      </c>
      <c r="I75" s="137" t="str">
        <f t="shared" si="3"/>
        <v/>
      </c>
      <c r="J75" s="137" t="str">
        <f t="shared" si="4"/>
        <v>Week 5ARI</v>
      </c>
      <c r="K75" s="137" t="str">
        <f t="shared" si="5"/>
        <v>Week 5SF</v>
      </c>
      <c r="L75" s="137" t="str">
        <f t="shared" ref="L75:M75" si="79">D75</f>
        <v/>
      </c>
      <c r="M75" s="137" t="str">
        <f t="shared" si="79"/>
        <v/>
      </c>
      <c r="N75" s="137" t="str">
        <f t="shared" si="7"/>
        <v>Week 5ARI</v>
      </c>
    </row>
    <row r="76">
      <c r="A76" s="137" t="str">
        <f>IFERROR(__xludf.DUMMYFUNCTION("""COMPUTED_VALUE"""),"20241006_MIA@NE")</f>
        <v>20241006_MIA@NE</v>
      </c>
      <c r="B76" s="137" t="str">
        <f>IFERROR(__xludf.DUMMYFUNCTION("""COMPUTED_VALUE"""),"MIA")</f>
        <v>MIA</v>
      </c>
      <c r="C76" s="137" t="str">
        <f>IFERROR(__xludf.DUMMYFUNCTION("""COMPUTED_VALUE"""),"NE")</f>
        <v>NE</v>
      </c>
      <c r="D76" s="137"/>
      <c r="E76" s="137"/>
      <c r="F76" s="137" t="str">
        <f>IFERROR(__xludf.DUMMYFUNCTION("""COMPUTED_VALUE"""),"Week 5")</f>
        <v>Week 5</v>
      </c>
      <c r="G76" s="137">
        <f>IFERROR(__xludf.DUMMYFUNCTION("""COMPUTED_VALUE"""),0.0)</f>
        <v>0</v>
      </c>
      <c r="H76" s="137" t="str">
        <f t="shared" si="2"/>
        <v/>
      </c>
      <c r="I76" s="137" t="str">
        <f t="shared" si="3"/>
        <v/>
      </c>
      <c r="J76" s="137" t="str">
        <f t="shared" si="4"/>
        <v>Week 5MIA</v>
      </c>
      <c r="K76" s="137" t="str">
        <f t="shared" si="5"/>
        <v>Week 5NE</v>
      </c>
      <c r="L76" s="137" t="str">
        <f t="shared" ref="L76:M76" si="80">D76</f>
        <v/>
      </c>
      <c r="M76" s="137" t="str">
        <f t="shared" si="80"/>
        <v/>
      </c>
      <c r="N76" s="137" t="str">
        <f t="shared" si="7"/>
        <v>Week 5MIA</v>
      </c>
    </row>
    <row r="77">
      <c r="A77" s="137" t="str">
        <f>IFERROR(__xludf.DUMMYFUNCTION("""COMPUTED_VALUE"""),"20241006_CAR@CHI")</f>
        <v>20241006_CAR@CHI</v>
      </c>
      <c r="B77" s="137" t="str">
        <f>IFERROR(__xludf.DUMMYFUNCTION("""COMPUTED_VALUE"""),"CAR")</f>
        <v>CAR</v>
      </c>
      <c r="C77" s="137" t="str">
        <f>IFERROR(__xludf.DUMMYFUNCTION("""COMPUTED_VALUE"""),"CHI")</f>
        <v>CHI</v>
      </c>
      <c r="D77" s="137"/>
      <c r="E77" s="137"/>
      <c r="F77" s="137" t="str">
        <f>IFERROR(__xludf.DUMMYFUNCTION("""COMPUTED_VALUE"""),"Week 5")</f>
        <v>Week 5</v>
      </c>
      <c r="G77" s="137">
        <f>IFERROR(__xludf.DUMMYFUNCTION("""COMPUTED_VALUE"""),0.0)</f>
        <v>0</v>
      </c>
      <c r="H77" s="137" t="str">
        <f t="shared" si="2"/>
        <v/>
      </c>
      <c r="I77" s="137" t="str">
        <f t="shared" si="3"/>
        <v/>
      </c>
      <c r="J77" s="137" t="str">
        <f t="shared" si="4"/>
        <v>Week 5CAR</v>
      </c>
      <c r="K77" s="137" t="str">
        <f t="shared" si="5"/>
        <v>Week 5CHI</v>
      </c>
      <c r="L77" s="137" t="str">
        <f t="shared" ref="L77:M77" si="81">D77</f>
        <v/>
      </c>
      <c r="M77" s="137" t="str">
        <f t="shared" si="81"/>
        <v/>
      </c>
      <c r="N77" s="137" t="str">
        <f t="shared" si="7"/>
        <v>Week 5CAR</v>
      </c>
    </row>
    <row r="78">
      <c r="A78" s="137" t="str">
        <f>IFERROR(__xludf.DUMMYFUNCTION("""COMPUTED_VALUE"""),"20241006_NYJ@MIN")</f>
        <v>20241006_NYJ@MIN</v>
      </c>
      <c r="B78" s="137" t="str">
        <f>IFERROR(__xludf.DUMMYFUNCTION("""COMPUTED_VALUE"""),"NYJ")</f>
        <v>NYJ</v>
      </c>
      <c r="C78" s="137" t="str">
        <f>IFERROR(__xludf.DUMMYFUNCTION("""COMPUTED_VALUE"""),"MIN")</f>
        <v>MIN</v>
      </c>
      <c r="D78" s="137"/>
      <c r="E78" s="137"/>
      <c r="F78" s="137" t="str">
        <f>IFERROR(__xludf.DUMMYFUNCTION("""COMPUTED_VALUE"""),"Week 5")</f>
        <v>Week 5</v>
      </c>
      <c r="G78" s="137">
        <f>IFERROR(__xludf.DUMMYFUNCTION("""COMPUTED_VALUE"""),0.0)</f>
        <v>0</v>
      </c>
      <c r="H78" s="137" t="str">
        <f t="shared" si="2"/>
        <v/>
      </c>
      <c r="I78" s="137" t="str">
        <f t="shared" si="3"/>
        <v/>
      </c>
      <c r="J78" s="137" t="str">
        <f t="shared" si="4"/>
        <v>Week 5NYJ</v>
      </c>
      <c r="K78" s="137" t="str">
        <f t="shared" si="5"/>
        <v>Week 5MIN</v>
      </c>
      <c r="L78" s="137" t="str">
        <f t="shared" ref="L78:M78" si="82">D78</f>
        <v/>
      </c>
      <c r="M78" s="137" t="str">
        <f t="shared" si="82"/>
        <v/>
      </c>
      <c r="N78" s="137" t="str">
        <f t="shared" si="7"/>
        <v>Week 5NYJ</v>
      </c>
    </row>
    <row r="79">
      <c r="A79" s="137" t="str">
        <f>IFERROR(__xludf.DUMMYFUNCTION("""COMPUTED_VALUE"""),"20241006_CLE@WSH")</f>
        <v>20241006_CLE@WSH</v>
      </c>
      <c r="B79" s="137" t="str">
        <f>IFERROR(__xludf.DUMMYFUNCTION("""COMPUTED_VALUE"""),"CLE")</f>
        <v>CLE</v>
      </c>
      <c r="C79" s="137" t="str">
        <f>IFERROR(__xludf.DUMMYFUNCTION("""COMPUTED_VALUE"""),"WSH")</f>
        <v>WSH</v>
      </c>
      <c r="D79" s="137"/>
      <c r="E79" s="137"/>
      <c r="F79" s="137" t="str">
        <f>IFERROR(__xludf.DUMMYFUNCTION("""COMPUTED_VALUE"""),"Week 5")</f>
        <v>Week 5</v>
      </c>
      <c r="G79" s="137">
        <f>IFERROR(__xludf.DUMMYFUNCTION("""COMPUTED_VALUE"""),0.0)</f>
        <v>0</v>
      </c>
      <c r="H79" s="137" t="str">
        <f t="shared" si="2"/>
        <v/>
      </c>
      <c r="I79" s="137" t="str">
        <f t="shared" si="3"/>
        <v/>
      </c>
      <c r="J79" s="137" t="str">
        <f t="shared" si="4"/>
        <v>Week 5CLE</v>
      </c>
      <c r="K79" s="137" t="str">
        <f t="shared" si="5"/>
        <v>Week 5WSH</v>
      </c>
      <c r="L79" s="137" t="str">
        <f t="shared" ref="L79:M79" si="83">D79</f>
        <v/>
      </c>
      <c r="M79" s="137" t="str">
        <f t="shared" si="83"/>
        <v/>
      </c>
      <c r="N79" s="137" t="str">
        <f t="shared" si="7"/>
        <v>Week 5CLE</v>
      </c>
    </row>
    <row r="80">
      <c r="A80" s="137" t="str">
        <f>IFERROR(__xludf.DUMMYFUNCTION("""COMPUTED_VALUE"""),"20241014_BUF@NYJ")</f>
        <v>20241014_BUF@NYJ</v>
      </c>
      <c r="B80" s="137" t="str">
        <f>IFERROR(__xludf.DUMMYFUNCTION("""COMPUTED_VALUE"""),"BUF")</f>
        <v>BUF</v>
      </c>
      <c r="C80" s="137" t="str">
        <f>IFERROR(__xludf.DUMMYFUNCTION("""COMPUTED_VALUE"""),"NYJ")</f>
        <v>NYJ</v>
      </c>
      <c r="D80" s="137"/>
      <c r="E80" s="137"/>
      <c r="F80" s="137" t="str">
        <f>IFERROR(__xludf.DUMMYFUNCTION("""COMPUTED_VALUE"""),"Week 6")</f>
        <v>Week 6</v>
      </c>
      <c r="G80" s="137">
        <f>IFERROR(__xludf.DUMMYFUNCTION("""COMPUTED_VALUE"""),0.0)</f>
        <v>0</v>
      </c>
      <c r="H80" s="137" t="str">
        <f t="shared" si="2"/>
        <v/>
      </c>
      <c r="I80" s="137" t="str">
        <f t="shared" si="3"/>
        <v/>
      </c>
      <c r="J80" s="137" t="str">
        <f t="shared" si="4"/>
        <v>Week 6BUF</v>
      </c>
      <c r="K80" s="137" t="str">
        <f t="shared" si="5"/>
        <v>Week 6NYJ</v>
      </c>
      <c r="L80" s="137" t="str">
        <f t="shared" ref="L80:M80" si="84">D80</f>
        <v/>
      </c>
      <c r="M80" s="137" t="str">
        <f t="shared" si="84"/>
        <v/>
      </c>
      <c r="N80" s="137" t="str">
        <f t="shared" si="7"/>
        <v>Week 6BUF</v>
      </c>
    </row>
    <row r="81">
      <c r="A81" s="137" t="str">
        <f>IFERROR(__xludf.DUMMYFUNCTION("""COMPUTED_VALUE"""),"20241010_SF@SEA")</f>
        <v>20241010_SF@SEA</v>
      </c>
      <c r="B81" s="137" t="str">
        <f>IFERROR(__xludf.DUMMYFUNCTION("""COMPUTED_VALUE"""),"SF")</f>
        <v>SF</v>
      </c>
      <c r="C81" s="137" t="str">
        <f>IFERROR(__xludf.DUMMYFUNCTION("""COMPUTED_VALUE"""),"SEA")</f>
        <v>SEA</v>
      </c>
      <c r="D81" s="137"/>
      <c r="E81" s="137"/>
      <c r="F81" s="137" t="str">
        <f>IFERROR(__xludf.DUMMYFUNCTION("""COMPUTED_VALUE"""),"Week 6")</f>
        <v>Week 6</v>
      </c>
      <c r="G81" s="137">
        <f>IFERROR(__xludf.DUMMYFUNCTION("""COMPUTED_VALUE"""),0.0)</f>
        <v>0</v>
      </c>
      <c r="H81" s="137" t="str">
        <f t="shared" si="2"/>
        <v/>
      </c>
      <c r="I81" s="137" t="str">
        <f t="shared" si="3"/>
        <v/>
      </c>
      <c r="J81" s="137" t="str">
        <f t="shared" si="4"/>
        <v>Week 6SF</v>
      </c>
      <c r="K81" s="137" t="str">
        <f t="shared" si="5"/>
        <v>Week 6SEA</v>
      </c>
      <c r="L81" s="137" t="str">
        <f t="shared" ref="L81:M81" si="85">D81</f>
        <v/>
      </c>
      <c r="M81" s="137" t="str">
        <f t="shared" si="85"/>
        <v/>
      </c>
      <c r="N81" s="137" t="str">
        <f t="shared" si="7"/>
        <v>Week 6SF</v>
      </c>
    </row>
    <row r="82">
      <c r="A82" s="137" t="str">
        <f>IFERROR(__xludf.DUMMYFUNCTION("""COMPUTED_VALUE"""),"20241013_PIT@LV")</f>
        <v>20241013_PIT@LV</v>
      </c>
      <c r="B82" s="137" t="str">
        <f>IFERROR(__xludf.DUMMYFUNCTION("""COMPUTED_VALUE"""),"PIT")</f>
        <v>PIT</v>
      </c>
      <c r="C82" s="137" t="str">
        <f>IFERROR(__xludf.DUMMYFUNCTION("""COMPUTED_VALUE"""),"LV")</f>
        <v>LV</v>
      </c>
      <c r="D82" s="137"/>
      <c r="E82" s="137"/>
      <c r="F82" s="137" t="str">
        <f>IFERROR(__xludf.DUMMYFUNCTION("""COMPUTED_VALUE"""),"Week 6")</f>
        <v>Week 6</v>
      </c>
      <c r="G82" s="137">
        <f>IFERROR(__xludf.DUMMYFUNCTION("""COMPUTED_VALUE"""),0.0)</f>
        <v>0</v>
      </c>
      <c r="H82" s="137" t="str">
        <f t="shared" si="2"/>
        <v/>
      </c>
      <c r="I82" s="137" t="str">
        <f t="shared" si="3"/>
        <v/>
      </c>
      <c r="J82" s="137" t="str">
        <f t="shared" si="4"/>
        <v>Week 6PIT</v>
      </c>
      <c r="K82" s="137" t="str">
        <f t="shared" si="5"/>
        <v>Week 6LV</v>
      </c>
      <c r="L82" s="137" t="str">
        <f t="shared" ref="L82:M82" si="86">D82</f>
        <v/>
      </c>
      <c r="M82" s="137" t="str">
        <f t="shared" si="86"/>
        <v/>
      </c>
      <c r="N82" s="137" t="str">
        <f t="shared" si="7"/>
        <v>Week 6PIT</v>
      </c>
    </row>
    <row r="83">
      <c r="A83" s="137" t="str">
        <f>IFERROR(__xludf.DUMMYFUNCTION("""COMPUTED_VALUE"""),"20241013_CLE@PHI")</f>
        <v>20241013_CLE@PHI</v>
      </c>
      <c r="B83" s="137" t="str">
        <f>IFERROR(__xludf.DUMMYFUNCTION("""COMPUTED_VALUE"""),"CLE")</f>
        <v>CLE</v>
      </c>
      <c r="C83" s="137" t="str">
        <f>IFERROR(__xludf.DUMMYFUNCTION("""COMPUTED_VALUE"""),"PHI")</f>
        <v>PHI</v>
      </c>
      <c r="D83" s="137"/>
      <c r="E83" s="137"/>
      <c r="F83" s="137" t="str">
        <f>IFERROR(__xludf.DUMMYFUNCTION("""COMPUTED_VALUE"""),"Week 6")</f>
        <v>Week 6</v>
      </c>
      <c r="G83" s="137">
        <f>IFERROR(__xludf.DUMMYFUNCTION("""COMPUTED_VALUE"""),0.0)</f>
        <v>0</v>
      </c>
      <c r="H83" s="137" t="str">
        <f t="shared" si="2"/>
        <v/>
      </c>
      <c r="I83" s="137" t="str">
        <f t="shared" si="3"/>
        <v/>
      </c>
      <c r="J83" s="137" t="str">
        <f t="shared" si="4"/>
        <v>Week 6CLE</v>
      </c>
      <c r="K83" s="137" t="str">
        <f t="shared" si="5"/>
        <v>Week 6PHI</v>
      </c>
      <c r="L83" s="137" t="str">
        <f t="shared" ref="L83:M83" si="87">D83</f>
        <v/>
      </c>
      <c r="M83" s="137" t="str">
        <f t="shared" si="87"/>
        <v/>
      </c>
      <c r="N83" s="137" t="str">
        <f t="shared" si="7"/>
        <v>Week 6CLE</v>
      </c>
    </row>
    <row r="84">
      <c r="A84" s="137" t="str">
        <f>IFERROR(__xludf.DUMMYFUNCTION("""COMPUTED_VALUE"""),"20241013_DET@DAL")</f>
        <v>20241013_DET@DAL</v>
      </c>
      <c r="B84" s="137" t="str">
        <f>IFERROR(__xludf.DUMMYFUNCTION("""COMPUTED_VALUE"""),"DET")</f>
        <v>DET</v>
      </c>
      <c r="C84" s="137" t="str">
        <f>IFERROR(__xludf.DUMMYFUNCTION("""COMPUTED_VALUE"""),"DAL")</f>
        <v>DAL</v>
      </c>
      <c r="D84" s="137"/>
      <c r="E84" s="137"/>
      <c r="F84" s="137" t="str">
        <f>IFERROR(__xludf.DUMMYFUNCTION("""COMPUTED_VALUE"""),"Week 6")</f>
        <v>Week 6</v>
      </c>
      <c r="G84" s="137">
        <f>IFERROR(__xludf.DUMMYFUNCTION("""COMPUTED_VALUE"""),0.0)</f>
        <v>0</v>
      </c>
      <c r="H84" s="137" t="str">
        <f t="shared" si="2"/>
        <v/>
      </c>
      <c r="I84" s="137" t="str">
        <f t="shared" si="3"/>
        <v/>
      </c>
      <c r="J84" s="137" t="str">
        <f t="shared" si="4"/>
        <v>Week 6DET</v>
      </c>
      <c r="K84" s="137" t="str">
        <f t="shared" si="5"/>
        <v>Week 6DAL</v>
      </c>
      <c r="L84" s="137" t="str">
        <f t="shared" ref="L84:M84" si="88">D84</f>
        <v/>
      </c>
      <c r="M84" s="137" t="str">
        <f t="shared" si="88"/>
        <v/>
      </c>
      <c r="N84" s="137" t="str">
        <f t="shared" si="7"/>
        <v>Week 6DET</v>
      </c>
    </row>
    <row r="85">
      <c r="A85" s="137" t="str">
        <f>IFERROR(__xludf.DUMMYFUNCTION("""COMPUTED_VALUE"""),"20241013_ATL@CAR")</f>
        <v>20241013_ATL@CAR</v>
      </c>
      <c r="B85" s="137" t="str">
        <f>IFERROR(__xludf.DUMMYFUNCTION("""COMPUTED_VALUE"""),"ATL")</f>
        <v>ATL</v>
      </c>
      <c r="C85" s="137" t="str">
        <f>IFERROR(__xludf.DUMMYFUNCTION("""COMPUTED_VALUE"""),"CAR")</f>
        <v>CAR</v>
      </c>
      <c r="D85" s="137"/>
      <c r="E85" s="137"/>
      <c r="F85" s="137" t="str">
        <f>IFERROR(__xludf.DUMMYFUNCTION("""COMPUTED_VALUE"""),"Week 6")</f>
        <v>Week 6</v>
      </c>
      <c r="G85" s="137">
        <f>IFERROR(__xludf.DUMMYFUNCTION("""COMPUTED_VALUE"""),0.0)</f>
        <v>0</v>
      </c>
      <c r="H85" s="137" t="str">
        <f t="shared" si="2"/>
        <v/>
      </c>
      <c r="I85" s="137" t="str">
        <f t="shared" si="3"/>
        <v/>
      </c>
      <c r="J85" s="137" t="str">
        <f t="shared" si="4"/>
        <v>Week 6ATL</v>
      </c>
      <c r="K85" s="137" t="str">
        <f t="shared" si="5"/>
        <v>Week 6CAR</v>
      </c>
      <c r="L85" s="137" t="str">
        <f t="shared" ref="L85:M85" si="89">D85</f>
        <v/>
      </c>
      <c r="M85" s="137" t="str">
        <f t="shared" si="89"/>
        <v/>
      </c>
      <c r="N85" s="137" t="str">
        <f t="shared" si="7"/>
        <v>Week 6ATL</v>
      </c>
    </row>
    <row r="86">
      <c r="A86" s="137" t="str">
        <f>IFERROR(__xludf.DUMMYFUNCTION("""COMPUTED_VALUE"""),"20241013_JAX@CHI")</f>
        <v>20241013_JAX@CHI</v>
      </c>
      <c r="B86" s="137" t="str">
        <f>IFERROR(__xludf.DUMMYFUNCTION("""COMPUTED_VALUE"""),"JAX")</f>
        <v>JAX</v>
      </c>
      <c r="C86" s="137" t="str">
        <f>IFERROR(__xludf.DUMMYFUNCTION("""COMPUTED_VALUE"""),"CHI")</f>
        <v>CHI</v>
      </c>
      <c r="D86" s="137"/>
      <c r="E86" s="137"/>
      <c r="F86" s="137" t="str">
        <f>IFERROR(__xludf.DUMMYFUNCTION("""COMPUTED_VALUE"""),"Week 6")</f>
        <v>Week 6</v>
      </c>
      <c r="G86" s="137">
        <f>IFERROR(__xludf.DUMMYFUNCTION("""COMPUTED_VALUE"""),0.0)</f>
        <v>0</v>
      </c>
      <c r="H86" s="137" t="str">
        <f t="shared" si="2"/>
        <v/>
      </c>
      <c r="I86" s="137" t="str">
        <f t="shared" si="3"/>
        <v/>
      </c>
      <c r="J86" s="137" t="str">
        <f t="shared" si="4"/>
        <v>Week 6JAX</v>
      </c>
      <c r="K86" s="137" t="str">
        <f t="shared" si="5"/>
        <v>Week 6CHI</v>
      </c>
      <c r="L86" s="137" t="str">
        <f t="shared" ref="L86:M86" si="90">D86</f>
        <v/>
      </c>
      <c r="M86" s="137" t="str">
        <f t="shared" si="90"/>
        <v/>
      </c>
      <c r="N86" s="137" t="str">
        <f t="shared" si="7"/>
        <v>Week 6JAX</v>
      </c>
    </row>
    <row r="87">
      <c r="A87" s="137" t="str">
        <f>IFERROR(__xludf.DUMMYFUNCTION("""COMPUTED_VALUE"""),"20241013_LAC@DEN")</f>
        <v>20241013_LAC@DEN</v>
      </c>
      <c r="B87" s="137" t="str">
        <f>IFERROR(__xludf.DUMMYFUNCTION("""COMPUTED_VALUE"""),"LAC")</f>
        <v>LAC</v>
      </c>
      <c r="C87" s="137" t="str">
        <f>IFERROR(__xludf.DUMMYFUNCTION("""COMPUTED_VALUE"""),"DEN")</f>
        <v>DEN</v>
      </c>
      <c r="D87" s="137"/>
      <c r="E87" s="137"/>
      <c r="F87" s="137" t="str">
        <f>IFERROR(__xludf.DUMMYFUNCTION("""COMPUTED_VALUE"""),"Week 6")</f>
        <v>Week 6</v>
      </c>
      <c r="G87" s="137">
        <f>IFERROR(__xludf.DUMMYFUNCTION("""COMPUTED_VALUE"""),0.0)</f>
        <v>0</v>
      </c>
      <c r="H87" s="137" t="str">
        <f t="shared" si="2"/>
        <v/>
      </c>
      <c r="I87" s="137" t="str">
        <f t="shared" si="3"/>
        <v/>
      </c>
      <c r="J87" s="137" t="str">
        <f t="shared" si="4"/>
        <v>Week 6LAC</v>
      </c>
      <c r="K87" s="137" t="str">
        <f t="shared" si="5"/>
        <v>Week 6DEN</v>
      </c>
      <c r="L87" s="137" t="str">
        <f t="shared" ref="L87:M87" si="91">D87</f>
        <v/>
      </c>
      <c r="M87" s="137" t="str">
        <f t="shared" si="91"/>
        <v/>
      </c>
      <c r="N87" s="137" t="str">
        <f t="shared" si="7"/>
        <v>Week 6LAC</v>
      </c>
    </row>
    <row r="88">
      <c r="A88" s="137" t="str">
        <f>IFERROR(__xludf.DUMMYFUNCTION("""COMPUTED_VALUE"""),"20241013_CIN@NYG")</f>
        <v>20241013_CIN@NYG</v>
      </c>
      <c r="B88" s="137" t="str">
        <f>IFERROR(__xludf.DUMMYFUNCTION("""COMPUTED_VALUE"""),"CIN")</f>
        <v>CIN</v>
      </c>
      <c r="C88" s="137" t="str">
        <f>IFERROR(__xludf.DUMMYFUNCTION("""COMPUTED_VALUE"""),"NYG")</f>
        <v>NYG</v>
      </c>
      <c r="D88" s="137"/>
      <c r="E88" s="137"/>
      <c r="F88" s="137" t="str">
        <f>IFERROR(__xludf.DUMMYFUNCTION("""COMPUTED_VALUE"""),"Week 6")</f>
        <v>Week 6</v>
      </c>
      <c r="G88" s="137">
        <f>IFERROR(__xludf.DUMMYFUNCTION("""COMPUTED_VALUE"""),0.0)</f>
        <v>0</v>
      </c>
      <c r="H88" s="137" t="str">
        <f t="shared" si="2"/>
        <v/>
      </c>
      <c r="I88" s="137" t="str">
        <f t="shared" si="3"/>
        <v/>
      </c>
      <c r="J88" s="137" t="str">
        <f t="shared" si="4"/>
        <v>Week 6CIN</v>
      </c>
      <c r="K88" s="137" t="str">
        <f t="shared" si="5"/>
        <v>Week 6NYG</v>
      </c>
      <c r="L88" s="137" t="str">
        <f t="shared" ref="L88:M88" si="92">D88</f>
        <v/>
      </c>
      <c r="M88" s="137" t="str">
        <f t="shared" si="92"/>
        <v/>
      </c>
      <c r="N88" s="137" t="str">
        <f t="shared" si="7"/>
        <v>Week 6CIN</v>
      </c>
    </row>
    <row r="89">
      <c r="A89" s="137" t="str">
        <f>IFERROR(__xludf.DUMMYFUNCTION("""COMPUTED_VALUE"""),"20241013_TB@NO")</f>
        <v>20241013_TB@NO</v>
      </c>
      <c r="B89" s="137" t="str">
        <f>IFERROR(__xludf.DUMMYFUNCTION("""COMPUTED_VALUE"""),"TB")</f>
        <v>TB</v>
      </c>
      <c r="C89" s="137" t="str">
        <f>IFERROR(__xludf.DUMMYFUNCTION("""COMPUTED_VALUE"""),"NO")</f>
        <v>NO</v>
      </c>
      <c r="D89" s="137"/>
      <c r="E89" s="137"/>
      <c r="F89" s="137" t="str">
        <f>IFERROR(__xludf.DUMMYFUNCTION("""COMPUTED_VALUE"""),"Week 6")</f>
        <v>Week 6</v>
      </c>
      <c r="G89" s="137">
        <f>IFERROR(__xludf.DUMMYFUNCTION("""COMPUTED_VALUE"""),0.0)</f>
        <v>0</v>
      </c>
      <c r="H89" s="137" t="str">
        <f t="shared" si="2"/>
        <v/>
      </c>
      <c r="I89" s="137" t="str">
        <f t="shared" si="3"/>
        <v/>
      </c>
      <c r="J89" s="137" t="str">
        <f t="shared" si="4"/>
        <v>Week 6TB</v>
      </c>
      <c r="K89" s="137" t="str">
        <f t="shared" si="5"/>
        <v>Week 6NO</v>
      </c>
      <c r="L89" s="137" t="str">
        <f t="shared" ref="L89:M89" si="93">D89</f>
        <v/>
      </c>
      <c r="M89" s="137" t="str">
        <f t="shared" si="93"/>
        <v/>
      </c>
      <c r="N89" s="137" t="str">
        <f t="shared" si="7"/>
        <v>Week 6TB</v>
      </c>
    </row>
    <row r="90">
      <c r="A90" s="137" t="str">
        <f>IFERROR(__xludf.DUMMYFUNCTION("""COMPUTED_VALUE"""),"20241013_WSH@BAL")</f>
        <v>20241013_WSH@BAL</v>
      </c>
      <c r="B90" s="137" t="str">
        <f>IFERROR(__xludf.DUMMYFUNCTION("""COMPUTED_VALUE"""),"WSH")</f>
        <v>WSH</v>
      </c>
      <c r="C90" s="137" t="str">
        <f>IFERROR(__xludf.DUMMYFUNCTION("""COMPUTED_VALUE"""),"BAL")</f>
        <v>BAL</v>
      </c>
      <c r="D90" s="137"/>
      <c r="E90" s="137"/>
      <c r="F90" s="137" t="str">
        <f>IFERROR(__xludf.DUMMYFUNCTION("""COMPUTED_VALUE"""),"Week 6")</f>
        <v>Week 6</v>
      </c>
      <c r="G90" s="137">
        <f>IFERROR(__xludf.DUMMYFUNCTION("""COMPUTED_VALUE"""),0.0)</f>
        <v>0</v>
      </c>
      <c r="H90" s="137" t="str">
        <f t="shared" si="2"/>
        <v/>
      </c>
      <c r="I90" s="137" t="str">
        <f t="shared" si="3"/>
        <v/>
      </c>
      <c r="J90" s="137" t="str">
        <f t="shared" si="4"/>
        <v>Week 6WSH</v>
      </c>
      <c r="K90" s="137" t="str">
        <f t="shared" si="5"/>
        <v>Week 6BAL</v>
      </c>
      <c r="L90" s="137" t="str">
        <f t="shared" ref="L90:M90" si="94">D90</f>
        <v/>
      </c>
      <c r="M90" s="137" t="str">
        <f t="shared" si="94"/>
        <v/>
      </c>
      <c r="N90" s="137" t="str">
        <f t="shared" si="7"/>
        <v>Week 6WSH</v>
      </c>
    </row>
    <row r="91">
      <c r="A91" s="137" t="str">
        <f>IFERROR(__xludf.DUMMYFUNCTION("""COMPUTED_VALUE"""),"20241013_HOU@NE")</f>
        <v>20241013_HOU@NE</v>
      </c>
      <c r="B91" s="137" t="str">
        <f>IFERROR(__xludf.DUMMYFUNCTION("""COMPUTED_VALUE"""),"HOU")</f>
        <v>HOU</v>
      </c>
      <c r="C91" s="137" t="str">
        <f>IFERROR(__xludf.DUMMYFUNCTION("""COMPUTED_VALUE"""),"NE")</f>
        <v>NE</v>
      </c>
      <c r="D91" s="137"/>
      <c r="E91" s="137"/>
      <c r="F91" s="137" t="str">
        <f>IFERROR(__xludf.DUMMYFUNCTION("""COMPUTED_VALUE"""),"Week 6")</f>
        <v>Week 6</v>
      </c>
      <c r="G91" s="137">
        <f>IFERROR(__xludf.DUMMYFUNCTION("""COMPUTED_VALUE"""),0.0)</f>
        <v>0</v>
      </c>
      <c r="H91" s="137" t="str">
        <f t="shared" si="2"/>
        <v/>
      </c>
      <c r="I91" s="137" t="str">
        <f t="shared" si="3"/>
        <v/>
      </c>
      <c r="J91" s="137" t="str">
        <f t="shared" si="4"/>
        <v>Week 6HOU</v>
      </c>
      <c r="K91" s="137" t="str">
        <f t="shared" si="5"/>
        <v>Week 6NE</v>
      </c>
      <c r="L91" s="137" t="str">
        <f t="shared" ref="L91:M91" si="95">D91</f>
        <v/>
      </c>
      <c r="M91" s="137" t="str">
        <f t="shared" si="95"/>
        <v/>
      </c>
      <c r="N91" s="137" t="str">
        <f t="shared" si="7"/>
        <v>Week 6HOU</v>
      </c>
    </row>
    <row r="92">
      <c r="A92" s="137" t="str">
        <f>IFERROR(__xludf.DUMMYFUNCTION("""COMPUTED_VALUE"""),"20241013_IND@TEN")</f>
        <v>20241013_IND@TEN</v>
      </c>
      <c r="B92" s="137" t="str">
        <f>IFERROR(__xludf.DUMMYFUNCTION("""COMPUTED_VALUE"""),"IND")</f>
        <v>IND</v>
      </c>
      <c r="C92" s="137" t="str">
        <f>IFERROR(__xludf.DUMMYFUNCTION("""COMPUTED_VALUE"""),"TEN")</f>
        <v>TEN</v>
      </c>
      <c r="D92" s="137"/>
      <c r="E92" s="137"/>
      <c r="F92" s="137" t="str">
        <f>IFERROR(__xludf.DUMMYFUNCTION("""COMPUTED_VALUE"""),"Week 6")</f>
        <v>Week 6</v>
      </c>
      <c r="G92" s="137">
        <f>IFERROR(__xludf.DUMMYFUNCTION("""COMPUTED_VALUE"""),0.0)</f>
        <v>0</v>
      </c>
      <c r="H92" s="137" t="str">
        <f t="shared" si="2"/>
        <v/>
      </c>
      <c r="I92" s="137" t="str">
        <f t="shared" si="3"/>
        <v/>
      </c>
      <c r="J92" s="137" t="str">
        <f t="shared" si="4"/>
        <v>Week 6IND</v>
      </c>
      <c r="K92" s="137" t="str">
        <f t="shared" si="5"/>
        <v>Week 6TEN</v>
      </c>
      <c r="L92" s="137" t="str">
        <f t="shared" ref="L92:M92" si="96">D92</f>
        <v/>
      </c>
      <c r="M92" s="137" t="str">
        <f t="shared" si="96"/>
        <v/>
      </c>
      <c r="N92" s="137" t="str">
        <f t="shared" si="7"/>
        <v>Week 6IND</v>
      </c>
    </row>
    <row r="93">
      <c r="A93" s="137" t="str">
        <f>IFERROR(__xludf.DUMMYFUNCTION("""COMPUTED_VALUE"""),"20241013_ARI@GB")</f>
        <v>20241013_ARI@GB</v>
      </c>
      <c r="B93" s="137" t="str">
        <f>IFERROR(__xludf.DUMMYFUNCTION("""COMPUTED_VALUE"""),"ARI")</f>
        <v>ARI</v>
      </c>
      <c r="C93" s="137" t="str">
        <f>IFERROR(__xludf.DUMMYFUNCTION("""COMPUTED_VALUE"""),"GB")</f>
        <v>GB</v>
      </c>
      <c r="D93" s="137"/>
      <c r="E93" s="137"/>
      <c r="F93" s="137" t="str">
        <f>IFERROR(__xludf.DUMMYFUNCTION("""COMPUTED_VALUE"""),"Week 6")</f>
        <v>Week 6</v>
      </c>
      <c r="G93" s="137">
        <f>IFERROR(__xludf.DUMMYFUNCTION("""COMPUTED_VALUE"""),0.0)</f>
        <v>0</v>
      </c>
      <c r="H93" s="137" t="str">
        <f t="shared" si="2"/>
        <v/>
      </c>
      <c r="I93" s="137" t="str">
        <f t="shared" si="3"/>
        <v/>
      </c>
      <c r="J93" s="137" t="str">
        <f t="shared" si="4"/>
        <v>Week 6ARI</v>
      </c>
      <c r="K93" s="137" t="str">
        <f t="shared" si="5"/>
        <v>Week 6GB</v>
      </c>
      <c r="L93" s="137" t="str">
        <f t="shared" ref="L93:M93" si="97">D93</f>
        <v/>
      </c>
      <c r="M93" s="137" t="str">
        <f t="shared" si="97"/>
        <v/>
      </c>
      <c r="N93" s="137" t="str">
        <f t="shared" si="7"/>
        <v>Week 6ARI</v>
      </c>
    </row>
    <row r="94">
      <c r="A94" s="137" t="str">
        <f>IFERROR(__xludf.DUMMYFUNCTION("""COMPUTED_VALUE"""),"20241021_LAC@ARI")</f>
        <v>20241021_LAC@ARI</v>
      </c>
      <c r="B94" s="137" t="str">
        <f>IFERROR(__xludf.DUMMYFUNCTION("""COMPUTED_VALUE"""),"LAC")</f>
        <v>LAC</v>
      </c>
      <c r="C94" s="137" t="str">
        <f>IFERROR(__xludf.DUMMYFUNCTION("""COMPUTED_VALUE"""),"ARI")</f>
        <v>ARI</v>
      </c>
      <c r="D94" s="137"/>
      <c r="E94" s="137"/>
      <c r="F94" s="137" t="str">
        <f>IFERROR(__xludf.DUMMYFUNCTION("""COMPUTED_VALUE"""),"Week 7")</f>
        <v>Week 7</v>
      </c>
      <c r="G94" s="137">
        <f>IFERROR(__xludf.DUMMYFUNCTION("""COMPUTED_VALUE"""),0.0)</f>
        <v>0</v>
      </c>
      <c r="H94" s="137" t="str">
        <f t="shared" si="2"/>
        <v/>
      </c>
      <c r="I94" s="137" t="str">
        <f t="shared" si="3"/>
        <v/>
      </c>
      <c r="J94" s="137" t="str">
        <f t="shared" si="4"/>
        <v>Week 7LAC</v>
      </c>
      <c r="K94" s="137" t="str">
        <f t="shared" si="5"/>
        <v>Week 7ARI</v>
      </c>
      <c r="L94" s="137" t="str">
        <f t="shared" ref="L94:M94" si="98">D94</f>
        <v/>
      </c>
      <c r="M94" s="137" t="str">
        <f t="shared" si="98"/>
        <v/>
      </c>
      <c r="N94" s="137" t="str">
        <f t="shared" si="7"/>
        <v>Week 7LAC</v>
      </c>
    </row>
    <row r="95">
      <c r="A95" s="137" t="str">
        <f>IFERROR(__xludf.DUMMYFUNCTION("""COMPUTED_VALUE"""),"20241021_BAL@TB")</f>
        <v>20241021_BAL@TB</v>
      </c>
      <c r="B95" s="137" t="str">
        <f>IFERROR(__xludf.DUMMYFUNCTION("""COMPUTED_VALUE"""),"BAL")</f>
        <v>BAL</v>
      </c>
      <c r="C95" s="137" t="str">
        <f>IFERROR(__xludf.DUMMYFUNCTION("""COMPUTED_VALUE"""),"TB")</f>
        <v>TB</v>
      </c>
      <c r="D95" s="137"/>
      <c r="E95" s="137"/>
      <c r="F95" s="137" t="str">
        <f>IFERROR(__xludf.DUMMYFUNCTION("""COMPUTED_VALUE"""),"Week 7")</f>
        <v>Week 7</v>
      </c>
      <c r="G95" s="137">
        <f>IFERROR(__xludf.DUMMYFUNCTION("""COMPUTED_VALUE"""),0.0)</f>
        <v>0</v>
      </c>
      <c r="H95" s="137" t="str">
        <f t="shared" si="2"/>
        <v/>
      </c>
      <c r="I95" s="137" t="str">
        <f t="shared" si="3"/>
        <v/>
      </c>
      <c r="J95" s="137" t="str">
        <f t="shared" si="4"/>
        <v>Week 7BAL</v>
      </c>
      <c r="K95" s="137" t="str">
        <f t="shared" si="5"/>
        <v>Week 7TB</v>
      </c>
      <c r="L95" s="137" t="str">
        <f t="shared" ref="L95:M95" si="99">D95</f>
        <v/>
      </c>
      <c r="M95" s="137" t="str">
        <f t="shared" si="99"/>
        <v/>
      </c>
      <c r="N95" s="137" t="str">
        <f t="shared" si="7"/>
        <v>Week 7BAL</v>
      </c>
    </row>
    <row r="96">
      <c r="A96" s="137" t="str">
        <f>IFERROR(__xludf.DUMMYFUNCTION("""COMPUTED_VALUE"""),"20241020_MIA@IND")</f>
        <v>20241020_MIA@IND</v>
      </c>
      <c r="B96" s="137" t="str">
        <f>IFERROR(__xludf.DUMMYFUNCTION("""COMPUTED_VALUE"""),"MIA")</f>
        <v>MIA</v>
      </c>
      <c r="C96" s="137" t="str">
        <f>IFERROR(__xludf.DUMMYFUNCTION("""COMPUTED_VALUE"""),"IND")</f>
        <v>IND</v>
      </c>
      <c r="D96" s="137"/>
      <c r="E96" s="137"/>
      <c r="F96" s="137" t="str">
        <f>IFERROR(__xludf.DUMMYFUNCTION("""COMPUTED_VALUE"""),"Week 7")</f>
        <v>Week 7</v>
      </c>
      <c r="G96" s="137">
        <f>IFERROR(__xludf.DUMMYFUNCTION("""COMPUTED_VALUE"""),0.0)</f>
        <v>0</v>
      </c>
      <c r="H96" s="137" t="str">
        <f t="shared" si="2"/>
        <v/>
      </c>
      <c r="I96" s="137" t="str">
        <f t="shared" si="3"/>
        <v/>
      </c>
      <c r="J96" s="137" t="str">
        <f t="shared" si="4"/>
        <v>Week 7MIA</v>
      </c>
      <c r="K96" s="137" t="str">
        <f t="shared" si="5"/>
        <v>Week 7IND</v>
      </c>
      <c r="L96" s="137" t="str">
        <f t="shared" ref="L96:M96" si="100">D96</f>
        <v/>
      </c>
      <c r="M96" s="137" t="str">
        <f t="shared" si="100"/>
        <v/>
      </c>
      <c r="N96" s="137" t="str">
        <f t="shared" si="7"/>
        <v>Week 7MIA</v>
      </c>
    </row>
    <row r="97">
      <c r="A97" s="137" t="str">
        <f>IFERROR(__xludf.DUMMYFUNCTION("""COMPUTED_VALUE"""),"20241020_LV@LAR")</f>
        <v>20241020_LV@LAR</v>
      </c>
      <c r="B97" s="137" t="str">
        <f>IFERROR(__xludf.DUMMYFUNCTION("""COMPUTED_VALUE"""),"LV")</f>
        <v>LV</v>
      </c>
      <c r="C97" s="137" t="str">
        <f>IFERROR(__xludf.DUMMYFUNCTION("""COMPUTED_VALUE"""),"LAR")</f>
        <v>LAR</v>
      </c>
      <c r="D97" s="137"/>
      <c r="E97" s="137"/>
      <c r="F97" s="137" t="str">
        <f>IFERROR(__xludf.DUMMYFUNCTION("""COMPUTED_VALUE"""),"Week 7")</f>
        <v>Week 7</v>
      </c>
      <c r="G97" s="137">
        <f>IFERROR(__xludf.DUMMYFUNCTION("""COMPUTED_VALUE"""),0.0)</f>
        <v>0</v>
      </c>
      <c r="H97" s="137" t="str">
        <f t="shared" si="2"/>
        <v/>
      </c>
      <c r="I97" s="137" t="str">
        <f t="shared" si="3"/>
        <v/>
      </c>
      <c r="J97" s="137" t="str">
        <f t="shared" si="4"/>
        <v>Week 7LV</v>
      </c>
      <c r="K97" s="137" t="str">
        <f t="shared" si="5"/>
        <v>Week 7LAR</v>
      </c>
      <c r="L97" s="137" t="str">
        <f t="shared" ref="L97:M97" si="101">D97</f>
        <v/>
      </c>
      <c r="M97" s="137" t="str">
        <f t="shared" si="101"/>
        <v/>
      </c>
      <c r="N97" s="137" t="str">
        <f t="shared" si="7"/>
        <v>Week 7LV</v>
      </c>
    </row>
    <row r="98">
      <c r="A98" s="137" t="str">
        <f>IFERROR(__xludf.DUMMYFUNCTION("""COMPUTED_VALUE"""),"20241020_DET@MIN")</f>
        <v>20241020_DET@MIN</v>
      </c>
      <c r="B98" s="137" t="str">
        <f>IFERROR(__xludf.DUMMYFUNCTION("""COMPUTED_VALUE"""),"DET")</f>
        <v>DET</v>
      </c>
      <c r="C98" s="137" t="str">
        <f>IFERROR(__xludf.DUMMYFUNCTION("""COMPUTED_VALUE"""),"MIN")</f>
        <v>MIN</v>
      </c>
      <c r="D98" s="137"/>
      <c r="E98" s="137"/>
      <c r="F98" s="137" t="str">
        <f>IFERROR(__xludf.DUMMYFUNCTION("""COMPUTED_VALUE"""),"Week 7")</f>
        <v>Week 7</v>
      </c>
      <c r="G98" s="137">
        <f>IFERROR(__xludf.DUMMYFUNCTION("""COMPUTED_VALUE"""),0.0)</f>
        <v>0</v>
      </c>
      <c r="H98" s="137" t="str">
        <f t="shared" si="2"/>
        <v/>
      </c>
      <c r="I98" s="137" t="str">
        <f t="shared" si="3"/>
        <v/>
      </c>
      <c r="J98" s="137" t="str">
        <f t="shared" si="4"/>
        <v>Week 7DET</v>
      </c>
      <c r="K98" s="137" t="str">
        <f t="shared" si="5"/>
        <v>Week 7MIN</v>
      </c>
      <c r="L98" s="137" t="str">
        <f t="shared" ref="L98:M98" si="102">D98</f>
        <v/>
      </c>
      <c r="M98" s="137" t="str">
        <f t="shared" si="102"/>
        <v/>
      </c>
      <c r="N98" s="137" t="str">
        <f t="shared" si="7"/>
        <v>Week 7DET</v>
      </c>
    </row>
    <row r="99">
      <c r="A99" s="137" t="str">
        <f>IFERROR(__xludf.DUMMYFUNCTION("""COMPUTED_VALUE"""),"20241020_SEA@ATL")</f>
        <v>20241020_SEA@ATL</v>
      </c>
      <c r="B99" s="137" t="str">
        <f>IFERROR(__xludf.DUMMYFUNCTION("""COMPUTED_VALUE"""),"SEA")</f>
        <v>SEA</v>
      </c>
      <c r="C99" s="137" t="str">
        <f>IFERROR(__xludf.DUMMYFUNCTION("""COMPUTED_VALUE"""),"ATL")</f>
        <v>ATL</v>
      </c>
      <c r="D99" s="137"/>
      <c r="E99" s="137"/>
      <c r="F99" s="137" t="str">
        <f>IFERROR(__xludf.DUMMYFUNCTION("""COMPUTED_VALUE"""),"Week 7")</f>
        <v>Week 7</v>
      </c>
      <c r="G99" s="137">
        <f>IFERROR(__xludf.DUMMYFUNCTION("""COMPUTED_VALUE"""),0.0)</f>
        <v>0</v>
      </c>
      <c r="H99" s="137" t="str">
        <f t="shared" si="2"/>
        <v/>
      </c>
      <c r="I99" s="137" t="str">
        <f t="shared" si="3"/>
        <v/>
      </c>
      <c r="J99" s="137" t="str">
        <f t="shared" si="4"/>
        <v>Week 7SEA</v>
      </c>
      <c r="K99" s="137" t="str">
        <f t="shared" si="5"/>
        <v>Week 7ATL</v>
      </c>
      <c r="L99" s="137" t="str">
        <f t="shared" ref="L99:M99" si="103">D99</f>
        <v/>
      </c>
      <c r="M99" s="137" t="str">
        <f t="shared" si="103"/>
        <v/>
      </c>
      <c r="N99" s="137" t="str">
        <f t="shared" si="7"/>
        <v>Week 7SEA</v>
      </c>
    </row>
    <row r="100">
      <c r="A100" s="137" t="str">
        <f>IFERROR(__xludf.DUMMYFUNCTION("""COMPUTED_VALUE"""),"20241020_CAR@WSH")</f>
        <v>20241020_CAR@WSH</v>
      </c>
      <c r="B100" s="137" t="str">
        <f>IFERROR(__xludf.DUMMYFUNCTION("""COMPUTED_VALUE"""),"CAR")</f>
        <v>CAR</v>
      </c>
      <c r="C100" s="137" t="str">
        <f>IFERROR(__xludf.DUMMYFUNCTION("""COMPUTED_VALUE"""),"WSH")</f>
        <v>WSH</v>
      </c>
      <c r="D100" s="137"/>
      <c r="E100" s="137"/>
      <c r="F100" s="137" t="str">
        <f>IFERROR(__xludf.DUMMYFUNCTION("""COMPUTED_VALUE"""),"Week 7")</f>
        <v>Week 7</v>
      </c>
      <c r="G100" s="137">
        <f>IFERROR(__xludf.DUMMYFUNCTION("""COMPUTED_VALUE"""),0.0)</f>
        <v>0</v>
      </c>
      <c r="H100" s="137" t="str">
        <f t="shared" si="2"/>
        <v/>
      </c>
      <c r="I100" s="137" t="str">
        <f t="shared" si="3"/>
        <v/>
      </c>
      <c r="J100" s="137" t="str">
        <f t="shared" si="4"/>
        <v>Week 7CAR</v>
      </c>
      <c r="K100" s="137" t="str">
        <f t="shared" si="5"/>
        <v>Week 7WSH</v>
      </c>
      <c r="L100" s="137" t="str">
        <f t="shared" ref="L100:M100" si="104">D100</f>
        <v/>
      </c>
      <c r="M100" s="137" t="str">
        <f t="shared" si="104"/>
        <v/>
      </c>
      <c r="N100" s="137" t="str">
        <f t="shared" si="7"/>
        <v>Week 7CAR</v>
      </c>
    </row>
    <row r="101">
      <c r="A101" s="137" t="str">
        <f>IFERROR(__xludf.DUMMYFUNCTION("""COMPUTED_VALUE"""),"20241020_HOU@GB")</f>
        <v>20241020_HOU@GB</v>
      </c>
      <c r="B101" s="137" t="str">
        <f>IFERROR(__xludf.DUMMYFUNCTION("""COMPUTED_VALUE"""),"HOU")</f>
        <v>HOU</v>
      </c>
      <c r="C101" s="137" t="str">
        <f>IFERROR(__xludf.DUMMYFUNCTION("""COMPUTED_VALUE"""),"GB")</f>
        <v>GB</v>
      </c>
      <c r="D101" s="137"/>
      <c r="E101" s="137"/>
      <c r="F101" s="137" t="str">
        <f>IFERROR(__xludf.DUMMYFUNCTION("""COMPUTED_VALUE"""),"Week 7")</f>
        <v>Week 7</v>
      </c>
      <c r="G101" s="137">
        <f>IFERROR(__xludf.DUMMYFUNCTION("""COMPUTED_VALUE"""),0.0)</f>
        <v>0</v>
      </c>
      <c r="H101" s="137" t="str">
        <f t="shared" si="2"/>
        <v/>
      </c>
      <c r="I101" s="137" t="str">
        <f t="shared" si="3"/>
        <v/>
      </c>
      <c r="J101" s="137" t="str">
        <f t="shared" si="4"/>
        <v>Week 7HOU</v>
      </c>
      <c r="K101" s="137" t="str">
        <f t="shared" si="5"/>
        <v>Week 7GB</v>
      </c>
      <c r="L101" s="137" t="str">
        <f t="shared" ref="L101:M101" si="105">D101</f>
        <v/>
      </c>
      <c r="M101" s="137" t="str">
        <f t="shared" si="105"/>
        <v/>
      </c>
      <c r="N101" s="137" t="str">
        <f t="shared" si="7"/>
        <v>Week 7HOU</v>
      </c>
    </row>
    <row r="102">
      <c r="A102" s="137" t="str">
        <f>IFERROR(__xludf.DUMMYFUNCTION("""COMPUTED_VALUE"""),"20241020_KC@SF")</f>
        <v>20241020_KC@SF</v>
      </c>
      <c r="B102" s="137" t="str">
        <f>IFERROR(__xludf.DUMMYFUNCTION("""COMPUTED_VALUE"""),"KC")</f>
        <v>KC</v>
      </c>
      <c r="C102" s="137" t="str">
        <f>IFERROR(__xludf.DUMMYFUNCTION("""COMPUTED_VALUE"""),"SF")</f>
        <v>SF</v>
      </c>
      <c r="D102" s="137"/>
      <c r="E102" s="137"/>
      <c r="F102" s="137" t="str">
        <f>IFERROR(__xludf.DUMMYFUNCTION("""COMPUTED_VALUE"""),"Week 7")</f>
        <v>Week 7</v>
      </c>
      <c r="G102" s="137">
        <f>IFERROR(__xludf.DUMMYFUNCTION("""COMPUTED_VALUE"""),0.0)</f>
        <v>0</v>
      </c>
      <c r="H102" s="137" t="str">
        <f t="shared" si="2"/>
        <v/>
      </c>
      <c r="I102" s="137" t="str">
        <f t="shared" si="3"/>
        <v/>
      </c>
      <c r="J102" s="137" t="str">
        <f t="shared" si="4"/>
        <v>Week 7KC</v>
      </c>
      <c r="K102" s="137" t="str">
        <f t="shared" si="5"/>
        <v>Week 7SF</v>
      </c>
      <c r="L102" s="137" t="str">
        <f t="shared" ref="L102:M102" si="106">D102</f>
        <v/>
      </c>
      <c r="M102" s="137" t="str">
        <f t="shared" si="106"/>
        <v/>
      </c>
      <c r="N102" s="137" t="str">
        <f t="shared" si="7"/>
        <v>Week 7KC</v>
      </c>
    </row>
    <row r="103">
      <c r="A103" s="137" t="str">
        <f>IFERROR(__xludf.DUMMYFUNCTION("""COMPUTED_VALUE"""),"20241020_CIN@CLE")</f>
        <v>20241020_CIN@CLE</v>
      </c>
      <c r="B103" s="137" t="str">
        <f>IFERROR(__xludf.DUMMYFUNCTION("""COMPUTED_VALUE"""),"CIN")</f>
        <v>CIN</v>
      </c>
      <c r="C103" s="137" t="str">
        <f>IFERROR(__xludf.DUMMYFUNCTION("""COMPUTED_VALUE"""),"CLE")</f>
        <v>CLE</v>
      </c>
      <c r="D103" s="137"/>
      <c r="E103" s="137"/>
      <c r="F103" s="137" t="str">
        <f>IFERROR(__xludf.DUMMYFUNCTION("""COMPUTED_VALUE"""),"Week 7")</f>
        <v>Week 7</v>
      </c>
      <c r="G103" s="137">
        <f>IFERROR(__xludf.DUMMYFUNCTION("""COMPUTED_VALUE"""),0.0)</f>
        <v>0</v>
      </c>
      <c r="H103" s="137" t="str">
        <f t="shared" si="2"/>
        <v/>
      </c>
      <c r="I103" s="137" t="str">
        <f t="shared" si="3"/>
        <v/>
      </c>
      <c r="J103" s="137" t="str">
        <f t="shared" si="4"/>
        <v>Week 7CIN</v>
      </c>
      <c r="K103" s="137" t="str">
        <f t="shared" si="5"/>
        <v>Week 7CLE</v>
      </c>
      <c r="L103" s="137" t="str">
        <f t="shared" ref="L103:M103" si="107">D103</f>
        <v/>
      </c>
      <c r="M103" s="137" t="str">
        <f t="shared" si="107"/>
        <v/>
      </c>
      <c r="N103" s="137" t="str">
        <f t="shared" si="7"/>
        <v>Week 7CIN</v>
      </c>
    </row>
    <row r="104">
      <c r="A104" s="137" t="str">
        <f>IFERROR(__xludf.DUMMYFUNCTION("""COMPUTED_VALUE"""),"20241020_NE@JAX")</f>
        <v>20241020_NE@JAX</v>
      </c>
      <c r="B104" s="137" t="str">
        <f>IFERROR(__xludf.DUMMYFUNCTION("""COMPUTED_VALUE"""),"NE")</f>
        <v>NE</v>
      </c>
      <c r="C104" s="137" t="str">
        <f>IFERROR(__xludf.DUMMYFUNCTION("""COMPUTED_VALUE"""),"JAX")</f>
        <v>JAX</v>
      </c>
      <c r="D104" s="137"/>
      <c r="E104" s="137"/>
      <c r="F104" s="137" t="str">
        <f>IFERROR(__xludf.DUMMYFUNCTION("""COMPUTED_VALUE"""),"Week 7")</f>
        <v>Week 7</v>
      </c>
      <c r="G104" s="137">
        <f>IFERROR(__xludf.DUMMYFUNCTION("""COMPUTED_VALUE"""),0.0)</f>
        <v>0</v>
      </c>
      <c r="H104" s="137" t="str">
        <f t="shared" si="2"/>
        <v/>
      </c>
      <c r="I104" s="137" t="str">
        <f t="shared" si="3"/>
        <v/>
      </c>
      <c r="J104" s="137" t="str">
        <f t="shared" si="4"/>
        <v>Week 7NE</v>
      </c>
      <c r="K104" s="137" t="str">
        <f t="shared" si="5"/>
        <v>Week 7JAX</v>
      </c>
      <c r="L104" s="137" t="str">
        <f t="shared" ref="L104:M104" si="108">D104</f>
        <v/>
      </c>
      <c r="M104" s="137" t="str">
        <f t="shared" si="108"/>
        <v/>
      </c>
      <c r="N104" s="137" t="str">
        <f t="shared" si="7"/>
        <v>Week 7NE</v>
      </c>
    </row>
    <row r="105">
      <c r="A105" s="137" t="str">
        <f>IFERROR(__xludf.DUMMYFUNCTION("""COMPUTED_VALUE"""),"20241020_PHI@NYG")</f>
        <v>20241020_PHI@NYG</v>
      </c>
      <c r="B105" s="137" t="str">
        <f>IFERROR(__xludf.DUMMYFUNCTION("""COMPUTED_VALUE"""),"PHI")</f>
        <v>PHI</v>
      </c>
      <c r="C105" s="137" t="str">
        <f>IFERROR(__xludf.DUMMYFUNCTION("""COMPUTED_VALUE"""),"NYG")</f>
        <v>NYG</v>
      </c>
      <c r="D105" s="137"/>
      <c r="E105" s="137"/>
      <c r="F105" s="137" t="str">
        <f>IFERROR(__xludf.DUMMYFUNCTION("""COMPUTED_VALUE"""),"Week 7")</f>
        <v>Week 7</v>
      </c>
      <c r="G105" s="137">
        <f>IFERROR(__xludf.DUMMYFUNCTION("""COMPUTED_VALUE"""),0.0)</f>
        <v>0</v>
      </c>
      <c r="H105" s="137" t="str">
        <f t="shared" si="2"/>
        <v/>
      </c>
      <c r="I105" s="137" t="str">
        <f t="shared" si="3"/>
        <v/>
      </c>
      <c r="J105" s="137" t="str">
        <f t="shared" si="4"/>
        <v>Week 7PHI</v>
      </c>
      <c r="K105" s="137" t="str">
        <f t="shared" si="5"/>
        <v>Week 7NYG</v>
      </c>
      <c r="L105" s="137" t="str">
        <f t="shared" ref="L105:M105" si="109">D105</f>
        <v/>
      </c>
      <c r="M105" s="137" t="str">
        <f t="shared" si="109"/>
        <v/>
      </c>
      <c r="N105" s="137" t="str">
        <f t="shared" si="7"/>
        <v>Week 7PHI</v>
      </c>
    </row>
    <row r="106">
      <c r="A106" s="137" t="str">
        <f>IFERROR(__xludf.DUMMYFUNCTION("""COMPUTED_VALUE"""),"20241020_NYJ@PIT")</f>
        <v>20241020_NYJ@PIT</v>
      </c>
      <c r="B106" s="137" t="str">
        <f>IFERROR(__xludf.DUMMYFUNCTION("""COMPUTED_VALUE"""),"NYJ")</f>
        <v>NYJ</v>
      </c>
      <c r="C106" s="137" t="str">
        <f>IFERROR(__xludf.DUMMYFUNCTION("""COMPUTED_VALUE"""),"PIT")</f>
        <v>PIT</v>
      </c>
      <c r="D106" s="137"/>
      <c r="E106" s="137"/>
      <c r="F106" s="137" t="str">
        <f>IFERROR(__xludf.DUMMYFUNCTION("""COMPUTED_VALUE"""),"Week 7")</f>
        <v>Week 7</v>
      </c>
      <c r="G106" s="137">
        <f>IFERROR(__xludf.DUMMYFUNCTION("""COMPUTED_VALUE"""),0.0)</f>
        <v>0</v>
      </c>
      <c r="H106" s="137" t="str">
        <f t="shared" si="2"/>
        <v/>
      </c>
      <c r="I106" s="137" t="str">
        <f t="shared" si="3"/>
        <v/>
      </c>
      <c r="J106" s="137" t="str">
        <f t="shared" si="4"/>
        <v>Week 7NYJ</v>
      </c>
      <c r="K106" s="137" t="str">
        <f t="shared" si="5"/>
        <v>Week 7PIT</v>
      </c>
      <c r="L106" s="137" t="str">
        <f t="shared" ref="L106:M106" si="110">D106</f>
        <v/>
      </c>
      <c r="M106" s="137" t="str">
        <f t="shared" si="110"/>
        <v/>
      </c>
      <c r="N106" s="137" t="str">
        <f t="shared" si="7"/>
        <v>Week 7NYJ</v>
      </c>
    </row>
    <row r="107">
      <c r="A107" s="137" t="str">
        <f>IFERROR(__xludf.DUMMYFUNCTION("""COMPUTED_VALUE"""),"20241020_TEN@BUF")</f>
        <v>20241020_TEN@BUF</v>
      </c>
      <c r="B107" s="137" t="str">
        <f>IFERROR(__xludf.DUMMYFUNCTION("""COMPUTED_VALUE"""),"TEN")</f>
        <v>TEN</v>
      </c>
      <c r="C107" s="137" t="str">
        <f>IFERROR(__xludf.DUMMYFUNCTION("""COMPUTED_VALUE"""),"BUF")</f>
        <v>BUF</v>
      </c>
      <c r="D107" s="137"/>
      <c r="E107" s="137"/>
      <c r="F107" s="137" t="str">
        <f>IFERROR(__xludf.DUMMYFUNCTION("""COMPUTED_VALUE"""),"Week 7")</f>
        <v>Week 7</v>
      </c>
      <c r="G107" s="137">
        <f>IFERROR(__xludf.DUMMYFUNCTION("""COMPUTED_VALUE"""),0.0)</f>
        <v>0</v>
      </c>
      <c r="H107" s="137" t="str">
        <f t="shared" si="2"/>
        <v/>
      </c>
      <c r="I107" s="137" t="str">
        <f t="shared" si="3"/>
        <v/>
      </c>
      <c r="J107" s="137" t="str">
        <f t="shared" si="4"/>
        <v>Week 7TEN</v>
      </c>
      <c r="K107" s="137" t="str">
        <f t="shared" si="5"/>
        <v>Week 7BUF</v>
      </c>
      <c r="L107" s="137" t="str">
        <f t="shared" ref="L107:M107" si="111">D107</f>
        <v/>
      </c>
      <c r="M107" s="137" t="str">
        <f t="shared" si="111"/>
        <v/>
      </c>
      <c r="N107" s="137" t="str">
        <f t="shared" si="7"/>
        <v>Week 7TEN</v>
      </c>
    </row>
    <row r="108">
      <c r="A108" s="137" t="str">
        <f>IFERROR(__xludf.DUMMYFUNCTION("""COMPUTED_VALUE"""),"20241017_DEN@NO")</f>
        <v>20241017_DEN@NO</v>
      </c>
      <c r="B108" s="137" t="str">
        <f>IFERROR(__xludf.DUMMYFUNCTION("""COMPUTED_VALUE"""),"DEN")</f>
        <v>DEN</v>
      </c>
      <c r="C108" s="137" t="str">
        <f>IFERROR(__xludf.DUMMYFUNCTION("""COMPUTED_VALUE"""),"NO")</f>
        <v>NO</v>
      </c>
      <c r="D108" s="137"/>
      <c r="E108" s="137"/>
      <c r="F108" s="137" t="str">
        <f>IFERROR(__xludf.DUMMYFUNCTION("""COMPUTED_VALUE"""),"Week 7")</f>
        <v>Week 7</v>
      </c>
      <c r="G108" s="137">
        <f>IFERROR(__xludf.DUMMYFUNCTION("""COMPUTED_VALUE"""),0.0)</f>
        <v>0</v>
      </c>
      <c r="H108" s="137" t="str">
        <f t="shared" si="2"/>
        <v/>
      </c>
      <c r="I108" s="137" t="str">
        <f t="shared" si="3"/>
        <v/>
      </c>
      <c r="J108" s="137" t="str">
        <f t="shared" si="4"/>
        <v>Week 7DEN</v>
      </c>
      <c r="K108" s="137" t="str">
        <f t="shared" si="5"/>
        <v>Week 7NO</v>
      </c>
      <c r="L108" s="137" t="str">
        <f t="shared" ref="L108:M108" si="112">D108</f>
        <v/>
      </c>
      <c r="M108" s="137" t="str">
        <f t="shared" si="112"/>
        <v/>
      </c>
      <c r="N108" s="137" t="str">
        <f t="shared" si="7"/>
        <v>Week 7DEN</v>
      </c>
    </row>
    <row r="109">
      <c r="A109" s="137" t="str">
        <f>IFERROR(__xludf.DUMMYFUNCTION("""COMPUTED_VALUE"""),"20241024_MIN@LAR")</f>
        <v>20241024_MIN@LAR</v>
      </c>
      <c r="B109" s="137" t="str">
        <f>IFERROR(__xludf.DUMMYFUNCTION("""COMPUTED_VALUE"""),"MIN")</f>
        <v>MIN</v>
      </c>
      <c r="C109" s="137" t="str">
        <f>IFERROR(__xludf.DUMMYFUNCTION("""COMPUTED_VALUE"""),"LAR")</f>
        <v>LAR</v>
      </c>
      <c r="D109" s="137"/>
      <c r="E109" s="137"/>
      <c r="F109" s="137" t="str">
        <f>IFERROR(__xludf.DUMMYFUNCTION("""COMPUTED_VALUE"""),"Week 8")</f>
        <v>Week 8</v>
      </c>
      <c r="G109" s="137">
        <f>IFERROR(__xludf.DUMMYFUNCTION("""COMPUTED_VALUE"""),0.0)</f>
        <v>0</v>
      </c>
      <c r="H109" s="137" t="str">
        <f t="shared" si="2"/>
        <v/>
      </c>
      <c r="I109" s="137" t="str">
        <f t="shared" si="3"/>
        <v/>
      </c>
      <c r="J109" s="137" t="str">
        <f t="shared" si="4"/>
        <v>Week 8MIN</v>
      </c>
      <c r="K109" s="137" t="str">
        <f t="shared" si="5"/>
        <v>Week 8LAR</v>
      </c>
      <c r="L109" s="137" t="str">
        <f t="shared" ref="L109:M109" si="113">D109</f>
        <v/>
      </c>
      <c r="M109" s="137" t="str">
        <f t="shared" si="113"/>
        <v/>
      </c>
      <c r="N109" s="137" t="str">
        <f t="shared" si="7"/>
        <v>Week 8MIN</v>
      </c>
    </row>
    <row r="110">
      <c r="A110" s="137" t="str">
        <f>IFERROR(__xludf.DUMMYFUNCTION("""COMPUTED_VALUE"""),"20241028_NYG@PIT")</f>
        <v>20241028_NYG@PIT</v>
      </c>
      <c r="B110" s="137" t="str">
        <f>IFERROR(__xludf.DUMMYFUNCTION("""COMPUTED_VALUE"""),"NYG")</f>
        <v>NYG</v>
      </c>
      <c r="C110" s="137" t="str">
        <f>IFERROR(__xludf.DUMMYFUNCTION("""COMPUTED_VALUE"""),"PIT")</f>
        <v>PIT</v>
      </c>
      <c r="D110" s="137"/>
      <c r="E110" s="137"/>
      <c r="F110" s="137" t="str">
        <f>IFERROR(__xludf.DUMMYFUNCTION("""COMPUTED_VALUE"""),"Week 8")</f>
        <v>Week 8</v>
      </c>
      <c r="G110" s="137">
        <f>IFERROR(__xludf.DUMMYFUNCTION("""COMPUTED_VALUE"""),0.0)</f>
        <v>0</v>
      </c>
      <c r="H110" s="137" t="str">
        <f t="shared" si="2"/>
        <v/>
      </c>
      <c r="I110" s="137" t="str">
        <f t="shared" si="3"/>
        <v/>
      </c>
      <c r="J110" s="137" t="str">
        <f t="shared" si="4"/>
        <v>Week 8NYG</v>
      </c>
      <c r="K110" s="137" t="str">
        <f t="shared" si="5"/>
        <v>Week 8PIT</v>
      </c>
      <c r="L110" s="137" t="str">
        <f t="shared" ref="L110:M110" si="114">D110</f>
        <v/>
      </c>
      <c r="M110" s="137" t="str">
        <f t="shared" si="114"/>
        <v/>
      </c>
      <c r="N110" s="137" t="str">
        <f t="shared" si="7"/>
        <v>Week 8NYG</v>
      </c>
    </row>
    <row r="111">
      <c r="A111" s="137" t="str">
        <f>IFERROR(__xludf.DUMMYFUNCTION("""COMPUTED_VALUE"""),"20241027_PHI@CIN")</f>
        <v>20241027_PHI@CIN</v>
      </c>
      <c r="B111" s="137" t="str">
        <f>IFERROR(__xludf.DUMMYFUNCTION("""COMPUTED_VALUE"""),"PHI")</f>
        <v>PHI</v>
      </c>
      <c r="C111" s="137" t="str">
        <f>IFERROR(__xludf.DUMMYFUNCTION("""COMPUTED_VALUE"""),"CIN")</f>
        <v>CIN</v>
      </c>
      <c r="D111" s="137"/>
      <c r="E111" s="137"/>
      <c r="F111" s="137" t="str">
        <f>IFERROR(__xludf.DUMMYFUNCTION("""COMPUTED_VALUE"""),"Week 8")</f>
        <v>Week 8</v>
      </c>
      <c r="G111" s="137">
        <f>IFERROR(__xludf.DUMMYFUNCTION("""COMPUTED_VALUE"""),0.0)</f>
        <v>0</v>
      </c>
      <c r="H111" s="137" t="str">
        <f t="shared" si="2"/>
        <v/>
      </c>
      <c r="I111" s="137" t="str">
        <f t="shared" si="3"/>
        <v/>
      </c>
      <c r="J111" s="137" t="str">
        <f t="shared" si="4"/>
        <v>Week 8PHI</v>
      </c>
      <c r="K111" s="137" t="str">
        <f t="shared" si="5"/>
        <v>Week 8CIN</v>
      </c>
      <c r="L111" s="137" t="str">
        <f t="shared" ref="L111:M111" si="115">D111</f>
        <v/>
      </c>
      <c r="M111" s="137" t="str">
        <f t="shared" si="115"/>
        <v/>
      </c>
      <c r="N111" s="137" t="str">
        <f t="shared" si="7"/>
        <v>Week 8PHI</v>
      </c>
    </row>
    <row r="112">
      <c r="A112" s="137" t="str">
        <f>IFERROR(__xludf.DUMMYFUNCTION("""COMPUTED_VALUE"""),"20241027_NO@LAC")</f>
        <v>20241027_NO@LAC</v>
      </c>
      <c r="B112" s="137" t="str">
        <f>IFERROR(__xludf.DUMMYFUNCTION("""COMPUTED_VALUE"""),"NO")</f>
        <v>NO</v>
      </c>
      <c r="C112" s="137" t="str">
        <f>IFERROR(__xludf.DUMMYFUNCTION("""COMPUTED_VALUE"""),"LAC")</f>
        <v>LAC</v>
      </c>
      <c r="D112" s="137"/>
      <c r="E112" s="137"/>
      <c r="F112" s="137" t="str">
        <f>IFERROR(__xludf.DUMMYFUNCTION("""COMPUTED_VALUE"""),"Week 8")</f>
        <v>Week 8</v>
      </c>
      <c r="G112" s="137">
        <f>IFERROR(__xludf.DUMMYFUNCTION("""COMPUTED_VALUE"""),0.0)</f>
        <v>0</v>
      </c>
      <c r="H112" s="137" t="str">
        <f t="shared" si="2"/>
        <v/>
      </c>
      <c r="I112" s="137" t="str">
        <f t="shared" si="3"/>
        <v/>
      </c>
      <c r="J112" s="137" t="str">
        <f t="shared" si="4"/>
        <v>Week 8NO</v>
      </c>
      <c r="K112" s="137" t="str">
        <f t="shared" si="5"/>
        <v>Week 8LAC</v>
      </c>
      <c r="L112" s="137" t="str">
        <f t="shared" ref="L112:M112" si="116">D112</f>
        <v/>
      </c>
      <c r="M112" s="137" t="str">
        <f t="shared" si="116"/>
        <v/>
      </c>
      <c r="N112" s="137" t="str">
        <f t="shared" si="7"/>
        <v>Week 8NO</v>
      </c>
    </row>
    <row r="113">
      <c r="A113" s="137" t="str">
        <f>IFERROR(__xludf.DUMMYFUNCTION("""COMPUTED_VALUE"""),"20241027_DAL@SF")</f>
        <v>20241027_DAL@SF</v>
      </c>
      <c r="B113" s="137" t="str">
        <f>IFERROR(__xludf.DUMMYFUNCTION("""COMPUTED_VALUE"""),"DAL")</f>
        <v>DAL</v>
      </c>
      <c r="C113" s="137" t="str">
        <f>IFERROR(__xludf.DUMMYFUNCTION("""COMPUTED_VALUE"""),"SF")</f>
        <v>SF</v>
      </c>
      <c r="D113" s="137"/>
      <c r="E113" s="137"/>
      <c r="F113" s="137" t="str">
        <f>IFERROR(__xludf.DUMMYFUNCTION("""COMPUTED_VALUE"""),"Week 8")</f>
        <v>Week 8</v>
      </c>
      <c r="G113" s="137">
        <f>IFERROR(__xludf.DUMMYFUNCTION("""COMPUTED_VALUE"""),0.0)</f>
        <v>0</v>
      </c>
      <c r="H113" s="137" t="str">
        <f t="shared" si="2"/>
        <v/>
      </c>
      <c r="I113" s="137" t="str">
        <f t="shared" si="3"/>
        <v/>
      </c>
      <c r="J113" s="137" t="str">
        <f t="shared" si="4"/>
        <v>Week 8DAL</v>
      </c>
      <c r="K113" s="137" t="str">
        <f t="shared" si="5"/>
        <v>Week 8SF</v>
      </c>
      <c r="L113" s="137" t="str">
        <f t="shared" ref="L113:M113" si="117">D113</f>
        <v/>
      </c>
      <c r="M113" s="137" t="str">
        <f t="shared" si="117"/>
        <v/>
      </c>
      <c r="N113" s="137" t="str">
        <f t="shared" si="7"/>
        <v>Week 8DAL</v>
      </c>
    </row>
    <row r="114">
      <c r="A114" s="137" t="str">
        <f>IFERROR(__xludf.DUMMYFUNCTION("""COMPUTED_VALUE"""),"20241027_GB@JAX")</f>
        <v>20241027_GB@JAX</v>
      </c>
      <c r="B114" s="137" t="str">
        <f>IFERROR(__xludf.DUMMYFUNCTION("""COMPUTED_VALUE"""),"GB")</f>
        <v>GB</v>
      </c>
      <c r="C114" s="137" t="str">
        <f>IFERROR(__xludf.DUMMYFUNCTION("""COMPUTED_VALUE"""),"JAX")</f>
        <v>JAX</v>
      </c>
      <c r="D114" s="137"/>
      <c r="E114" s="137"/>
      <c r="F114" s="137" t="str">
        <f>IFERROR(__xludf.DUMMYFUNCTION("""COMPUTED_VALUE"""),"Week 8")</f>
        <v>Week 8</v>
      </c>
      <c r="G114" s="137">
        <f>IFERROR(__xludf.DUMMYFUNCTION("""COMPUTED_VALUE"""),0.0)</f>
        <v>0</v>
      </c>
      <c r="H114" s="137" t="str">
        <f t="shared" si="2"/>
        <v/>
      </c>
      <c r="I114" s="137" t="str">
        <f t="shared" si="3"/>
        <v/>
      </c>
      <c r="J114" s="137" t="str">
        <f t="shared" si="4"/>
        <v>Week 8GB</v>
      </c>
      <c r="K114" s="137" t="str">
        <f t="shared" si="5"/>
        <v>Week 8JAX</v>
      </c>
      <c r="L114" s="137" t="str">
        <f t="shared" ref="L114:M114" si="118">D114</f>
        <v/>
      </c>
      <c r="M114" s="137" t="str">
        <f t="shared" si="118"/>
        <v/>
      </c>
      <c r="N114" s="137" t="str">
        <f t="shared" si="7"/>
        <v>Week 8GB</v>
      </c>
    </row>
    <row r="115">
      <c r="A115" s="137" t="str">
        <f>IFERROR(__xludf.DUMMYFUNCTION("""COMPUTED_VALUE"""),"20241027_BUF@SEA")</f>
        <v>20241027_BUF@SEA</v>
      </c>
      <c r="B115" s="137" t="str">
        <f>IFERROR(__xludf.DUMMYFUNCTION("""COMPUTED_VALUE"""),"BUF")</f>
        <v>BUF</v>
      </c>
      <c r="C115" s="137" t="str">
        <f>IFERROR(__xludf.DUMMYFUNCTION("""COMPUTED_VALUE"""),"SEA")</f>
        <v>SEA</v>
      </c>
      <c r="D115" s="137"/>
      <c r="E115" s="137"/>
      <c r="F115" s="137" t="str">
        <f>IFERROR(__xludf.DUMMYFUNCTION("""COMPUTED_VALUE"""),"Week 8")</f>
        <v>Week 8</v>
      </c>
      <c r="G115" s="137">
        <f>IFERROR(__xludf.DUMMYFUNCTION("""COMPUTED_VALUE"""),0.0)</f>
        <v>0</v>
      </c>
      <c r="H115" s="137" t="str">
        <f t="shared" si="2"/>
        <v/>
      </c>
      <c r="I115" s="137" t="str">
        <f t="shared" si="3"/>
        <v/>
      </c>
      <c r="J115" s="137" t="str">
        <f t="shared" si="4"/>
        <v>Week 8BUF</v>
      </c>
      <c r="K115" s="137" t="str">
        <f t="shared" si="5"/>
        <v>Week 8SEA</v>
      </c>
      <c r="L115" s="137" t="str">
        <f t="shared" ref="L115:M115" si="119">D115</f>
        <v/>
      </c>
      <c r="M115" s="137" t="str">
        <f t="shared" si="119"/>
        <v/>
      </c>
      <c r="N115" s="137" t="str">
        <f t="shared" si="7"/>
        <v>Week 8BUF</v>
      </c>
    </row>
    <row r="116">
      <c r="A116" s="137" t="str">
        <f>IFERROR(__xludf.DUMMYFUNCTION("""COMPUTED_VALUE"""),"20241027_NYJ@NE")</f>
        <v>20241027_NYJ@NE</v>
      </c>
      <c r="B116" s="137" t="str">
        <f>IFERROR(__xludf.DUMMYFUNCTION("""COMPUTED_VALUE"""),"NYJ")</f>
        <v>NYJ</v>
      </c>
      <c r="C116" s="137" t="str">
        <f>IFERROR(__xludf.DUMMYFUNCTION("""COMPUTED_VALUE"""),"NE")</f>
        <v>NE</v>
      </c>
      <c r="D116" s="137"/>
      <c r="E116" s="137"/>
      <c r="F116" s="137" t="str">
        <f>IFERROR(__xludf.DUMMYFUNCTION("""COMPUTED_VALUE"""),"Week 8")</f>
        <v>Week 8</v>
      </c>
      <c r="G116" s="137">
        <f>IFERROR(__xludf.DUMMYFUNCTION("""COMPUTED_VALUE"""),0.0)</f>
        <v>0</v>
      </c>
      <c r="H116" s="137" t="str">
        <f t="shared" si="2"/>
        <v/>
      </c>
      <c r="I116" s="137" t="str">
        <f t="shared" si="3"/>
        <v/>
      </c>
      <c r="J116" s="137" t="str">
        <f t="shared" si="4"/>
        <v>Week 8NYJ</v>
      </c>
      <c r="K116" s="137" t="str">
        <f t="shared" si="5"/>
        <v>Week 8NE</v>
      </c>
      <c r="L116" s="137" t="str">
        <f t="shared" ref="L116:M116" si="120">D116</f>
        <v/>
      </c>
      <c r="M116" s="137" t="str">
        <f t="shared" si="120"/>
        <v/>
      </c>
      <c r="N116" s="137" t="str">
        <f t="shared" si="7"/>
        <v>Week 8NYJ</v>
      </c>
    </row>
    <row r="117">
      <c r="A117" s="137" t="str">
        <f>IFERROR(__xludf.DUMMYFUNCTION("""COMPUTED_VALUE"""),"20241027_KC@LV")</f>
        <v>20241027_KC@LV</v>
      </c>
      <c r="B117" s="137" t="str">
        <f>IFERROR(__xludf.DUMMYFUNCTION("""COMPUTED_VALUE"""),"KC")</f>
        <v>KC</v>
      </c>
      <c r="C117" s="137" t="str">
        <f>IFERROR(__xludf.DUMMYFUNCTION("""COMPUTED_VALUE"""),"LV")</f>
        <v>LV</v>
      </c>
      <c r="D117" s="137"/>
      <c r="E117" s="137"/>
      <c r="F117" s="137" t="str">
        <f>IFERROR(__xludf.DUMMYFUNCTION("""COMPUTED_VALUE"""),"Week 8")</f>
        <v>Week 8</v>
      </c>
      <c r="G117" s="137">
        <f>IFERROR(__xludf.DUMMYFUNCTION("""COMPUTED_VALUE"""),0.0)</f>
        <v>0</v>
      </c>
      <c r="H117" s="137" t="str">
        <f t="shared" si="2"/>
        <v/>
      </c>
      <c r="I117" s="137" t="str">
        <f t="shared" si="3"/>
        <v/>
      </c>
      <c r="J117" s="137" t="str">
        <f t="shared" si="4"/>
        <v>Week 8KC</v>
      </c>
      <c r="K117" s="137" t="str">
        <f t="shared" si="5"/>
        <v>Week 8LV</v>
      </c>
      <c r="L117" s="137" t="str">
        <f t="shared" ref="L117:M117" si="121">D117</f>
        <v/>
      </c>
      <c r="M117" s="137" t="str">
        <f t="shared" si="121"/>
        <v/>
      </c>
      <c r="N117" s="137" t="str">
        <f t="shared" si="7"/>
        <v>Week 8KC</v>
      </c>
    </row>
    <row r="118">
      <c r="A118" s="137" t="str">
        <f>IFERROR(__xludf.DUMMYFUNCTION("""COMPUTED_VALUE"""),"20241027_BAL@CLE")</f>
        <v>20241027_BAL@CLE</v>
      </c>
      <c r="B118" s="137" t="str">
        <f>IFERROR(__xludf.DUMMYFUNCTION("""COMPUTED_VALUE"""),"BAL")</f>
        <v>BAL</v>
      </c>
      <c r="C118" s="137" t="str">
        <f>IFERROR(__xludf.DUMMYFUNCTION("""COMPUTED_VALUE"""),"CLE")</f>
        <v>CLE</v>
      </c>
      <c r="D118" s="137"/>
      <c r="E118" s="137"/>
      <c r="F118" s="137" t="str">
        <f>IFERROR(__xludf.DUMMYFUNCTION("""COMPUTED_VALUE"""),"Week 8")</f>
        <v>Week 8</v>
      </c>
      <c r="G118" s="137">
        <f>IFERROR(__xludf.DUMMYFUNCTION("""COMPUTED_VALUE"""),0.0)</f>
        <v>0</v>
      </c>
      <c r="H118" s="137" t="str">
        <f t="shared" si="2"/>
        <v/>
      </c>
      <c r="I118" s="137" t="str">
        <f t="shared" si="3"/>
        <v/>
      </c>
      <c r="J118" s="137" t="str">
        <f t="shared" si="4"/>
        <v>Week 8BAL</v>
      </c>
      <c r="K118" s="137" t="str">
        <f t="shared" si="5"/>
        <v>Week 8CLE</v>
      </c>
      <c r="L118" s="137" t="str">
        <f t="shared" ref="L118:M118" si="122">D118</f>
        <v/>
      </c>
      <c r="M118" s="137" t="str">
        <f t="shared" si="122"/>
        <v/>
      </c>
      <c r="N118" s="137" t="str">
        <f t="shared" si="7"/>
        <v>Week 8BAL</v>
      </c>
    </row>
    <row r="119">
      <c r="A119" s="137" t="str">
        <f>IFERROR(__xludf.DUMMYFUNCTION("""COMPUTED_VALUE"""),"20241027_ARI@MIA")</f>
        <v>20241027_ARI@MIA</v>
      </c>
      <c r="B119" s="137" t="str">
        <f>IFERROR(__xludf.DUMMYFUNCTION("""COMPUTED_VALUE"""),"ARI")</f>
        <v>ARI</v>
      </c>
      <c r="C119" s="137" t="str">
        <f>IFERROR(__xludf.DUMMYFUNCTION("""COMPUTED_VALUE"""),"MIA")</f>
        <v>MIA</v>
      </c>
      <c r="D119" s="137"/>
      <c r="E119" s="137"/>
      <c r="F119" s="137" t="str">
        <f>IFERROR(__xludf.DUMMYFUNCTION("""COMPUTED_VALUE"""),"Week 8")</f>
        <v>Week 8</v>
      </c>
      <c r="G119" s="137">
        <f>IFERROR(__xludf.DUMMYFUNCTION("""COMPUTED_VALUE"""),0.0)</f>
        <v>0</v>
      </c>
      <c r="H119" s="137" t="str">
        <f t="shared" si="2"/>
        <v/>
      </c>
      <c r="I119" s="137" t="str">
        <f t="shared" si="3"/>
        <v/>
      </c>
      <c r="J119" s="137" t="str">
        <f t="shared" si="4"/>
        <v>Week 8ARI</v>
      </c>
      <c r="K119" s="137" t="str">
        <f t="shared" si="5"/>
        <v>Week 8MIA</v>
      </c>
      <c r="L119" s="137" t="str">
        <f t="shared" ref="L119:M119" si="123">D119</f>
        <v/>
      </c>
      <c r="M119" s="137" t="str">
        <f t="shared" si="123"/>
        <v/>
      </c>
      <c r="N119" s="137" t="str">
        <f t="shared" si="7"/>
        <v>Week 8ARI</v>
      </c>
    </row>
    <row r="120">
      <c r="A120" s="137" t="str">
        <f>IFERROR(__xludf.DUMMYFUNCTION("""COMPUTED_VALUE"""),"20241027_ATL@TB")</f>
        <v>20241027_ATL@TB</v>
      </c>
      <c r="B120" s="137" t="str">
        <f>IFERROR(__xludf.DUMMYFUNCTION("""COMPUTED_VALUE"""),"ATL")</f>
        <v>ATL</v>
      </c>
      <c r="C120" s="137" t="str">
        <f>IFERROR(__xludf.DUMMYFUNCTION("""COMPUTED_VALUE"""),"TB")</f>
        <v>TB</v>
      </c>
      <c r="D120" s="137"/>
      <c r="E120" s="137"/>
      <c r="F120" s="137" t="str">
        <f>IFERROR(__xludf.DUMMYFUNCTION("""COMPUTED_VALUE"""),"Week 8")</f>
        <v>Week 8</v>
      </c>
      <c r="G120" s="137">
        <f>IFERROR(__xludf.DUMMYFUNCTION("""COMPUTED_VALUE"""),0.0)</f>
        <v>0</v>
      </c>
      <c r="H120" s="137" t="str">
        <f t="shared" si="2"/>
        <v/>
      </c>
      <c r="I120" s="137" t="str">
        <f t="shared" si="3"/>
        <v/>
      </c>
      <c r="J120" s="137" t="str">
        <f t="shared" si="4"/>
        <v>Week 8ATL</v>
      </c>
      <c r="K120" s="137" t="str">
        <f t="shared" si="5"/>
        <v>Week 8TB</v>
      </c>
      <c r="L120" s="137" t="str">
        <f t="shared" ref="L120:M120" si="124">D120</f>
        <v/>
      </c>
      <c r="M120" s="137" t="str">
        <f t="shared" si="124"/>
        <v/>
      </c>
      <c r="N120" s="137" t="str">
        <f t="shared" si="7"/>
        <v>Week 8ATL</v>
      </c>
    </row>
    <row r="121">
      <c r="A121" s="137" t="str">
        <f>IFERROR(__xludf.DUMMYFUNCTION("""COMPUTED_VALUE"""),"20241027_TEN@DET")</f>
        <v>20241027_TEN@DET</v>
      </c>
      <c r="B121" s="137" t="str">
        <f>IFERROR(__xludf.DUMMYFUNCTION("""COMPUTED_VALUE"""),"TEN")</f>
        <v>TEN</v>
      </c>
      <c r="C121" s="137" t="str">
        <f>IFERROR(__xludf.DUMMYFUNCTION("""COMPUTED_VALUE"""),"DET")</f>
        <v>DET</v>
      </c>
      <c r="D121" s="137"/>
      <c r="E121" s="137"/>
      <c r="F121" s="137" t="str">
        <f>IFERROR(__xludf.DUMMYFUNCTION("""COMPUTED_VALUE"""),"Week 8")</f>
        <v>Week 8</v>
      </c>
      <c r="G121" s="137">
        <f>IFERROR(__xludf.DUMMYFUNCTION("""COMPUTED_VALUE"""),0.0)</f>
        <v>0</v>
      </c>
      <c r="H121" s="137" t="str">
        <f t="shared" si="2"/>
        <v/>
      </c>
      <c r="I121" s="137" t="str">
        <f t="shared" si="3"/>
        <v/>
      </c>
      <c r="J121" s="137" t="str">
        <f t="shared" si="4"/>
        <v>Week 8TEN</v>
      </c>
      <c r="K121" s="137" t="str">
        <f t="shared" si="5"/>
        <v>Week 8DET</v>
      </c>
      <c r="L121" s="137" t="str">
        <f t="shared" ref="L121:M121" si="125">D121</f>
        <v/>
      </c>
      <c r="M121" s="137" t="str">
        <f t="shared" si="125"/>
        <v/>
      </c>
      <c r="N121" s="137" t="str">
        <f t="shared" si="7"/>
        <v>Week 8TEN</v>
      </c>
    </row>
    <row r="122">
      <c r="A122" s="137" t="str">
        <f>IFERROR(__xludf.DUMMYFUNCTION("""COMPUTED_VALUE"""),"20241027_IND@HOU")</f>
        <v>20241027_IND@HOU</v>
      </c>
      <c r="B122" s="137" t="str">
        <f>IFERROR(__xludf.DUMMYFUNCTION("""COMPUTED_VALUE"""),"IND")</f>
        <v>IND</v>
      </c>
      <c r="C122" s="137" t="str">
        <f>IFERROR(__xludf.DUMMYFUNCTION("""COMPUTED_VALUE"""),"HOU")</f>
        <v>HOU</v>
      </c>
      <c r="D122" s="137"/>
      <c r="E122" s="137"/>
      <c r="F122" s="137" t="str">
        <f>IFERROR(__xludf.DUMMYFUNCTION("""COMPUTED_VALUE"""),"Week 8")</f>
        <v>Week 8</v>
      </c>
      <c r="G122" s="137">
        <f>IFERROR(__xludf.DUMMYFUNCTION("""COMPUTED_VALUE"""),0.0)</f>
        <v>0</v>
      </c>
      <c r="H122" s="137" t="str">
        <f t="shared" si="2"/>
        <v/>
      </c>
      <c r="I122" s="137" t="str">
        <f t="shared" si="3"/>
        <v/>
      </c>
      <c r="J122" s="137" t="str">
        <f t="shared" si="4"/>
        <v>Week 8IND</v>
      </c>
      <c r="K122" s="137" t="str">
        <f t="shared" si="5"/>
        <v>Week 8HOU</v>
      </c>
      <c r="L122" s="137" t="str">
        <f t="shared" ref="L122:M122" si="126">D122</f>
        <v/>
      </c>
      <c r="M122" s="137" t="str">
        <f t="shared" si="126"/>
        <v/>
      </c>
      <c r="N122" s="137" t="str">
        <f t="shared" si="7"/>
        <v>Week 8IND</v>
      </c>
    </row>
    <row r="123">
      <c r="A123" s="137" t="str">
        <f>IFERROR(__xludf.DUMMYFUNCTION("""COMPUTED_VALUE"""),"20241027_CHI@WSH")</f>
        <v>20241027_CHI@WSH</v>
      </c>
      <c r="B123" s="137" t="str">
        <f>IFERROR(__xludf.DUMMYFUNCTION("""COMPUTED_VALUE"""),"CHI")</f>
        <v>CHI</v>
      </c>
      <c r="C123" s="137" t="str">
        <f>IFERROR(__xludf.DUMMYFUNCTION("""COMPUTED_VALUE"""),"WSH")</f>
        <v>WSH</v>
      </c>
      <c r="D123" s="137"/>
      <c r="E123" s="137"/>
      <c r="F123" s="137" t="str">
        <f>IFERROR(__xludf.DUMMYFUNCTION("""COMPUTED_VALUE"""),"Week 8")</f>
        <v>Week 8</v>
      </c>
      <c r="G123" s="137">
        <f>IFERROR(__xludf.DUMMYFUNCTION("""COMPUTED_VALUE"""),0.0)</f>
        <v>0</v>
      </c>
      <c r="H123" s="137" t="str">
        <f t="shared" si="2"/>
        <v/>
      </c>
      <c r="I123" s="137" t="str">
        <f t="shared" si="3"/>
        <v/>
      </c>
      <c r="J123" s="137" t="str">
        <f t="shared" si="4"/>
        <v>Week 8CHI</v>
      </c>
      <c r="K123" s="137" t="str">
        <f t="shared" si="5"/>
        <v>Week 8WSH</v>
      </c>
      <c r="L123" s="137" t="str">
        <f t="shared" ref="L123:M123" si="127">D123</f>
        <v/>
      </c>
      <c r="M123" s="137" t="str">
        <f t="shared" si="127"/>
        <v/>
      </c>
      <c r="N123" s="137" t="str">
        <f t="shared" si="7"/>
        <v>Week 8CHI</v>
      </c>
    </row>
    <row r="124">
      <c r="A124" s="137" t="str">
        <f>IFERROR(__xludf.DUMMYFUNCTION("""COMPUTED_VALUE"""),"20241027_CAR@DEN")</f>
        <v>20241027_CAR@DEN</v>
      </c>
      <c r="B124" s="137" t="str">
        <f>IFERROR(__xludf.DUMMYFUNCTION("""COMPUTED_VALUE"""),"CAR")</f>
        <v>CAR</v>
      </c>
      <c r="C124" s="137" t="str">
        <f>IFERROR(__xludf.DUMMYFUNCTION("""COMPUTED_VALUE"""),"DEN")</f>
        <v>DEN</v>
      </c>
      <c r="D124" s="137"/>
      <c r="E124" s="137"/>
      <c r="F124" s="137" t="str">
        <f>IFERROR(__xludf.DUMMYFUNCTION("""COMPUTED_VALUE"""),"Week 8")</f>
        <v>Week 8</v>
      </c>
      <c r="G124" s="137">
        <f>IFERROR(__xludf.DUMMYFUNCTION("""COMPUTED_VALUE"""),0.0)</f>
        <v>0</v>
      </c>
      <c r="H124" s="137" t="str">
        <f t="shared" si="2"/>
        <v/>
      </c>
      <c r="I124" s="137" t="str">
        <f t="shared" si="3"/>
        <v/>
      </c>
      <c r="J124" s="137" t="str">
        <f t="shared" si="4"/>
        <v>Week 8CAR</v>
      </c>
      <c r="K124" s="137" t="str">
        <f t="shared" si="5"/>
        <v>Week 8DEN</v>
      </c>
      <c r="L124" s="137" t="str">
        <f t="shared" ref="L124:M124" si="128">D124</f>
        <v/>
      </c>
      <c r="M124" s="137" t="str">
        <f t="shared" si="128"/>
        <v/>
      </c>
      <c r="N124" s="137" t="str">
        <f t="shared" si="7"/>
        <v>Week 8CAR</v>
      </c>
    </row>
    <row r="125">
      <c r="A125" s="137" t="str">
        <f>IFERROR(__xludf.DUMMYFUNCTION("""COMPUTED_VALUE"""),"20241103_DAL@ATL")</f>
        <v>20241103_DAL@ATL</v>
      </c>
      <c r="B125" s="137" t="str">
        <f>IFERROR(__xludf.DUMMYFUNCTION("""COMPUTED_VALUE"""),"DAL")</f>
        <v>DAL</v>
      </c>
      <c r="C125" s="137" t="str">
        <f>IFERROR(__xludf.DUMMYFUNCTION("""COMPUTED_VALUE"""),"ATL")</f>
        <v>ATL</v>
      </c>
      <c r="D125" s="137"/>
      <c r="E125" s="137"/>
      <c r="F125" s="137" t="str">
        <f>IFERROR(__xludf.DUMMYFUNCTION("""COMPUTED_VALUE"""),"Week 9")</f>
        <v>Week 9</v>
      </c>
      <c r="G125" s="137">
        <f>IFERROR(__xludf.DUMMYFUNCTION("""COMPUTED_VALUE"""),0.0)</f>
        <v>0</v>
      </c>
      <c r="H125" s="137" t="str">
        <f t="shared" si="2"/>
        <v/>
      </c>
      <c r="I125" s="137" t="str">
        <f t="shared" si="3"/>
        <v/>
      </c>
      <c r="J125" s="137" t="str">
        <f t="shared" si="4"/>
        <v>Week 9DAL</v>
      </c>
      <c r="K125" s="137" t="str">
        <f t="shared" si="5"/>
        <v>Week 9ATL</v>
      </c>
      <c r="L125" s="137" t="str">
        <f t="shared" ref="L125:M125" si="129">D125</f>
        <v/>
      </c>
      <c r="M125" s="137" t="str">
        <f t="shared" si="129"/>
        <v/>
      </c>
      <c r="N125" s="137" t="str">
        <f t="shared" si="7"/>
        <v>Week 9DAL</v>
      </c>
    </row>
    <row r="126">
      <c r="A126" s="137" t="str">
        <f>IFERROR(__xludf.DUMMYFUNCTION("""COMPUTED_VALUE"""),"20241103_DEN@BAL")</f>
        <v>20241103_DEN@BAL</v>
      </c>
      <c r="B126" s="137" t="str">
        <f>IFERROR(__xludf.DUMMYFUNCTION("""COMPUTED_VALUE"""),"DEN")</f>
        <v>DEN</v>
      </c>
      <c r="C126" s="137" t="str">
        <f>IFERROR(__xludf.DUMMYFUNCTION("""COMPUTED_VALUE"""),"BAL")</f>
        <v>BAL</v>
      </c>
      <c r="D126" s="137"/>
      <c r="E126" s="137"/>
      <c r="F126" s="137" t="str">
        <f>IFERROR(__xludf.DUMMYFUNCTION("""COMPUTED_VALUE"""),"Week 9")</f>
        <v>Week 9</v>
      </c>
      <c r="G126" s="137">
        <f>IFERROR(__xludf.DUMMYFUNCTION("""COMPUTED_VALUE"""),0.0)</f>
        <v>0</v>
      </c>
      <c r="H126" s="137" t="str">
        <f t="shared" si="2"/>
        <v/>
      </c>
      <c r="I126" s="137" t="str">
        <f t="shared" si="3"/>
        <v/>
      </c>
      <c r="J126" s="137" t="str">
        <f t="shared" si="4"/>
        <v>Week 9DEN</v>
      </c>
      <c r="K126" s="137" t="str">
        <f t="shared" si="5"/>
        <v>Week 9BAL</v>
      </c>
      <c r="L126" s="137" t="str">
        <f t="shared" ref="L126:M126" si="130">D126</f>
        <v/>
      </c>
      <c r="M126" s="137" t="str">
        <f t="shared" si="130"/>
        <v/>
      </c>
      <c r="N126" s="137" t="str">
        <f t="shared" si="7"/>
        <v>Week 9DEN</v>
      </c>
    </row>
    <row r="127">
      <c r="A127" s="137" t="str">
        <f>IFERROR(__xludf.DUMMYFUNCTION("""COMPUTED_VALUE"""),"20241103_LAR@SEA")</f>
        <v>20241103_LAR@SEA</v>
      </c>
      <c r="B127" s="137" t="str">
        <f>IFERROR(__xludf.DUMMYFUNCTION("""COMPUTED_VALUE"""),"LAR")</f>
        <v>LAR</v>
      </c>
      <c r="C127" s="137" t="str">
        <f>IFERROR(__xludf.DUMMYFUNCTION("""COMPUTED_VALUE"""),"SEA")</f>
        <v>SEA</v>
      </c>
      <c r="D127" s="137"/>
      <c r="E127" s="137"/>
      <c r="F127" s="137" t="str">
        <f>IFERROR(__xludf.DUMMYFUNCTION("""COMPUTED_VALUE"""),"Week 9")</f>
        <v>Week 9</v>
      </c>
      <c r="G127" s="137">
        <f>IFERROR(__xludf.DUMMYFUNCTION("""COMPUTED_VALUE"""),0.0)</f>
        <v>0</v>
      </c>
      <c r="H127" s="137" t="str">
        <f t="shared" si="2"/>
        <v/>
      </c>
      <c r="I127" s="137" t="str">
        <f t="shared" si="3"/>
        <v/>
      </c>
      <c r="J127" s="137" t="str">
        <f t="shared" si="4"/>
        <v>Week 9LAR</v>
      </c>
      <c r="K127" s="137" t="str">
        <f t="shared" si="5"/>
        <v>Week 9SEA</v>
      </c>
      <c r="L127" s="137" t="str">
        <f t="shared" ref="L127:M127" si="131">D127</f>
        <v/>
      </c>
      <c r="M127" s="137" t="str">
        <f t="shared" si="131"/>
        <v/>
      </c>
      <c r="N127" s="137" t="str">
        <f t="shared" si="7"/>
        <v>Week 9LAR</v>
      </c>
    </row>
    <row r="128">
      <c r="A128" s="137" t="str">
        <f>IFERROR(__xludf.DUMMYFUNCTION("""COMPUTED_VALUE"""),"20241103_NE@TEN")</f>
        <v>20241103_NE@TEN</v>
      </c>
      <c r="B128" s="137" t="str">
        <f>IFERROR(__xludf.DUMMYFUNCTION("""COMPUTED_VALUE"""),"NE")</f>
        <v>NE</v>
      </c>
      <c r="C128" s="137" t="str">
        <f>IFERROR(__xludf.DUMMYFUNCTION("""COMPUTED_VALUE"""),"TEN")</f>
        <v>TEN</v>
      </c>
      <c r="D128" s="137"/>
      <c r="E128" s="137"/>
      <c r="F128" s="137" t="str">
        <f>IFERROR(__xludf.DUMMYFUNCTION("""COMPUTED_VALUE"""),"Week 9")</f>
        <v>Week 9</v>
      </c>
      <c r="G128" s="137">
        <f>IFERROR(__xludf.DUMMYFUNCTION("""COMPUTED_VALUE"""),0.0)</f>
        <v>0</v>
      </c>
      <c r="H128" s="137" t="str">
        <f t="shared" si="2"/>
        <v/>
      </c>
      <c r="I128" s="137" t="str">
        <f t="shared" si="3"/>
        <v/>
      </c>
      <c r="J128" s="137" t="str">
        <f t="shared" si="4"/>
        <v>Week 9NE</v>
      </c>
      <c r="K128" s="137" t="str">
        <f t="shared" si="5"/>
        <v>Week 9TEN</v>
      </c>
      <c r="L128" s="137" t="str">
        <f t="shared" ref="L128:M128" si="132">D128</f>
        <v/>
      </c>
      <c r="M128" s="137" t="str">
        <f t="shared" si="132"/>
        <v/>
      </c>
      <c r="N128" s="137" t="str">
        <f t="shared" si="7"/>
        <v>Week 9NE</v>
      </c>
    </row>
    <row r="129">
      <c r="A129" s="137" t="str">
        <f>IFERROR(__xludf.DUMMYFUNCTION("""COMPUTED_VALUE"""),"20241103_JAX@PHI")</f>
        <v>20241103_JAX@PHI</v>
      </c>
      <c r="B129" s="137" t="str">
        <f>IFERROR(__xludf.DUMMYFUNCTION("""COMPUTED_VALUE"""),"JAX")</f>
        <v>JAX</v>
      </c>
      <c r="C129" s="137" t="str">
        <f>IFERROR(__xludf.DUMMYFUNCTION("""COMPUTED_VALUE"""),"PHI")</f>
        <v>PHI</v>
      </c>
      <c r="D129" s="137"/>
      <c r="E129" s="137"/>
      <c r="F129" s="137" t="str">
        <f>IFERROR(__xludf.DUMMYFUNCTION("""COMPUTED_VALUE"""),"Week 9")</f>
        <v>Week 9</v>
      </c>
      <c r="G129" s="137">
        <f>IFERROR(__xludf.DUMMYFUNCTION("""COMPUTED_VALUE"""),0.0)</f>
        <v>0</v>
      </c>
      <c r="H129" s="137" t="str">
        <f t="shared" si="2"/>
        <v/>
      </c>
      <c r="I129" s="137" t="str">
        <f t="shared" si="3"/>
        <v/>
      </c>
      <c r="J129" s="137" t="str">
        <f t="shared" si="4"/>
        <v>Week 9JAX</v>
      </c>
      <c r="K129" s="137" t="str">
        <f t="shared" si="5"/>
        <v>Week 9PHI</v>
      </c>
      <c r="L129" s="137" t="str">
        <f t="shared" ref="L129:M129" si="133">D129</f>
        <v/>
      </c>
      <c r="M129" s="137" t="str">
        <f t="shared" si="133"/>
        <v/>
      </c>
      <c r="N129" s="137" t="str">
        <f t="shared" si="7"/>
        <v>Week 9JAX</v>
      </c>
    </row>
    <row r="130">
      <c r="A130" s="137" t="str">
        <f>IFERROR(__xludf.DUMMYFUNCTION("""COMPUTED_VALUE"""),"20241103_MIA@BUF")</f>
        <v>20241103_MIA@BUF</v>
      </c>
      <c r="B130" s="137" t="str">
        <f>IFERROR(__xludf.DUMMYFUNCTION("""COMPUTED_VALUE"""),"MIA")</f>
        <v>MIA</v>
      </c>
      <c r="C130" s="137" t="str">
        <f>IFERROR(__xludf.DUMMYFUNCTION("""COMPUTED_VALUE"""),"BUF")</f>
        <v>BUF</v>
      </c>
      <c r="D130" s="137"/>
      <c r="E130" s="137"/>
      <c r="F130" s="137" t="str">
        <f>IFERROR(__xludf.DUMMYFUNCTION("""COMPUTED_VALUE"""),"Week 9")</f>
        <v>Week 9</v>
      </c>
      <c r="G130" s="137">
        <f>IFERROR(__xludf.DUMMYFUNCTION("""COMPUTED_VALUE"""),0.0)</f>
        <v>0</v>
      </c>
      <c r="H130" s="137" t="str">
        <f t="shared" si="2"/>
        <v/>
      </c>
      <c r="I130" s="137" t="str">
        <f t="shared" si="3"/>
        <v/>
      </c>
      <c r="J130" s="137" t="str">
        <f t="shared" si="4"/>
        <v>Week 9MIA</v>
      </c>
      <c r="K130" s="137" t="str">
        <f t="shared" si="5"/>
        <v>Week 9BUF</v>
      </c>
      <c r="L130" s="137" t="str">
        <f t="shared" ref="L130:M130" si="134">D130</f>
        <v/>
      </c>
      <c r="M130" s="137" t="str">
        <f t="shared" si="134"/>
        <v/>
      </c>
      <c r="N130" s="137" t="str">
        <f t="shared" si="7"/>
        <v>Week 9MIA</v>
      </c>
    </row>
    <row r="131">
      <c r="A131" s="137" t="str">
        <f>IFERROR(__xludf.DUMMYFUNCTION("""COMPUTED_VALUE"""),"20241103_LAC@CLE")</f>
        <v>20241103_LAC@CLE</v>
      </c>
      <c r="B131" s="137" t="str">
        <f>IFERROR(__xludf.DUMMYFUNCTION("""COMPUTED_VALUE"""),"LAC")</f>
        <v>LAC</v>
      </c>
      <c r="C131" s="137" t="str">
        <f>IFERROR(__xludf.DUMMYFUNCTION("""COMPUTED_VALUE"""),"CLE")</f>
        <v>CLE</v>
      </c>
      <c r="D131" s="137"/>
      <c r="E131" s="137"/>
      <c r="F131" s="137" t="str">
        <f>IFERROR(__xludf.DUMMYFUNCTION("""COMPUTED_VALUE"""),"Week 9")</f>
        <v>Week 9</v>
      </c>
      <c r="G131" s="137">
        <f>IFERROR(__xludf.DUMMYFUNCTION("""COMPUTED_VALUE"""),0.0)</f>
        <v>0</v>
      </c>
      <c r="H131" s="137" t="str">
        <f t="shared" si="2"/>
        <v/>
      </c>
      <c r="I131" s="137" t="str">
        <f t="shared" si="3"/>
        <v/>
      </c>
      <c r="J131" s="137" t="str">
        <f t="shared" si="4"/>
        <v>Week 9LAC</v>
      </c>
      <c r="K131" s="137" t="str">
        <f t="shared" si="5"/>
        <v>Week 9CLE</v>
      </c>
      <c r="L131" s="137" t="str">
        <f t="shared" ref="L131:M131" si="135">D131</f>
        <v/>
      </c>
      <c r="M131" s="137" t="str">
        <f t="shared" si="135"/>
        <v/>
      </c>
      <c r="N131" s="137" t="str">
        <f t="shared" si="7"/>
        <v>Week 9LAC</v>
      </c>
    </row>
    <row r="132">
      <c r="A132" s="137" t="str">
        <f>IFERROR(__xludf.DUMMYFUNCTION("""COMPUTED_VALUE"""),"20241103_CHI@ARI")</f>
        <v>20241103_CHI@ARI</v>
      </c>
      <c r="B132" s="137" t="str">
        <f>IFERROR(__xludf.DUMMYFUNCTION("""COMPUTED_VALUE"""),"CHI")</f>
        <v>CHI</v>
      </c>
      <c r="C132" s="137" t="str">
        <f>IFERROR(__xludf.DUMMYFUNCTION("""COMPUTED_VALUE"""),"ARI")</f>
        <v>ARI</v>
      </c>
      <c r="D132" s="137"/>
      <c r="E132" s="137"/>
      <c r="F132" s="137" t="str">
        <f>IFERROR(__xludf.DUMMYFUNCTION("""COMPUTED_VALUE"""),"Week 9")</f>
        <v>Week 9</v>
      </c>
      <c r="G132" s="137">
        <f>IFERROR(__xludf.DUMMYFUNCTION("""COMPUTED_VALUE"""),0.0)</f>
        <v>0</v>
      </c>
      <c r="H132" s="137" t="str">
        <f t="shared" si="2"/>
        <v/>
      </c>
      <c r="I132" s="137" t="str">
        <f t="shared" si="3"/>
        <v/>
      </c>
      <c r="J132" s="137" t="str">
        <f t="shared" si="4"/>
        <v>Week 9CHI</v>
      </c>
      <c r="K132" s="137" t="str">
        <f t="shared" si="5"/>
        <v>Week 9ARI</v>
      </c>
      <c r="L132" s="137" t="str">
        <f t="shared" ref="L132:M132" si="136">D132</f>
        <v/>
      </c>
      <c r="M132" s="137" t="str">
        <f t="shared" si="136"/>
        <v/>
      </c>
      <c r="N132" s="137" t="str">
        <f t="shared" si="7"/>
        <v>Week 9CHI</v>
      </c>
    </row>
    <row r="133">
      <c r="A133" s="137" t="str">
        <f>IFERROR(__xludf.DUMMYFUNCTION("""COMPUTED_VALUE"""),"20241103_WSH@NYG")</f>
        <v>20241103_WSH@NYG</v>
      </c>
      <c r="B133" s="137" t="str">
        <f>IFERROR(__xludf.DUMMYFUNCTION("""COMPUTED_VALUE"""),"WSH")</f>
        <v>WSH</v>
      </c>
      <c r="C133" s="137" t="str">
        <f>IFERROR(__xludf.DUMMYFUNCTION("""COMPUTED_VALUE"""),"NYG")</f>
        <v>NYG</v>
      </c>
      <c r="D133" s="137"/>
      <c r="E133" s="137"/>
      <c r="F133" s="137" t="str">
        <f>IFERROR(__xludf.DUMMYFUNCTION("""COMPUTED_VALUE"""),"Week 9")</f>
        <v>Week 9</v>
      </c>
      <c r="G133" s="137">
        <f>IFERROR(__xludf.DUMMYFUNCTION("""COMPUTED_VALUE"""),0.0)</f>
        <v>0</v>
      </c>
      <c r="H133" s="137" t="str">
        <f t="shared" si="2"/>
        <v/>
      </c>
      <c r="I133" s="137" t="str">
        <f t="shared" si="3"/>
        <v/>
      </c>
      <c r="J133" s="137" t="str">
        <f t="shared" si="4"/>
        <v>Week 9WSH</v>
      </c>
      <c r="K133" s="137" t="str">
        <f t="shared" si="5"/>
        <v>Week 9NYG</v>
      </c>
      <c r="L133" s="137" t="str">
        <f t="shared" ref="L133:M133" si="137">D133</f>
        <v/>
      </c>
      <c r="M133" s="137" t="str">
        <f t="shared" si="137"/>
        <v/>
      </c>
      <c r="N133" s="137" t="str">
        <f t="shared" si="7"/>
        <v>Week 9WSH</v>
      </c>
    </row>
    <row r="134">
      <c r="A134" s="137" t="str">
        <f>IFERROR(__xludf.DUMMYFUNCTION("""COMPUTED_VALUE"""),"20241103_LV@CIN")</f>
        <v>20241103_LV@CIN</v>
      </c>
      <c r="B134" s="137" t="str">
        <f>IFERROR(__xludf.DUMMYFUNCTION("""COMPUTED_VALUE"""),"LV")</f>
        <v>LV</v>
      </c>
      <c r="C134" s="137" t="str">
        <f>IFERROR(__xludf.DUMMYFUNCTION("""COMPUTED_VALUE"""),"CIN")</f>
        <v>CIN</v>
      </c>
      <c r="D134" s="137"/>
      <c r="E134" s="137"/>
      <c r="F134" s="137" t="str">
        <f>IFERROR(__xludf.DUMMYFUNCTION("""COMPUTED_VALUE"""),"Week 9")</f>
        <v>Week 9</v>
      </c>
      <c r="G134" s="137">
        <f>IFERROR(__xludf.DUMMYFUNCTION("""COMPUTED_VALUE"""),0.0)</f>
        <v>0</v>
      </c>
      <c r="H134" s="137" t="str">
        <f t="shared" si="2"/>
        <v/>
      </c>
      <c r="I134" s="137" t="str">
        <f t="shared" si="3"/>
        <v/>
      </c>
      <c r="J134" s="137" t="str">
        <f t="shared" si="4"/>
        <v>Week 9LV</v>
      </c>
      <c r="K134" s="137" t="str">
        <f t="shared" si="5"/>
        <v>Week 9CIN</v>
      </c>
      <c r="L134" s="137" t="str">
        <f t="shared" ref="L134:M134" si="138">D134</f>
        <v/>
      </c>
      <c r="M134" s="137" t="str">
        <f t="shared" si="138"/>
        <v/>
      </c>
      <c r="N134" s="137" t="str">
        <f t="shared" si="7"/>
        <v>Week 9LV</v>
      </c>
    </row>
    <row r="135">
      <c r="A135" s="137" t="str">
        <f>IFERROR(__xludf.DUMMYFUNCTION("""COMPUTED_VALUE"""),"20241103_DET@GB")</f>
        <v>20241103_DET@GB</v>
      </c>
      <c r="B135" s="137" t="str">
        <f>IFERROR(__xludf.DUMMYFUNCTION("""COMPUTED_VALUE"""),"DET")</f>
        <v>DET</v>
      </c>
      <c r="C135" s="137" t="str">
        <f>IFERROR(__xludf.DUMMYFUNCTION("""COMPUTED_VALUE"""),"GB")</f>
        <v>GB</v>
      </c>
      <c r="D135" s="137"/>
      <c r="E135" s="137"/>
      <c r="F135" s="137" t="str">
        <f>IFERROR(__xludf.DUMMYFUNCTION("""COMPUTED_VALUE"""),"Week 9")</f>
        <v>Week 9</v>
      </c>
      <c r="G135" s="137">
        <f>IFERROR(__xludf.DUMMYFUNCTION("""COMPUTED_VALUE"""),0.0)</f>
        <v>0</v>
      </c>
      <c r="H135" s="137" t="str">
        <f t="shared" si="2"/>
        <v/>
      </c>
      <c r="I135" s="137" t="str">
        <f t="shared" si="3"/>
        <v/>
      </c>
      <c r="J135" s="137" t="str">
        <f t="shared" si="4"/>
        <v>Week 9DET</v>
      </c>
      <c r="K135" s="137" t="str">
        <f t="shared" si="5"/>
        <v>Week 9GB</v>
      </c>
      <c r="L135" s="137" t="str">
        <f t="shared" ref="L135:M135" si="139">D135</f>
        <v/>
      </c>
      <c r="M135" s="137" t="str">
        <f t="shared" si="139"/>
        <v/>
      </c>
      <c r="N135" s="137" t="str">
        <f t="shared" si="7"/>
        <v>Week 9DET</v>
      </c>
    </row>
    <row r="136">
      <c r="A136" s="137" t="str">
        <f>IFERROR(__xludf.DUMMYFUNCTION("""COMPUTED_VALUE"""),"20241103_NO@CAR")</f>
        <v>20241103_NO@CAR</v>
      </c>
      <c r="B136" s="137" t="str">
        <f>IFERROR(__xludf.DUMMYFUNCTION("""COMPUTED_VALUE"""),"NO")</f>
        <v>NO</v>
      </c>
      <c r="C136" s="137" t="str">
        <f>IFERROR(__xludf.DUMMYFUNCTION("""COMPUTED_VALUE"""),"CAR")</f>
        <v>CAR</v>
      </c>
      <c r="D136" s="137"/>
      <c r="E136" s="137"/>
      <c r="F136" s="137" t="str">
        <f>IFERROR(__xludf.DUMMYFUNCTION("""COMPUTED_VALUE"""),"Week 9")</f>
        <v>Week 9</v>
      </c>
      <c r="G136" s="137">
        <f>IFERROR(__xludf.DUMMYFUNCTION("""COMPUTED_VALUE"""),0.0)</f>
        <v>0</v>
      </c>
      <c r="H136" s="137" t="str">
        <f t="shared" si="2"/>
        <v/>
      </c>
      <c r="I136" s="137" t="str">
        <f t="shared" si="3"/>
        <v/>
      </c>
      <c r="J136" s="137" t="str">
        <f t="shared" si="4"/>
        <v>Week 9NO</v>
      </c>
      <c r="K136" s="137" t="str">
        <f t="shared" si="5"/>
        <v>Week 9CAR</v>
      </c>
      <c r="L136" s="137" t="str">
        <f t="shared" ref="L136:M136" si="140">D136</f>
        <v/>
      </c>
      <c r="M136" s="137" t="str">
        <f t="shared" si="140"/>
        <v/>
      </c>
      <c r="N136" s="137" t="str">
        <f t="shared" si="7"/>
        <v>Week 9NO</v>
      </c>
    </row>
    <row r="137">
      <c r="A137" s="137" t="str">
        <f>IFERROR(__xludf.DUMMYFUNCTION("""COMPUTED_VALUE"""),"20241103_IND@MIN")</f>
        <v>20241103_IND@MIN</v>
      </c>
      <c r="B137" s="137" t="str">
        <f>IFERROR(__xludf.DUMMYFUNCTION("""COMPUTED_VALUE"""),"IND")</f>
        <v>IND</v>
      </c>
      <c r="C137" s="137" t="str">
        <f>IFERROR(__xludf.DUMMYFUNCTION("""COMPUTED_VALUE"""),"MIN")</f>
        <v>MIN</v>
      </c>
      <c r="D137" s="137"/>
      <c r="E137" s="137"/>
      <c r="F137" s="137" t="str">
        <f>IFERROR(__xludf.DUMMYFUNCTION("""COMPUTED_VALUE"""),"Week 9")</f>
        <v>Week 9</v>
      </c>
      <c r="G137" s="137">
        <f>IFERROR(__xludf.DUMMYFUNCTION("""COMPUTED_VALUE"""),0.0)</f>
        <v>0</v>
      </c>
      <c r="H137" s="137" t="str">
        <f t="shared" si="2"/>
        <v/>
      </c>
      <c r="I137" s="137" t="str">
        <f t="shared" si="3"/>
        <v/>
      </c>
      <c r="J137" s="137" t="str">
        <f t="shared" si="4"/>
        <v>Week 9IND</v>
      </c>
      <c r="K137" s="137" t="str">
        <f t="shared" si="5"/>
        <v>Week 9MIN</v>
      </c>
      <c r="L137" s="137" t="str">
        <f t="shared" ref="L137:M137" si="141">D137</f>
        <v/>
      </c>
      <c r="M137" s="137" t="str">
        <f t="shared" si="141"/>
        <v/>
      </c>
      <c r="N137" s="137" t="str">
        <f t="shared" si="7"/>
        <v>Week 9IND</v>
      </c>
    </row>
    <row r="138">
      <c r="A138" s="137" t="str">
        <f>IFERROR(__xludf.DUMMYFUNCTION("""COMPUTED_VALUE"""),"20241031_HOU@NYJ")</f>
        <v>20241031_HOU@NYJ</v>
      </c>
      <c r="B138" s="137" t="str">
        <f>IFERROR(__xludf.DUMMYFUNCTION("""COMPUTED_VALUE"""),"HOU")</f>
        <v>HOU</v>
      </c>
      <c r="C138" s="137" t="str">
        <f>IFERROR(__xludf.DUMMYFUNCTION("""COMPUTED_VALUE"""),"NYJ")</f>
        <v>NYJ</v>
      </c>
      <c r="D138" s="137"/>
      <c r="E138" s="137"/>
      <c r="F138" s="137" t="str">
        <f>IFERROR(__xludf.DUMMYFUNCTION("""COMPUTED_VALUE"""),"Week 9")</f>
        <v>Week 9</v>
      </c>
      <c r="G138" s="137">
        <f>IFERROR(__xludf.DUMMYFUNCTION("""COMPUTED_VALUE"""),0.0)</f>
        <v>0</v>
      </c>
      <c r="H138" s="137" t="str">
        <f t="shared" si="2"/>
        <v/>
      </c>
      <c r="I138" s="137" t="str">
        <f t="shared" si="3"/>
        <v/>
      </c>
      <c r="J138" s="137" t="str">
        <f t="shared" si="4"/>
        <v>Week 9HOU</v>
      </c>
      <c r="K138" s="137" t="str">
        <f t="shared" si="5"/>
        <v>Week 9NYJ</v>
      </c>
      <c r="L138" s="137" t="str">
        <f t="shared" ref="L138:M138" si="142">D138</f>
        <v/>
      </c>
      <c r="M138" s="137" t="str">
        <f t="shared" si="142"/>
        <v/>
      </c>
      <c r="N138" s="137" t="str">
        <f t="shared" si="7"/>
        <v>Week 9HOU</v>
      </c>
    </row>
    <row r="139">
      <c r="A139" s="137" t="str">
        <f>IFERROR(__xludf.DUMMYFUNCTION("""COMPUTED_VALUE"""),"20241104_TB@KC")</f>
        <v>20241104_TB@KC</v>
      </c>
      <c r="B139" s="137" t="str">
        <f>IFERROR(__xludf.DUMMYFUNCTION("""COMPUTED_VALUE"""),"TB")</f>
        <v>TB</v>
      </c>
      <c r="C139" s="137" t="str">
        <f>IFERROR(__xludf.DUMMYFUNCTION("""COMPUTED_VALUE"""),"KC")</f>
        <v>KC</v>
      </c>
      <c r="D139" s="137"/>
      <c r="E139" s="137"/>
      <c r="F139" s="137" t="str">
        <f>IFERROR(__xludf.DUMMYFUNCTION("""COMPUTED_VALUE"""),"Week 9")</f>
        <v>Week 9</v>
      </c>
      <c r="G139" s="137">
        <f>IFERROR(__xludf.DUMMYFUNCTION("""COMPUTED_VALUE"""),0.0)</f>
        <v>0</v>
      </c>
      <c r="H139" s="137" t="str">
        <f t="shared" si="2"/>
        <v/>
      </c>
      <c r="I139" s="137" t="str">
        <f t="shared" si="3"/>
        <v/>
      </c>
      <c r="J139" s="137" t="str">
        <f t="shared" si="4"/>
        <v>Week 9TB</v>
      </c>
      <c r="K139" s="137" t="str">
        <f t="shared" si="5"/>
        <v>Week 9KC</v>
      </c>
      <c r="L139" s="137" t="str">
        <f t="shared" ref="L139:M139" si="143">D139</f>
        <v/>
      </c>
      <c r="M139" s="137" t="str">
        <f t="shared" si="143"/>
        <v/>
      </c>
      <c r="N139" s="137" t="str">
        <f t="shared" si="7"/>
        <v>Week 9TB</v>
      </c>
    </row>
    <row r="140">
      <c r="A140" s="137" t="str">
        <f>IFERROR(__xludf.DUMMYFUNCTION("""COMPUTED_VALUE"""),"20241110_NE@CHI")</f>
        <v>20241110_NE@CHI</v>
      </c>
      <c r="B140" s="137" t="str">
        <f>IFERROR(__xludf.DUMMYFUNCTION("""COMPUTED_VALUE"""),"NE")</f>
        <v>NE</v>
      </c>
      <c r="C140" s="137" t="str">
        <f>IFERROR(__xludf.DUMMYFUNCTION("""COMPUTED_VALUE"""),"CHI")</f>
        <v>CHI</v>
      </c>
      <c r="D140" s="137"/>
      <c r="E140" s="137"/>
      <c r="F140" s="137" t="str">
        <f>IFERROR(__xludf.DUMMYFUNCTION("""COMPUTED_VALUE"""),"Week 10")</f>
        <v>Week 10</v>
      </c>
      <c r="G140" s="137">
        <f>IFERROR(__xludf.DUMMYFUNCTION("""COMPUTED_VALUE"""),0.0)</f>
        <v>0</v>
      </c>
      <c r="H140" s="137" t="str">
        <f t="shared" si="2"/>
        <v/>
      </c>
      <c r="I140" s="137" t="str">
        <f t="shared" si="3"/>
        <v/>
      </c>
      <c r="J140" s="137" t="str">
        <f t="shared" si="4"/>
        <v>Week 10NE</v>
      </c>
      <c r="K140" s="137" t="str">
        <f t="shared" si="5"/>
        <v>Week 10CHI</v>
      </c>
      <c r="L140" s="137" t="str">
        <f t="shared" ref="L140:M140" si="144">D140</f>
        <v/>
      </c>
      <c r="M140" s="137" t="str">
        <f t="shared" si="144"/>
        <v/>
      </c>
      <c r="N140" s="137" t="str">
        <f t="shared" si="7"/>
        <v>Week 10NE</v>
      </c>
    </row>
    <row r="141">
      <c r="A141" s="137" t="str">
        <f>IFERROR(__xludf.DUMMYFUNCTION("""COMPUTED_VALUE"""),"20241110_NYG@CAR")</f>
        <v>20241110_NYG@CAR</v>
      </c>
      <c r="B141" s="137" t="str">
        <f>IFERROR(__xludf.DUMMYFUNCTION("""COMPUTED_VALUE"""),"NYG")</f>
        <v>NYG</v>
      </c>
      <c r="C141" s="137" t="str">
        <f>IFERROR(__xludf.DUMMYFUNCTION("""COMPUTED_VALUE"""),"CAR")</f>
        <v>CAR</v>
      </c>
      <c r="D141" s="137"/>
      <c r="E141" s="137"/>
      <c r="F141" s="137" t="str">
        <f>IFERROR(__xludf.DUMMYFUNCTION("""COMPUTED_VALUE"""),"Week 10")</f>
        <v>Week 10</v>
      </c>
      <c r="G141" s="137">
        <f>IFERROR(__xludf.DUMMYFUNCTION("""COMPUTED_VALUE"""),0.0)</f>
        <v>0</v>
      </c>
      <c r="H141" s="137" t="str">
        <f t="shared" si="2"/>
        <v/>
      </c>
      <c r="I141" s="137" t="str">
        <f t="shared" si="3"/>
        <v/>
      </c>
      <c r="J141" s="137" t="str">
        <f t="shared" si="4"/>
        <v>Week 10NYG</v>
      </c>
      <c r="K141" s="137" t="str">
        <f t="shared" si="5"/>
        <v>Week 10CAR</v>
      </c>
      <c r="L141" s="137" t="str">
        <f t="shared" ref="L141:M141" si="145">D141</f>
        <v/>
      </c>
      <c r="M141" s="137" t="str">
        <f t="shared" si="145"/>
        <v/>
      </c>
      <c r="N141" s="137" t="str">
        <f t="shared" si="7"/>
        <v>Week 10NYG</v>
      </c>
    </row>
    <row r="142">
      <c r="A142" s="137" t="str">
        <f>IFERROR(__xludf.DUMMYFUNCTION("""COMPUTED_VALUE"""),"20241110_DEN@KC")</f>
        <v>20241110_DEN@KC</v>
      </c>
      <c r="B142" s="137" t="str">
        <f>IFERROR(__xludf.DUMMYFUNCTION("""COMPUTED_VALUE"""),"DEN")</f>
        <v>DEN</v>
      </c>
      <c r="C142" s="137" t="str">
        <f>IFERROR(__xludf.DUMMYFUNCTION("""COMPUTED_VALUE"""),"KC")</f>
        <v>KC</v>
      </c>
      <c r="D142" s="137"/>
      <c r="E142" s="137"/>
      <c r="F142" s="137" t="str">
        <f>IFERROR(__xludf.DUMMYFUNCTION("""COMPUTED_VALUE"""),"Week 10")</f>
        <v>Week 10</v>
      </c>
      <c r="G142" s="137">
        <f>IFERROR(__xludf.DUMMYFUNCTION("""COMPUTED_VALUE"""),0.0)</f>
        <v>0</v>
      </c>
      <c r="H142" s="137" t="str">
        <f t="shared" si="2"/>
        <v/>
      </c>
      <c r="I142" s="137" t="str">
        <f t="shared" si="3"/>
        <v/>
      </c>
      <c r="J142" s="137" t="str">
        <f t="shared" si="4"/>
        <v>Week 10DEN</v>
      </c>
      <c r="K142" s="137" t="str">
        <f t="shared" si="5"/>
        <v>Week 10KC</v>
      </c>
      <c r="L142" s="137" t="str">
        <f t="shared" ref="L142:M142" si="146">D142</f>
        <v/>
      </c>
      <c r="M142" s="137" t="str">
        <f t="shared" si="146"/>
        <v/>
      </c>
      <c r="N142" s="137" t="str">
        <f t="shared" si="7"/>
        <v>Week 10DEN</v>
      </c>
    </row>
    <row r="143">
      <c r="A143" s="137" t="str">
        <f>IFERROR(__xludf.DUMMYFUNCTION("""COMPUTED_VALUE"""),"20241110_TEN@LAC")</f>
        <v>20241110_TEN@LAC</v>
      </c>
      <c r="B143" s="137" t="str">
        <f>IFERROR(__xludf.DUMMYFUNCTION("""COMPUTED_VALUE"""),"TEN")</f>
        <v>TEN</v>
      </c>
      <c r="C143" s="137" t="str">
        <f>IFERROR(__xludf.DUMMYFUNCTION("""COMPUTED_VALUE"""),"LAC")</f>
        <v>LAC</v>
      </c>
      <c r="D143" s="137"/>
      <c r="E143" s="137"/>
      <c r="F143" s="137" t="str">
        <f>IFERROR(__xludf.DUMMYFUNCTION("""COMPUTED_VALUE"""),"Week 10")</f>
        <v>Week 10</v>
      </c>
      <c r="G143" s="137">
        <f>IFERROR(__xludf.DUMMYFUNCTION("""COMPUTED_VALUE"""),0.0)</f>
        <v>0</v>
      </c>
      <c r="H143" s="137" t="str">
        <f t="shared" si="2"/>
        <v/>
      </c>
      <c r="I143" s="137" t="str">
        <f t="shared" si="3"/>
        <v/>
      </c>
      <c r="J143" s="137" t="str">
        <f t="shared" si="4"/>
        <v>Week 10TEN</v>
      </c>
      <c r="K143" s="137" t="str">
        <f t="shared" si="5"/>
        <v>Week 10LAC</v>
      </c>
      <c r="L143" s="137" t="str">
        <f t="shared" ref="L143:M143" si="147">D143</f>
        <v/>
      </c>
      <c r="M143" s="137" t="str">
        <f t="shared" si="147"/>
        <v/>
      </c>
      <c r="N143" s="137" t="str">
        <f t="shared" si="7"/>
        <v>Week 10TEN</v>
      </c>
    </row>
    <row r="144">
      <c r="A144" s="137" t="str">
        <f>IFERROR(__xludf.DUMMYFUNCTION("""COMPUTED_VALUE"""),"20241110_NYJ@ARI")</f>
        <v>20241110_NYJ@ARI</v>
      </c>
      <c r="B144" s="137" t="str">
        <f>IFERROR(__xludf.DUMMYFUNCTION("""COMPUTED_VALUE"""),"NYJ")</f>
        <v>NYJ</v>
      </c>
      <c r="C144" s="137" t="str">
        <f>IFERROR(__xludf.DUMMYFUNCTION("""COMPUTED_VALUE"""),"ARI")</f>
        <v>ARI</v>
      </c>
      <c r="D144" s="137"/>
      <c r="E144" s="137"/>
      <c r="F144" s="137" t="str">
        <f>IFERROR(__xludf.DUMMYFUNCTION("""COMPUTED_VALUE"""),"Week 10")</f>
        <v>Week 10</v>
      </c>
      <c r="G144" s="137">
        <f>IFERROR(__xludf.DUMMYFUNCTION("""COMPUTED_VALUE"""),0.0)</f>
        <v>0</v>
      </c>
      <c r="H144" s="137" t="str">
        <f t="shared" si="2"/>
        <v/>
      </c>
      <c r="I144" s="137" t="str">
        <f t="shared" si="3"/>
        <v/>
      </c>
      <c r="J144" s="137" t="str">
        <f t="shared" si="4"/>
        <v>Week 10NYJ</v>
      </c>
      <c r="K144" s="137" t="str">
        <f t="shared" si="5"/>
        <v>Week 10ARI</v>
      </c>
      <c r="L144" s="137" t="str">
        <f t="shared" ref="L144:M144" si="148">D144</f>
        <v/>
      </c>
      <c r="M144" s="137" t="str">
        <f t="shared" si="148"/>
        <v/>
      </c>
      <c r="N144" s="137" t="str">
        <f t="shared" si="7"/>
        <v>Week 10NYJ</v>
      </c>
    </row>
    <row r="145">
      <c r="A145" s="137" t="str">
        <f>IFERROR(__xludf.DUMMYFUNCTION("""COMPUTED_VALUE"""),"20241110_MIN@JAX")</f>
        <v>20241110_MIN@JAX</v>
      </c>
      <c r="B145" s="137" t="str">
        <f>IFERROR(__xludf.DUMMYFUNCTION("""COMPUTED_VALUE"""),"MIN")</f>
        <v>MIN</v>
      </c>
      <c r="C145" s="137" t="str">
        <f>IFERROR(__xludf.DUMMYFUNCTION("""COMPUTED_VALUE"""),"JAX")</f>
        <v>JAX</v>
      </c>
      <c r="D145" s="137"/>
      <c r="E145" s="137"/>
      <c r="F145" s="137" t="str">
        <f>IFERROR(__xludf.DUMMYFUNCTION("""COMPUTED_VALUE"""),"Week 10")</f>
        <v>Week 10</v>
      </c>
      <c r="G145" s="137">
        <f>IFERROR(__xludf.DUMMYFUNCTION("""COMPUTED_VALUE"""),0.0)</f>
        <v>0</v>
      </c>
      <c r="H145" s="137" t="str">
        <f t="shared" si="2"/>
        <v/>
      </c>
      <c r="I145" s="137" t="str">
        <f t="shared" si="3"/>
        <v/>
      </c>
      <c r="J145" s="137" t="str">
        <f t="shared" si="4"/>
        <v>Week 10MIN</v>
      </c>
      <c r="K145" s="137" t="str">
        <f t="shared" si="5"/>
        <v>Week 10JAX</v>
      </c>
      <c r="L145" s="137" t="str">
        <f t="shared" ref="L145:M145" si="149">D145</f>
        <v/>
      </c>
      <c r="M145" s="137" t="str">
        <f t="shared" si="149"/>
        <v/>
      </c>
      <c r="N145" s="137" t="str">
        <f t="shared" si="7"/>
        <v>Week 10MIN</v>
      </c>
    </row>
    <row r="146">
      <c r="A146" s="137" t="str">
        <f>IFERROR(__xludf.DUMMYFUNCTION("""COMPUTED_VALUE"""),"20241110_ATL@NO")</f>
        <v>20241110_ATL@NO</v>
      </c>
      <c r="B146" s="137" t="str">
        <f>IFERROR(__xludf.DUMMYFUNCTION("""COMPUTED_VALUE"""),"ATL")</f>
        <v>ATL</v>
      </c>
      <c r="C146" s="137" t="str">
        <f>IFERROR(__xludf.DUMMYFUNCTION("""COMPUTED_VALUE"""),"NO")</f>
        <v>NO</v>
      </c>
      <c r="D146" s="137"/>
      <c r="E146" s="137"/>
      <c r="F146" s="137" t="str">
        <f>IFERROR(__xludf.DUMMYFUNCTION("""COMPUTED_VALUE"""),"Week 10")</f>
        <v>Week 10</v>
      </c>
      <c r="G146" s="137">
        <f>IFERROR(__xludf.DUMMYFUNCTION("""COMPUTED_VALUE"""),0.0)</f>
        <v>0</v>
      </c>
      <c r="H146" s="137" t="str">
        <f t="shared" si="2"/>
        <v/>
      </c>
      <c r="I146" s="137" t="str">
        <f t="shared" si="3"/>
        <v/>
      </c>
      <c r="J146" s="137" t="str">
        <f t="shared" si="4"/>
        <v>Week 10ATL</v>
      </c>
      <c r="K146" s="137" t="str">
        <f t="shared" si="5"/>
        <v>Week 10NO</v>
      </c>
      <c r="L146" s="137" t="str">
        <f t="shared" ref="L146:M146" si="150">D146</f>
        <v/>
      </c>
      <c r="M146" s="137" t="str">
        <f t="shared" si="150"/>
        <v/>
      </c>
      <c r="N146" s="137" t="str">
        <f t="shared" si="7"/>
        <v>Week 10ATL</v>
      </c>
    </row>
    <row r="147">
      <c r="A147" s="137" t="str">
        <f>IFERROR(__xludf.DUMMYFUNCTION("""COMPUTED_VALUE"""),"20241110_BUF@IND")</f>
        <v>20241110_BUF@IND</v>
      </c>
      <c r="B147" s="137" t="str">
        <f>IFERROR(__xludf.DUMMYFUNCTION("""COMPUTED_VALUE"""),"BUF")</f>
        <v>BUF</v>
      </c>
      <c r="C147" s="137" t="str">
        <f>IFERROR(__xludf.DUMMYFUNCTION("""COMPUTED_VALUE"""),"IND")</f>
        <v>IND</v>
      </c>
      <c r="D147" s="137"/>
      <c r="E147" s="137"/>
      <c r="F147" s="137" t="str">
        <f>IFERROR(__xludf.DUMMYFUNCTION("""COMPUTED_VALUE"""),"Week 10")</f>
        <v>Week 10</v>
      </c>
      <c r="G147" s="137">
        <f>IFERROR(__xludf.DUMMYFUNCTION("""COMPUTED_VALUE"""),0.0)</f>
        <v>0</v>
      </c>
      <c r="H147" s="137" t="str">
        <f t="shared" si="2"/>
        <v/>
      </c>
      <c r="I147" s="137" t="str">
        <f t="shared" si="3"/>
        <v/>
      </c>
      <c r="J147" s="137" t="str">
        <f t="shared" si="4"/>
        <v>Week 10BUF</v>
      </c>
      <c r="K147" s="137" t="str">
        <f t="shared" si="5"/>
        <v>Week 10IND</v>
      </c>
      <c r="L147" s="137" t="str">
        <f t="shared" ref="L147:M147" si="151">D147</f>
        <v/>
      </c>
      <c r="M147" s="137" t="str">
        <f t="shared" si="151"/>
        <v/>
      </c>
      <c r="N147" s="137" t="str">
        <f t="shared" si="7"/>
        <v>Week 10BUF</v>
      </c>
    </row>
    <row r="148">
      <c r="A148" s="137" t="str">
        <f>IFERROR(__xludf.DUMMYFUNCTION("""COMPUTED_VALUE"""),"20241110_PIT@WSH")</f>
        <v>20241110_PIT@WSH</v>
      </c>
      <c r="B148" s="137" t="str">
        <f>IFERROR(__xludf.DUMMYFUNCTION("""COMPUTED_VALUE"""),"PIT")</f>
        <v>PIT</v>
      </c>
      <c r="C148" s="137" t="str">
        <f>IFERROR(__xludf.DUMMYFUNCTION("""COMPUTED_VALUE"""),"WSH")</f>
        <v>WSH</v>
      </c>
      <c r="D148" s="137"/>
      <c r="E148" s="137"/>
      <c r="F148" s="137" t="str">
        <f>IFERROR(__xludf.DUMMYFUNCTION("""COMPUTED_VALUE"""),"Week 10")</f>
        <v>Week 10</v>
      </c>
      <c r="G148" s="137">
        <f>IFERROR(__xludf.DUMMYFUNCTION("""COMPUTED_VALUE"""),0.0)</f>
        <v>0</v>
      </c>
      <c r="H148" s="137" t="str">
        <f t="shared" si="2"/>
        <v/>
      </c>
      <c r="I148" s="137" t="str">
        <f t="shared" si="3"/>
        <v/>
      </c>
      <c r="J148" s="137" t="str">
        <f t="shared" si="4"/>
        <v>Week 10PIT</v>
      </c>
      <c r="K148" s="137" t="str">
        <f t="shared" si="5"/>
        <v>Week 10WSH</v>
      </c>
      <c r="L148" s="137" t="str">
        <f t="shared" ref="L148:M148" si="152">D148</f>
        <v/>
      </c>
      <c r="M148" s="137" t="str">
        <f t="shared" si="152"/>
        <v/>
      </c>
      <c r="N148" s="137" t="str">
        <f t="shared" si="7"/>
        <v>Week 10PIT</v>
      </c>
    </row>
    <row r="149">
      <c r="A149" s="137" t="str">
        <f>IFERROR(__xludf.DUMMYFUNCTION("""COMPUTED_VALUE"""),"20241110_PHI@DAL")</f>
        <v>20241110_PHI@DAL</v>
      </c>
      <c r="B149" s="137" t="str">
        <f>IFERROR(__xludf.DUMMYFUNCTION("""COMPUTED_VALUE"""),"PHI")</f>
        <v>PHI</v>
      </c>
      <c r="C149" s="137" t="str">
        <f>IFERROR(__xludf.DUMMYFUNCTION("""COMPUTED_VALUE"""),"DAL")</f>
        <v>DAL</v>
      </c>
      <c r="D149" s="137"/>
      <c r="E149" s="137"/>
      <c r="F149" s="137" t="str">
        <f>IFERROR(__xludf.DUMMYFUNCTION("""COMPUTED_VALUE"""),"Week 10")</f>
        <v>Week 10</v>
      </c>
      <c r="G149" s="137">
        <f>IFERROR(__xludf.DUMMYFUNCTION("""COMPUTED_VALUE"""),0.0)</f>
        <v>0</v>
      </c>
      <c r="H149" s="137" t="str">
        <f t="shared" si="2"/>
        <v/>
      </c>
      <c r="I149" s="137" t="str">
        <f t="shared" si="3"/>
        <v/>
      </c>
      <c r="J149" s="137" t="str">
        <f t="shared" si="4"/>
        <v>Week 10PHI</v>
      </c>
      <c r="K149" s="137" t="str">
        <f t="shared" si="5"/>
        <v>Week 10DAL</v>
      </c>
      <c r="L149" s="137" t="str">
        <f t="shared" ref="L149:M149" si="153">D149</f>
        <v/>
      </c>
      <c r="M149" s="137" t="str">
        <f t="shared" si="153"/>
        <v/>
      </c>
      <c r="N149" s="137" t="str">
        <f t="shared" si="7"/>
        <v>Week 10PHI</v>
      </c>
    </row>
    <row r="150">
      <c r="A150" s="137" t="str">
        <f>IFERROR(__xludf.DUMMYFUNCTION("""COMPUTED_VALUE"""),"20241110_DET@HOU")</f>
        <v>20241110_DET@HOU</v>
      </c>
      <c r="B150" s="137" t="str">
        <f>IFERROR(__xludf.DUMMYFUNCTION("""COMPUTED_VALUE"""),"DET")</f>
        <v>DET</v>
      </c>
      <c r="C150" s="137" t="str">
        <f>IFERROR(__xludf.DUMMYFUNCTION("""COMPUTED_VALUE"""),"HOU")</f>
        <v>HOU</v>
      </c>
      <c r="D150" s="137"/>
      <c r="E150" s="137"/>
      <c r="F150" s="137" t="str">
        <f>IFERROR(__xludf.DUMMYFUNCTION("""COMPUTED_VALUE"""),"Week 10")</f>
        <v>Week 10</v>
      </c>
      <c r="G150" s="137">
        <f>IFERROR(__xludf.DUMMYFUNCTION("""COMPUTED_VALUE"""),0.0)</f>
        <v>0</v>
      </c>
      <c r="H150" s="137" t="str">
        <f t="shared" si="2"/>
        <v/>
      </c>
      <c r="I150" s="137" t="str">
        <f t="shared" si="3"/>
        <v/>
      </c>
      <c r="J150" s="137" t="str">
        <f t="shared" si="4"/>
        <v>Week 10DET</v>
      </c>
      <c r="K150" s="137" t="str">
        <f t="shared" si="5"/>
        <v>Week 10HOU</v>
      </c>
      <c r="L150" s="137" t="str">
        <f t="shared" ref="L150:M150" si="154">D150</f>
        <v/>
      </c>
      <c r="M150" s="137" t="str">
        <f t="shared" si="154"/>
        <v/>
      </c>
      <c r="N150" s="137" t="str">
        <f t="shared" si="7"/>
        <v>Week 10DET</v>
      </c>
    </row>
    <row r="151">
      <c r="A151" s="137" t="str">
        <f>IFERROR(__xludf.DUMMYFUNCTION("""COMPUTED_VALUE"""),"20241110_SF@TB")</f>
        <v>20241110_SF@TB</v>
      </c>
      <c r="B151" s="137" t="str">
        <f>IFERROR(__xludf.DUMMYFUNCTION("""COMPUTED_VALUE"""),"SF")</f>
        <v>SF</v>
      </c>
      <c r="C151" s="137" t="str">
        <f>IFERROR(__xludf.DUMMYFUNCTION("""COMPUTED_VALUE"""),"TB")</f>
        <v>TB</v>
      </c>
      <c r="D151" s="137"/>
      <c r="E151" s="137"/>
      <c r="F151" s="137" t="str">
        <f>IFERROR(__xludf.DUMMYFUNCTION("""COMPUTED_VALUE"""),"Week 10")</f>
        <v>Week 10</v>
      </c>
      <c r="G151" s="137">
        <f>IFERROR(__xludf.DUMMYFUNCTION("""COMPUTED_VALUE"""),0.0)</f>
        <v>0</v>
      </c>
      <c r="H151" s="137" t="str">
        <f t="shared" si="2"/>
        <v/>
      </c>
      <c r="I151" s="137" t="str">
        <f t="shared" si="3"/>
        <v/>
      </c>
      <c r="J151" s="137" t="str">
        <f t="shared" si="4"/>
        <v>Week 10SF</v>
      </c>
      <c r="K151" s="137" t="str">
        <f t="shared" si="5"/>
        <v>Week 10TB</v>
      </c>
      <c r="L151" s="137" t="str">
        <f t="shared" ref="L151:M151" si="155">D151</f>
        <v/>
      </c>
      <c r="M151" s="137" t="str">
        <f t="shared" si="155"/>
        <v/>
      </c>
      <c r="N151" s="137" t="str">
        <f t="shared" si="7"/>
        <v>Week 10SF</v>
      </c>
    </row>
    <row r="152">
      <c r="A152" s="137" t="str">
        <f>IFERROR(__xludf.DUMMYFUNCTION("""COMPUTED_VALUE"""),"20241107_CIN@BAL")</f>
        <v>20241107_CIN@BAL</v>
      </c>
      <c r="B152" s="137" t="str">
        <f>IFERROR(__xludf.DUMMYFUNCTION("""COMPUTED_VALUE"""),"CIN")</f>
        <v>CIN</v>
      </c>
      <c r="C152" s="137" t="str">
        <f>IFERROR(__xludf.DUMMYFUNCTION("""COMPUTED_VALUE"""),"BAL")</f>
        <v>BAL</v>
      </c>
      <c r="D152" s="137"/>
      <c r="E152" s="137"/>
      <c r="F152" s="137" t="str">
        <f>IFERROR(__xludf.DUMMYFUNCTION("""COMPUTED_VALUE"""),"Week 10")</f>
        <v>Week 10</v>
      </c>
      <c r="G152" s="137">
        <f>IFERROR(__xludf.DUMMYFUNCTION("""COMPUTED_VALUE"""),0.0)</f>
        <v>0</v>
      </c>
      <c r="H152" s="137" t="str">
        <f t="shared" si="2"/>
        <v/>
      </c>
      <c r="I152" s="137" t="str">
        <f t="shared" si="3"/>
        <v/>
      </c>
      <c r="J152" s="137" t="str">
        <f t="shared" si="4"/>
        <v>Week 10CIN</v>
      </c>
      <c r="K152" s="137" t="str">
        <f t="shared" si="5"/>
        <v>Week 10BAL</v>
      </c>
      <c r="L152" s="137" t="str">
        <f t="shared" ref="L152:M152" si="156">D152</f>
        <v/>
      </c>
      <c r="M152" s="137" t="str">
        <f t="shared" si="156"/>
        <v/>
      </c>
      <c r="N152" s="137" t="str">
        <f t="shared" si="7"/>
        <v>Week 10CIN</v>
      </c>
    </row>
    <row r="153">
      <c r="A153" s="137" t="str">
        <f>IFERROR(__xludf.DUMMYFUNCTION("""COMPUTED_VALUE"""),"20241111_MIA@LAR")</f>
        <v>20241111_MIA@LAR</v>
      </c>
      <c r="B153" s="137" t="str">
        <f>IFERROR(__xludf.DUMMYFUNCTION("""COMPUTED_VALUE"""),"MIA")</f>
        <v>MIA</v>
      </c>
      <c r="C153" s="137" t="str">
        <f>IFERROR(__xludf.DUMMYFUNCTION("""COMPUTED_VALUE"""),"LAR")</f>
        <v>LAR</v>
      </c>
      <c r="D153" s="137"/>
      <c r="E153" s="137"/>
      <c r="F153" s="137" t="str">
        <f>IFERROR(__xludf.DUMMYFUNCTION("""COMPUTED_VALUE"""),"Week 10")</f>
        <v>Week 10</v>
      </c>
      <c r="G153" s="137">
        <f>IFERROR(__xludf.DUMMYFUNCTION("""COMPUTED_VALUE"""),0.0)</f>
        <v>0</v>
      </c>
      <c r="H153" s="137" t="str">
        <f t="shared" si="2"/>
        <v/>
      </c>
      <c r="I153" s="137" t="str">
        <f t="shared" si="3"/>
        <v/>
      </c>
      <c r="J153" s="137" t="str">
        <f t="shared" si="4"/>
        <v>Week 10MIA</v>
      </c>
      <c r="K153" s="137" t="str">
        <f t="shared" si="5"/>
        <v>Week 10LAR</v>
      </c>
      <c r="L153" s="137" t="str">
        <f t="shared" ref="L153:M153" si="157">D153</f>
        <v/>
      </c>
      <c r="M153" s="137" t="str">
        <f t="shared" si="157"/>
        <v/>
      </c>
      <c r="N153" s="137" t="str">
        <f t="shared" si="7"/>
        <v>Week 10MIA</v>
      </c>
    </row>
    <row r="154">
      <c r="A154" s="137" t="str">
        <f>IFERROR(__xludf.DUMMYFUNCTION("""COMPUTED_VALUE"""),"20241118_HOU@DAL")</f>
        <v>20241118_HOU@DAL</v>
      </c>
      <c r="B154" s="137" t="str">
        <f>IFERROR(__xludf.DUMMYFUNCTION("""COMPUTED_VALUE"""),"HOU")</f>
        <v>HOU</v>
      </c>
      <c r="C154" s="137" t="str">
        <f>IFERROR(__xludf.DUMMYFUNCTION("""COMPUTED_VALUE"""),"DAL")</f>
        <v>DAL</v>
      </c>
      <c r="D154" s="137"/>
      <c r="E154" s="137"/>
      <c r="F154" s="137" t="str">
        <f>IFERROR(__xludf.DUMMYFUNCTION("""COMPUTED_VALUE"""),"Week 11")</f>
        <v>Week 11</v>
      </c>
      <c r="G154" s="137">
        <f>IFERROR(__xludf.DUMMYFUNCTION("""COMPUTED_VALUE"""),0.0)</f>
        <v>0</v>
      </c>
      <c r="H154" s="137" t="str">
        <f t="shared" si="2"/>
        <v/>
      </c>
      <c r="I154" s="137" t="str">
        <f t="shared" si="3"/>
        <v/>
      </c>
      <c r="J154" s="137" t="str">
        <f t="shared" si="4"/>
        <v>Week 11HOU</v>
      </c>
      <c r="K154" s="137" t="str">
        <f t="shared" si="5"/>
        <v>Week 11DAL</v>
      </c>
      <c r="L154" s="137" t="str">
        <f t="shared" ref="L154:M154" si="158">D154</f>
        <v/>
      </c>
      <c r="M154" s="137" t="str">
        <f t="shared" si="158"/>
        <v/>
      </c>
      <c r="N154" s="137" t="str">
        <f t="shared" si="7"/>
        <v>Week 11HOU</v>
      </c>
    </row>
    <row r="155">
      <c r="A155" s="137" t="str">
        <f>IFERROR(__xludf.DUMMYFUNCTION("""COMPUTED_VALUE"""),"20241114_WSH@PHI")</f>
        <v>20241114_WSH@PHI</v>
      </c>
      <c r="B155" s="137" t="str">
        <f>IFERROR(__xludf.DUMMYFUNCTION("""COMPUTED_VALUE"""),"WSH")</f>
        <v>WSH</v>
      </c>
      <c r="C155" s="137" t="str">
        <f>IFERROR(__xludf.DUMMYFUNCTION("""COMPUTED_VALUE"""),"PHI")</f>
        <v>PHI</v>
      </c>
      <c r="D155" s="137"/>
      <c r="E155" s="137"/>
      <c r="F155" s="137" t="str">
        <f>IFERROR(__xludf.DUMMYFUNCTION("""COMPUTED_VALUE"""),"Week 11")</f>
        <v>Week 11</v>
      </c>
      <c r="G155" s="137">
        <f>IFERROR(__xludf.DUMMYFUNCTION("""COMPUTED_VALUE"""),0.0)</f>
        <v>0</v>
      </c>
      <c r="H155" s="137" t="str">
        <f t="shared" si="2"/>
        <v/>
      </c>
      <c r="I155" s="137" t="str">
        <f t="shared" si="3"/>
        <v/>
      </c>
      <c r="J155" s="137" t="str">
        <f t="shared" si="4"/>
        <v>Week 11WSH</v>
      </c>
      <c r="K155" s="137" t="str">
        <f t="shared" si="5"/>
        <v>Week 11PHI</v>
      </c>
      <c r="L155" s="137" t="str">
        <f t="shared" ref="L155:M155" si="159">D155</f>
        <v/>
      </c>
      <c r="M155" s="137" t="str">
        <f t="shared" si="159"/>
        <v/>
      </c>
      <c r="N155" s="137" t="str">
        <f t="shared" si="7"/>
        <v>Week 11WSH</v>
      </c>
    </row>
    <row r="156">
      <c r="A156" s="137" t="str">
        <f>IFERROR(__xludf.DUMMYFUNCTION("""COMPUTED_VALUE"""),"20241117_KC@BUF")</f>
        <v>20241117_KC@BUF</v>
      </c>
      <c r="B156" s="137" t="str">
        <f>IFERROR(__xludf.DUMMYFUNCTION("""COMPUTED_VALUE"""),"KC")</f>
        <v>KC</v>
      </c>
      <c r="C156" s="137" t="str">
        <f>IFERROR(__xludf.DUMMYFUNCTION("""COMPUTED_VALUE"""),"BUF")</f>
        <v>BUF</v>
      </c>
      <c r="D156" s="137"/>
      <c r="E156" s="137"/>
      <c r="F156" s="137" t="str">
        <f>IFERROR(__xludf.DUMMYFUNCTION("""COMPUTED_VALUE"""),"Week 11")</f>
        <v>Week 11</v>
      </c>
      <c r="G156" s="137">
        <f>IFERROR(__xludf.DUMMYFUNCTION("""COMPUTED_VALUE"""),0.0)</f>
        <v>0</v>
      </c>
      <c r="H156" s="137" t="str">
        <f t="shared" si="2"/>
        <v/>
      </c>
      <c r="I156" s="137" t="str">
        <f t="shared" si="3"/>
        <v/>
      </c>
      <c r="J156" s="137" t="str">
        <f t="shared" si="4"/>
        <v>Week 11KC</v>
      </c>
      <c r="K156" s="137" t="str">
        <f t="shared" si="5"/>
        <v>Week 11BUF</v>
      </c>
      <c r="L156" s="137" t="str">
        <f t="shared" ref="L156:M156" si="160">D156</f>
        <v/>
      </c>
      <c r="M156" s="137" t="str">
        <f t="shared" si="160"/>
        <v/>
      </c>
      <c r="N156" s="137" t="str">
        <f t="shared" si="7"/>
        <v>Week 11KC</v>
      </c>
    </row>
    <row r="157">
      <c r="A157" s="137" t="str">
        <f>IFERROR(__xludf.DUMMYFUNCTION("""COMPUTED_VALUE"""),"20241117_MIN@TEN")</f>
        <v>20241117_MIN@TEN</v>
      </c>
      <c r="B157" s="137" t="str">
        <f>IFERROR(__xludf.DUMMYFUNCTION("""COMPUTED_VALUE"""),"MIN")</f>
        <v>MIN</v>
      </c>
      <c r="C157" s="137" t="str">
        <f>IFERROR(__xludf.DUMMYFUNCTION("""COMPUTED_VALUE"""),"TEN")</f>
        <v>TEN</v>
      </c>
      <c r="D157" s="137"/>
      <c r="E157" s="137"/>
      <c r="F157" s="137" t="str">
        <f>IFERROR(__xludf.DUMMYFUNCTION("""COMPUTED_VALUE"""),"Week 11")</f>
        <v>Week 11</v>
      </c>
      <c r="G157" s="137">
        <f>IFERROR(__xludf.DUMMYFUNCTION("""COMPUTED_VALUE"""),0.0)</f>
        <v>0</v>
      </c>
      <c r="H157" s="137" t="str">
        <f t="shared" si="2"/>
        <v/>
      </c>
      <c r="I157" s="137" t="str">
        <f t="shared" si="3"/>
        <v/>
      </c>
      <c r="J157" s="137" t="str">
        <f t="shared" si="4"/>
        <v>Week 11MIN</v>
      </c>
      <c r="K157" s="137" t="str">
        <f t="shared" si="5"/>
        <v>Week 11TEN</v>
      </c>
      <c r="L157" s="137" t="str">
        <f t="shared" ref="L157:M157" si="161">D157</f>
        <v/>
      </c>
      <c r="M157" s="137" t="str">
        <f t="shared" si="161"/>
        <v/>
      </c>
      <c r="N157" s="137" t="str">
        <f t="shared" si="7"/>
        <v>Week 11MIN</v>
      </c>
    </row>
    <row r="158">
      <c r="A158" s="137" t="str">
        <f>IFERROR(__xludf.DUMMYFUNCTION("""COMPUTED_VALUE"""),"20241117_BAL@PIT")</f>
        <v>20241117_BAL@PIT</v>
      </c>
      <c r="B158" s="137" t="str">
        <f>IFERROR(__xludf.DUMMYFUNCTION("""COMPUTED_VALUE"""),"BAL")</f>
        <v>BAL</v>
      </c>
      <c r="C158" s="137" t="str">
        <f>IFERROR(__xludf.DUMMYFUNCTION("""COMPUTED_VALUE"""),"PIT")</f>
        <v>PIT</v>
      </c>
      <c r="D158" s="137"/>
      <c r="E158" s="137"/>
      <c r="F158" s="137" t="str">
        <f>IFERROR(__xludf.DUMMYFUNCTION("""COMPUTED_VALUE"""),"Week 11")</f>
        <v>Week 11</v>
      </c>
      <c r="G158" s="137">
        <f>IFERROR(__xludf.DUMMYFUNCTION("""COMPUTED_VALUE"""),0.0)</f>
        <v>0</v>
      </c>
      <c r="H158" s="137" t="str">
        <f t="shared" si="2"/>
        <v/>
      </c>
      <c r="I158" s="137" t="str">
        <f t="shared" si="3"/>
        <v/>
      </c>
      <c r="J158" s="137" t="str">
        <f t="shared" si="4"/>
        <v>Week 11BAL</v>
      </c>
      <c r="K158" s="137" t="str">
        <f t="shared" si="5"/>
        <v>Week 11PIT</v>
      </c>
      <c r="L158" s="137" t="str">
        <f t="shared" ref="L158:M158" si="162">D158</f>
        <v/>
      </c>
      <c r="M158" s="137" t="str">
        <f t="shared" si="162"/>
        <v/>
      </c>
      <c r="N158" s="137" t="str">
        <f t="shared" si="7"/>
        <v>Week 11BAL</v>
      </c>
    </row>
    <row r="159">
      <c r="A159" s="137" t="str">
        <f>IFERROR(__xludf.DUMMYFUNCTION("""COMPUTED_VALUE"""),"20241117_IND@NYJ")</f>
        <v>20241117_IND@NYJ</v>
      </c>
      <c r="B159" s="137" t="str">
        <f>IFERROR(__xludf.DUMMYFUNCTION("""COMPUTED_VALUE"""),"IND")</f>
        <v>IND</v>
      </c>
      <c r="C159" s="137" t="str">
        <f>IFERROR(__xludf.DUMMYFUNCTION("""COMPUTED_VALUE"""),"NYJ")</f>
        <v>NYJ</v>
      </c>
      <c r="D159" s="137"/>
      <c r="E159" s="137"/>
      <c r="F159" s="137" t="str">
        <f>IFERROR(__xludf.DUMMYFUNCTION("""COMPUTED_VALUE"""),"Week 11")</f>
        <v>Week 11</v>
      </c>
      <c r="G159" s="137">
        <f>IFERROR(__xludf.DUMMYFUNCTION("""COMPUTED_VALUE"""),0.0)</f>
        <v>0</v>
      </c>
      <c r="H159" s="137" t="str">
        <f t="shared" si="2"/>
        <v/>
      </c>
      <c r="I159" s="137" t="str">
        <f t="shared" si="3"/>
        <v/>
      </c>
      <c r="J159" s="137" t="str">
        <f t="shared" si="4"/>
        <v>Week 11IND</v>
      </c>
      <c r="K159" s="137" t="str">
        <f t="shared" si="5"/>
        <v>Week 11NYJ</v>
      </c>
      <c r="L159" s="137" t="str">
        <f t="shared" ref="L159:M159" si="163">D159</f>
        <v/>
      </c>
      <c r="M159" s="137" t="str">
        <f t="shared" si="163"/>
        <v/>
      </c>
      <c r="N159" s="137" t="str">
        <f t="shared" si="7"/>
        <v>Week 11IND</v>
      </c>
    </row>
    <row r="160">
      <c r="A160" s="137" t="str">
        <f>IFERROR(__xludf.DUMMYFUNCTION("""COMPUTED_VALUE"""),"20241117_SEA@SF")</f>
        <v>20241117_SEA@SF</v>
      </c>
      <c r="B160" s="137" t="str">
        <f>IFERROR(__xludf.DUMMYFUNCTION("""COMPUTED_VALUE"""),"SEA")</f>
        <v>SEA</v>
      </c>
      <c r="C160" s="137" t="str">
        <f>IFERROR(__xludf.DUMMYFUNCTION("""COMPUTED_VALUE"""),"SF")</f>
        <v>SF</v>
      </c>
      <c r="D160" s="137"/>
      <c r="E160" s="137"/>
      <c r="F160" s="137" t="str">
        <f>IFERROR(__xludf.DUMMYFUNCTION("""COMPUTED_VALUE"""),"Week 11")</f>
        <v>Week 11</v>
      </c>
      <c r="G160" s="137">
        <f>IFERROR(__xludf.DUMMYFUNCTION("""COMPUTED_VALUE"""),0.0)</f>
        <v>0</v>
      </c>
      <c r="H160" s="137" t="str">
        <f t="shared" si="2"/>
        <v/>
      </c>
      <c r="I160" s="137" t="str">
        <f t="shared" si="3"/>
        <v/>
      </c>
      <c r="J160" s="137" t="str">
        <f t="shared" si="4"/>
        <v>Week 11SEA</v>
      </c>
      <c r="K160" s="137" t="str">
        <f t="shared" si="5"/>
        <v>Week 11SF</v>
      </c>
      <c r="L160" s="137" t="str">
        <f t="shared" ref="L160:M160" si="164">D160</f>
        <v/>
      </c>
      <c r="M160" s="137" t="str">
        <f t="shared" si="164"/>
        <v/>
      </c>
      <c r="N160" s="137" t="str">
        <f t="shared" si="7"/>
        <v>Week 11SEA</v>
      </c>
    </row>
    <row r="161">
      <c r="A161" s="137" t="str">
        <f>IFERROR(__xludf.DUMMYFUNCTION("""COMPUTED_VALUE"""),"20241117_LAR@NE")</f>
        <v>20241117_LAR@NE</v>
      </c>
      <c r="B161" s="137" t="str">
        <f>IFERROR(__xludf.DUMMYFUNCTION("""COMPUTED_VALUE"""),"LAR")</f>
        <v>LAR</v>
      </c>
      <c r="C161" s="137" t="str">
        <f>IFERROR(__xludf.DUMMYFUNCTION("""COMPUTED_VALUE"""),"NE")</f>
        <v>NE</v>
      </c>
      <c r="D161" s="137"/>
      <c r="E161" s="137"/>
      <c r="F161" s="137" t="str">
        <f>IFERROR(__xludf.DUMMYFUNCTION("""COMPUTED_VALUE"""),"Week 11")</f>
        <v>Week 11</v>
      </c>
      <c r="G161" s="137">
        <f>IFERROR(__xludf.DUMMYFUNCTION("""COMPUTED_VALUE"""),0.0)</f>
        <v>0</v>
      </c>
      <c r="H161" s="137" t="str">
        <f t="shared" si="2"/>
        <v/>
      </c>
      <c r="I161" s="137" t="str">
        <f t="shared" si="3"/>
        <v/>
      </c>
      <c r="J161" s="137" t="str">
        <f t="shared" si="4"/>
        <v>Week 11LAR</v>
      </c>
      <c r="K161" s="137" t="str">
        <f t="shared" si="5"/>
        <v>Week 11NE</v>
      </c>
      <c r="L161" s="137" t="str">
        <f t="shared" ref="L161:M161" si="165">D161</f>
        <v/>
      </c>
      <c r="M161" s="137" t="str">
        <f t="shared" si="165"/>
        <v/>
      </c>
      <c r="N161" s="137" t="str">
        <f t="shared" si="7"/>
        <v>Week 11LAR</v>
      </c>
    </row>
    <row r="162">
      <c r="A162" s="137" t="str">
        <f>IFERROR(__xludf.DUMMYFUNCTION("""COMPUTED_VALUE"""),"20241117_CIN@LAC")</f>
        <v>20241117_CIN@LAC</v>
      </c>
      <c r="B162" s="137" t="str">
        <f>IFERROR(__xludf.DUMMYFUNCTION("""COMPUTED_VALUE"""),"CIN")</f>
        <v>CIN</v>
      </c>
      <c r="C162" s="137" t="str">
        <f>IFERROR(__xludf.DUMMYFUNCTION("""COMPUTED_VALUE"""),"LAC")</f>
        <v>LAC</v>
      </c>
      <c r="D162" s="137"/>
      <c r="E162" s="137"/>
      <c r="F162" s="137" t="str">
        <f>IFERROR(__xludf.DUMMYFUNCTION("""COMPUTED_VALUE"""),"Week 11")</f>
        <v>Week 11</v>
      </c>
      <c r="G162" s="137">
        <f>IFERROR(__xludf.DUMMYFUNCTION("""COMPUTED_VALUE"""),0.0)</f>
        <v>0</v>
      </c>
      <c r="H162" s="137" t="str">
        <f t="shared" si="2"/>
        <v/>
      </c>
      <c r="I162" s="137" t="str">
        <f t="shared" si="3"/>
        <v/>
      </c>
      <c r="J162" s="137" t="str">
        <f t="shared" si="4"/>
        <v>Week 11CIN</v>
      </c>
      <c r="K162" s="137" t="str">
        <f t="shared" si="5"/>
        <v>Week 11LAC</v>
      </c>
      <c r="L162" s="137" t="str">
        <f t="shared" ref="L162:M162" si="166">D162</f>
        <v/>
      </c>
      <c r="M162" s="137" t="str">
        <f t="shared" si="166"/>
        <v/>
      </c>
      <c r="N162" s="137" t="str">
        <f t="shared" si="7"/>
        <v>Week 11CIN</v>
      </c>
    </row>
    <row r="163">
      <c r="A163" s="137" t="str">
        <f>IFERROR(__xludf.DUMMYFUNCTION("""COMPUTED_VALUE"""),"20241117_GB@CHI")</f>
        <v>20241117_GB@CHI</v>
      </c>
      <c r="B163" s="137" t="str">
        <f>IFERROR(__xludf.DUMMYFUNCTION("""COMPUTED_VALUE"""),"GB")</f>
        <v>GB</v>
      </c>
      <c r="C163" s="137" t="str">
        <f>IFERROR(__xludf.DUMMYFUNCTION("""COMPUTED_VALUE"""),"CHI")</f>
        <v>CHI</v>
      </c>
      <c r="D163" s="137"/>
      <c r="E163" s="137"/>
      <c r="F163" s="137" t="str">
        <f>IFERROR(__xludf.DUMMYFUNCTION("""COMPUTED_VALUE"""),"Week 11")</f>
        <v>Week 11</v>
      </c>
      <c r="G163" s="137">
        <f>IFERROR(__xludf.DUMMYFUNCTION("""COMPUTED_VALUE"""),0.0)</f>
        <v>0</v>
      </c>
      <c r="H163" s="137" t="str">
        <f t="shared" si="2"/>
        <v/>
      </c>
      <c r="I163" s="137" t="str">
        <f t="shared" si="3"/>
        <v/>
      </c>
      <c r="J163" s="137" t="str">
        <f t="shared" si="4"/>
        <v>Week 11GB</v>
      </c>
      <c r="K163" s="137" t="str">
        <f t="shared" si="5"/>
        <v>Week 11CHI</v>
      </c>
      <c r="L163" s="137" t="str">
        <f t="shared" ref="L163:M163" si="167">D163</f>
        <v/>
      </c>
      <c r="M163" s="137" t="str">
        <f t="shared" si="167"/>
        <v/>
      </c>
      <c r="N163" s="137" t="str">
        <f t="shared" si="7"/>
        <v>Week 11GB</v>
      </c>
    </row>
    <row r="164">
      <c r="A164" s="137" t="str">
        <f>IFERROR(__xludf.DUMMYFUNCTION("""COMPUTED_VALUE"""),"20241117_JAX@DET")</f>
        <v>20241117_JAX@DET</v>
      </c>
      <c r="B164" s="137" t="str">
        <f>IFERROR(__xludf.DUMMYFUNCTION("""COMPUTED_VALUE"""),"JAX")</f>
        <v>JAX</v>
      </c>
      <c r="C164" s="137" t="str">
        <f>IFERROR(__xludf.DUMMYFUNCTION("""COMPUTED_VALUE"""),"DET")</f>
        <v>DET</v>
      </c>
      <c r="D164" s="137"/>
      <c r="E164" s="137"/>
      <c r="F164" s="137" t="str">
        <f>IFERROR(__xludf.DUMMYFUNCTION("""COMPUTED_VALUE"""),"Week 11")</f>
        <v>Week 11</v>
      </c>
      <c r="G164" s="137">
        <f>IFERROR(__xludf.DUMMYFUNCTION("""COMPUTED_VALUE"""),0.0)</f>
        <v>0</v>
      </c>
      <c r="H164" s="137" t="str">
        <f t="shared" si="2"/>
        <v/>
      </c>
      <c r="I164" s="137" t="str">
        <f t="shared" si="3"/>
        <v/>
      </c>
      <c r="J164" s="137" t="str">
        <f t="shared" si="4"/>
        <v>Week 11JAX</v>
      </c>
      <c r="K164" s="137" t="str">
        <f t="shared" si="5"/>
        <v>Week 11DET</v>
      </c>
      <c r="L164" s="137" t="str">
        <f t="shared" ref="L164:M164" si="168">D164</f>
        <v/>
      </c>
      <c r="M164" s="137" t="str">
        <f t="shared" si="168"/>
        <v/>
      </c>
      <c r="N164" s="137" t="str">
        <f t="shared" si="7"/>
        <v>Week 11JAX</v>
      </c>
    </row>
    <row r="165">
      <c r="A165" s="137" t="str">
        <f>IFERROR(__xludf.DUMMYFUNCTION("""COMPUTED_VALUE"""),"20241117_CLE@NO")</f>
        <v>20241117_CLE@NO</v>
      </c>
      <c r="B165" s="137" t="str">
        <f>IFERROR(__xludf.DUMMYFUNCTION("""COMPUTED_VALUE"""),"CLE")</f>
        <v>CLE</v>
      </c>
      <c r="C165" s="137" t="str">
        <f>IFERROR(__xludf.DUMMYFUNCTION("""COMPUTED_VALUE"""),"NO")</f>
        <v>NO</v>
      </c>
      <c r="D165" s="137"/>
      <c r="E165" s="137"/>
      <c r="F165" s="137" t="str">
        <f>IFERROR(__xludf.DUMMYFUNCTION("""COMPUTED_VALUE"""),"Week 11")</f>
        <v>Week 11</v>
      </c>
      <c r="G165" s="137">
        <f>IFERROR(__xludf.DUMMYFUNCTION("""COMPUTED_VALUE"""),0.0)</f>
        <v>0</v>
      </c>
      <c r="H165" s="137" t="str">
        <f t="shared" si="2"/>
        <v/>
      </c>
      <c r="I165" s="137" t="str">
        <f t="shared" si="3"/>
        <v/>
      </c>
      <c r="J165" s="137" t="str">
        <f t="shared" si="4"/>
        <v>Week 11CLE</v>
      </c>
      <c r="K165" s="137" t="str">
        <f t="shared" si="5"/>
        <v>Week 11NO</v>
      </c>
      <c r="L165" s="137" t="str">
        <f t="shared" ref="L165:M165" si="169">D165</f>
        <v/>
      </c>
      <c r="M165" s="137" t="str">
        <f t="shared" si="169"/>
        <v/>
      </c>
      <c r="N165" s="137" t="str">
        <f t="shared" si="7"/>
        <v>Week 11CLE</v>
      </c>
    </row>
    <row r="166">
      <c r="A166" s="137" t="str">
        <f>IFERROR(__xludf.DUMMYFUNCTION("""COMPUTED_VALUE"""),"20241117_LV@MIA")</f>
        <v>20241117_LV@MIA</v>
      </c>
      <c r="B166" s="137" t="str">
        <f>IFERROR(__xludf.DUMMYFUNCTION("""COMPUTED_VALUE"""),"LV")</f>
        <v>LV</v>
      </c>
      <c r="C166" s="137" t="str">
        <f>IFERROR(__xludf.DUMMYFUNCTION("""COMPUTED_VALUE"""),"MIA")</f>
        <v>MIA</v>
      </c>
      <c r="D166" s="137"/>
      <c r="E166" s="137"/>
      <c r="F166" s="137" t="str">
        <f>IFERROR(__xludf.DUMMYFUNCTION("""COMPUTED_VALUE"""),"Week 11")</f>
        <v>Week 11</v>
      </c>
      <c r="G166" s="137">
        <f>IFERROR(__xludf.DUMMYFUNCTION("""COMPUTED_VALUE"""),0.0)</f>
        <v>0</v>
      </c>
      <c r="H166" s="137" t="str">
        <f t="shared" si="2"/>
        <v/>
      </c>
      <c r="I166" s="137" t="str">
        <f t="shared" si="3"/>
        <v/>
      </c>
      <c r="J166" s="137" t="str">
        <f t="shared" si="4"/>
        <v>Week 11LV</v>
      </c>
      <c r="K166" s="137" t="str">
        <f t="shared" si="5"/>
        <v>Week 11MIA</v>
      </c>
      <c r="L166" s="137" t="str">
        <f t="shared" ref="L166:M166" si="170">D166</f>
        <v/>
      </c>
      <c r="M166" s="137" t="str">
        <f t="shared" si="170"/>
        <v/>
      </c>
      <c r="N166" s="137" t="str">
        <f t="shared" si="7"/>
        <v>Week 11LV</v>
      </c>
    </row>
    <row r="167">
      <c r="A167" s="137" t="str">
        <f>IFERROR(__xludf.DUMMYFUNCTION("""COMPUTED_VALUE"""),"20241117_ATL@DEN")</f>
        <v>20241117_ATL@DEN</v>
      </c>
      <c r="B167" s="137" t="str">
        <f>IFERROR(__xludf.DUMMYFUNCTION("""COMPUTED_VALUE"""),"ATL")</f>
        <v>ATL</v>
      </c>
      <c r="C167" s="137" t="str">
        <f>IFERROR(__xludf.DUMMYFUNCTION("""COMPUTED_VALUE"""),"DEN")</f>
        <v>DEN</v>
      </c>
      <c r="D167" s="137"/>
      <c r="E167" s="137"/>
      <c r="F167" s="137" t="str">
        <f>IFERROR(__xludf.DUMMYFUNCTION("""COMPUTED_VALUE"""),"Week 11")</f>
        <v>Week 11</v>
      </c>
      <c r="G167" s="137">
        <f>IFERROR(__xludf.DUMMYFUNCTION("""COMPUTED_VALUE"""),0.0)</f>
        <v>0</v>
      </c>
      <c r="H167" s="137" t="str">
        <f t="shared" si="2"/>
        <v/>
      </c>
      <c r="I167" s="137" t="str">
        <f t="shared" si="3"/>
        <v/>
      </c>
      <c r="J167" s="137" t="str">
        <f t="shared" si="4"/>
        <v>Week 11ATL</v>
      </c>
      <c r="K167" s="137" t="str">
        <f t="shared" si="5"/>
        <v>Week 11DEN</v>
      </c>
      <c r="L167" s="137" t="str">
        <f t="shared" ref="L167:M167" si="171">D167</f>
        <v/>
      </c>
      <c r="M167" s="137" t="str">
        <f t="shared" si="171"/>
        <v/>
      </c>
      <c r="N167" s="137" t="str">
        <f t="shared" si="7"/>
        <v>Week 11ATL</v>
      </c>
    </row>
    <row r="168">
      <c r="A168" s="137" t="str">
        <f>IFERROR(__xludf.DUMMYFUNCTION("""COMPUTED_VALUE"""),"20241125_BAL@LAC")</f>
        <v>20241125_BAL@LAC</v>
      </c>
      <c r="B168" s="137" t="str">
        <f>IFERROR(__xludf.DUMMYFUNCTION("""COMPUTED_VALUE"""),"BAL")</f>
        <v>BAL</v>
      </c>
      <c r="C168" s="137" t="str">
        <f>IFERROR(__xludf.DUMMYFUNCTION("""COMPUTED_VALUE"""),"LAC")</f>
        <v>LAC</v>
      </c>
      <c r="D168" s="137"/>
      <c r="E168" s="137"/>
      <c r="F168" s="137" t="str">
        <f>IFERROR(__xludf.DUMMYFUNCTION("""COMPUTED_VALUE"""),"Week 12")</f>
        <v>Week 12</v>
      </c>
      <c r="G168" s="137">
        <f>IFERROR(__xludf.DUMMYFUNCTION("""COMPUTED_VALUE"""),0.0)</f>
        <v>0</v>
      </c>
      <c r="H168" s="137" t="str">
        <f t="shared" si="2"/>
        <v/>
      </c>
      <c r="I168" s="137" t="str">
        <f t="shared" si="3"/>
        <v/>
      </c>
      <c r="J168" s="137" t="str">
        <f t="shared" si="4"/>
        <v>Week 12BAL</v>
      </c>
      <c r="K168" s="137" t="str">
        <f t="shared" si="5"/>
        <v>Week 12LAC</v>
      </c>
      <c r="L168" s="137" t="str">
        <f t="shared" ref="L168:M168" si="172">D168</f>
        <v/>
      </c>
      <c r="M168" s="137" t="str">
        <f t="shared" si="172"/>
        <v/>
      </c>
      <c r="N168" s="137" t="str">
        <f t="shared" si="7"/>
        <v>Week 12BAL</v>
      </c>
    </row>
    <row r="169">
      <c r="A169" s="137" t="str">
        <f>IFERROR(__xludf.DUMMYFUNCTION("""COMPUTED_VALUE"""),"20241121_PIT@CLE")</f>
        <v>20241121_PIT@CLE</v>
      </c>
      <c r="B169" s="137" t="str">
        <f>IFERROR(__xludf.DUMMYFUNCTION("""COMPUTED_VALUE"""),"PIT")</f>
        <v>PIT</v>
      </c>
      <c r="C169" s="137" t="str">
        <f>IFERROR(__xludf.DUMMYFUNCTION("""COMPUTED_VALUE"""),"CLE")</f>
        <v>CLE</v>
      </c>
      <c r="D169" s="137"/>
      <c r="E169" s="137"/>
      <c r="F169" s="137" t="str">
        <f>IFERROR(__xludf.DUMMYFUNCTION("""COMPUTED_VALUE"""),"Week 12")</f>
        <v>Week 12</v>
      </c>
      <c r="G169" s="137">
        <f>IFERROR(__xludf.DUMMYFUNCTION("""COMPUTED_VALUE"""),0.0)</f>
        <v>0</v>
      </c>
      <c r="H169" s="137" t="str">
        <f t="shared" si="2"/>
        <v/>
      </c>
      <c r="I169" s="137" t="str">
        <f t="shared" si="3"/>
        <v/>
      </c>
      <c r="J169" s="137" t="str">
        <f t="shared" si="4"/>
        <v>Week 12PIT</v>
      </c>
      <c r="K169" s="137" t="str">
        <f t="shared" si="5"/>
        <v>Week 12CLE</v>
      </c>
      <c r="L169" s="137" t="str">
        <f t="shared" ref="L169:M169" si="173">D169</f>
        <v/>
      </c>
      <c r="M169" s="137" t="str">
        <f t="shared" si="173"/>
        <v/>
      </c>
      <c r="N169" s="137" t="str">
        <f t="shared" si="7"/>
        <v>Week 12PIT</v>
      </c>
    </row>
    <row r="170">
      <c r="A170" s="137" t="str">
        <f>IFERROR(__xludf.DUMMYFUNCTION("""COMPUTED_VALUE"""),"20241124_ARI@SEA")</f>
        <v>20241124_ARI@SEA</v>
      </c>
      <c r="B170" s="137" t="str">
        <f>IFERROR(__xludf.DUMMYFUNCTION("""COMPUTED_VALUE"""),"ARI")</f>
        <v>ARI</v>
      </c>
      <c r="C170" s="137" t="str">
        <f>IFERROR(__xludf.DUMMYFUNCTION("""COMPUTED_VALUE"""),"SEA")</f>
        <v>SEA</v>
      </c>
      <c r="D170" s="137"/>
      <c r="E170" s="137"/>
      <c r="F170" s="137" t="str">
        <f>IFERROR(__xludf.DUMMYFUNCTION("""COMPUTED_VALUE"""),"Week 12")</f>
        <v>Week 12</v>
      </c>
      <c r="G170" s="137">
        <f>IFERROR(__xludf.DUMMYFUNCTION("""COMPUTED_VALUE"""),0.0)</f>
        <v>0</v>
      </c>
      <c r="H170" s="137" t="str">
        <f t="shared" si="2"/>
        <v/>
      </c>
      <c r="I170" s="137" t="str">
        <f t="shared" si="3"/>
        <v/>
      </c>
      <c r="J170" s="137" t="str">
        <f t="shared" si="4"/>
        <v>Week 12ARI</v>
      </c>
      <c r="K170" s="137" t="str">
        <f t="shared" si="5"/>
        <v>Week 12SEA</v>
      </c>
      <c r="L170" s="137" t="str">
        <f t="shared" ref="L170:M170" si="174">D170</f>
        <v/>
      </c>
      <c r="M170" s="137" t="str">
        <f t="shared" si="174"/>
        <v/>
      </c>
      <c r="N170" s="137" t="str">
        <f t="shared" si="7"/>
        <v>Week 12ARI</v>
      </c>
    </row>
    <row r="171">
      <c r="A171" s="137" t="str">
        <f>IFERROR(__xludf.DUMMYFUNCTION("""COMPUTED_VALUE"""),"20241124_TB@NYG")</f>
        <v>20241124_TB@NYG</v>
      </c>
      <c r="B171" s="137" t="str">
        <f>IFERROR(__xludf.DUMMYFUNCTION("""COMPUTED_VALUE"""),"TB")</f>
        <v>TB</v>
      </c>
      <c r="C171" s="137" t="str">
        <f>IFERROR(__xludf.DUMMYFUNCTION("""COMPUTED_VALUE"""),"NYG")</f>
        <v>NYG</v>
      </c>
      <c r="D171" s="137"/>
      <c r="E171" s="137"/>
      <c r="F171" s="137" t="str">
        <f>IFERROR(__xludf.DUMMYFUNCTION("""COMPUTED_VALUE"""),"Week 12")</f>
        <v>Week 12</v>
      </c>
      <c r="G171" s="137">
        <f>IFERROR(__xludf.DUMMYFUNCTION("""COMPUTED_VALUE"""),0.0)</f>
        <v>0</v>
      </c>
      <c r="H171" s="137" t="str">
        <f t="shared" si="2"/>
        <v/>
      </c>
      <c r="I171" s="137" t="str">
        <f t="shared" si="3"/>
        <v/>
      </c>
      <c r="J171" s="137" t="str">
        <f t="shared" si="4"/>
        <v>Week 12TB</v>
      </c>
      <c r="K171" s="137" t="str">
        <f t="shared" si="5"/>
        <v>Week 12NYG</v>
      </c>
      <c r="L171" s="137" t="str">
        <f t="shared" ref="L171:M171" si="175">D171</f>
        <v/>
      </c>
      <c r="M171" s="137" t="str">
        <f t="shared" si="175"/>
        <v/>
      </c>
      <c r="N171" s="137" t="str">
        <f t="shared" si="7"/>
        <v>Week 12TB</v>
      </c>
    </row>
    <row r="172">
      <c r="A172" s="137" t="str">
        <f>IFERROR(__xludf.DUMMYFUNCTION("""COMPUTED_VALUE"""),"20241124_SF@GB")</f>
        <v>20241124_SF@GB</v>
      </c>
      <c r="B172" s="137" t="str">
        <f>IFERROR(__xludf.DUMMYFUNCTION("""COMPUTED_VALUE"""),"SF")</f>
        <v>SF</v>
      </c>
      <c r="C172" s="137" t="str">
        <f>IFERROR(__xludf.DUMMYFUNCTION("""COMPUTED_VALUE"""),"GB")</f>
        <v>GB</v>
      </c>
      <c r="D172" s="137"/>
      <c r="E172" s="137"/>
      <c r="F172" s="137" t="str">
        <f>IFERROR(__xludf.DUMMYFUNCTION("""COMPUTED_VALUE"""),"Week 12")</f>
        <v>Week 12</v>
      </c>
      <c r="G172" s="137">
        <f>IFERROR(__xludf.DUMMYFUNCTION("""COMPUTED_VALUE"""),0.0)</f>
        <v>0</v>
      </c>
      <c r="H172" s="137" t="str">
        <f t="shared" si="2"/>
        <v/>
      </c>
      <c r="I172" s="137" t="str">
        <f t="shared" si="3"/>
        <v/>
      </c>
      <c r="J172" s="137" t="str">
        <f t="shared" si="4"/>
        <v>Week 12SF</v>
      </c>
      <c r="K172" s="137" t="str">
        <f t="shared" si="5"/>
        <v>Week 12GB</v>
      </c>
      <c r="L172" s="137" t="str">
        <f t="shared" ref="L172:M172" si="176">D172</f>
        <v/>
      </c>
      <c r="M172" s="137" t="str">
        <f t="shared" si="176"/>
        <v/>
      </c>
      <c r="N172" s="137" t="str">
        <f t="shared" si="7"/>
        <v>Week 12SF</v>
      </c>
    </row>
    <row r="173">
      <c r="A173" s="137" t="str">
        <f>IFERROR(__xludf.DUMMYFUNCTION("""COMPUTED_VALUE"""),"20241124_MIN@CHI")</f>
        <v>20241124_MIN@CHI</v>
      </c>
      <c r="B173" s="137" t="str">
        <f>IFERROR(__xludf.DUMMYFUNCTION("""COMPUTED_VALUE"""),"MIN")</f>
        <v>MIN</v>
      </c>
      <c r="C173" s="137" t="str">
        <f>IFERROR(__xludf.DUMMYFUNCTION("""COMPUTED_VALUE"""),"CHI")</f>
        <v>CHI</v>
      </c>
      <c r="D173" s="137"/>
      <c r="E173" s="137"/>
      <c r="F173" s="137" t="str">
        <f>IFERROR(__xludf.DUMMYFUNCTION("""COMPUTED_VALUE"""),"Week 12")</f>
        <v>Week 12</v>
      </c>
      <c r="G173" s="137">
        <f>IFERROR(__xludf.DUMMYFUNCTION("""COMPUTED_VALUE"""),0.0)</f>
        <v>0</v>
      </c>
      <c r="H173" s="137" t="str">
        <f t="shared" si="2"/>
        <v/>
      </c>
      <c r="I173" s="137" t="str">
        <f t="shared" si="3"/>
        <v/>
      </c>
      <c r="J173" s="137" t="str">
        <f t="shared" si="4"/>
        <v>Week 12MIN</v>
      </c>
      <c r="K173" s="137" t="str">
        <f t="shared" si="5"/>
        <v>Week 12CHI</v>
      </c>
      <c r="L173" s="137" t="str">
        <f t="shared" ref="L173:M173" si="177">D173</f>
        <v/>
      </c>
      <c r="M173" s="137" t="str">
        <f t="shared" si="177"/>
        <v/>
      </c>
      <c r="N173" s="137" t="str">
        <f t="shared" si="7"/>
        <v>Week 12MIN</v>
      </c>
    </row>
    <row r="174">
      <c r="A174" s="137" t="str">
        <f>IFERROR(__xludf.DUMMYFUNCTION("""COMPUTED_VALUE"""),"20241124_TEN@HOU")</f>
        <v>20241124_TEN@HOU</v>
      </c>
      <c r="B174" s="137" t="str">
        <f>IFERROR(__xludf.DUMMYFUNCTION("""COMPUTED_VALUE"""),"TEN")</f>
        <v>TEN</v>
      </c>
      <c r="C174" s="137" t="str">
        <f>IFERROR(__xludf.DUMMYFUNCTION("""COMPUTED_VALUE"""),"HOU")</f>
        <v>HOU</v>
      </c>
      <c r="D174" s="137"/>
      <c r="E174" s="137"/>
      <c r="F174" s="137" t="str">
        <f>IFERROR(__xludf.DUMMYFUNCTION("""COMPUTED_VALUE"""),"Week 12")</f>
        <v>Week 12</v>
      </c>
      <c r="G174" s="137">
        <f>IFERROR(__xludf.DUMMYFUNCTION("""COMPUTED_VALUE"""),0.0)</f>
        <v>0</v>
      </c>
      <c r="H174" s="137" t="str">
        <f t="shared" si="2"/>
        <v/>
      </c>
      <c r="I174" s="137" t="str">
        <f t="shared" si="3"/>
        <v/>
      </c>
      <c r="J174" s="137" t="str">
        <f t="shared" si="4"/>
        <v>Week 12TEN</v>
      </c>
      <c r="K174" s="137" t="str">
        <f t="shared" si="5"/>
        <v>Week 12HOU</v>
      </c>
      <c r="L174" s="137" t="str">
        <f t="shared" ref="L174:M174" si="178">D174</f>
        <v/>
      </c>
      <c r="M174" s="137" t="str">
        <f t="shared" si="178"/>
        <v/>
      </c>
      <c r="N174" s="137" t="str">
        <f t="shared" si="7"/>
        <v>Week 12TEN</v>
      </c>
    </row>
    <row r="175">
      <c r="A175" s="137" t="str">
        <f>IFERROR(__xludf.DUMMYFUNCTION("""COMPUTED_VALUE"""),"20241124_PHI@LAR")</f>
        <v>20241124_PHI@LAR</v>
      </c>
      <c r="B175" s="137" t="str">
        <f>IFERROR(__xludf.DUMMYFUNCTION("""COMPUTED_VALUE"""),"PHI")</f>
        <v>PHI</v>
      </c>
      <c r="C175" s="137" t="str">
        <f>IFERROR(__xludf.DUMMYFUNCTION("""COMPUTED_VALUE"""),"LAR")</f>
        <v>LAR</v>
      </c>
      <c r="D175" s="137"/>
      <c r="E175" s="137"/>
      <c r="F175" s="137" t="str">
        <f>IFERROR(__xludf.DUMMYFUNCTION("""COMPUTED_VALUE"""),"Week 12")</f>
        <v>Week 12</v>
      </c>
      <c r="G175" s="137">
        <f>IFERROR(__xludf.DUMMYFUNCTION("""COMPUTED_VALUE"""),0.0)</f>
        <v>0</v>
      </c>
      <c r="H175" s="137" t="str">
        <f t="shared" si="2"/>
        <v/>
      </c>
      <c r="I175" s="137" t="str">
        <f t="shared" si="3"/>
        <v/>
      </c>
      <c r="J175" s="137" t="str">
        <f t="shared" si="4"/>
        <v>Week 12PHI</v>
      </c>
      <c r="K175" s="137" t="str">
        <f t="shared" si="5"/>
        <v>Week 12LAR</v>
      </c>
      <c r="L175" s="137" t="str">
        <f t="shared" ref="L175:M175" si="179">D175</f>
        <v/>
      </c>
      <c r="M175" s="137" t="str">
        <f t="shared" si="179"/>
        <v/>
      </c>
      <c r="N175" s="137" t="str">
        <f t="shared" si="7"/>
        <v>Week 12PHI</v>
      </c>
    </row>
    <row r="176">
      <c r="A176" s="137" t="str">
        <f>IFERROR(__xludf.DUMMYFUNCTION("""COMPUTED_VALUE"""),"20241124_NE@MIA")</f>
        <v>20241124_NE@MIA</v>
      </c>
      <c r="B176" s="137" t="str">
        <f>IFERROR(__xludf.DUMMYFUNCTION("""COMPUTED_VALUE"""),"NE")</f>
        <v>NE</v>
      </c>
      <c r="C176" s="137" t="str">
        <f>IFERROR(__xludf.DUMMYFUNCTION("""COMPUTED_VALUE"""),"MIA")</f>
        <v>MIA</v>
      </c>
      <c r="D176" s="137"/>
      <c r="E176" s="137"/>
      <c r="F176" s="137" t="str">
        <f>IFERROR(__xludf.DUMMYFUNCTION("""COMPUTED_VALUE"""),"Week 12")</f>
        <v>Week 12</v>
      </c>
      <c r="G176" s="137">
        <f>IFERROR(__xludf.DUMMYFUNCTION("""COMPUTED_VALUE"""),0.0)</f>
        <v>0</v>
      </c>
      <c r="H176" s="137" t="str">
        <f t="shared" si="2"/>
        <v/>
      </c>
      <c r="I176" s="137" t="str">
        <f t="shared" si="3"/>
        <v/>
      </c>
      <c r="J176" s="137" t="str">
        <f t="shared" si="4"/>
        <v>Week 12NE</v>
      </c>
      <c r="K176" s="137" t="str">
        <f t="shared" si="5"/>
        <v>Week 12MIA</v>
      </c>
      <c r="L176" s="137" t="str">
        <f t="shared" ref="L176:M176" si="180">D176</f>
        <v/>
      </c>
      <c r="M176" s="137" t="str">
        <f t="shared" si="180"/>
        <v/>
      </c>
      <c r="N176" s="137" t="str">
        <f t="shared" si="7"/>
        <v>Week 12NE</v>
      </c>
    </row>
    <row r="177">
      <c r="A177" s="137" t="str">
        <f>IFERROR(__xludf.DUMMYFUNCTION("""COMPUTED_VALUE"""),"20241124_DAL@WSH")</f>
        <v>20241124_DAL@WSH</v>
      </c>
      <c r="B177" s="137" t="str">
        <f>IFERROR(__xludf.DUMMYFUNCTION("""COMPUTED_VALUE"""),"DAL")</f>
        <v>DAL</v>
      </c>
      <c r="C177" s="137" t="str">
        <f>IFERROR(__xludf.DUMMYFUNCTION("""COMPUTED_VALUE"""),"WSH")</f>
        <v>WSH</v>
      </c>
      <c r="D177" s="137"/>
      <c r="E177" s="137"/>
      <c r="F177" s="137" t="str">
        <f>IFERROR(__xludf.DUMMYFUNCTION("""COMPUTED_VALUE"""),"Week 12")</f>
        <v>Week 12</v>
      </c>
      <c r="G177" s="137">
        <f>IFERROR(__xludf.DUMMYFUNCTION("""COMPUTED_VALUE"""),0.0)</f>
        <v>0</v>
      </c>
      <c r="H177" s="137" t="str">
        <f t="shared" si="2"/>
        <v/>
      </c>
      <c r="I177" s="137" t="str">
        <f t="shared" si="3"/>
        <v/>
      </c>
      <c r="J177" s="137" t="str">
        <f t="shared" si="4"/>
        <v>Week 12DAL</v>
      </c>
      <c r="K177" s="137" t="str">
        <f t="shared" si="5"/>
        <v>Week 12WSH</v>
      </c>
      <c r="L177" s="137" t="str">
        <f t="shared" ref="L177:M177" si="181">D177</f>
        <v/>
      </c>
      <c r="M177" s="137" t="str">
        <f t="shared" si="181"/>
        <v/>
      </c>
      <c r="N177" s="137" t="str">
        <f t="shared" si="7"/>
        <v>Week 12DAL</v>
      </c>
    </row>
    <row r="178">
      <c r="A178" s="137" t="str">
        <f>IFERROR(__xludf.DUMMYFUNCTION("""COMPUTED_VALUE"""),"20241124_DET@IND")</f>
        <v>20241124_DET@IND</v>
      </c>
      <c r="B178" s="137" t="str">
        <f>IFERROR(__xludf.DUMMYFUNCTION("""COMPUTED_VALUE"""),"DET")</f>
        <v>DET</v>
      </c>
      <c r="C178" s="137" t="str">
        <f>IFERROR(__xludf.DUMMYFUNCTION("""COMPUTED_VALUE"""),"IND")</f>
        <v>IND</v>
      </c>
      <c r="D178" s="137"/>
      <c r="E178" s="137"/>
      <c r="F178" s="137" t="str">
        <f>IFERROR(__xludf.DUMMYFUNCTION("""COMPUTED_VALUE"""),"Week 12")</f>
        <v>Week 12</v>
      </c>
      <c r="G178" s="137">
        <f>IFERROR(__xludf.DUMMYFUNCTION("""COMPUTED_VALUE"""),0.0)</f>
        <v>0</v>
      </c>
      <c r="H178" s="137" t="str">
        <f t="shared" si="2"/>
        <v/>
      </c>
      <c r="I178" s="137" t="str">
        <f t="shared" si="3"/>
        <v/>
      </c>
      <c r="J178" s="137" t="str">
        <f t="shared" si="4"/>
        <v>Week 12DET</v>
      </c>
      <c r="K178" s="137" t="str">
        <f t="shared" si="5"/>
        <v>Week 12IND</v>
      </c>
      <c r="L178" s="137" t="str">
        <f t="shared" ref="L178:M178" si="182">D178</f>
        <v/>
      </c>
      <c r="M178" s="137" t="str">
        <f t="shared" si="182"/>
        <v/>
      </c>
      <c r="N178" s="137" t="str">
        <f t="shared" si="7"/>
        <v>Week 12DET</v>
      </c>
    </row>
    <row r="179">
      <c r="A179" s="137" t="str">
        <f>IFERROR(__xludf.DUMMYFUNCTION("""COMPUTED_VALUE"""),"20241124_DEN@LV")</f>
        <v>20241124_DEN@LV</v>
      </c>
      <c r="B179" s="137" t="str">
        <f>IFERROR(__xludf.DUMMYFUNCTION("""COMPUTED_VALUE"""),"DEN")</f>
        <v>DEN</v>
      </c>
      <c r="C179" s="137" t="str">
        <f>IFERROR(__xludf.DUMMYFUNCTION("""COMPUTED_VALUE"""),"LV")</f>
        <v>LV</v>
      </c>
      <c r="D179" s="137"/>
      <c r="E179" s="137"/>
      <c r="F179" s="137" t="str">
        <f>IFERROR(__xludf.DUMMYFUNCTION("""COMPUTED_VALUE"""),"Week 12")</f>
        <v>Week 12</v>
      </c>
      <c r="G179" s="137">
        <f>IFERROR(__xludf.DUMMYFUNCTION("""COMPUTED_VALUE"""),0.0)</f>
        <v>0</v>
      </c>
      <c r="H179" s="137" t="str">
        <f t="shared" si="2"/>
        <v/>
      </c>
      <c r="I179" s="137" t="str">
        <f t="shared" si="3"/>
        <v/>
      </c>
      <c r="J179" s="137" t="str">
        <f t="shared" si="4"/>
        <v>Week 12DEN</v>
      </c>
      <c r="K179" s="137" t="str">
        <f t="shared" si="5"/>
        <v>Week 12LV</v>
      </c>
      <c r="L179" s="137" t="str">
        <f t="shared" ref="L179:M179" si="183">D179</f>
        <v/>
      </c>
      <c r="M179" s="137" t="str">
        <f t="shared" si="183"/>
        <v/>
      </c>
      <c r="N179" s="137" t="str">
        <f t="shared" si="7"/>
        <v>Week 12DEN</v>
      </c>
    </row>
    <row r="180">
      <c r="A180" s="137" t="str">
        <f>IFERROR(__xludf.DUMMYFUNCTION("""COMPUTED_VALUE"""),"20241124_KC@CAR")</f>
        <v>20241124_KC@CAR</v>
      </c>
      <c r="B180" s="137" t="str">
        <f>IFERROR(__xludf.DUMMYFUNCTION("""COMPUTED_VALUE"""),"KC")</f>
        <v>KC</v>
      </c>
      <c r="C180" s="137" t="str">
        <f>IFERROR(__xludf.DUMMYFUNCTION("""COMPUTED_VALUE"""),"CAR")</f>
        <v>CAR</v>
      </c>
      <c r="D180" s="137"/>
      <c r="E180" s="137"/>
      <c r="F180" s="137" t="str">
        <f>IFERROR(__xludf.DUMMYFUNCTION("""COMPUTED_VALUE"""),"Week 12")</f>
        <v>Week 12</v>
      </c>
      <c r="G180" s="137">
        <f>IFERROR(__xludf.DUMMYFUNCTION("""COMPUTED_VALUE"""),0.0)</f>
        <v>0</v>
      </c>
      <c r="H180" s="137" t="str">
        <f t="shared" si="2"/>
        <v/>
      </c>
      <c r="I180" s="137" t="str">
        <f t="shared" si="3"/>
        <v/>
      </c>
      <c r="J180" s="137" t="str">
        <f t="shared" si="4"/>
        <v>Week 12KC</v>
      </c>
      <c r="K180" s="137" t="str">
        <f t="shared" si="5"/>
        <v>Week 12CAR</v>
      </c>
      <c r="L180" s="137" t="str">
        <f t="shared" ref="L180:M180" si="184">D180</f>
        <v/>
      </c>
      <c r="M180" s="137" t="str">
        <f t="shared" si="184"/>
        <v/>
      </c>
      <c r="N180" s="137" t="str">
        <f t="shared" si="7"/>
        <v>Week 12KC</v>
      </c>
    </row>
    <row r="181">
      <c r="A181" s="137" t="str">
        <f>IFERROR(__xludf.DUMMYFUNCTION("""COMPUTED_VALUE"""),"20241202_CLE@DEN")</f>
        <v>20241202_CLE@DEN</v>
      </c>
      <c r="B181" s="137" t="str">
        <f>IFERROR(__xludf.DUMMYFUNCTION("""COMPUTED_VALUE"""),"CLE")</f>
        <v>CLE</v>
      </c>
      <c r="C181" s="137" t="str">
        <f>IFERROR(__xludf.DUMMYFUNCTION("""COMPUTED_VALUE"""),"DEN")</f>
        <v>DEN</v>
      </c>
      <c r="D181" s="137"/>
      <c r="E181" s="137"/>
      <c r="F181" s="137" t="str">
        <f>IFERROR(__xludf.DUMMYFUNCTION("""COMPUTED_VALUE"""),"Week 13")</f>
        <v>Week 13</v>
      </c>
      <c r="G181" s="137">
        <f>IFERROR(__xludf.DUMMYFUNCTION("""COMPUTED_VALUE"""),0.0)</f>
        <v>0</v>
      </c>
      <c r="H181" s="137" t="str">
        <f t="shared" si="2"/>
        <v/>
      </c>
      <c r="I181" s="137" t="str">
        <f t="shared" si="3"/>
        <v/>
      </c>
      <c r="J181" s="137" t="str">
        <f t="shared" si="4"/>
        <v>Week 13CLE</v>
      </c>
      <c r="K181" s="137" t="str">
        <f t="shared" si="5"/>
        <v>Week 13DEN</v>
      </c>
      <c r="L181" s="137" t="str">
        <f t="shared" ref="L181:M181" si="185">D181</f>
        <v/>
      </c>
      <c r="M181" s="137" t="str">
        <f t="shared" si="185"/>
        <v/>
      </c>
      <c r="N181" s="137" t="str">
        <f t="shared" si="7"/>
        <v>Week 13CLE</v>
      </c>
    </row>
    <row r="182">
      <c r="A182" s="137" t="str">
        <f>IFERROR(__xludf.DUMMYFUNCTION("""COMPUTED_VALUE"""),"20241201_TEN@WSH")</f>
        <v>20241201_TEN@WSH</v>
      </c>
      <c r="B182" s="137" t="str">
        <f>IFERROR(__xludf.DUMMYFUNCTION("""COMPUTED_VALUE"""),"TEN")</f>
        <v>TEN</v>
      </c>
      <c r="C182" s="137" t="str">
        <f>IFERROR(__xludf.DUMMYFUNCTION("""COMPUTED_VALUE"""),"WSH")</f>
        <v>WSH</v>
      </c>
      <c r="D182" s="137"/>
      <c r="E182" s="137"/>
      <c r="F182" s="137" t="str">
        <f>IFERROR(__xludf.DUMMYFUNCTION("""COMPUTED_VALUE"""),"Week 13")</f>
        <v>Week 13</v>
      </c>
      <c r="G182" s="137">
        <f>IFERROR(__xludf.DUMMYFUNCTION("""COMPUTED_VALUE"""),0.0)</f>
        <v>0</v>
      </c>
      <c r="H182" s="137" t="str">
        <f t="shared" si="2"/>
        <v/>
      </c>
      <c r="I182" s="137" t="str">
        <f t="shared" si="3"/>
        <v/>
      </c>
      <c r="J182" s="137" t="str">
        <f t="shared" si="4"/>
        <v>Week 13TEN</v>
      </c>
      <c r="K182" s="137" t="str">
        <f t="shared" si="5"/>
        <v>Week 13WSH</v>
      </c>
      <c r="L182" s="137" t="str">
        <f t="shared" ref="L182:M182" si="186">D182</f>
        <v/>
      </c>
      <c r="M182" s="137" t="str">
        <f t="shared" si="186"/>
        <v/>
      </c>
      <c r="N182" s="137" t="str">
        <f t="shared" si="7"/>
        <v>Week 13TEN</v>
      </c>
    </row>
    <row r="183">
      <c r="A183" s="137" t="str">
        <f>IFERROR(__xludf.DUMMYFUNCTION("""COMPUTED_VALUE"""),"20241201_ARI@MIN")</f>
        <v>20241201_ARI@MIN</v>
      </c>
      <c r="B183" s="137" t="str">
        <f>IFERROR(__xludf.DUMMYFUNCTION("""COMPUTED_VALUE"""),"ARI")</f>
        <v>ARI</v>
      </c>
      <c r="C183" s="137" t="str">
        <f>IFERROR(__xludf.DUMMYFUNCTION("""COMPUTED_VALUE"""),"MIN")</f>
        <v>MIN</v>
      </c>
      <c r="D183" s="137"/>
      <c r="E183" s="137"/>
      <c r="F183" s="137" t="str">
        <f>IFERROR(__xludf.DUMMYFUNCTION("""COMPUTED_VALUE"""),"Week 13")</f>
        <v>Week 13</v>
      </c>
      <c r="G183" s="137">
        <f>IFERROR(__xludf.DUMMYFUNCTION("""COMPUTED_VALUE"""),0.0)</f>
        <v>0</v>
      </c>
      <c r="H183" s="137" t="str">
        <f t="shared" si="2"/>
        <v/>
      </c>
      <c r="I183" s="137" t="str">
        <f t="shared" si="3"/>
        <v/>
      </c>
      <c r="J183" s="137" t="str">
        <f t="shared" si="4"/>
        <v>Week 13ARI</v>
      </c>
      <c r="K183" s="137" t="str">
        <f t="shared" si="5"/>
        <v>Week 13MIN</v>
      </c>
      <c r="L183" s="137" t="str">
        <f t="shared" ref="L183:M183" si="187">D183</f>
        <v/>
      </c>
      <c r="M183" s="137" t="str">
        <f t="shared" si="187"/>
        <v/>
      </c>
      <c r="N183" s="137" t="str">
        <f t="shared" si="7"/>
        <v>Week 13ARI</v>
      </c>
    </row>
    <row r="184">
      <c r="A184" s="137" t="str">
        <f>IFERROR(__xludf.DUMMYFUNCTION("""COMPUTED_VALUE"""),"20241201_IND@NE")</f>
        <v>20241201_IND@NE</v>
      </c>
      <c r="B184" s="137" t="str">
        <f>IFERROR(__xludf.DUMMYFUNCTION("""COMPUTED_VALUE"""),"IND")</f>
        <v>IND</v>
      </c>
      <c r="C184" s="137" t="str">
        <f>IFERROR(__xludf.DUMMYFUNCTION("""COMPUTED_VALUE"""),"NE")</f>
        <v>NE</v>
      </c>
      <c r="D184" s="137"/>
      <c r="E184" s="137"/>
      <c r="F184" s="137" t="str">
        <f>IFERROR(__xludf.DUMMYFUNCTION("""COMPUTED_VALUE"""),"Week 13")</f>
        <v>Week 13</v>
      </c>
      <c r="G184" s="137">
        <f>IFERROR(__xludf.DUMMYFUNCTION("""COMPUTED_VALUE"""),0.0)</f>
        <v>0</v>
      </c>
      <c r="H184" s="137" t="str">
        <f t="shared" si="2"/>
        <v/>
      </c>
      <c r="I184" s="137" t="str">
        <f t="shared" si="3"/>
        <v/>
      </c>
      <c r="J184" s="137" t="str">
        <f t="shared" si="4"/>
        <v>Week 13IND</v>
      </c>
      <c r="K184" s="137" t="str">
        <f t="shared" si="5"/>
        <v>Week 13NE</v>
      </c>
      <c r="L184" s="137" t="str">
        <f t="shared" ref="L184:M184" si="188">D184</f>
        <v/>
      </c>
      <c r="M184" s="137" t="str">
        <f t="shared" si="188"/>
        <v/>
      </c>
      <c r="N184" s="137" t="str">
        <f t="shared" si="7"/>
        <v>Week 13IND</v>
      </c>
    </row>
    <row r="185">
      <c r="A185" s="137" t="str">
        <f>IFERROR(__xludf.DUMMYFUNCTION("""COMPUTED_VALUE"""),"20241201_LAR@NO")</f>
        <v>20241201_LAR@NO</v>
      </c>
      <c r="B185" s="137" t="str">
        <f>IFERROR(__xludf.DUMMYFUNCTION("""COMPUTED_VALUE"""),"LAR")</f>
        <v>LAR</v>
      </c>
      <c r="C185" s="137" t="str">
        <f>IFERROR(__xludf.DUMMYFUNCTION("""COMPUTED_VALUE"""),"NO")</f>
        <v>NO</v>
      </c>
      <c r="D185" s="137"/>
      <c r="E185" s="137"/>
      <c r="F185" s="137" t="str">
        <f>IFERROR(__xludf.DUMMYFUNCTION("""COMPUTED_VALUE"""),"Week 13")</f>
        <v>Week 13</v>
      </c>
      <c r="G185" s="137">
        <f>IFERROR(__xludf.DUMMYFUNCTION("""COMPUTED_VALUE"""),0.0)</f>
        <v>0</v>
      </c>
      <c r="H185" s="137" t="str">
        <f t="shared" si="2"/>
        <v/>
      </c>
      <c r="I185" s="137" t="str">
        <f t="shared" si="3"/>
        <v/>
      </c>
      <c r="J185" s="137" t="str">
        <f t="shared" si="4"/>
        <v>Week 13LAR</v>
      </c>
      <c r="K185" s="137" t="str">
        <f t="shared" si="5"/>
        <v>Week 13NO</v>
      </c>
      <c r="L185" s="137" t="str">
        <f t="shared" ref="L185:M185" si="189">D185</f>
        <v/>
      </c>
      <c r="M185" s="137" t="str">
        <f t="shared" si="189"/>
        <v/>
      </c>
      <c r="N185" s="137" t="str">
        <f t="shared" si="7"/>
        <v>Week 13LAR</v>
      </c>
    </row>
    <row r="186">
      <c r="A186" s="137" t="str">
        <f>IFERROR(__xludf.DUMMYFUNCTION("""COMPUTED_VALUE"""),"20241201_LAC@ATL")</f>
        <v>20241201_LAC@ATL</v>
      </c>
      <c r="B186" s="137" t="str">
        <f>IFERROR(__xludf.DUMMYFUNCTION("""COMPUTED_VALUE"""),"LAC")</f>
        <v>LAC</v>
      </c>
      <c r="C186" s="137" t="str">
        <f>IFERROR(__xludf.DUMMYFUNCTION("""COMPUTED_VALUE"""),"ATL")</f>
        <v>ATL</v>
      </c>
      <c r="D186" s="137"/>
      <c r="E186" s="137"/>
      <c r="F186" s="137" t="str">
        <f>IFERROR(__xludf.DUMMYFUNCTION("""COMPUTED_VALUE"""),"Week 13")</f>
        <v>Week 13</v>
      </c>
      <c r="G186" s="137">
        <f>IFERROR(__xludf.DUMMYFUNCTION("""COMPUTED_VALUE"""),0.0)</f>
        <v>0</v>
      </c>
      <c r="H186" s="137" t="str">
        <f t="shared" si="2"/>
        <v/>
      </c>
      <c r="I186" s="137" t="str">
        <f t="shared" si="3"/>
        <v/>
      </c>
      <c r="J186" s="137" t="str">
        <f t="shared" si="4"/>
        <v>Week 13LAC</v>
      </c>
      <c r="K186" s="137" t="str">
        <f t="shared" si="5"/>
        <v>Week 13ATL</v>
      </c>
      <c r="L186" s="137" t="str">
        <f t="shared" ref="L186:M186" si="190">D186</f>
        <v/>
      </c>
      <c r="M186" s="137" t="str">
        <f t="shared" si="190"/>
        <v/>
      </c>
      <c r="N186" s="137" t="str">
        <f t="shared" si="7"/>
        <v>Week 13LAC</v>
      </c>
    </row>
    <row r="187">
      <c r="A187" s="137" t="str">
        <f>IFERROR(__xludf.DUMMYFUNCTION("""COMPUTED_VALUE"""),"20241201_SF@BUF")</f>
        <v>20241201_SF@BUF</v>
      </c>
      <c r="B187" s="137" t="str">
        <f>IFERROR(__xludf.DUMMYFUNCTION("""COMPUTED_VALUE"""),"SF")</f>
        <v>SF</v>
      </c>
      <c r="C187" s="137" t="str">
        <f>IFERROR(__xludf.DUMMYFUNCTION("""COMPUTED_VALUE"""),"BUF")</f>
        <v>BUF</v>
      </c>
      <c r="D187" s="137"/>
      <c r="E187" s="137"/>
      <c r="F187" s="137" t="str">
        <f>IFERROR(__xludf.DUMMYFUNCTION("""COMPUTED_VALUE"""),"Week 13")</f>
        <v>Week 13</v>
      </c>
      <c r="G187" s="137">
        <f>IFERROR(__xludf.DUMMYFUNCTION("""COMPUTED_VALUE"""),0.0)</f>
        <v>0</v>
      </c>
      <c r="H187" s="137" t="str">
        <f t="shared" si="2"/>
        <v/>
      </c>
      <c r="I187" s="137" t="str">
        <f t="shared" si="3"/>
        <v/>
      </c>
      <c r="J187" s="137" t="str">
        <f t="shared" si="4"/>
        <v>Week 13SF</v>
      </c>
      <c r="K187" s="137" t="str">
        <f t="shared" si="5"/>
        <v>Week 13BUF</v>
      </c>
      <c r="L187" s="137" t="str">
        <f t="shared" ref="L187:M187" si="191">D187</f>
        <v/>
      </c>
      <c r="M187" s="137" t="str">
        <f t="shared" si="191"/>
        <v/>
      </c>
      <c r="N187" s="137" t="str">
        <f t="shared" si="7"/>
        <v>Week 13SF</v>
      </c>
    </row>
    <row r="188">
      <c r="A188" s="137" t="str">
        <f>IFERROR(__xludf.DUMMYFUNCTION("""COMPUTED_VALUE"""),"20241201_HOU@JAX")</f>
        <v>20241201_HOU@JAX</v>
      </c>
      <c r="B188" s="137" t="str">
        <f>IFERROR(__xludf.DUMMYFUNCTION("""COMPUTED_VALUE"""),"HOU")</f>
        <v>HOU</v>
      </c>
      <c r="C188" s="137" t="str">
        <f>IFERROR(__xludf.DUMMYFUNCTION("""COMPUTED_VALUE"""),"JAX")</f>
        <v>JAX</v>
      </c>
      <c r="D188" s="137"/>
      <c r="E188" s="137"/>
      <c r="F188" s="137" t="str">
        <f>IFERROR(__xludf.DUMMYFUNCTION("""COMPUTED_VALUE"""),"Week 13")</f>
        <v>Week 13</v>
      </c>
      <c r="G188" s="137">
        <f>IFERROR(__xludf.DUMMYFUNCTION("""COMPUTED_VALUE"""),0.0)</f>
        <v>0</v>
      </c>
      <c r="H188" s="137" t="str">
        <f t="shared" si="2"/>
        <v/>
      </c>
      <c r="I188" s="137" t="str">
        <f t="shared" si="3"/>
        <v/>
      </c>
      <c r="J188" s="137" t="str">
        <f t="shared" si="4"/>
        <v>Week 13HOU</v>
      </c>
      <c r="K188" s="137" t="str">
        <f t="shared" si="5"/>
        <v>Week 13JAX</v>
      </c>
      <c r="L188" s="137" t="str">
        <f t="shared" ref="L188:M188" si="192">D188</f>
        <v/>
      </c>
      <c r="M188" s="137" t="str">
        <f t="shared" si="192"/>
        <v/>
      </c>
      <c r="N188" s="137" t="str">
        <f t="shared" si="7"/>
        <v>Week 13HOU</v>
      </c>
    </row>
    <row r="189">
      <c r="A189" s="137" t="str">
        <f>IFERROR(__xludf.DUMMYFUNCTION("""COMPUTED_VALUE"""),"20241201_PHI@BAL")</f>
        <v>20241201_PHI@BAL</v>
      </c>
      <c r="B189" s="137" t="str">
        <f>IFERROR(__xludf.DUMMYFUNCTION("""COMPUTED_VALUE"""),"PHI")</f>
        <v>PHI</v>
      </c>
      <c r="C189" s="137" t="str">
        <f>IFERROR(__xludf.DUMMYFUNCTION("""COMPUTED_VALUE"""),"BAL")</f>
        <v>BAL</v>
      </c>
      <c r="D189" s="137"/>
      <c r="E189" s="137"/>
      <c r="F189" s="137" t="str">
        <f>IFERROR(__xludf.DUMMYFUNCTION("""COMPUTED_VALUE"""),"Week 13")</f>
        <v>Week 13</v>
      </c>
      <c r="G189" s="137">
        <f>IFERROR(__xludf.DUMMYFUNCTION("""COMPUTED_VALUE"""),0.0)</f>
        <v>0</v>
      </c>
      <c r="H189" s="137" t="str">
        <f t="shared" si="2"/>
        <v/>
      </c>
      <c r="I189" s="137" t="str">
        <f t="shared" si="3"/>
        <v/>
      </c>
      <c r="J189" s="137" t="str">
        <f t="shared" si="4"/>
        <v>Week 13PHI</v>
      </c>
      <c r="K189" s="137" t="str">
        <f t="shared" si="5"/>
        <v>Week 13BAL</v>
      </c>
      <c r="L189" s="137" t="str">
        <f t="shared" ref="L189:M189" si="193">D189</f>
        <v/>
      </c>
      <c r="M189" s="137" t="str">
        <f t="shared" si="193"/>
        <v/>
      </c>
      <c r="N189" s="137" t="str">
        <f t="shared" si="7"/>
        <v>Week 13PHI</v>
      </c>
    </row>
    <row r="190">
      <c r="A190" s="137" t="str">
        <f>IFERROR(__xludf.DUMMYFUNCTION("""COMPUTED_VALUE"""),"20241201_PIT@CIN")</f>
        <v>20241201_PIT@CIN</v>
      </c>
      <c r="B190" s="137" t="str">
        <f>IFERROR(__xludf.DUMMYFUNCTION("""COMPUTED_VALUE"""),"PIT")</f>
        <v>PIT</v>
      </c>
      <c r="C190" s="137" t="str">
        <f>IFERROR(__xludf.DUMMYFUNCTION("""COMPUTED_VALUE"""),"CIN")</f>
        <v>CIN</v>
      </c>
      <c r="D190" s="137"/>
      <c r="E190" s="137"/>
      <c r="F190" s="137" t="str">
        <f>IFERROR(__xludf.DUMMYFUNCTION("""COMPUTED_VALUE"""),"Week 13")</f>
        <v>Week 13</v>
      </c>
      <c r="G190" s="137">
        <f>IFERROR(__xludf.DUMMYFUNCTION("""COMPUTED_VALUE"""),0.0)</f>
        <v>0</v>
      </c>
      <c r="H190" s="137" t="str">
        <f t="shared" si="2"/>
        <v/>
      </c>
      <c r="I190" s="137" t="str">
        <f t="shared" si="3"/>
        <v/>
      </c>
      <c r="J190" s="137" t="str">
        <f t="shared" si="4"/>
        <v>Week 13PIT</v>
      </c>
      <c r="K190" s="137" t="str">
        <f t="shared" si="5"/>
        <v>Week 13CIN</v>
      </c>
      <c r="L190" s="137" t="str">
        <f t="shared" ref="L190:M190" si="194">D190</f>
        <v/>
      </c>
      <c r="M190" s="137" t="str">
        <f t="shared" si="194"/>
        <v/>
      </c>
      <c r="N190" s="137" t="str">
        <f t="shared" si="7"/>
        <v>Week 13PIT</v>
      </c>
    </row>
    <row r="191">
      <c r="A191" s="137" t="str">
        <f>IFERROR(__xludf.DUMMYFUNCTION("""COMPUTED_VALUE"""),"20241201_TB@CAR")</f>
        <v>20241201_TB@CAR</v>
      </c>
      <c r="B191" s="137" t="str">
        <f>IFERROR(__xludf.DUMMYFUNCTION("""COMPUTED_VALUE"""),"TB")</f>
        <v>TB</v>
      </c>
      <c r="C191" s="137" t="str">
        <f>IFERROR(__xludf.DUMMYFUNCTION("""COMPUTED_VALUE"""),"CAR")</f>
        <v>CAR</v>
      </c>
      <c r="D191" s="137"/>
      <c r="E191" s="137"/>
      <c r="F191" s="137" t="str">
        <f>IFERROR(__xludf.DUMMYFUNCTION("""COMPUTED_VALUE"""),"Week 13")</f>
        <v>Week 13</v>
      </c>
      <c r="G191" s="137">
        <f>IFERROR(__xludf.DUMMYFUNCTION("""COMPUTED_VALUE"""),0.0)</f>
        <v>0</v>
      </c>
      <c r="H191" s="137" t="str">
        <f t="shared" si="2"/>
        <v/>
      </c>
      <c r="I191" s="137" t="str">
        <f t="shared" si="3"/>
        <v/>
      </c>
      <c r="J191" s="137" t="str">
        <f t="shared" si="4"/>
        <v>Week 13TB</v>
      </c>
      <c r="K191" s="137" t="str">
        <f t="shared" si="5"/>
        <v>Week 13CAR</v>
      </c>
      <c r="L191" s="137" t="str">
        <f t="shared" ref="L191:M191" si="195">D191</f>
        <v/>
      </c>
      <c r="M191" s="137" t="str">
        <f t="shared" si="195"/>
        <v/>
      </c>
      <c r="N191" s="137" t="str">
        <f t="shared" si="7"/>
        <v>Week 13TB</v>
      </c>
    </row>
    <row r="192">
      <c r="A192" s="137" t="str">
        <f>IFERROR(__xludf.DUMMYFUNCTION("""COMPUTED_VALUE"""),"20241201_SEA@NYJ")</f>
        <v>20241201_SEA@NYJ</v>
      </c>
      <c r="B192" s="137" t="str">
        <f>IFERROR(__xludf.DUMMYFUNCTION("""COMPUTED_VALUE"""),"SEA")</f>
        <v>SEA</v>
      </c>
      <c r="C192" s="137" t="str">
        <f>IFERROR(__xludf.DUMMYFUNCTION("""COMPUTED_VALUE"""),"NYJ")</f>
        <v>NYJ</v>
      </c>
      <c r="D192" s="137"/>
      <c r="E192" s="137"/>
      <c r="F192" s="137" t="str">
        <f>IFERROR(__xludf.DUMMYFUNCTION("""COMPUTED_VALUE"""),"Week 13")</f>
        <v>Week 13</v>
      </c>
      <c r="G192" s="137">
        <f>IFERROR(__xludf.DUMMYFUNCTION("""COMPUTED_VALUE"""),0.0)</f>
        <v>0</v>
      </c>
      <c r="H192" s="137" t="str">
        <f t="shared" si="2"/>
        <v/>
      </c>
      <c r="I192" s="137" t="str">
        <f t="shared" si="3"/>
        <v/>
      </c>
      <c r="J192" s="137" t="str">
        <f t="shared" si="4"/>
        <v>Week 13SEA</v>
      </c>
      <c r="K192" s="137" t="str">
        <f t="shared" si="5"/>
        <v>Week 13NYJ</v>
      </c>
      <c r="L192" s="137" t="str">
        <f t="shared" ref="L192:M192" si="196">D192</f>
        <v/>
      </c>
      <c r="M192" s="137" t="str">
        <f t="shared" si="196"/>
        <v/>
      </c>
      <c r="N192" s="137" t="str">
        <f t="shared" si="7"/>
        <v>Week 13SEA</v>
      </c>
    </row>
    <row r="193">
      <c r="A193" s="137" t="str">
        <f>IFERROR(__xludf.DUMMYFUNCTION("""COMPUTED_VALUE"""),"20241129_LV@KC")</f>
        <v>20241129_LV@KC</v>
      </c>
      <c r="B193" s="137" t="str">
        <f>IFERROR(__xludf.DUMMYFUNCTION("""COMPUTED_VALUE"""),"LV")</f>
        <v>LV</v>
      </c>
      <c r="C193" s="137" t="str">
        <f>IFERROR(__xludf.DUMMYFUNCTION("""COMPUTED_VALUE"""),"KC")</f>
        <v>KC</v>
      </c>
      <c r="D193" s="137"/>
      <c r="E193" s="137"/>
      <c r="F193" s="137" t="str">
        <f>IFERROR(__xludf.DUMMYFUNCTION("""COMPUTED_VALUE"""),"Week 13")</f>
        <v>Week 13</v>
      </c>
      <c r="G193" s="137">
        <f>IFERROR(__xludf.DUMMYFUNCTION("""COMPUTED_VALUE"""),0.0)</f>
        <v>0</v>
      </c>
      <c r="H193" s="137" t="str">
        <f t="shared" si="2"/>
        <v/>
      </c>
      <c r="I193" s="137" t="str">
        <f t="shared" si="3"/>
        <v/>
      </c>
      <c r="J193" s="137" t="str">
        <f t="shared" si="4"/>
        <v>Week 13LV</v>
      </c>
      <c r="K193" s="137" t="str">
        <f t="shared" si="5"/>
        <v>Week 13KC</v>
      </c>
      <c r="L193" s="137" t="str">
        <f t="shared" ref="L193:M193" si="197">D193</f>
        <v/>
      </c>
      <c r="M193" s="137" t="str">
        <f t="shared" si="197"/>
        <v/>
      </c>
      <c r="N193" s="137" t="str">
        <f t="shared" si="7"/>
        <v>Week 13LV</v>
      </c>
    </row>
    <row r="194">
      <c r="A194" s="137" t="str">
        <f>IFERROR(__xludf.DUMMYFUNCTION("""COMPUTED_VALUE"""),"20241128_NYG@DAL")</f>
        <v>20241128_NYG@DAL</v>
      </c>
      <c r="B194" s="137" t="str">
        <f>IFERROR(__xludf.DUMMYFUNCTION("""COMPUTED_VALUE"""),"NYG")</f>
        <v>NYG</v>
      </c>
      <c r="C194" s="137" t="str">
        <f>IFERROR(__xludf.DUMMYFUNCTION("""COMPUTED_VALUE"""),"DAL")</f>
        <v>DAL</v>
      </c>
      <c r="D194" s="137"/>
      <c r="E194" s="137"/>
      <c r="F194" s="137" t="str">
        <f>IFERROR(__xludf.DUMMYFUNCTION("""COMPUTED_VALUE"""),"Week 13")</f>
        <v>Week 13</v>
      </c>
      <c r="G194" s="137">
        <f>IFERROR(__xludf.DUMMYFUNCTION("""COMPUTED_VALUE"""),0.0)</f>
        <v>0</v>
      </c>
      <c r="H194" s="137" t="str">
        <f t="shared" si="2"/>
        <v/>
      </c>
      <c r="I194" s="137" t="str">
        <f t="shared" si="3"/>
        <v/>
      </c>
      <c r="J194" s="137" t="str">
        <f t="shared" si="4"/>
        <v>Week 13NYG</v>
      </c>
      <c r="K194" s="137" t="str">
        <f t="shared" si="5"/>
        <v>Week 13DAL</v>
      </c>
      <c r="L194" s="137" t="str">
        <f t="shared" ref="L194:M194" si="198">D194</f>
        <v/>
      </c>
      <c r="M194" s="137" t="str">
        <f t="shared" si="198"/>
        <v/>
      </c>
      <c r="N194" s="137" t="str">
        <f t="shared" si="7"/>
        <v>Week 13NYG</v>
      </c>
    </row>
    <row r="195">
      <c r="A195" s="137" t="str">
        <f>IFERROR(__xludf.DUMMYFUNCTION("""COMPUTED_VALUE"""),"20241128_MIA@GB")</f>
        <v>20241128_MIA@GB</v>
      </c>
      <c r="B195" s="137" t="str">
        <f>IFERROR(__xludf.DUMMYFUNCTION("""COMPUTED_VALUE"""),"MIA")</f>
        <v>MIA</v>
      </c>
      <c r="C195" s="137" t="str">
        <f>IFERROR(__xludf.DUMMYFUNCTION("""COMPUTED_VALUE"""),"GB")</f>
        <v>GB</v>
      </c>
      <c r="D195" s="137"/>
      <c r="E195" s="137"/>
      <c r="F195" s="137" t="str">
        <f>IFERROR(__xludf.DUMMYFUNCTION("""COMPUTED_VALUE"""),"Week 13")</f>
        <v>Week 13</v>
      </c>
      <c r="G195" s="137">
        <f>IFERROR(__xludf.DUMMYFUNCTION("""COMPUTED_VALUE"""),0.0)</f>
        <v>0</v>
      </c>
      <c r="H195" s="137" t="str">
        <f t="shared" si="2"/>
        <v/>
      </c>
      <c r="I195" s="137" t="str">
        <f t="shared" si="3"/>
        <v/>
      </c>
      <c r="J195" s="137" t="str">
        <f t="shared" si="4"/>
        <v>Week 13MIA</v>
      </c>
      <c r="K195" s="137" t="str">
        <f t="shared" si="5"/>
        <v>Week 13GB</v>
      </c>
      <c r="L195" s="137" t="str">
        <f t="shared" ref="L195:M195" si="199">D195</f>
        <v/>
      </c>
      <c r="M195" s="137" t="str">
        <f t="shared" si="199"/>
        <v/>
      </c>
      <c r="N195" s="137" t="str">
        <f t="shared" si="7"/>
        <v>Week 13MIA</v>
      </c>
    </row>
    <row r="196">
      <c r="A196" s="137" t="str">
        <f>IFERROR(__xludf.DUMMYFUNCTION("""COMPUTED_VALUE"""),"20241128_CHI@DET")</f>
        <v>20241128_CHI@DET</v>
      </c>
      <c r="B196" s="137" t="str">
        <f>IFERROR(__xludf.DUMMYFUNCTION("""COMPUTED_VALUE"""),"CHI")</f>
        <v>CHI</v>
      </c>
      <c r="C196" s="137" t="str">
        <f>IFERROR(__xludf.DUMMYFUNCTION("""COMPUTED_VALUE"""),"DET")</f>
        <v>DET</v>
      </c>
      <c r="D196" s="137"/>
      <c r="E196" s="137"/>
      <c r="F196" s="137" t="str">
        <f>IFERROR(__xludf.DUMMYFUNCTION("""COMPUTED_VALUE"""),"Week 13")</f>
        <v>Week 13</v>
      </c>
      <c r="G196" s="137">
        <f>IFERROR(__xludf.DUMMYFUNCTION("""COMPUTED_VALUE"""),0.0)</f>
        <v>0</v>
      </c>
      <c r="H196" s="137" t="str">
        <f t="shared" si="2"/>
        <v/>
      </c>
      <c r="I196" s="137" t="str">
        <f t="shared" si="3"/>
        <v/>
      </c>
      <c r="J196" s="137" t="str">
        <f t="shared" si="4"/>
        <v>Week 13CHI</v>
      </c>
      <c r="K196" s="137" t="str">
        <f t="shared" si="5"/>
        <v>Week 13DET</v>
      </c>
      <c r="L196" s="137" t="str">
        <f t="shared" ref="L196:M196" si="200">D196</f>
        <v/>
      </c>
      <c r="M196" s="137" t="str">
        <f t="shared" si="200"/>
        <v/>
      </c>
      <c r="N196" s="137" t="str">
        <f t="shared" si="7"/>
        <v>Week 13CHI</v>
      </c>
    </row>
    <row r="197">
      <c r="A197" s="137" t="str">
        <f>IFERROR(__xludf.DUMMYFUNCTION("""COMPUTED_VALUE"""),"20241209_CIN@DAL")</f>
        <v>20241209_CIN@DAL</v>
      </c>
      <c r="B197" s="137" t="str">
        <f>IFERROR(__xludf.DUMMYFUNCTION("""COMPUTED_VALUE"""),"CIN")</f>
        <v>CIN</v>
      </c>
      <c r="C197" s="137" t="str">
        <f>IFERROR(__xludf.DUMMYFUNCTION("""COMPUTED_VALUE"""),"DAL")</f>
        <v>DAL</v>
      </c>
      <c r="D197" s="137"/>
      <c r="E197" s="137"/>
      <c r="F197" s="137" t="str">
        <f>IFERROR(__xludf.DUMMYFUNCTION("""COMPUTED_VALUE"""),"Week 14")</f>
        <v>Week 14</v>
      </c>
      <c r="G197" s="137">
        <f>IFERROR(__xludf.DUMMYFUNCTION("""COMPUTED_VALUE"""),0.0)</f>
        <v>0</v>
      </c>
      <c r="H197" s="137" t="str">
        <f t="shared" si="2"/>
        <v/>
      </c>
      <c r="I197" s="137" t="str">
        <f t="shared" si="3"/>
        <v/>
      </c>
      <c r="J197" s="137" t="str">
        <f t="shared" si="4"/>
        <v>Week 14CIN</v>
      </c>
      <c r="K197" s="137" t="str">
        <f t="shared" si="5"/>
        <v>Week 14DAL</v>
      </c>
      <c r="L197" s="137" t="str">
        <f t="shared" ref="L197:M197" si="201">D197</f>
        <v/>
      </c>
      <c r="M197" s="137" t="str">
        <f t="shared" si="201"/>
        <v/>
      </c>
      <c r="N197" s="137" t="str">
        <f t="shared" si="7"/>
        <v>Week 14CIN</v>
      </c>
    </row>
    <row r="198">
      <c r="A198" s="137" t="str">
        <f>IFERROR(__xludf.DUMMYFUNCTION("""COMPUTED_VALUE"""),"20241205_GB@DET")</f>
        <v>20241205_GB@DET</v>
      </c>
      <c r="B198" s="137" t="str">
        <f>IFERROR(__xludf.DUMMYFUNCTION("""COMPUTED_VALUE"""),"GB")</f>
        <v>GB</v>
      </c>
      <c r="C198" s="137" t="str">
        <f>IFERROR(__xludf.DUMMYFUNCTION("""COMPUTED_VALUE"""),"DET")</f>
        <v>DET</v>
      </c>
      <c r="D198" s="137"/>
      <c r="E198" s="137"/>
      <c r="F198" s="137" t="str">
        <f>IFERROR(__xludf.DUMMYFUNCTION("""COMPUTED_VALUE"""),"Week 14")</f>
        <v>Week 14</v>
      </c>
      <c r="G198" s="137">
        <f>IFERROR(__xludf.DUMMYFUNCTION("""COMPUTED_VALUE"""),0.0)</f>
        <v>0</v>
      </c>
      <c r="H198" s="137" t="str">
        <f t="shared" si="2"/>
        <v/>
      </c>
      <c r="I198" s="137" t="str">
        <f t="shared" si="3"/>
        <v/>
      </c>
      <c r="J198" s="137" t="str">
        <f t="shared" si="4"/>
        <v>Week 14GB</v>
      </c>
      <c r="K198" s="137" t="str">
        <f t="shared" si="5"/>
        <v>Week 14DET</v>
      </c>
      <c r="L198" s="137" t="str">
        <f t="shared" ref="L198:M198" si="202">D198</f>
        <v/>
      </c>
      <c r="M198" s="137" t="str">
        <f t="shared" si="202"/>
        <v/>
      </c>
      <c r="N198" s="137" t="str">
        <f t="shared" si="7"/>
        <v>Week 14GB</v>
      </c>
    </row>
    <row r="199">
      <c r="A199" s="137" t="str">
        <f>IFERROR(__xludf.DUMMYFUNCTION("""COMPUTED_VALUE"""),"20241208_LV@TB")</f>
        <v>20241208_LV@TB</v>
      </c>
      <c r="B199" s="137" t="str">
        <f>IFERROR(__xludf.DUMMYFUNCTION("""COMPUTED_VALUE"""),"LV")</f>
        <v>LV</v>
      </c>
      <c r="C199" s="137" t="str">
        <f>IFERROR(__xludf.DUMMYFUNCTION("""COMPUTED_VALUE"""),"TB")</f>
        <v>TB</v>
      </c>
      <c r="D199" s="137"/>
      <c r="E199" s="137"/>
      <c r="F199" s="137" t="str">
        <f>IFERROR(__xludf.DUMMYFUNCTION("""COMPUTED_VALUE"""),"Week 14")</f>
        <v>Week 14</v>
      </c>
      <c r="G199" s="137">
        <f>IFERROR(__xludf.DUMMYFUNCTION("""COMPUTED_VALUE"""),0.0)</f>
        <v>0</v>
      </c>
      <c r="H199" s="137" t="str">
        <f t="shared" si="2"/>
        <v/>
      </c>
      <c r="I199" s="137" t="str">
        <f t="shared" si="3"/>
        <v/>
      </c>
      <c r="J199" s="137" t="str">
        <f t="shared" si="4"/>
        <v>Week 14LV</v>
      </c>
      <c r="K199" s="137" t="str">
        <f t="shared" si="5"/>
        <v>Week 14TB</v>
      </c>
      <c r="L199" s="137" t="str">
        <f t="shared" ref="L199:M199" si="203">D199</f>
        <v/>
      </c>
      <c r="M199" s="137" t="str">
        <f t="shared" si="203"/>
        <v/>
      </c>
      <c r="N199" s="137" t="str">
        <f t="shared" si="7"/>
        <v>Week 14LV</v>
      </c>
    </row>
    <row r="200">
      <c r="A200" s="137" t="str">
        <f>IFERROR(__xludf.DUMMYFUNCTION("""COMPUTED_VALUE"""),"20241208_NO@NYG")</f>
        <v>20241208_NO@NYG</v>
      </c>
      <c r="B200" s="137" t="str">
        <f>IFERROR(__xludf.DUMMYFUNCTION("""COMPUTED_VALUE"""),"NO")</f>
        <v>NO</v>
      </c>
      <c r="C200" s="137" t="str">
        <f>IFERROR(__xludf.DUMMYFUNCTION("""COMPUTED_VALUE"""),"NYG")</f>
        <v>NYG</v>
      </c>
      <c r="D200" s="137"/>
      <c r="E200" s="137"/>
      <c r="F200" s="137" t="str">
        <f>IFERROR(__xludf.DUMMYFUNCTION("""COMPUTED_VALUE"""),"Week 14")</f>
        <v>Week 14</v>
      </c>
      <c r="G200" s="137">
        <f>IFERROR(__xludf.DUMMYFUNCTION("""COMPUTED_VALUE"""),0.0)</f>
        <v>0</v>
      </c>
      <c r="H200" s="137" t="str">
        <f t="shared" si="2"/>
        <v/>
      </c>
      <c r="I200" s="137" t="str">
        <f t="shared" si="3"/>
        <v/>
      </c>
      <c r="J200" s="137" t="str">
        <f t="shared" si="4"/>
        <v>Week 14NO</v>
      </c>
      <c r="K200" s="137" t="str">
        <f t="shared" si="5"/>
        <v>Week 14NYG</v>
      </c>
      <c r="L200" s="137" t="str">
        <f t="shared" ref="L200:M200" si="204">D200</f>
        <v/>
      </c>
      <c r="M200" s="137" t="str">
        <f t="shared" si="204"/>
        <v/>
      </c>
      <c r="N200" s="137" t="str">
        <f t="shared" si="7"/>
        <v>Week 14NO</v>
      </c>
    </row>
    <row r="201">
      <c r="A201" s="137" t="str">
        <f>IFERROR(__xludf.DUMMYFUNCTION("""COMPUTED_VALUE"""),"20241208_NYJ@MIA")</f>
        <v>20241208_NYJ@MIA</v>
      </c>
      <c r="B201" s="137" t="str">
        <f>IFERROR(__xludf.DUMMYFUNCTION("""COMPUTED_VALUE"""),"NYJ")</f>
        <v>NYJ</v>
      </c>
      <c r="C201" s="137" t="str">
        <f>IFERROR(__xludf.DUMMYFUNCTION("""COMPUTED_VALUE"""),"MIA")</f>
        <v>MIA</v>
      </c>
      <c r="D201" s="137"/>
      <c r="E201" s="137"/>
      <c r="F201" s="137" t="str">
        <f>IFERROR(__xludf.DUMMYFUNCTION("""COMPUTED_VALUE"""),"Week 14")</f>
        <v>Week 14</v>
      </c>
      <c r="G201" s="137">
        <f>IFERROR(__xludf.DUMMYFUNCTION("""COMPUTED_VALUE"""),0.0)</f>
        <v>0</v>
      </c>
      <c r="H201" s="137" t="str">
        <f t="shared" si="2"/>
        <v/>
      </c>
      <c r="I201" s="137" t="str">
        <f t="shared" si="3"/>
        <v/>
      </c>
      <c r="J201" s="137" t="str">
        <f t="shared" si="4"/>
        <v>Week 14NYJ</v>
      </c>
      <c r="K201" s="137" t="str">
        <f t="shared" si="5"/>
        <v>Week 14MIA</v>
      </c>
      <c r="L201" s="137" t="str">
        <f t="shared" ref="L201:M201" si="205">D201</f>
        <v/>
      </c>
      <c r="M201" s="137" t="str">
        <f t="shared" si="205"/>
        <v/>
      </c>
      <c r="N201" s="137" t="str">
        <f t="shared" si="7"/>
        <v>Week 14NYJ</v>
      </c>
    </row>
    <row r="202">
      <c r="A202" s="137" t="str">
        <f>IFERROR(__xludf.DUMMYFUNCTION("""COMPUTED_VALUE"""),"20241208_BUF@LAR")</f>
        <v>20241208_BUF@LAR</v>
      </c>
      <c r="B202" s="137" t="str">
        <f>IFERROR(__xludf.DUMMYFUNCTION("""COMPUTED_VALUE"""),"BUF")</f>
        <v>BUF</v>
      </c>
      <c r="C202" s="137" t="str">
        <f>IFERROR(__xludf.DUMMYFUNCTION("""COMPUTED_VALUE"""),"LAR")</f>
        <v>LAR</v>
      </c>
      <c r="D202" s="137"/>
      <c r="E202" s="137"/>
      <c r="F202" s="137" t="str">
        <f>IFERROR(__xludf.DUMMYFUNCTION("""COMPUTED_VALUE"""),"Week 14")</f>
        <v>Week 14</v>
      </c>
      <c r="G202" s="137">
        <f>IFERROR(__xludf.DUMMYFUNCTION("""COMPUTED_VALUE"""),0.0)</f>
        <v>0</v>
      </c>
      <c r="H202" s="137" t="str">
        <f t="shared" si="2"/>
        <v/>
      </c>
      <c r="I202" s="137" t="str">
        <f t="shared" si="3"/>
        <v/>
      </c>
      <c r="J202" s="137" t="str">
        <f t="shared" si="4"/>
        <v>Week 14BUF</v>
      </c>
      <c r="K202" s="137" t="str">
        <f t="shared" si="5"/>
        <v>Week 14LAR</v>
      </c>
      <c r="L202" s="137" t="str">
        <f t="shared" ref="L202:M202" si="206">D202</f>
        <v/>
      </c>
      <c r="M202" s="137" t="str">
        <f t="shared" si="206"/>
        <v/>
      </c>
      <c r="N202" s="137" t="str">
        <f t="shared" si="7"/>
        <v>Week 14BUF</v>
      </c>
    </row>
    <row r="203">
      <c r="A203" s="137" t="str">
        <f>IFERROR(__xludf.DUMMYFUNCTION("""COMPUTED_VALUE"""),"20241208_CLE@PIT")</f>
        <v>20241208_CLE@PIT</v>
      </c>
      <c r="B203" s="137" t="str">
        <f>IFERROR(__xludf.DUMMYFUNCTION("""COMPUTED_VALUE"""),"CLE")</f>
        <v>CLE</v>
      </c>
      <c r="C203" s="137" t="str">
        <f>IFERROR(__xludf.DUMMYFUNCTION("""COMPUTED_VALUE"""),"PIT")</f>
        <v>PIT</v>
      </c>
      <c r="D203" s="137"/>
      <c r="E203" s="137"/>
      <c r="F203" s="137" t="str">
        <f>IFERROR(__xludf.DUMMYFUNCTION("""COMPUTED_VALUE"""),"Week 14")</f>
        <v>Week 14</v>
      </c>
      <c r="G203" s="137">
        <f>IFERROR(__xludf.DUMMYFUNCTION("""COMPUTED_VALUE"""),0.0)</f>
        <v>0</v>
      </c>
      <c r="H203" s="137" t="str">
        <f t="shared" si="2"/>
        <v/>
      </c>
      <c r="I203" s="137" t="str">
        <f t="shared" si="3"/>
        <v/>
      </c>
      <c r="J203" s="137" t="str">
        <f t="shared" si="4"/>
        <v>Week 14CLE</v>
      </c>
      <c r="K203" s="137" t="str">
        <f t="shared" si="5"/>
        <v>Week 14PIT</v>
      </c>
      <c r="L203" s="137" t="str">
        <f t="shared" ref="L203:M203" si="207">D203</f>
        <v/>
      </c>
      <c r="M203" s="137" t="str">
        <f t="shared" si="207"/>
        <v/>
      </c>
      <c r="N203" s="137" t="str">
        <f t="shared" si="7"/>
        <v>Week 14CLE</v>
      </c>
    </row>
    <row r="204">
      <c r="A204" s="137" t="str">
        <f>IFERROR(__xludf.DUMMYFUNCTION("""COMPUTED_VALUE"""),"20241208_LAC@KC")</f>
        <v>20241208_LAC@KC</v>
      </c>
      <c r="B204" s="137" t="str">
        <f>IFERROR(__xludf.DUMMYFUNCTION("""COMPUTED_VALUE"""),"LAC")</f>
        <v>LAC</v>
      </c>
      <c r="C204" s="137" t="str">
        <f>IFERROR(__xludf.DUMMYFUNCTION("""COMPUTED_VALUE"""),"KC")</f>
        <v>KC</v>
      </c>
      <c r="D204" s="137"/>
      <c r="E204" s="137"/>
      <c r="F204" s="137" t="str">
        <f>IFERROR(__xludf.DUMMYFUNCTION("""COMPUTED_VALUE"""),"Week 14")</f>
        <v>Week 14</v>
      </c>
      <c r="G204" s="137">
        <f>IFERROR(__xludf.DUMMYFUNCTION("""COMPUTED_VALUE"""),0.0)</f>
        <v>0</v>
      </c>
      <c r="H204" s="137" t="str">
        <f t="shared" si="2"/>
        <v/>
      </c>
      <c r="I204" s="137" t="str">
        <f t="shared" si="3"/>
        <v/>
      </c>
      <c r="J204" s="137" t="str">
        <f t="shared" si="4"/>
        <v>Week 14LAC</v>
      </c>
      <c r="K204" s="137" t="str">
        <f t="shared" si="5"/>
        <v>Week 14KC</v>
      </c>
      <c r="L204" s="137" t="str">
        <f t="shared" ref="L204:M204" si="208">D204</f>
        <v/>
      </c>
      <c r="M204" s="137" t="str">
        <f t="shared" si="208"/>
        <v/>
      </c>
      <c r="N204" s="137" t="str">
        <f t="shared" si="7"/>
        <v>Week 14LAC</v>
      </c>
    </row>
    <row r="205">
      <c r="A205" s="137" t="str">
        <f>IFERROR(__xludf.DUMMYFUNCTION("""COMPUTED_VALUE"""),"20241208_ATL@MIN")</f>
        <v>20241208_ATL@MIN</v>
      </c>
      <c r="B205" s="137" t="str">
        <f>IFERROR(__xludf.DUMMYFUNCTION("""COMPUTED_VALUE"""),"ATL")</f>
        <v>ATL</v>
      </c>
      <c r="C205" s="137" t="str">
        <f>IFERROR(__xludf.DUMMYFUNCTION("""COMPUTED_VALUE"""),"MIN")</f>
        <v>MIN</v>
      </c>
      <c r="D205" s="137"/>
      <c r="E205" s="137"/>
      <c r="F205" s="137" t="str">
        <f>IFERROR(__xludf.DUMMYFUNCTION("""COMPUTED_VALUE"""),"Week 14")</f>
        <v>Week 14</v>
      </c>
      <c r="G205" s="137">
        <f>IFERROR(__xludf.DUMMYFUNCTION("""COMPUTED_VALUE"""),0.0)</f>
        <v>0</v>
      </c>
      <c r="H205" s="137" t="str">
        <f t="shared" si="2"/>
        <v/>
      </c>
      <c r="I205" s="137" t="str">
        <f t="shared" si="3"/>
        <v/>
      </c>
      <c r="J205" s="137" t="str">
        <f t="shared" si="4"/>
        <v>Week 14ATL</v>
      </c>
      <c r="K205" s="137" t="str">
        <f t="shared" si="5"/>
        <v>Week 14MIN</v>
      </c>
      <c r="L205" s="137" t="str">
        <f t="shared" ref="L205:M205" si="209">D205</f>
        <v/>
      </c>
      <c r="M205" s="137" t="str">
        <f t="shared" si="209"/>
        <v/>
      </c>
      <c r="N205" s="137" t="str">
        <f t="shared" si="7"/>
        <v>Week 14ATL</v>
      </c>
    </row>
    <row r="206">
      <c r="A206" s="137" t="str">
        <f>IFERROR(__xludf.DUMMYFUNCTION("""COMPUTED_VALUE"""),"20241208_CAR@PHI")</f>
        <v>20241208_CAR@PHI</v>
      </c>
      <c r="B206" s="137" t="str">
        <f>IFERROR(__xludf.DUMMYFUNCTION("""COMPUTED_VALUE"""),"CAR")</f>
        <v>CAR</v>
      </c>
      <c r="C206" s="137" t="str">
        <f>IFERROR(__xludf.DUMMYFUNCTION("""COMPUTED_VALUE"""),"PHI")</f>
        <v>PHI</v>
      </c>
      <c r="D206" s="137"/>
      <c r="E206" s="137"/>
      <c r="F206" s="137" t="str">
        <f>IFERROR(__xludf.DUMMYFUNCTION("""COMPUTED_VALUE"""),"Week 14")</f>
        <v>Week 14</v>
      </c>
      <c r="G206" s="137">
        <f>IFERROR(__xludf.DUMMYFUNCTION("""COMPUTED_VALUE"""),0.0)</f>
        <v>0</v>
      </c>
      <c r="H206" s="137" t="str">
        <f t="shared" si="2"/>
        <v/>
      </c>
      <c r="I206" s="137" t="str">
        <f t="shared" si="3"/>
        <v/>
      </c>
      <c r="J206" s="137" t="str">
        <f t="shared" si="4"/>
        <v>Week 14CAR</v>
      </c>
      <c r="K206" s="137" t="str">
        <f t="shared" si="5"/>
        <v>Week 14PHI</v>
      </c>
      <c r="L206" s="137" t="str">
        <f t="shared" ref="L206:M206" si="210">D206</f>
        <v/>
      </c>
      <c r="M206" s="137" t="str">
        <f t="shared" si="210"/>
        <v/>
      </c>
      <c r="N206" s="137" t="str">
        <f t="shared" si="7"/>
        <v>Week 14CAR</v>
      </c>
    </row>
    <row r="207">
      <c r="A207" s="137" t="str">
        <f>IFERROR(__xludf.DUMMYFUNCTION("""COMPUTED_VALUE"""),"20241208_CHI@SF")</f>
        <v>20241208_CHI@SF</v>
      </c>
      <c r="B207" s="137" t="str">
        <f>IFERROR(__xludf.DUMMYFUNCTION("""COMPUTED_VALUE"""),"CHI")</f>
        <v>CHI</v>
      </c>
      <c r="C207" s="137" t="str">
        <f>IFERROR(__xludf.DUMMYFUNCTION("""COMPUTED_VALUE"""),"SF")</f>
        <v>SF</v>
      </c>
      <c r="D207" s="137"/>
      <c r="E207" s="137"/>
      <c r="F207" s="137" t="str">
        <f>IFERROR(__xludf.DUMMYFUNCTION("""COMPUTED_VALUE"""),"Week 14")</f>
        <v>Week 14</v>
      </c>
      <c r="G207" s="137">
        <f>IFERROR(__xludf.DUMMYFUNCTION("""COMPUTED_VALUE"""),0.0)</f>
        <v>0</v>
      </c>
      <c r="H207" s="137" t="str">
        <f t="shared" si="2"/>
        <v/>
      </c>
      <c r="I207" s="137" t="str">
        <f t="shared" si="3"/>
        <v/>
      </c>
      <c r="J207" s="137" t="str">
        <f t="shared" si="4"/>
        <v>Week 14CHI</v>
      </c>
      <c r="K207" s="137" t="str">
        <f t="shared" si="5"/>
        <v>Week 14SF</v>
      </c>
      <c r="L207" s="137" t="str">
        <f t="shared" ref="L207:M207" si="211">D207</f>
        <v/>
      </c>
      <c r="M207" s="137" t="str">
        <f t="shared" si="211"/>
        <v/>
      </c>
      <c r="N207" s="137" t="str">
        <f t="shared" si="7"/>
        <v>Week 14CHI</v>
      </c>
    </row>
    <row r="208">
      <c r="A208" s="137" t="str">
        <f>IFERROR(__xludf.DUMMYFUNCTION("""COMPUTED_VALUE"""),"20241208_SEA@ARI")</f>
        <v>20241208_SEA@ARI</v>
      </c>
      <c r="B208" s="137" t="str">
        <f>IFERROR(__xludf.DUMMYFUNCTION("""COMPUTED_VALUE"""),"SEA")</f>
        <v>SEA</v>
      </c>
      <c r="C208" s="137" t="str">
        <f>IFERROR(__xludf.DUMMYFUNCTION("""COMPUTED_VALUE"""),"ARI")</f>
        <v>ARI</v>
      </c>
      <c r="D208" s="137"/>
      <c r="E208" s="137"/>
      <c r="F208" s="137" t="str">
        <f>IFERROR(__xludf.DUMMYFUNCTION("""COMPUTED_VALUE"""),"Week 14")</f>
        <v>Week 14</v>
      </c>
      <c r="G208" s="137">
        <f>IFERROR(__xludf.DUMMYFUNCTION("""COMPUTED_VALUE"""),0.0)</f>
        <v>0</v>
      </c>
      <c r="H208" s="137" t="str">
        <f t="shared" si="2"/>
        <v/>
      </c>
      <c r="I208" s="137" t="str">
        <f t="shared" si="3"/>
        <v/>
      </c>
      <c r="J208" s="137" t="str">
        <f t="shared" si="4"/>
        <v>Week 14SEA</v>
      </c>
      <c r="K208" s="137" t="str">
        <f t="shared" si="5"/>
        <v>Week 14ARI</v>
      </c>
      <c r="L208" s="137" t="str">
        <f t="shared" ref="L208:M208" si="212">D208</f>
        <v/>
      </c>
      <c r="M208" s="137" t="str">
        <f t="shared" si="212"/>
        <v/>
      </c>
      <c r="N208" s="137" t="str">
        <f t="shared" si="7"/>
        <v>Week 14SEA</v>
      </c>
    </row>
    <row r="209">
      <c r="A209" s="137" t="str">
        <f>IFERROR(__xludf.DUMMYFUNCTION("""COMPUTED_VALUE"""),"20241208_JAX@TEN")</f>
        <v>20241208_JAX@TEN</v>
      </c>
      <c r="B209" s="137" t="str">
        <f>IFERROR(__xludf.DUMMYFUNCTION("""COMPUTED_VALUE"""),"JAX")</f>
        <v>JAX</v>
      </c>
      <c r="C209" s="137" t="str">
        <f>IFERROR(__xludf.DUMMYFUNCTION("""COMPUTED_VALUE"""),"TEN")</f>
        <v>TEN</v>
      </c>
      <c r="D209" s="137"/>
      <c r="E209" s="137"/>
      <c r="F209" s="137" t="str">
        <f>IFERROR(__xludf.DUMMYFUNCTION("""COMPUTED_VALUE"""),"Week 14")</f>
        <v>Week 14</v>
      </c>
      <c r="G209" s="137">
        <f>IFERROR(__xludf.DUMMYFUNCTION("""COMPUTED_VALUE"""),0.0)</f>
        <v>0</v>
      </c>
      <c r="H209" s="137" t="str">
        <f t="shared" si="2"/>
        <v/>
      </c>
      <c r="I209" s="137" t="str">
        <f t="shared" si="3"/>
        <v/>
      </c>
      <c r="J209" s="137" t="str">
        <f t="shared" si="4"/>
        <v>Week 14JAX</v>
      </c>
      <c r="K209" s="137" t="str">
        <f t="shared" si="5"/>
        <v>Week 14TEN</v>
      </c>
      <c r="L209" s="137" t="str">
        <f t="shared" ref="L209:M209" si="213">D209</f>
        <v/>
      </c>
      <c r="M209" s="137" t="str">
        <f t="shared" si="213"/>
        <v/>
      </c>
      <c r="N209" s="137" t="str">
        <f t="shared" si="7"/>
        <v>Week 14JAX</v>
      </c>
    </row>
    <row r="210">
      <c r="A210" s="137" t="str">
        <f>IFERROR(__xludf.DUMMYFUNCTION("""COMPUTED_VALUE"""),"20241216_ATL@LV")</f>
        <v>20241216_ATL@LV</v>
      </c>
      <c r="B210" s="137" t="str">
        <f>IFERROR(__xludf.DUMMYFUNCTION("""COMPUTED_VALUE"""),"ATL")</f>
        <v>ATL</v>
      </c>
      <c r="C210" s="137" t="str">
        <f>IFERROR(__xludf.DUMMYFUNCTION("""COMPUTED_VALUE"""),"LV")</f>
        <v>LV</v>
      </c>
      <c r="D210" s="137"/>
      <c r="E210" s="137"/>
      <c r="F210" s="137" t="str">
        <f>IFERROR(__xludf.DUMMYFUNCTION("""COMPUTED_VALUE"""),"Week 15")</f>
        <v>Week 15</v>
      </c>
      <c r="G210" s="137">
        <f>IFERROR(__xludf.DUMMYFUNCTION("""COMPUTED_VALUE"""),0.0)</f>
        <v>0</v>
      </c>
      <c r="H210" s="137" t="str">
        <f t="shared" si="2"/>
        <v/>
      </c>
      <c r="I210" s="137" t="str">
        <f t="shared" si="3"/>
        <v/>
      </c>
      <c r="J210" s="137" t="str">
        <f t="shared" si="4"/>
        <v>Week 15ATL</v>
      </c>
      <c r="K210" s="137" t="str">
        <f t="shared" si="5"/>
        <v>Week 15LV</v>
      </c>
      <c r="L210" s="137" t="str">
        <f t="shared" ref="L210:M210" si="214">D210</f>
        <v/>
      </c>
      <c r="M210" s="137" t="str">
        <f t="shared" si="214"/>
        <v/>
      </c>
      <c r="N210" s="137" t="str">
        <f t="shared" si="7"/>
        <v>Week 15ATL</v>
      </c>
    </row>
    <row r="211">
      <c r="A211" s="137" t="str">
        <f>IFERROR(__xludf.DUMMYFUNCTION("""COMPUTED_VALUE"""),"20241216_CHI@MIN")</f>
        <v>20241216_CHI@MIN</v>
      </c>
      <c r="B211" s="137" t="str">
        <f>IFERROR(__xludf.DUMMYFUNCTION("""COMPUTED_VALUE"""),"CHI")</f>
        <v>CHI</v>
      </c>
      <c r="C211" s="137" t="str">
        <f>IFERROR(__xludf.DUMMYFUNCTION("""COMPUTED_VALUE"""),"MIN")</f>
        <v>MIN</v>
      </c>
      <c r="D211" s="137"/>
      <c r="E211" s="137"/>
      <c r="F211" s="137" t="str">
        <f>IFERROR(__xludf.DUMMYFUNCTION("""COMPUTED_VALUE"""),"Week 15")</f>
        <v>Week 15</v>
      </c>
      <c r="G211" s="137">
        <f>IFERROR(__xludf.DUMMYFUNCTION("""COMPUTED_VALUE"""),0.0)</f>
        <v>0</v>
      </c>
      <c r="H211" s="137" t="str">
        <f t="shared" si="2"/>
        <v/>
      </c>
      <c r="I211" s="137" t="str">
        <f t="shared" si="3"/>
        <v/>
      </c>
      <c r="J211" s="137" t="str">
        <f t="shared" si="4"/>
        <v>Week 15CHI</v>
      </c>
      <c r="K211" s="137" t="str">
        <f t="shared" si="5"/>
        <v>Week 15MIN</v>
      </c>
      <c r="L211" s="137" t="str">
        <f t="shared" ref="L211:M211" si="215">D211</f>
        <v/>
      </c>
      <c r="M211" s="137" t="str">
        <f t="shared" si="215"/>
        <v/>
      </c>
      <c r="N211" s="137" t="str">
        <f t="shared" si="7"/>
        <v>Week 15CHI</v>
      </c>
    </row>
    <row r="212">
      <c r="A212" s="137" t="str">
        <f>IFERROR(__xludf.DUMMYFUNCTION("""COMPUTED_VALUE"""),"20241212_LAR@SF")</f>
        <v>20241212_LAR@SF</v>
      </c>
      <c r="B212" s="137" t="str">
        <f>IFERROR(__xludf.DUMMYFUNCTION("""COMPUTED_VALUE"""),"LAR")</f>
        <v>LAR</v>
      </c>
      <c r="C212" s="137" t="str">
        <f>IFERROR(__xludf.DUMMYFUNCTION("""COMPUTED_VALUE"""),"SF")</f>
        <v>SF</v>
      </c>
      <c r="D212" s="137"/>
      <c r="E212" s="137"/>
      <c r="F212" s="137" t="str">
        <f>IFERROR(__xludf.DUMMYFUNCTION("""COMPUTED_VALUE"""),"Week 15")</f>
        <v>Week 15</v>
      </c>
      <c r="G212" s="137">
        <f>IFERROR(__xludf.DUMMYFUNCTION("""COMPUTED_VALUE"""),0.0)</f>
        <v>0</v>
      </c>
      <c r="H212" s="137" t="str">
        <f t="shared" si="2"/>
        <v/>
      </c>
      <c r="I212" s="137" t="str">
        <f t="shared" si="3"/>
        <v/>
      </c>
      <c r="J212" s="137" t="str">
        <f t="shared" si="4"/>
        <v>Week 15LAR</v>
      </c>
      <c r="K212" s="137" t="str">
        <f t="shared" si="5"/>
        <v>Week 15SF</v>
      </c>
      <c r="L212" s="137" t="str">
        <f t="shared" ref="L212:M212" si="216">D212</f>
        <v/>
      </c>
      <c r="M212" s="137" t="str">
        <f t="shared" si="216"/>
        <v/>
      </c>
      <c r="N212" s="137" t="str">
        <f t="shared" si="7"/>
        <v>Week 15LAR</v>
      </c>
    </row>
    <row r="213">
      <c r="A213" s="137" t="str">
        <f>IFERROR(__xludf.DUMMYFUNCTION("""COMPUTED_VALUE"""),"20241215_KC@CLE")</f>
        <v>20241215_KC@CLE</v>
      </c>
      <c r="B213" s="137" t="str">
        <f>IFERROR(__xludf.DUMMYFUNCTION("""COMPUTED_VALUE"""),"KC")</f>
        <v>KC</v>
      </c>
      <c r="C213" s="137" t="str">
        <f>IFERROR(__xludf.DUMMYFUNCTION("""COMPUTED_VALUE"""),"CLE")</f>
        <v>CLE</v>
      </c>
      <c r="D213" s="137"/>
      <c r="E213" s="137"/>
      <c r="F213" s="137" t="str">
        <f>IFERROR(__xludf.DUMMYFUNCTION("""COMPUTED_VALUE"""),"Week 15")</f>
        <v>Week 15</v>
      </c>
      <c r="G213" s="137">
        <f>IFERROR(__xludf.DUMMYFUNCTION("""COMPUTED_VALUE"""),0.0)</f>
        <v>0</v>
      </c>
      <c r="H213" s="137" t="str">
        <f t="shared" si="2"/>
        <v/>
      </c>
      <c r="I213" s="137" t="str">
        <f t="shared" si="3"/>
        <v/>
      </c>
      <c r="J213" s="137" t="str">
        <f t="shared" si="4"/>
        <v>Week 15KC</v>
      </c>
      <c r="K213" s="137" t="str">
        <f t="shared" si="5"/>
        <v>Week 15CLE</v>
      </c>
      <c r="L213" s="137" t="str">
        <f t="shared" ref="L213:M213" si="217">D213</f>
        <v/>
      </c>
      <c r="M213" s="137" t="str">
        <f t="shared" si="217"/>
        <v/>
      </c>
      <c r="N213" s="137" t="str">
        <f t="shared" si="7"/>
        <v>Week 15KC</v>
      </c>
    </row>
    <row r="214">
      <c r="A214" s="137" t="str">
        <f>IFERROR(__xludf.DUMMYFUNCTION("""COMPUTED_VALUE"""),"20241215_WSH@NO")</f>
        <v>20241215_WSH@NO</v>
      </c>
      <c r="B214" s="137" t="str">
        <f>IFERROR(__xludf.DUMMYFUNCTION("""COMPUTED_VALUE"""),"WSH")</f>
        <v>WSH</v>
      </c>
      <c r="C214" s="137" t="str">
        <f>IFERROR(__xludf.DUMMYFUNCTION("""COMPUTED_VALUE"""),"NO")</f>
        <v>NO</v>
      </c>
      <c r="D214" s="137"/>
      <c r="E214" s="137"/>
      <c r="F214" s="137" t="str">
        <f>IFERROR(__xludf.DUMMYFUNCTION("""COMPUTED_VALUE"""),"Week 15")</f>
        <v>Week 15</v>
      </c>
      <c r="G214" s="137">
        <f>IFERROR(__xludf.DUMMYFUNCTION("""COMPUTED_VALUE"""),0.0)</f>
        <v>0</v>
      </c>
      <c r="H214" s="137" t="str">
        <f t="shared" si="2"/>
        <v/>
      </c>
      <c r="I214" s="137" t="str">
        <f t="shared" si="3"/>
        <v/>
      </c>
      <c r="J214" s="137" t="str">
        <f t="shared" si="4"/>
        <v>Week 15WSH</v>
      </c>
      <c r="K214" s="137" t="str">
        <f t="shared" si="5"/>
        <v>Week 15NO</v>
      </c>
      <c r="L214" s="137" t="str">
        <f t="shared" ref="L214:M214" si="218">D214</f>
        <v/>
      </c>
      <c r="M214" s="137" t="str">
        <f t="shared" si="218"/>
        <v/>
      </c>
      <c r="N214" s="137" t="str">
        <f t="shared" si="7"/>
        <v>Week 15WSH</v>
      </c>
    </row>
    <row r="215">
      <c r="A215" s="137" t="str">
        <f>IFERROR(__xludf.DUMMYFUNCTION("""COMPUTED_VALUE"""),"20241215_BUF@DET")</f>
        <v>20241215_BUF@DET</v>
      </c>
      <c r="B215" s="137" t="str">
        <f>IFERROR(__xludf.DUMMYFUNCTION("""COMPUTED_VALUE"""),"BUF")</f>
        <v>BUF</v>
      </c>
      <c r="C215" s="137" t="str">
        <f>IFERROR(__xludf.DUMMYFUNCTION("""COMPUTED_VALUE"""),"DET")</f>
        <v>DET</v>
      </c>
      <c r="D215" s="137"/>
      <c r="E215" s="137"/>
      <c r="F215" s="137" t="str">
        <f>IFERROR(__xludf.DUMMYFUNCTION("""COMPUTED_VALUE"""),"Week 15")</f>
        <v>Week 15</v>
      </c>
      <c r="G215" s="137">
        <f>IFERROR(__xludf.DUMMYFUNCTION("""COMPUTED_VALUE"""),0.0)</f>
        <v>0</v>
      </c>
      <c r="H215" s="137" t="str">
        <f t="shared" si="2"/>
        <v/>
      </c>
      <c r="I215" s="137" t="str">
        <f t="shared" si="3"/>
        <v/>
      </c>
      <c r="J215" s="137" t="str">
        <f t="shared" si="4"/>
        <v>Week 15BUF</v>
      </c>
      <c r="K215" s="137" t="str">
        <f t="shared" si="5"/>
        <v>Week 15DET</v>
      </c>
      <c r="L215" s="137" t="str">
        <f t="shared" ref="L215:M215" si="219">D215</f>
        <v/>
      </c>
      <c r="M215" s="137" t="str">
        <f t="shared" si="219"/>
        <v/>
      </c>
      <c r="N215" s="137" t="str">
        <f t="shared" si="7"/>
        <v>Week 15BUF</v>
      </c>
    </row>
    <row r="216">
      <c r="A216" s="137" t="str">
        <f>IFERROR(__xludf.DUMMYFUNCTION("""COMPUTED_VALUE"""),"20241215_CIN@TEN")</f>
        <v>20241215_CIN@TEN</v>
      </c>
      <c r="B216" s="137" t="str">
        <f>IFERROR(__xludf.DUMMYFUNCTION("""COMPUTED_VALUE"""),"CIN")</f>
        <v>CIN</v>
      </c>
      <c r="C216" s="137" t="str">
        <f>IFERROR(__xludf.DUMMYFUNCTION("""COMPUTED_VALUE"""),"TEN")</f>
        <v>TEN</v>
      </c>
      <c r="D216" s="137"/>
      <c r="E216" s="137"/>
      <c r="F216" s="137" t="str">
        <f>IFERROR(__xludf.DUMMYFUNCTION("""COMPUTED_VALUE"""),"Week 15")</f>
        <v>Week 15</v>
      </c>
      <c r="G216" s="137">
        <f>IFERROR(__xludf.DUMMYFUNCTION("""COMPUTED_VALUE"""),0.0)</f>
        <v>0</v>
      </c>
      <c r="H216" s="137" t="str">
        <f t="shared" si="2"/>
        <v/>
      </c>
      <c r="I216" s="137" t="str">
        <f t="shared" si="3"/>
        <v/>
      </c>
      <c r="J216" s="137" t="str">
        <f t="shared" si="4"/>
        <v>Week 15CIN</v>
      </c>
      <c r="K216" s="137" t="str">
        <f t="shared" si="5"/>
        <v>Week 15TEN</v>
      </c>
      <c r="L216" s="137" t="str">
        <f t="shared" ref="L216:M216" si="220">D216</f>
        <v/>
      </c>
      <c r="M216" s="137" t="str">
        <f t="shared" si="220"/>
        <v/>
      </c>
      <c r="N216" s="137" t="str">
        <f t="shared" si="7"/>
        <v>Week 15CIN</v>
      </c>
    </row>
    <row r="217">
      <c r="A217" s="137" t="str">
        <f>IFERROR(__xludf.DUMMYFUNCTION("""COMPUTED_VALUE"""),"20241215_TB@LAC")</f>
        <v>20241215_TB@LAC</v>
      </c>
      <c r="B217" s="137" t="str">
        <f>IFERROR(__xludf.DUMMYFUNCTION("""COMPUTED_VALUE"""),"TB")</f>
        <v>TB</v>
      </c>
      <c r="C217" s="137" t="str">
        <f>IFERROR(__xludf.DUMMYFUNCTION("""COMPUTED_VALUE"""),"LAC")</f>
        <v>LAC</v>
      </c>
      <c r="D217" s="137"/>
      <c r="E217" s="137"/>
      <c r="F217" s="137" t="str">
        <f>IFERROR(__xludf.DUMMYFUNCTION("""COMPUTED_VALUE"""),"Week 15")</f>
        <v>Week 15</v>
      </c>
      <c r="G217" s="137">
        <f>IFERROR(__xludf.DUMMYFUNCTION("""COMPUTED_VALUE"""),0.0)</f>
        <v>0</v>
      </c>
      <c r="H217" s="137" t="str">
        <f t="shared" si="2"/>
        <v/>
      </c>
      <c r="I217" s="137" t="str">
        <f t="shared" si="3"/>
        <v/>
      </c>
      <c r="J217" s="137" t="str">
        <f t="shared" si="4"/>
        <v>Week 15TB</v>
      </c>
      <c r="K217" s="137" t="str">
        <f t="shared" si="5"/>
        <v>Week 15LAC</v>
      </c>
      <c r="L217" s="137" t="str">
        <f t="shared" ref="L217:M217" si="221">D217</f>
        <v/>
      </c>
      <c r="M217" s="137" t="str">
        <f t="shared" si="221"/>
        <v/>
      </c>
      <c r="N217" s="137" t="str">
        <f t="shared" si="7"/>
        <v>Week 15TB</v>
      </c>
    </row>
    <row r="218">
      <c r="A218" s="137" t="str">
        <f>IFERROR(__xludf.DUMMYFUNCTION("""COMPUTED_VALUE"""),"20241215_DAL@CAR")</f>
        <v>20241215_DAL@CAR</v>
      </c>
      <c r="B218" s="137" t="str">
        <f>IFERROR(__xludf.DUMMYFUNCTION("""COMPUTED_VALUE"""),"DAL")</f>
        <v>DAL</v>
      </c>
      <c r="C218" s="137" t="str">
        <f>IFERROR(__xludf.DUMMYFUNCTION("""COMPUTED_VALUE"""),"CAR")</f>
        <v>CAR</v>
      </c>
      <c r="D218" s="137"/>
      <c r="E218" s="137"/>
      <c r="F218" s="137" t="str">
        <f>IFERROR(__xludf.DUMMYFUNCTION("""COMPUTED_VALUE"""),"Week 15")</f>
        <v>Week 15</v>
      </c>
      <c r="G218" s="137">
        <f>IFERROR(__xludf.DUMMYFUNCTION("""COMPUTED_VALUE"""),0.0)</f>
        <v>0</v>
      </c>
      <c r="H218" s="137" t="str">
        <f t="shared" si="2"/>
        <v/>
      </c>
      <c r="I218" s="137" t="str">
        <f t="shared" si="3"/>
        <v/>
      </c>
      <c r="J218" s="137" t="str">
        <f t="shared" si="4"/>
        <v>Week 15DAL</v>
      </c>
      <c r="K218" s="137" t="str">
        <f t="shared" si="5"/>
        <v>Week 15CAR</v>
      </c>
      <c r="L218" s="137" t="str">
        <f t="shared" ref="L218:M218" si="222">D218</f>
        <v/>
      </c>
      <c r="M218" s="137" t="str">
        <f t="shared" si="222"/>
        <v/>
      </c>
      <c r="N218" s="137" t="str">
        <f t="shared" si="7"/>
        <v>Week 15DAL</v>
      </c>
    </row>
    <row r="219">
      <c r="A219" s="137" t="str">
        <f>IFERROR(__xludf.DUMMYFUNCTION("""COMPUTED_VALUE"""),"20241215_NE@ARI")</f>
        <v>20241215_NE@ARI</v>
      </c>
      <c r="B219" s="137" t="str">
        <f>IFERROR(__xludf.DUMMYFUNCTION("""COMPUTED_VALUE"""),"NE")</f>
        <v>NE</v>
      </c>
      <c r="C219" s="137" t="str">
        <f>IFERROR(__xludf.DUMMYFUNCTION("""COMPUTED_VALUE"""),"ARI")</f>
        <v>ARI</v>
      </c>
      <c r="D219" s="137"/>
      <c r="E219" s="137"/>
      <c r="F219" s="137" t="str">
        <f>IFERROR(__xludf.DUMMYFUNCTION("""COMPUTED_VALUE"""),"Week 15")</f>
        <v>Week 15</v>
      </c>
      <c r="G219" s="137">
        <f>IFERROR(__xludf.DUMMYFUNCTION("""COMPUTED_VALUE"""),0.0)</f>
        <v>0</v>
      </c>
      <c r="H219" s="137" t="str">
        <f t="shared" si="2"/>
        <v/>
      </c>
      <c r="I219" s="137" t="str">
        <f t="shared" si="3"/>
        <v/>
      </c>
      <c r="J219" s="137" t="str">
        <f t="shared" si="4"/>
        <v>Week 15NE</v>
      </c>
      <c r="K219" s="137" t="str">
        <f t="shared" si="5"/>
        <v>Week 15ARI</v>
      </c>
      <c r="L219" s="137" t="str">
        <f t="shared" ref="L219:M219" si="223">D219</f>
        <v/>
      </c>
      <c r="M219" s="137" t="str">
        <f t="shared" si="223"/>
        <v/>
      </c>
      <c r="N219" s="137" t="str">
        <f t="shared" si="7"/>
        <v>Week 15NE</v>
      </c>
    </row>
    <row r="220">
      <c r="A220" s="137" t="str">
        <f>IFERROR(__xludf.DUMMYFUNCTION("""COMPUTED_VALUE"""),"20241215_GB@SEA")</f>
        <v>20241215_GB@SEA</v>
      </c>
      <c r="B220" s="137" t="str">
        <f>IFERROR(__xludf.DUMMYFUNCTION("""COMPUTED_VALUE"""),"GB")</f>
        <v>GB</v>
      </c>
      <c r="C220" s="137" t="str">
        <f>IFERROR(__xludf.DUMMYFUNCTION("""COMPUTED_VALUE"""),"SEA")</f>
        <v>SEA</v>
      </c>
      <c r="D220" s="137"/>
      <c r="E220" s="137"/>
      <c r="F220" s="137" t="str">
        <f>IFERROR(__xludf.DUMMYFUNCTION("""COMPUTED_VALUE"""),"Week 15")</f>
        <v>Week 15</v>
      </c>
      <c r="G220" s="137">
        <f>IFERROR(__xludf.DUMMYFUNCTION("""COMPUTED_VALUE"""),0.0)</f>
        <v>0</v>
      </c>
      <c r="H220" s="137" t="str">
        <f t="shared" si="2"/>
        <v/>
      </c>
      <c r="I220" s="137" t="str">
        <f t="shared" si="3"/>
        <v/>
      </c>
      <c r="J220" s="137" t="str">
        <f t="shared" si="4"/>
        <v>Week 15GB</v>
      </c>
      <c r="K220" s="137" t="str">
        <f t="shared" si="5"/>
        <v>Week 15SEA</v>
      </c>
      <c r="L220" s="137" t="str">
        <f t="shared" ref="L220:M220" si="224">D220</f>
        <v/>
      </c>
      <c r="M220" s="137" t="str">
        <f t="shared" si="224"/>
        <v/>
      </c>
      <c r="N220" s="137" t="str">
        <f t="shared" si="7"/>
        <v>Week 15GB</v>
      </c>
    </row>
    <row r="221">
      <c r="A221" s="137" t="str">
        <f>IFERROR(__xludf.DUMMYFUNCTION("""COMPUTED_VALUE"""),"20241215_IND@DEN")</f>
        <v>20241215_IND@DEN</v>
      </c>
      <c r="B221" s="137" t="str">
        <f>IFERROR(__xludf.DUMMYFUNCTION("""COMPUTED_VALUE"""),"IND")</f>
        <v>IND</v>
      </c>
      <c r="C221" s="137" t="str">
        <f>IFERROR(__xludf.DUMMYFUNCTION("""COMPUTED_VALUE"""),"DEN")</f>
        <v>DEN</v>
      </c>
      <c r="D221" s="137"/>
      <c r="E221" s="137"/>
      <c r="F221" s="137" t="str">
        <f>IFERROR(__xludf.DUMMYFUNCTION("""COMPUTED_VALUE"""),"Week 15")</f>
        <v>Week 15</v>
      </c>
      <c r="G221" s="137">
        <f>IFERROR(__xludf.DUMMYFUNCTION("""COMPUTED_VALUE"""),0.0)</f>
        <v>0</v>
      </c>
      <c r="H221" s="137" t="str">
        <f t="shared" si="2"/>
        <v/>
      </c>
      <c r="I221" s="137" t="str">
        <f t="shared" si="3"/>
        <v/>
      </c>
      <c r="J221" s="137" t="str">
        <f t="shared" si="4"/>
        <v>Week 15IND</v>
      </c>
      <c r="K221" s="137" t="str">
        <f t="shared" si="5"/>
        <v>Week 15DEN</v>
      </c>
      <c r="L221" s="137" t="str">
        <f t="shared" ref="L221:M221" si="225">D221</f>
        <v/>
      </c>
      <c r="M221" s="137" t="str">
        <f t="shared" si="225"/>
        <v/>
      </c>
      <c r="N221" s="137" t="str">
        <f t="shared" si="7"/>
        <v>Week 15IND</v>
      </c>
    </row>
    <row r="222">
      <c r="A222" s="137" t="str">
        <f>IFERROR(__xludf.DUMMYFUNCTION("""COMPUTED_VALUE"""),"20241215_MIA@HOU")</f>
        <v>20241215_MIA@HOU</v>
      </c>
      <c r="B222" s="137" t="str">
        <f>IFERROR(__xludf.DUMMYFUNCTION("""COMPUTED_VALUE"""),"MIA")</f>
        <v>MIA</v>
      </c>
      <c r="C222" s="137" t="str">
        <f>IFERROR(__xludf.DUMMYFUNCTION("""COMPUTED_VALUE"""),"HOU")</f>
        <v>HOU</v>
      </c>
      <c r="D222" s="137"/>
      <c r="E222" s="137"/>
      <c r="F222" s="137" t="str">
        <f>IFERROR(__xludf.DUMMYFUNCTION("""COMPUTED_VALUE"""),"Week 15")</f>
        <v>Week 15</v>
      </c>
      <c r="G222" s="137">
        <f>IFERROR(__xludf.DUMMYFUNCTION("""COMPUTED_VALUE"""),0.0)</f>
        <v>0</v>
      </c>
      <c r="H222" s="137" t="str">
        <f t="shared" si="2"/>
        <v/>
      </c>
      <c r="I222" s="137" t="str">
        <f t="shared" si="3"/>
        <v/>
      </c>
      <c r="J222" s="137" t="str">
        <f t="shared" si="4"/>
        <v>Week 15MIA</v>
      </c>
      <c r="K222" s="137" t="str">
        <f t="shared" si="5"/>
        <v>Week 15HOU</v>
      </c>
      <c r="L222" s="137" t="str">
        <f t="shared" ref="L222:M222" si="226">D222</f>
        <v/>
      </c>
      <c r="M222" s="137" t="str">
        <f t="shared" si="226"/>
        <v/>
      </c>
      <c r="N222" s="137" t="str">
        <f t="shared" si="7"/>
        <v>Week 15MIA</v>
      </c>
    </row>
    <row r="223">
      <c r="A223" s="137" t="str">
        <f>IFERROR(__xludf.DUMMYFUNCTION("""COMPUTED_VALUE"""),"20241215_PIT@PHI")</f>
        <v>20241215_PIT@PHI</v>
      </c>
      <c r="B223" s="137" t="str">
        <f>IFERROR(__xludf.DUMMYFUNCTION("""COMPUTED_VALUE"""),"PIT")</f>
        <v>PIT</v>
      </c>
      <c r="C223" s="137" t="str">
        <f>IFERROR(__xludf.DUMMYFUNCTION("""COMPUTED_VALUE"""),"PHI")</f>
        <v>PHI</v>
      </c>
      <c r="D223" s="137"/>
      <c r="E223" s="137"/>
      <c r="F223" s="137" t="str">
        <f>IFERROR(__xludf.DUMMYFUNCTION("""COMPUTED_VALUE"""),"Week 15")</f>
        <v>Week 15</v>
      </c>
      <c r="G223" s="137">
        <f>IFERROR(__xludf.DUMMYFUNCTION("""COMPUTED_VALUE"""),0.0)</f>
        <v>0</v>
      </c>
      <c r="H223" s="137" t="str">
        <f t="shared" si="2"/>
        <v/>
      </c>
      <c r="I223" s="137" t="str">
        <f t="shared" si="3"/>
        <v/>
      </c>
      <c r="J223" s="137" t="str">
        <f t="shared" si="4"/>
        <v>Week 15PIT</v>
      </c>
      <c r="K223" s="137" t="str">
        <f t="shared" si="5"/>
        <v>Week 15PHI</v>
      </c>
      <c r="L223" s="137" t="str">
        <f t="shared" ref="L223:M223" si="227">D223</f>
        <v/>
      </c>
      <c r="M223" s="137" t="str">
        <f t="shared" si="227"/>
        <v/>
      </c>
      <c r="N223" s="137" t="str">
        <f t="shared" si="7"/>
        <v>Week 15PIT</v>
      </c>
    </row>
    <row r="224">
      <c r="A224" s="137" t="str">
        <f>IFERROR(__xludf.DUMMYFUNCTION("""COMPUTED_VALUE"""),"20241215_BAL@NYG")</f>
        <v>20241215_BAL@NYG</v>
      </c>
      <c r="B224" s="137" t="str">
        <f>IFERROR(__xludf.DUMMYFUNCTION("""COMPUTED_VALUE"""),"BAL")</f>
        <v>BAL</v>
      </c>
      <c r="C224" s="137" t="str">
        <f>IFERROR(__xludf.DUMMYFUNCTION("""COMPUTED_VALUE"""),"NYG")</f>
        <v>NYG</v>
      </c>
      <c r="D224" s="137"/>
      <c r="E224" s="137"/>
      <c r="F224" s="137" t="str">
        <f>IFERROR(__xludf.DUMMYFUNCTION("""COMPUTED_VALUE"""),"Week 15")</f>
        <v>Week 15</v>
      </c>
      <c r="G224" s="137">
        <f>IFERROR(__xludf.DUMMYFUNCTION("""COMPUTED_VALUE"""),0.0)</f>
        <v>0</v>
      </c>
      <c r="H224" s="137" t="str">
        <f t="shared" si="2"/>
        <v/>
      </c>
      <c r="I224" s="137" t="str">
        <f t="shared" si="3"/>
        <v/>
      </c>
      <c r="J224" s="137" t="str">
        <f t="shared" si="4"/>
        <v>Week 15BAL</v>
      </c>
      <c r="K224" s="137" t="str">
        <f t="shared" si="5"/>
        <v>Week 15NYG</v>
      </c>
      <c r="L224" s="137" t="str">
        <f t="shared" ref="L224:M224" si="228">D224</f>
        <v/>
      </c>
      <c r="M224" s="137" t="str">
        <f t="shared" si="228"/>
        <v/>
      </c>
      <c r="N224" s="137" t="str">
        <f t="shared" si="7"/>
        <v>Week 15BAL</v>
      </c>
    </row>
    <row r="225">
      <c r="A225" s="137" t="str">
        <f>IFERROR(__xludf.DUMMYFUNCTION("""COMPUTED_VALUE"""),"20241215_NYJ@JAX")</f>
        <v>20241215_NYJ@JAX</v>
      </c>
      <c r="B225" s="137" t="str">
        <f>IFERROR(__xludf.DUMMYFUNCTION("""COMPUTED_VALUE"""),"NYJ")</f>
        <v>NYJ</v>
      </c>
      <c r="C225" s="137" t="str">
        <f>IFERROR(__xludf.DUMMYFUNCTION("""COMPUTED_VALUE"""),"JAX")</f>
        <v>JAX</v>
      </c>
      <c r="D225" s="137"/>
      <c r="E225" s="137"/>
      <c r="F225" s="137" t="str">
        <f>IFERROR(__xludf.DUMMYFUNCTION("""COMPUTED_VALUE"""),"Week 15")</f>
        <v>Week 15</v>
      </c>
      <c r="G225" s="137">
        <f>IFERROR(__xludf.DUMMYFUNCTION("""COMPUTED_VALUE"""),0.0)</f>
        <v>0</v>
      </c>
      <c r="H225" s="137" t="str">
        <f t="shared" si="2"/>
        <v/>
      </c>
      <c r="I225" s="137" t="str">
        <f t="shared" si="3"/>
        <v/>
      </c>
      <c r="J225" s="137" t="str">
        <f t="shared" si="4"/>
        <v>Week 15NYJ</v>
      </c>
      <c r="K225" s="137" t="str">
        <f t="shared" si="5"/>
        <v>Week 15JAX</v>
      </c>
      <c r="L225" s="137" t="str">
        <f t="shared" ref="L225:M225" si="229">D225</f>
        <v/>
      </c>
      <c r="M225" s="137" t="str">
        <f t="shared" si="229"/>
        <v/>
      </c>
      <c r="N225" s="137" t="str">
        <f t="shared" si="7"/>
        <v>Week 15NYJ</v>
      </c>
    </row>
    <row r="226">
      <c r="A226" s="137" t="str">
        <f>IFERROR(__xludf.DUMMYFUNCTION("""COMPUTED_VALUE"""),"20241223_NO@GB")</f>
        <v>20241223_NO@GB</v>
      </c>
      <c r="B226" s="137" t="str">
        <f>IFERROR(__xludf.DUMMYFUNCTION("""COMPUTED_VALUE"""),"NO")</f>
        <v>NO</v>
      </c>
      <c r="C226" s="137" t="str">
        <f>IFERROR(__xludf.DUMMYFUNCTION("""COMPUTED_VALUE"""),"GB")</f>
        <v>GB</v>
      </c>
      <c r="D226" s="137"/>
      <c r="E226" s="137"/>
      <c r="F226" s="137" t="str">
        <f>IFERROR(__xludf.DUMMYFUNCTION("""COMPUTED_VALUE"""),"Week 16")</f>
        <v>Week 16</v>
      </c>
      <c r="G226" s="137">
        <f>IFERROR(__xludf.DUMMYFUNCTION("""COMPUTED_VALUE"""),0.0)</f>
        <v>0</v>
      </c>
      <c r="H226" s="137" t="str">
        <f t="shared" si="2"/>
        <v/>
      </c>
      <c r="I226" s="137" t="str">
        <f t="shared" si="3"/>
        <v/>
      </c>
      <c r="J226" s="137" t="str">
        <f t="shared" si="4"/>
        <v>Week 16NO</v>
      </c>
      <c r="K226" s="137" t="str">
        <f t="shared" si="5"/>
        <v>Week 16GB</v>
      </c>
      <c r="L226" s="137" t="str">
        <f t="shared" ref="L226:M226" si="230">D226</f>
        <v/>
      </c>
      <c r="M226" s="137" t="str">
        <f t="shared" si="230"/>
        <v/>
      </c>
      <c r="N226" s="137" t="str">
        <f t="shared" si="7"/>
        <v>Week 16NO</v>
      </c>
    </row>
    <row r="227">
      <c r="A227" s="137" t="str">
        <f>IFERROR(__xludf.DUMMYFUNCTION("""COMPUTED_VALUE"""),"20241222_NE@BUF")</f>
        <v>20241222_NE@BUF</v>
      </c>
      <c r="B227" s="137" t="str">
        <f>IFERROR(__xludf.DUMMYFUNCTION("""COMPUTED_VALUE"""),"NE")</f>
        <v>NE</v>
      </c>
      <c r="C227" s="137" t="str">
        <f>IFERROR(__xludf.DUMMYFUNCTION("""COMPUTED_VALUE"""),"BUF")</f>
        <v>BUF</v>
      </c>
      <c r="D227" s="137"/>
      <c r="E227" s="137"/>
      <c r="F227" s="137" t="str">
        <f>IFERROR(__xludf.DUMMYFUNCTION("""COMPUTED_VALUE"""),"Week 16")</f>
        <v>Week 16</v>
      </c>
      <c r="G227" s="137">
        <f>IFERROR(__xludf.DUMMYFUNCTION("""COMPUTED_VALUE"""),0.0)</f>
        <v>0</v>
      </c>
      <c r="H227" s="137" t="str">
        <f t="shared" si="2"/>
        <v/>
      </c>
      <c r="I227" s="137" t="str">
        <f t="shared" si="3"/>
        <v/>
      </c>
      <c r="J227" s="137" t="str">
        <f t="shared" si="4"/>
        <v>Week 16NE</v>
      </c>
      <c r="K227" s="137" t="str">
        <f t="shared" si="5"/>
        <v>Week 16BUF</v>
      </c>
      <c r="L227" s="137" t="str">
        <f t="shared" ref="L227:M227" si="231">D227</f>
        <v/>
      </c>
      <c r="M227" s="137" t="str">
        <f t="shared" si="231"/>
        <v/>
      </c>
      <c r="N227" s="137" t="str">
        <f t="shared" si="7"/>
        <v>Week 16NE</v>
      </c>
    </row>
    <row r="228">
      <c r="A228" s="137" t="str">
        <f>IFERROR(__xludf.DUMMYFUNCTION("""COMPUTED_VALUE"""),"20241222_TB@DAL")</f>
        <v>20241222_TB@DAL</v>
      </c>
      <c r="B228" s="137" t="str">
        <f>IFERROR(__xludf.DUMMYFUNCTION("""COMPUTED_VALUE"""),"TB")</f>
        <v>TB</v>
      </c>
      <c r="C228" s="137" t="str">
        <f>IFERROR(__xludf.DUMMYFUNCTION("""COMPUTED_VALUE"""),"DAL")</f>
        <v>DAL</v>
      </c>
      <c r="D228" s="137"/>
      <c r="E228" s="137"/>
      <c r="F228" s="137" t="str">
        <f>IFERROR(__xludf.DUMMYFUNCTION("""COMPUTED_VALUE"""),"Week 16")</f>
        <v>Week 16</v>
      </c>
      <c r="G228" s="137">
        <f>IFERROR(__xludf.DUMMYFUNCTION("""COMPUTED_VALUE"""),0.0)</f>
        <v>0</v>
      </c>
      <c r="H228" s="137" t="str">
        <f t="shared" si="2"/>
        <v/>
      </c>
      <c r="I228" s="137" t="str">
        <f t="shared" si="3"/>
        <v/>
      </c>
      <c r="J228" s="137" t="str">
        <f t="shared" si="4"/>
        <v>Week 16TB</v>
      </c>
      <c r="K228" s="137" t="str">
        <f t="shared" si="5"/>
        <v>Week 16DAL</v>
      </c>
      <c r="L228" s="137" t="str">
        <f t="shared" ref="L228:M228" si="232">D228</f>
        <v/>
      </c>
      <c r="M228" s="137" t="str">
        <f t="shared" si="232"/>
        <v/>
      </c>
      <c r="N228" s="137" t="str">
        <f t="shared" si="7"/>
        <v>Week 16TB</v>
      </c>
    </row>
    <row r="229">
      <c r="A229" s="137" t="str">
        <f>IFERROR(__xludf.DUMMYFUNCTION("""COMPUTED_VALUE"""),"20241222_JAX@LV")</f>
        <v>20241222_JAX@LV</v>
      </c>
      <c r="B229" s="137" t="str">
        <f>IFERROR(__xludf.DUMMYFUNCTION("""COMPUTED_VALUE"""),"JAX")</f>
        <v>JAX</v>
      </c>
      <c r="C229" s="137" t="str">
        <f>IFERROR(__xludf.DUMMYFUNCTION("""COMPUTED_VALUE"""),"LV")</f>
        <v>LV</v>
      </c>
      <c r="D229" s="137"/>
      <c r="E229" s="137"/>
      <c r="F229" s="137" t="str">
        <f>IFERROR(__xludf.DUMMYFUNCTION("""COMPUTED_VALUE"""),"Week 16")</f>
        <v>Week 16</v>
      </c>
      <c r="G229" s="137">
        <f>IFERROR(__xludf.DUMMYFUNCTION("""COMPUTED_VALUE"""),0.0)</f>
        <v>0</v>
      </c>
      <c r="H229" s="137" t="str">
        <f t="shared" si="2"/>
        <v/>
      </c>
      <c r="I229" s="137" t="str">
        <f t="shared" si="3"/>
        <v/>
      </c>
      <c r="J229" s="137" t="str">
        <f t="shared" si="4"/>
        <v>Week 16JAX</v>
      </c>
      <c r="K229" s="137" t="str">
        <f t="shared" si="5"/>
        <v>Week 16LV</v>
      </c>
      <c r="L229" s="137" t="str">
        <f t="shared" ref="L229:M229" si="233">D229</f>
        <v/>
      </c>
      <c r="M229" s="137" t="str">
        <f t="shared" si="233"/>
        <v/>
      </c>
      <c r="N229" s="137" t="str">
        <f t="shared" si="7"/>
        <v>Week 16JAX</v>
      </c>
    </row>
    <row r="230">
      <c r="A230" s="137" t="str">
        <f>IFERROR(__xludf.DUMMYFUNCTION("""COMPUTED_VALUE"""),"20241222_ARI@CAR")</f>
        <v>20241222_ARI@CAR</v>
      </c>
      <c r="B230" s="137" t="str">
        <f>IFERROR(__xludf.DUMMYFUNCTION("""COMPUTED_VALUE"""),"ARI")</f>
        <v>ARI</v>
      </c>
      <c r="C230" s="137" t="str">
        <f>IFERROR(__xludf.DUMMYFUNCTION("""COMPUTED_VALUE"""),"CAR")</f>
        <v>CAR</v>
      </c>
      <c r="D230" s="137"/>
      <c r="E230" s="137"/>
      <c r="F230" s="137" t="str">
        <f>IFERROR(__xludf.DUMMYFUNCTION("""COMPUTED_VALUE"""),"Week 16")</f>
        <v>Week 16</v>
      </c>
      <c r="G230" s="137">
        <f>IFERROR(__xludf.DUMMYFUNCTION("""COMPUTED_VALUE"""),0.0)</f>
        <v>0</v>
      </c>
      <c r="H230" s="137" t="str">
        <f t="shared" si="2"/>
        <v/>
      </c>
      <c r="I230" s="137" t="str">
        <f t="shared" si="3"/>
        <v/>
      </c>
      <c r="J230" s="137" t="str">
        <f t="shared" si="4"/>
        <v>Week 16ARI</v>
      </c>
      <c r="K230" s="137" t="str">
        <f t="shared" si="5"/>
        <v>Week 16CAR</v>
      </c>
      <c r="L230" s="137" t="str">
        <f t="shared" ref="L230:M230" si="234">D230</f>
        <v/>
      </c>
      <c r="M230" s="137" t="str">
        <f t="shared" si="234"/>
        <v/>
      </c>
      <c r="N230" s="137" t="str">
        <f t="shared" si="7"/>
        <v>Week 16ARI</v>
      </c>
    </row>
    <row r="231">
      <c r="A231" s="137" t="str">
        <f>IFERROR(__xludf.DUMMYFUNCTION("""COMPUTED_VALUE"""),"20241222_LAR@NYJ")</f>
        <v>20241222_LAR@NYJ</v>
      </c>
      <c r="B231" s="137" t="str">
        <f>IFERROR(__xludf.DUMMYFUNCTION("""COMPUTED_VALUE"""),"LAR")</f>
        <v>LAR</v>
      </c>
      <c r="C231" s="137" t="str">
        <f>IFERROR(__xludf.DUMMYFUNCTION("""COMPUTED_VALUE"""),"NYJ")</f>
        <v>NYJ</v>
      </c>
      <c r="D231" s="137"/>
      <c r="E231" s="137"/>
      <c r="F231" s="137" t="str">
        <f>IFERROR(__xludf.DUMMYFUNCTION("""COMPUTED_VALUE"""),"Week 16")</f>
        <v>Week 16</v>
      </c>
      <c r="G231" s="137">
        <f>IFERROR(__xludf.DUMMYFUNCTION("""COMPUTED_VALUE"""),0.0)</f>
        <v>0</v>
      </c>
      <c r="H231" s="137" t="str">
        <f t="shared" si="2"/>
        <v/>
      </c>
      <c r="I231" s="137" t="str">
        <f t="shared" si="3"/>
        <v/>
      </c>
      <c r="J231" s="137" t="str">
        <f t="shared" si="4"/>
        <v>Week 16LAR</v>
      </c>
      <c r="K231" s="137" t="str">
        <f t="shared" si="5"/>
        <v>Week 16NYJ</v>
      </c>
      <c r="L231" s="137" t="str">
        <f t="shared" ref="L231:M231" si="235">D231</f>
        <v/>
      </c>
      <c r="M231" s="137" t="str">
        <f t="shared" si="235"/>
        <v/>
      </c>
      <c r="N231" s="137" t="str">
        <f t="shared" si="7"/>
        <v>Week 16LAR</v>
      </c>
    </row>
    <row r="232">
      <c r="A232" s="137" t="str">
        <f>IFERROR(__xludf.DUMMYFUNCTION("""COMPUTED_VALUE"""),"20241222_SF@MIA")</f>
        <v>20241222_SF@MIA</v>
      </c>
      <c r="B232" s="137" t="str">
        <f>IFERROR(__xludf.DUMMYFUNCTION("""COMPUTED_VALUE"""),"SF")</f>
        <v>SF</v>
      </c>
      <c r="C232" s="137" t="str">
        <f>IFERROR(__xludf.DUMMYFUNCTION("""COMPUTED_VALUE"""),"MIA")</f>
        <v>MIA</v>
      </c>
      <c r="D232" s="137"/>
      <c r="E232" s="137"/>
      <c r="F232" s="137" t="str">
        <f>IFERROR(__xludf.DUMMYFUNCTION("""COMPUTED_VALUE"""),"Week 16")</f>
        <v>Week 16</v>
      </c>
      <c r="G232" s="137">
        <f>IFERROR(__xludf.DUMMYFUNCTION("""COMPUTED_VALUE"""),0.0)</f>
        <v>0</v>
      </c>
      <c r="H232" s="137" t="str">
        <f t="shared" si="2"/>
        <v/>
      </c>
      <c r="I232" s="137" t="str">
        <f t="shared" si="3"/>
        <v/>
      </c>
      <c r="J232" s="137" t="str">
        <f t="shared" si="4"/>
        <v>Week 16SF</v>
      </c>
      <c r="K232" s="137" t="str">
        <f t="shared" si="5"/>
        <v>Week 16MIA</v>
      </c>
      <c r="L232" s="137" t="str">
        <f t="shared" ref="L232:M232" si="236">D232</f>
        <v/>
      </c>
      <c r="M232" s="137" t="str">
        <f t="shared" si="236"/>
        <v/>
      </c>
      <c r="N232" s="137" t="str">
        <f t="shared" si="7"/>
        <v>Week 16SF</v>
      </c>
    </row>
    <row r="233">
      <c r="A233" s="137" t="str">
        <f>IFERROR(__xludf.DUMMYFUNCTION("""COMPUTED_VALUE"""),"20241222_TEN@IND")</f>
        <v>20241222_TEN@IND</v>
      </c>
      <c r="B233" s="137" t="str">
        <f>IFERROR(__xludf.DUMMYFUNCTION("""COMPUTED_VALUE"""),"TEN")</f>
        <v>TEN</v>
      </c>
      <c r="C233" s="137" t="str">
        <f>IFERROR(__xludf.DUMMYFUNCTION("""COMPUTED_VALUE"""),"IND")</f>
        <v>IND</v>
      </c>
      <c r="D233" s="137"/>
      <c r="E233" s="137"/>
      <c r="F233" s="137" t="str">
        <f>IFERROR(__xludf.DUMMYFUNCTION("""COMPUTED_VALUE"""),"Week 16")</f>
        <v>Week 16</v>
      </c>
      <c r="G233" s="137">
        <f>IFERROR(__xludf.DUMMYFUNCTION("""COMPUTED_VALUE"""),0.0)</f>
        <v>0</v>
      </c>
      <c r="H233" s="137" t="str">
        <f t="shared" si="2"/>
        <v/>
      </c>
      <c r="I233" s="137" t="str">
        <f t="shared" si="3"/>
        <v/>
      </c>
      <c r="J233" s="137" t="str">
        <f t="shared" si="4"/>
        <v>Week 16TEN</v>
      </c>
      <c r="K233" s="137" t="str">
        <f t="shared" si="5"/>
        <v>Week 16IND</v>
      </c>
      <c r="L233" s="137" t="str">
        <f t="shared" ref="L233:M233" si="237">D233</f>
        <v/>
      </c>
      <c r="M233" s="137" t="str">
        <f t="shared" si="237"/>
        <v/>
      </c>
      <c r="N233" s="137" t="str">
        <f t="shared" si="7"/>
        <v>Week 16TEN</v>
      </c>
    </row>
    <row r="234">
      <c r="A234" s="137" t="str">
        <f>IFERROR(__xludf.DUMMYFUNCTION("""COMPUTED_VALUE"""),"20241222_NYG@ATL")</f>
        <v>20241222_NYG@ATL</v>
      </c>
      <c r="B234" s="137" t="str">
        <f>IFERROR(__xludf.DUMMYFUNCTION("""COMPUTED_VALUE"""),"NYG")</f>
        <v>NYG</v>
      </c>
      <c r="C234" s="137" t="str">
        <f>IFERROR(__xludf.DUMMYFUNCTION("""COMPUTED_VALUE"""),"ATL")</f>
        <v>ATL</v>
      </c>
      <c r="D234" s="137"/>
      <c r="E234" s="137"/>
      <c r="F234" s="137" t="str">
        <f>IFERROR(__xludf.DUMMYFUNCTION("""COMPUTED_VALUE"""),"Week 16")</f>
        <v>Week 16</v>
      </c>
      <c r="G234" s="137">
        <f>IFERROR(__xludf.DUMMYFUNCTION("""COMPUTED_VALUE"""),0.0)</f>
        <v>0</v>
      </c>
      <c r="H234" s="137" t="str">
        <f t="shared" si="2"/>
        <v/>
      </c>
      <c r="I234" s="137" t="str">
        <f t="shared" si="3"/>
        <v/>
      </c>
      <c r="J234" s="137" t="str">
        <f t="shared" si="4"/>
        <v>Week 16NYG</v>
      </c>
      <c r="K234" s="137" t="str">
        <f t="shared" si="5"/>
        <v>Week 16ATL</v>
      </c>
      <c r="L234" s="137" t="str">
        <f t="shared" ref="L234:M234" si="238">D234</f>
        <v/>
      </c>
      <c r="M234" s="137" t="str">
        <f t="shared" si="238"/>
        <v/>
      </c>
      <c r="N234" s="137" t="str">
        <f t="shared" si="7"/>
        <v>Week 16NYG</v>
      </c>
    </row>
    <row r="235">
      <c r="A235" s="137" t="str">
        <f>IFERROR(__xludf.DUMMYFUNCTION("""COMPUTED_VALUE"""),"20241222_PHI@WSH")</f>
        <v>20241222_PHI@WSH</v>
      </c>
      <c r="B235" s="137" t="str">
        <f>IFERROR(__xludf.DUMMYFUNCTION("""COMPUTED_VALUE"""),"PHI")</f>
        <v>PHI</v>
      </c>
      <c r="C235" s="137" t="str">
        <f>IFERROR(__xludf.DUMMYFUNCTION("""COMPUTED_VALUE"""),"WSH")</f>
        <v>WSH</v>
      </c>
      <c r="D235" s="137"/>
      <c r="E235" s="137"/>
      <c r="F235" s="137" t="str">
        <f>IFERROR(__xludf.DUMMYFUNCTION("""COMPUTED_VALUE"""),"Week 16")</f>
        <v>Week 16</v>
      </c>
      <c r="G235" s="137">
        <f>IFERROR(__xludf.DUMMYFUNCTION("""COMPUTED_VALUE"""),0.0)</f>
        <v>0</v>
      </c>
      <c r="H235" s="137" t="str">
        <f t="shared" si="2"/>
        <v/>
      </c>
      <c r="I235" s="137" t="str">
        <f t="shared" si="3"/>
        <v/>
      </c>
      <c r="J235" s="137" t="str">
        <f t="shared" si="4"/>
        <v>Week 16PHI</v>
      </c>
      <c r="K235" s="137" t="str">
        <f t="shared" si="5"/>
        <v>Week 16WSH</v>
      </c>
      <c r="L235" s="137" t="str">
        <f t="shared" ref="L235:M235" si="239">D235</f>
        <v/>
      </c>
      <c r="M235" s="137" t="str">
        <f t="shared" si="239"/>
        <v/>
      </c>
      <c r="N235" s="137" t="str">
        <f t="shared" si="7"/>
        <v>Week 16PHI</v>
      </c>
    </row>
    <row r="236">
      <c r="A236" s="137" t="str">
        <f>IFERROR(__xludf.DUMMYFUNCTION("""COMPUTED_VALUE"""),"20241222_DET@CHI")</f>
        <v>20241222_DET@CHI</v>
      </c>
      <c r="B236" s="137" t="str">
        <f>IFERROR(__xludf.DUMMYFUNCTION("""COMPUTED_VALUE"""),"DET")</f>
        <v>DET</v>
      </c>
      <c r="C236" s="137" t="str">
        <f>IFERROR(__xludf.DUMMYFUNCTION("""COMPUTED_VALUE"""),"CHI")</f>
        <v>CHI</v>
      </c>
      <c r="D236" s="137"/>
      <c r="E236" s="137"/>
      <c r="F236" s="137" t="str">
        <f>IFERROR(__xludf.DUMMYFUNCTION("""COMPUTED_VALUE"""),"Week 16")</f>
        <v>Week 16</v>
      </c>
      <c r="G236" s="137">
        <f>IFERROR(__xludf.DUMMYFUNCTION("""COMPUTED_VALUE"""),0.0)</f>
        <v>0</v>
      </c>
      <c r="H236" s="137" t="str">
        <f t="shared" si="2"/>
        <v/>
      </c>
      <c r="I236" s="137" t="str">
        <f t="shared" si="3"/>
        <v/>
      </c>
      <c r="J236" s="137" t="str">
        <f t="shared" si="4"/>
        <v>Week 16DET</v>
      </c>
      <c r="K236" s="137" t="str">
        <f t="shared" si="5"/>
        <v>Week 16CHI</v>
      </c>
      <c r="L236" s="137" t="str">
        <f t="shared" ref="L236:M236" si="240">D236</f>
        <v/>
      </c>
      <c r="M236" s="137" t="str">
        <f t="shared" si="240"/>
        <v/>
      </c>
      <c r="N236" s="137" t="str">
        <f t="shared" si="7"/>
        <v>Week 16DET</v>
      </c>
    </row>
    <row r="237">
      <c r="A237" s="137" t="str">
        <f>IFERROR(__xludf.DUMMYFUNCTION("""COMPUTED_VALUE"""),"20241222_DEN@LAC")</f>
        <v>20241222_DEN@LAC</v>
      </c>
      <c r="B237" s="137" t="str">
        <f>IFERROR(__xludf.DUMMYFUNCTION("""COMPUTED_VALUE"""),"DEN")</f>
        <v>DEN</v>
      </c>
      <c r="C237" s="137" t="str">
        <f>IFERROR(__xludf.DUMMYFUNCTION("""COMPUTED_VALUE"""),"LAC")</f>
        <v>LAC</v>
      </c>
      <c r="D237" s="137"/>
      <c r="E237" s="137"/>
      <c r="F237" s="137" t="str">
        <f>IFERROR(__xludf.DUMMYFUNCTION("""COMPUTED_VALUE"""),"Week 16")</f>
        <v>Week 16</v>
      </c>
      <c r="G237" s="137">
        <f>IFERROR(__xludf.DUMMYFUNCTION("""COMPUTED_VALUE"""),0.0)</f>
        <v>0</v>
      </c>
      <c r="H237" s="137" t="str">
        <f t="shared" si="2"/>
        <v/>
      </c>
      <c r="I237" s="137" t="str">
        <f t="shared" si="3"/>
        <v/>
      </c>
      <c r="J237" s="137" t="str">
        <f t="shared" si="4"/>
        <v>Week 16DEN</v>
      </c>
      <c r="K237" s="137" t="str">
        <f t="shared" si="5"/>
        <v>Week 16LAC</v>
      </c>
      <c r="L237" s="137" t="str">
        <f t="shared" ref="L237:M237" si="241">D237</f>
        <v/>
      </c>
      <c r="M237" s="137" t="str">
        <f t="shared" si="241"/>
        <v/>
      </c>
      <c r="N237" s="137" t="str">
        <f t="shared" si="7"/>
        <v>Week 16DEN</v>
      </c>
    </row>
    <row r="238">
      <c r="A238" s="137" t="str">
        <f>IFERROR(__xludf.DUMMYFUNCTION("""COMPUTED_VALUE"""),"20241222_MIN@SEA")</f>
        <v>20241222_MIN@SEA</v>
      </c>
      <c r="B238" s="137" t="str">
        <f>IFERROR(__xludf.DUMMYFUNCTION("""COMPUTED_VALUE"""),"MIN")</f>
        <v>MIN</v>
      </c>
      <c r="C238" s="137" t="str">
        <f>IFERROR(__xludf.DUMMYFUNCTION("""COMPUTED_VALUE"""),"SEA")</f>
        <v>SEA</v>
      </c>
      <c r="D238" s="137"/>
      <c r="E238" s="137"/>
      <c r="F238" s="137" t="str">
        <f>IFERROR(__xludf.DUMMYFUNCTION("""COMPUTED_VALUE"""),"Week 16")</f>
        <v>Week 16</v>
      </c>
      <c r="G238" s="137">
        <f>IFERROR(__xludf.DUMMYFUNCTION("""COMPUTED_VALUE"""),0.0)</f>
        <v>0</v>
      </c>
      <c r="H238" s="137" t="str">
        <f t="shared" si="2"/>
        <v/>
      </c>
      <c r="I238" s="137" t="str">
        <f t="shared" si="3"/>
        <v/>
      </c>
      <c r="J238" s="137" t="str">
        <f t="shared" si="4"/>
        <v>Week 16MIN</v>
      </c>
      <c r="K238" s="137" t="str">
        <f t="shared" si="5"/>
        <v>Week 16SEA</v>
      </c>
      <c r="L238" s="137" t="str">
        <f t="shared" ref="L238:M238" si="242">D238</f>
        <v/>
      </c>
      <c r="M238" s="137" t="str">
        <f t="shared" si="242"/>
        <v/>
      </c>
      <c r="N238" s="137" t="str">
        <f t="shared" si="7"/>
        <v>Week 16MIN</v>
      </c>
    </row>
    <row r="239">
      <c r="A239" s="137" t="str">
        <f>IFERROR(__xludf.DUMMYFUNCTION("""COMPUTED_VALUE"""),"20241219_CLE@CIN")</f>
        <v>20241219_CLE@CIN</v>
      </c>
      <c r="B239" s="137" t="str">
        <f>IFERROR(__xludf.DUMMYFUNCTION("""COMPUTED_VALUE"""),"CLE")</f>
        <v>CLE</v>
      </c>
      <c r="C239" s="137" t="str">
        <f>IFERROR(__xludf.DUMMYFUNCTION("""COMPUTED_VALUE"""),"CIN")</f>
        <v>CIN</v>
      </c>
      <c r="D239" s="137"/>
      <c r="E239" s="137"/>
      <c r="F239" s="137" t="str">
        <f>IFERROR(__xludf.DUMMYFUNCTION("""COMPUTED_VALUE"""),"Week 16")</f>
        <v>Week 16</v>
      </c>
      <c r="G239" s="137">
        <f>IFERROR(__xludf.DUMMYFUNCTION("""COMPUTED_VALUE"""),0.0)</f>
        <v>0</v>
      </c>
      <c r="H239" s="137" t="str">
        <f t="shared" si="2"/>
        <v/>
      </c>
      <c r="I239" s="137" t="str">
        <f t="shared" si="3"/>
        <v/>
      </c>
      <c r="J239" s="137" t="str">
        <f t="shared" si="4"/>
        <v>Week 16CLE</v>
      </c>
      <c r="K239" s="137" t="str">
        <f t="shared" si="5"/>
        <v>Week 16CIN</v>
      </c>
      <c r="L239" s="137" t="str">
        <f t="shared" ref="L239:M239" si="243">D239</f>
        <v/>
      </c>
      <c r="M239" s="137" t="str">
        <f t="shared" si="243"/>
        <v/>
      </c>
      <c r="N239" s="137" t="str">
        <f t="shared" si="7"/>
        <v>Week 16CLE</v>
      </c>
    </row>
    <row r="240">
      <c r="A240" s="137" t="str">
        <f>IFERROR(__xludf.DUMMYFUNCTION("""COMPUTED_VALUE"""),"20241221_HOU@KC")</f>
        <v>20241221_HOU@KC</v>
      </c>
      <c r="B240" s="137" t="str">
        <f>IFERROR(__xludf.DUMMYFUNCTION("""COMPUTED_VALUE"""),"HOU")</f>
        <v>HOU</v>
      </c>
      <c r="C240" s="137" t="str">
        <f>IFERROR(__xludf.DUMMYFUNCTION("""COMPUTED_VALUE"""),"KC")</f>
        <v>KC</v>
      </c>
      <c r="D240" s="137"/>
      <c r="E240" s="137"/>
      <c r="F240" s="137" t="str">
        <f>IFERROR(__xludf.DUMMYFUNCTION("""COMPUTED_VALUE"""),"Week 16")</f>
        <v>Week 16</v>
      </c>
      <c r="G240" s="137">
        <f>IFERROR(__xludf.DUMMYFUNCTION("""COMPUTED_VALUE"""),0.0)</f>
        <v>0</v>
      </c>
      <c r="H240" s="137" t="str">
        <f t="shared" si="2"/>
        <v/>
      </c>
      <c r="I240" s="137" t="str">
        <f t="shared" si="3"/>
        <v/>
      </c>
      <c r="J240" s="137" t="str">
        <f t="shared" si="4"/>
        <v>Week 16HOU</v>
      </c>
      <c r="K240" s="137" t="str">
        <f t="shared" si="5"/>
        <v>Week 16KC</v>
      </c>
      <c r="L240" s="137" t="str">
        <f t="shared" ref="L240:M240" si="244">D240</f>
        <v/>
      </c>
      <c r="M240" s="137" t="str">
        <f t="shared" si="244"/>
        <v/>
      </c>
      <c r="N240" s="137" t="str">
        <f t="shared" si="7"/>
        <v>Week 16HOU</v>
      </c>
    </row>
    <row r="241">
      <c r="A241" s="137" t="str">
        <f>IFERROR(__xludf.DUMMYFUNCTION("""COMPUTED_VALUE"""),"20241221_PIT@BAL")</f>
        <v>20241221_PIT@BAL</v>
      </c>
      <c r="B241" s="137" t="str">
        <f>IFERROR(__xludf.DUMMYFUNCTION("""COMPUTED_VALUE"""),"PIT")</f>
        <v>PIT</v>
      </c>
      <c r="C241" s="137" t="str">
        <f>IFERROR(__xludf.DUMMYFUNCTION("""COMPUTED_VALUE"""),"BAL")</f>
        <v>BAL</v>
      </c>
      <c r="D241" s="137"/>
      <c r="E241" s="137"/>
      <c r="F241" s="137" t="str">
        <f>IFERROR(__xludf.DUMMYFUNCTION("""COMPUTED_VALUE"""),"Week 16")</f>
        <v>Week 16</v>
      </c>
      <c r="G241" s="137">
        <f>IFERROR(__xludf.DUMMYFUNCTION("""COMPUTED_VALUE"""),0.0)</f>
        <v>0</v>
      </c>
      <c r="H241" s="137" t="str">
        <f t="shared" si="2"/>
        <v/>
      </c>
      <c r="I241" s="137" t="str">
        <f t="shared" si="3"/>
        <v/>
      </c>
      <c r="J241" s="137" t="str">
        <f t="shared" si="4"/>
        <v>Week 16PIT</v>
      </c>
      <c r="K241" s="137" t="str">
        <f t="shared" si="5"/>
        <v>Week 16BAL</v>
      </c>
      <c r="L241" s="137" t="str">
        <f t="shared" ref="L241:M241" si="245">D241</f>
        <v/>
      </c>
      <c r="M241" s="137" t="str">
        <f t="shared" si="245"/>
        <v/>
      </c>
      <c r="N241" s="137" t="str">
        <f t="shared" si="7"/>
        <v>Week 16PIT</v>
      </c>
    </row>
    <row r="242">
      <c r="A242" s="137" t="str">
        <f>IFERROR(__xludf.DUMMYFUNCTION("""COMPUTED_VALUE"""),"20241229_GB@MIN")</f>
        <v>20241229_GB@MIN</v>
      </c>
      <c r="B242" s="137" t="str">
        <f>IFERROR(__xludf.DUMMYFUNCTION("""COMPUTED_VALUE"""),"GB")</f>
        <v>GB</v>
      </c>
      <c r="C242" s="137" t="str">
        <f>IFERROR(__xludf.DUMMYFUNCTION("""COMPUTED_VALUE"""),"MIN")</f>
        <v>MIN</v>
      </c>
      <c r="D242" s="137"/>
      <c r="E242" s="137"/>
      <c r="F242" s="137" t="str">
        <f>IFERROR(__xludf.DUMMYFUNCTION("""COMPUTED_VALUE"""),"Week 17")</f>
        <v>Week 17</v>
      </c>
      <c r="G242" s="137">
        <f>IFERROR(__xludf.DUMMYFUNCTION("""COMPUTED_VALUE"""),0.0)</f>
        <v>0</v>
      </c>
      <c r="H242" s="137" t="str">
        <f t="shared" si="2"/>
        <v/>
      </c>
      <c r="I242" s="137" t="str">
        <f t="shared" si="3"/>
        <v/>
      </c>
      <c r="J242" s="137" t="str">
        <f t="shared" si="4"/>
        <v>Week 17GB</v>
      </c>
      <c r="K242" s="137" t="str">
        <f t="shared" si="5"/>
        <v>Week 17MIN</v>
      </c>
      <c r="L242" s="137" t="str">
        <f t="shared" ref="L242:M242" si="246">D242</f>
        <v/>
      </c>
      <c r="M242" s="137" t="str">
        <f t="shared" si="246"/>
        <v/>
      </c>
      <c r="N242" s="137" t="str">
        <f t="shared" si="7"/>
        <v>Week 17GB</v>
      </c>
    </row>
    <row r="243">
      <c r="A243" s="137" t="str">
        <f>IFERROR(__xludf.DUMMYFUNCTION("""COMPUTED_VALUE"""),"20241229_LAC@NE")</f>
        <v>20241229_LAC@NE</v>
      </c>
      <c r="B243" s="137" t="str">
        <f>IFERROR(__xludf.DUMMYFUNCTION("""COMPUTED_VALUE"""),"LAC")</f>
        <v>LAC</v>
      </c>
      <c r="C243" s="137" t="str">
        <f>IFERROR(__xludf.DUMMYFUNCTION("""COMPUTED_VALUE"""),"NE")</f>
        <v>NE</v>
      </c>
      <c r="D243" s="137"/>
      <c r="E243" s="137"/>
      <c r="F243" s="137" t="str">
        <f>IFERROR(__xludf.DUMMYFUNCTION("""COMPUTED_VALUE"""),"Week 17")</f>
        <v>Week 17</v>
      </c>
      <c r="G243" s="137">
        <f>IFERROR(__xludf.DUMMYFUNCTION("""COMPUTED_VALUE"""),0.0)</f>
        <v>0</v>
      </c>
      <c r="H243" s="137" t="str">
        <f t="shared" si="2"/>
        <v/>
      </c>
      <c r="I243" s="137" t="str">
        <f t="shared" si="3"/>
        <v/>
      </c>
      <c r="J243" s="137" t="str">
        <f t="shared" si="4"/>
        <v>Week 17LAC</v>
      </c>
      <c r="K243" s="137" t="str">
        <f t="shared" si="5"/>
        <v>Week 17NE</v>
      </c>
      <c r="L243" s="137" t="str">
        <f t="shared" ref="L243:M243" si="247">D243</f>
        <v/>
      </c>
      <c r="M243" s="137" t="str">
        <f t="shared" si="247"/>
        <v/>
      </c>
      <c r="N243" s="137" t="str">
        <f t="shared" si="7"/>
        <v>Week 17LAC</v>
      </c>
    </row>
    <row r="244">
      <c r="A244" s="137" t="str">
        <f>IFERROR(__xludf.DUMMYFUNCTION("""COMPUTED_VALUE"""),"20241229_DEN@CIN")</f>
        <v>20241229_DEN@CIN</v>
      </c>
      <c r="B244" s="137" t="str">
        <f>IFERROR(__xludf.DUMMYFUNCTION("""COMPUTED_VALUE"""),"DEN")</f>
        <v>DEN</v>
      </c>
      <c r="C244" s="137" t="str">
        <f>IFERROR(__xludf.DUMMYFUNCTION("""COMPUTED_VALUE"""),"CIN")</f>
        <v>CIN</v>
      </c>
      <c r="D244" s="137"/>
      <c r="E244" s="137"/>
      <c r="F244" s="137" t="str">
        <f>IFERROR(__xludf.DUMMYFUNCTION("""COMPUTED_VALUE"""),"Week 17")</f>
        <v>Week 17</v>
      </c>
      <c r="G244" s="137">
        <f>IFERROR(__xludf.DUMMYFUNCTION("""COMPUTED_VALUE"""),0.0)</f>
        <v>0</v>
      </c>
      <c r="H244" s="137" t="str">
        <f t="shared" si="2"/>
        <v/>
      </c>
      <c r="I244" s="137" t="str">
        <f t="shared" si="3"/>
        <v/>
      </c>
      <c r="J244" s="137" t="str">
        <f t="shared" si="4"/>
        <v>Week 17DEN</v>
      </c>
      <c r="K244" s="137" t="str">
        <f t="shared" si="5"/>
        <v>Week 17CIN</v>
      </c>
      <c r="L244" s="137" t="str">
        <f t="shared" ref="L244:M244" si="248">D244</f>
        <v/>
      </c>
      <c r="M244" s="137" t="str">
        <f t="shared" si="248"/>
        <v/>
      </c>
      <c r="N244" s="137" t="str">
        <f t="shared" si="7"/>
        <v>Week 17DEN</v>
      </c>
    </row>
    <row r="245">
      <c r="A245" s="137" t="str">
        <f>IFERROR(__xludf.DUMMYFUNCTION("""COMPUTED_VALUE"""),"20241229_TEN@JAX")</f>
        <v>20241229_TEN@JAX</v>
      </c>
      <c r="B245" s="137" t="str">
        <f>IFERROR(__xludf.DUMMYFUNCTION("""COMPUTED_VALUE"""),"TEN")</f>
        <v>TEN</v>
      </c>
      <c r="C245" s="137" t="str">
        <f>IFERROR(__xludf.DUMMYFUNCTION("""COMPUTED_VALUE"""),"JAX")</f>
        <v>JAX</v>
      </c>
      <c r="D245" s="137"/>
      <c r="E245" s="137"/>
      <c r="F245" s="137" t="str">
        <f>IFERROR(__xludf.DUMMYFUNCTION("""COMPUTED_VALUE"""),"Week 17")</f>
        <v>Week 17</v>
      </c>
      <c r="G245" s="137">
        <f>IFERROR(__xludf.DUMMYFUNCTION("""COMPUTED_VALUE"""),0.0)</f>
        <v>0</v>
      </c>
      <c r="H245" s="137" t="str">
        <f t="shared" si="2"/>
        <v/>
      </c>
      <c r="I245" s="137" t="str">
        <f t="shared" si="3"/>
        <v/>
      </c>
      <c r="J245" s="137" t="str">
        <f t="shared" si="4"/>
        <v>Week 17TEN</v>
      </c>
      <c r="K245" s="137" t="str">
        <f t="shared" si="5"/>
        <v>Week 17JAX</v>
      </c>
      <c r="L245" s="137" t="str">
        <f t="shared" ref="L245:M245" si="249">D245</f>
        <v/>
      </c>
      <c r="M245" s="137" t="str">
        <f t="shared" si="249"/>
        <v/>
      </c>
      <c r="N245" s="137" t="str">
        <f t="shared" si="7"/>
        <v>Week 17TEN</v>
      </c>
    </row>
    <row r="246">
      <c r="A246" s="137" t="str">
        <f>IFERROR(__xludf.DUMMYFUNCTION("""COMPUTED_VALUE"""),"20241229_LV@NO")</f>
        <v>20241229_LV@NO</v>
      </c>
      <c r="B246" s="137" t="str">
        <f>IFERROR(__xludf.DUMMYFUNCTION("""COMPUTED_VALUE"""),"LV")</f>
        <v>LV</v>
      </c>
      <c r="C246" s="137" t="str">
        <f>IFERROR(__xludf.DUMMYFUNCTION("""COMPUTED_VALUE"""),"NO")</f>
        <v>NO</v>
      </c>
      <c r="D246" s="137"/>
      <c r="E246" s="137"/>
      <c r="F246" s="137" t="str">
        <f>IFERROR(__xludf.DUMMYFUNCTION("""COMPUTED_VALUE"""),"Week 17")</f>
        <v>Week 17</v>
      </c>
      <c r="G246" s="137">
        <f>IFERROR(__xludf.DUMMYFUNCTION("""COMPUTED_VALUE"""),0.0)</f>
        <v>0</v>
      </c>
      <c r="H246" s="137" t="str">
        <f t="shared" si="2"/>
        <v/>
      </c>
      <c r="I246" s="137" t="str">
        <f t="shared" si="3"/>
        <v/>
      </c>
      <c r="J246" s="137" t="str">
        <f t="shared" si="4"/>
        <v>Week 17LV</v>
      </c>
      <c r="K246" s="137" t="str">
        <f t="shared" si="5"/>
        <v>Week 17NO</v>
      </c>
      <c r="L246" s="137" t="str">
        <f t="shared" ref="L246:M246" si="250">D246</f>
        <v/>
      </c>
      <c r="M246" s="137" t="str">
        <f t="shared" si="250"/>
        <v/>
      </c>
      <c r="N246" s="137" t="str">
        <f t="shared" si="7"/>
        <v>Week 17LV</v>
      </c>
    </row>
    <row r="247">
      <c r="A247" s="137" t="str">
        <f>IFERROR(__xludf.DUMMYFUNCTION("""COMPUTED_VALUE"""),"20241229_ATL@WSH")</f>
        <v>20241229_ATL@WSH</v>
      </c>
      <c r="B247" s="137" t="str">
        <f>IFERROR(__xludf.DUMMYFUNCTION("""COMPUTED_VALUE"""),"ATL")</f>
        <v>ATL</v>
      </c>
      <c r="C247" s="137" t="str">
        <f>IFERROR(__xludf.DUMMYFUNCTION("""COMPUTED_VALUE"""),"WSH")</f>
        <v>WSH</v>
      </c>
      <c r="D247" s="137"/>
      <c r="E247" s="137"/>
      <c r="F247" s="137" t="str">
        <f>IFERROR(__xludf.DUMMYFUNCTION("""COMPUTED_VALUE"""),"Week 17")</f>
        <v>Week 17</v>
      </c>
      <c r="G247" s="137">
        <f>IFERROR(__xludf.DUMMYFUNCTION("""COMPUTED_VALUE"""),0.0)</f>
        <v>0</v>
      </c>
      <c r="H247" s="137" t="str">
        <f t="shared" si="2"/>
        <v/>
      </c>
      <c r="I247" s="137" t="str">
        <f t="shared" si="3"/>
        <v/>
      </c>
      <c r="J247" s="137" t="str">
        <f t="shared" si="4"/>
        <v>Week 17ATL</v>
      </c>
      <c r="K247" s="137" t="str">
        <f t="shared" si="5"/>
        <v>Week 17WSH</v>
      </c>
      <c r="L247" s="137" t="str">
        <f t="shared" ref="L247:M247" si="251">D247</f>
        <v/>
      </c>
      <c r="M247" s="137" t="str">
        <f t="shared" si="251"/>
        <v/>
      </c>
      <c r="N247" s="137" t="str">
        <f t="shared" si="7"/>
        <v>Week 17ATL</v>
      </c>
    </row>
    <row r="248">
      <c r="A248" s="137" t="str">
        <f>IFERROR(__xludf.DUMMYFUNCTION("""COMPUTED_VALUE"""),"20241229_MIA@CLE")</f>
        <v>20241229_MIA@CLE</v>
      </c>
      <c r="B248" s="137" t="str">
        <f>IFERROR(__xludf.DUMMYFUNCTION("""COMPUTED_VALUE"""),"MIA")</f>
        <v>MIA</v>
      </c>
      <c r="C248" s="137" t="str">
        <f>IFERROR(__xludf.DUMMYFUNCTION("""COMPUTED_VALUE"""),"CLE")</f>
        <v>CLE</v>
      </c>
      <c r="D248" s="137"/>
      <c r="E248" s="137"/>
      <c r="F248" s="137" t="str">
        <f>IFERROR(__xludf.DUMMYFUNCTION("""COMPUTED_VALUE"""),"Week 17")</f>
        <v>Week 17</v>
      </c>
      <c r="G248" s="137">
        <f>IFERROR(__xludf.DUMMYFUNCTION("""COMPUTED_VALUE"""),0.0)</f>
        <v>0</v>
      </c>
      <c r="H248" s="137" t="str">
        <f t="shared" si="2"/>
        <v/>
      </c>
      <c r="I248" s="137" t="str">
        <f t="shared" si="3"/>
        <v/>
      </c>
      <c r="J248" s="137" t="str">
        <f t="shared" si="4"/>
        <v>Week 17MIA</v>
      </c>
      <c r="K248" s="137" t="str">
        <f t="shared" si="5"/>
        <v>Week 17CLE</v>
      </c>
      <c r="L248" s="137" t="str">
        <f t="shared" ref="L248:M248" si="252">D248</f>
        <v/>
      </c>
      <c r="M248" s="137" t="str">
        <f t="shared" si="252"/>
        <v/>
      </c>
      <c r="N248" s="137" t="str">
        <f t="shared" si="7"/>
        <v>Week 17MIA</v>
      </c>
    </row>
    <row r="249">
      <c r="A249" s="137" t="str">
        <f>IFERROR(__xludf.DUMMYFUNCTION("""COMPUTED_VALUE"""),"20241229_DAL@PHI")</f>
        <v>20241229_DAL@PHI</v>
      </c>
      <c r="B249" s="137" t="str">
        <f>IFERROR(__xludf.DUMMYFUNCTION("""COMPUTED_VALUE"""),"DAL")</f>
        <v>DAL</v>
      </c>
      <c r="C249" s="137" t="str">
        <f>IFERROR(__xludf.DUMMYFUNCTION("""COMPUTED_VALUE"""),"PHI")</f>
        <v>PHI</v>
      </c>
      <c r="D249" s="137"/>
      <c r="E249" s="137"/>
      <c r="F249" s="137" t="str">
        <f>IFERROR(__xludf.DUMMYFUNCTION("""COMPUTED_VALUE"""),"Week 17")</f>
        <v>Week 17</v>
      </c>
      <c r="G249" s="137">
        <f>IFERROR(__xludf.DUMMYFUNCTION("""COMPUTED_VALUE"""),0.0)</f>
        <v>0</v>
      </c>
      <c r="H249" s="137" t="str">
        <f t="shared" si="2"/>
        <v/>
      </c>
      <c r="I249" s="137" t="str">
        <f t="shared" si="3"/>
        <v/>
      </c>
      <c r="J249" s="137" t="str">
        <f t="shared" si="4"/>
        <v>Week 17DAL</v>
      </c>
      <c r="K249" s="137" t="str">
        <f t="shared" si="5"/>
        <v>Week 17PHI</v>
      </c>
      <c r="L249" s="137" t="str">
        <f t="shared" ref="L249:M249" si="253">D249</f>
        <v/>
      </c>
      <c r="M249" s="137" t="str">
        <f t="shared" si="253"/>
        <v/>
      </c>
      <c r="N249" s="137" t="str">
        <f t="shared" si="7"/>
        <v>Week 17DAL</v>
      </c>
    </row>
    <row r="250">
      <c r="A250" s="137" t="str">
        <f>IFERROR(__xludf.DUMMYFUNCTION("""COMPUTED_VALUE"""),"20241229_IND@NYG")</f>
        <v>20241229_IND@NYG</v>
      </c>
      <c r="B250" s="137" t="str">
        <f>IFERROR(__xludf.DUMMYFUNCTION("""COMPUTED_VALUE"""),"IND")</f>
        <v>IND</v>
      </c>
      <c r="C250" s="137" t="str">
        <f>IFERROR(__xludf.DUMMYFUNCTION("""COMPUTED_VALUE"""),"NYG")</f>
        <v>NYG</v>
      </c>
      <c r="D250" s="137"/>
      <c r="E250" s="137"/>
      <c r="F250" s="137" t="str">
        <f>IFERROR(__xludf.DUMMYFUNCTION("""COMPUTED_VALUE"""),"Week 17")</f>
        <v>Week 17</v>
      </c>
      <c r="G250" s="137">
        <f>IFERROR(__xludf.DUMMYFUNCTION("""COMPUTED_VALUE"""),0.0)</f>
        <v>0</v>
      </c>
      <c r="H250" s="137" t="str">
        <f t="shared" si="2"/>
        <v/>
      </c>
      <c r="I250" s="137" t="str">
        <f t="shared" si="3"/>
        <v/>
      </c>
      <c r="J250" s="137" t="str">
        <f t="shared" si="4"/>
        <v>Week 17IND</v>
      </c>
      <c r="K250" s="137" t="str">
        <f t="shared" si="5"/>
        <v>Week 17NYG</v>
      </c>
      <c r="L250" s="137" t="str">
        <f t="shared" ref="L250:M250" si="254">D250</f>
        <v/>
      </c>
      <c r="M250" s="137" t="str">
        <f t="shared" si="254"/>
        <v/>
      </c>
      <c r="N250" s="137" t="str">
        <f t="shared" si="7"/>
        <v>Week 17IND</v>
      </c>
    </row>
    <row r="251">
      <c r="A251" s="137" t="str">
        <f>IFERROR(__xludf.DUMMYFUNCTION("""COMPUTED_VALUE"""),"20241229_CAR@TB")</f>
        <v>20241229_CAR@TB</v>
      </c>
      <c r="B251" s="137" t="str">
        <f>IFERROR(__xludf.DUMMYFUNCTION("""COMPUTED_VALUE"""),"CAR")</f>
        <v>CAR</v>
      </c>
      <c r="C251" s="137" t="str">
        <f>IFERROR(__xludf.DUMMYFUNCTION("""COMPUTED_VALUE"""),"TB")</f>
        <v>TB</v>
      </c>
      <c r="D251" s="137"/>
      <c r="E251" s="137"/>
      <c r="F251" s="137" t="str">
        <f>IFERROR(__xludf.DUMMYFUNCTION("""COMPUTED_VALUE"""),"Week 17")</f>
        <v>Week 17</v>
      </c>
      <c r="G251" s="137">
        <f>IFERROR(__xludf.DUMMYFUNCTION("""COMPUTED_VALUE"""),0.0)</f>
        <v>0</v>
      </c>
      <c r="H251" s="137" t="str">
        <f t="shared" si="2"/>
        <v/>
      </c>
      <c r="I251" s="137" t="str">
        <f t="shared" si="3"/>
        <v/>
      </c>
      <c r="J251" s="137" t="str">
        <f t="shared" si="4"/>
        <v>Week 17CAR</v>
      </c>
      <c r="K251" s="137" t="str">
        <f t="shared" si="5"/>
        <v>Week 17TB</v>
      </c>
      <c r="L251" s="137" t="str">
        <f t="shared" ref="L251:M251" si="255">D251</f>
        <v/>
      </c>
      <c r="M251" s="137" t="str">
        <f t="shared" si="255"/>
        <v/>
      </c>
      <c r="N251" s="137" t="str">
        <f t="shared" si="7"/>
        <v>Week 17CAR</v>
      </c>
    </row>
    <row r="252">
      <c r="A252" s="137" t="str">
        <f>IFERROR(__xludf.DUMMYFUNCTION("""COMPUTED_VALUE"""),"20241229_ARI@LAR")</f>
        <v>20241229_ARI@LAR</v>
      </c>
      <c r="B252" s="137" t="str">
        <f>IFERROR(__xludf.DUMMYFUNCTION("""COMPUTED_VALUE"""),"ARI")</f>
        <v>ARI</v>
      </c>
      <c r="C252" s="137" t="str">
        <f>IFERROR(__xludf.DUMMYFUNCTION("""COMPUTED_VALUE"""),"LAR")</f>
        <v>LAR</v>
      </c>
      <c r="D252" s="137"/>
      <c r="E252" s="137"/>
      <c r="F252" s="137" t="str">
        <f>IFERROR(__xludf.DUMMYFUNCTION("""COMPUTED_VALUE"""),"Week 17")</f>
        <v>Week 17</v>
      </c>
      <c r="G252" s="137">
        <f>IFERROR(__xludf.DUMMYFUNCTION("""COMPUTED_VALUE"""),0.0)</f>
        <v>0</v>
      </c>
      <c r="H252" s="137" t="str">
        <f t="shared" si="2"/>
        <v/>
      </c>
      <c r="I252" s="137" t="str">
        <f t="shared" si="3"/>
        <v/>
      </c>
      <c r="J252" s="137" t="str">
        <f t="shared" si="4"/>
        <v>Week 17ARI</v>
      </c>
      <c r="K252" s="137" t="str">
        <f t="shared" si="5"/>
        <v>Week 17LAR</v>
      </c>
      <c r="L252" s="137" t="str">
        <f t="shared" ref="L252:M252" si="256">D252</f>
        <v/>
      </c>
      <c r="M252" s="137" t="str">
        <f t="shared" si="256"/>
        <v/>
      </c>
      <c r="N252" s="137" t="str">
        <f t="shared" si="7"/>
        <v>Week 17ARI</v>
      </c>
    </row>
    <row r="253">
      <c r="A253" s="137" t="str">
        <f>IFERROR(__xludf.DUMMYFUNCTION("""COMPUTED_VALUE"""),"20241229_NYJ@BUF")</f>
        <v>20241229_NYJ@BUF</v>
      </c>
      <c r="B253" s="137" t="str">
        <f>IFERROR(__xludf.DUMMYFUNCTION("""COMPUTED_VALUE"""),"NYJ")</f>
        <v>NYJ</v>
      </c>
      <c r="C253" s="137" t="str">
        <f>IFERROR(__xludf.DUMMYFUNCTION("""COMPUTED_VALUE"""),"BUF")</f>
        <v>BUF</v>
      </c>
      <c r="D253" s="137"/>
      <c r="E253" s="137"/>
      <c r="F253" s="137" t="str">
        <f>IFERROR(__xludf.DUMMYFUNCTION("""COMPUTED_VALUE"""),"Week 17")</f>
        <v>Week 17</v>
      </c>
      <c r="G253" s="137">
        <f>IFERROR(__xludf.DUMMYFUNCTION("""COMPUTED_VALUE"""),0.0)</f>
        <v>0</v>
      </c>
      <c r="H253" s="137" t="str">
        <f t="shared" si="2"/>
        <v/>
      </c>
      <c r="I253" s="137" t="str">
        <f t="shared" si="3"/>
        <v/>
      </c>
      <c r="J253" s="137" t="str">
        <f t="shared" si="4"/>
        <v>Week 17NYJ</v>
      </c>
      <c r="K253" s="137" t="str">
        <f t="shared" si="5"/>
        <v>Week 17BUF</v>
      </c>
      <c r="L253" s="137" t="str">
        <f t="shared" ref="L253:M253" si="257">D253</f>
        <v/>
      </c>
      <c r="M253" s="137" t="str">
        <f t="shared" si="257"/>
        <v/>
      </c>
      <c r="N253" s="137" t="str">
        <f t="shared" si="7"/>
        <v>Week 17NYJ</v>
      </c>
    </row>
    <row r="254">
      <c r="A254" s="137" t="str">
        <f>IFERROR(__xludf.DUMMYFUNCTION("""COMPUTED_VALUE"""),"20241230_DET@SF")</f>
        <v>20241230_DET@SF</v>
      </c>
      <c r="B254" s="137" t="str">
        <f>IFERROR(__xludf.DUMMYFUNCTION("""COMPUTED_VALUE"""),"DET")</f>
        <v>DET</v>
      </c>
      <c r="C254" s="137" t="str">
        <f>IFERROR(__xludf.DUMMYFUNCTION("""COMPUTED_VALUE"""),"SF")</f>
        <v>SF</v>
      </c>
      <c r="D254" s="137"/>
      <c r="E254" s="137"/>
      <c r="F254" s="137" t="str">
        <f>IFERROR(__xludf.DUMMYFUNCTION("""COMPUTED_VALUE"""),"Week 17")</f>
        <v>Week 17</v>
      </c>
      <c r="G254" s="137">
        <f>IFERROR(__xludf.DUMMYFUNCTION("""COMPUTED_VALUE"""),0.0)</f>
        <v>0</v>
      </c>
      <c r="H254" s="137" t="str">
        <f t="shared" si="2"/>
        <v/>
      </c>
      <c r="I254" s="137" t="str">
        <f t="shared" si="3"/>
        <v/>
      </c>
      <c r="J254" s="137" t="str">
        <f t="shared" si="4"/>
        <v>Week 17DET</v>
      </c>
      <c r="K254" s="137" t="str">
        <f t="shared" si="5"/>
        <v>Week 17SF</v>
      </c>
      <c r="L254" s="137" t="str">
        <f t="shared" ref="L254:M254" si="258">D254</f>
        <v/>
      </c>
      <c r="M254" s="137" t="str">
        <f t="shared" si="258"/>
        <v/>
      </c>
      <c r="N254" s="137" t="str">
        <f t="shared" si="7"/>
        <v>Week 17DET</v>
      </c>
    </row>
    <row r="255">
      <c r="A255" s="137" t="str">
        <f>IFERROR(__xludf.DUMMYFUNCTION("""COMPUTED_VALUE"""),"20241226_SEA@CHI")</f>
        <v>20241226_SEA@CHI</v>
      </c>
      <c r="B255" s="137" t="str">
        <f>IFERROR(__xludf.DUMMYFUNCTION("""COMPUTED_VALUE"""),"SEA")</f>
        <v>SEA</v>
      </c>
      <c r="C255" s="137" t="str">
        <f>IFERROR(__xludf.DUMMYFUNCTION("""COMPUTED_VALUE"""),"CHI")</f>
        <v>CHI</v>
      </c>
      <c r="D255" s="137"/>
      <c r="E255" s="137"/>
      <c r="F255" s="137" t="str">
        <f>IFERROR(__xludf.DUMMYFUNCTION("""COMPUTED_VALUE"""),"Week 17")</f>
        <v>Week 17</v>
      </c>
      <c r="G255" s="137">
        <f>IFERROR(__xludf.DUMMYFUNCTION("""COMPUTED_VALUE"""),0.0)</f>
        <v>0</v>
      </c>
      <c r="H255" s="137" t="str">
        <f t="shared" si="2"/>
        <v/>
      </c>
      <c r="I255" s="137" t="str">
        <f t="shared" si="3"/>
        <v/>
      </c>
      <c r="J255" s="137" t="str">
        <f t="shared" si="4"/>
        <v>Week 17SEA</v>
      </c>
      <c r="K255" s="137" t="str">
        <f t="shared" si="5"/>
        <v>Week 17CHI</v>
      </c>
      <c r="L255" s="137" t="str">
        <f t="shared" ref="L255:M255" si="259">D255</f>
        <v/>
      </c>
      <c r="M255" s="137" t="str">
        <f t="shared" si="259"/>
        <v/>
      </c>
      <c r="N255" s="137" t="str">
        <f t="shared" si="7"/>
        <v>Week 17SEA</v>
      </c>
    </row>
    <row r="256">
      <c r="A256" s="137" t="str">
        <f>IFERROR(__xludf.DUMMYFUNCTION("""COMPUTED_VALUE"""),"20241225_BAL@HOU")</f>
        <v>20241225_BAL@HOU</v>
      </c>
      <c r="B256" s="137" t="str">
        <f>IFERROR(__xludf.DUMMYFUNCTION("""COMPUTED_VALUE"""),"BAL")</f>
        <v>BAL</v>
      </c>
      <c r="C256" s="137" t="str">
        <f>IFERROR(__xludf.DUMMYFUNCTION("""COMPUTED_VALUE"""),"HOU")</f>
        <v>HOU</v>
      </c>
      <c r="D256" s="137"/>
      <c r="E256" s="137"/>
      <c r="F256" s="137" t="str">
        <f>IFERROR(__xludf.DUMMYFUNCTION("""COMPUTED_VALUE"""),"Week 17")</f>
        <v>Week 17</v>
      </c>
      <c r="G256" s="137">
        <f>IFERROR(__xludf.DUMMYFUNCTION("""COMPUTED_VALUE"""),0.0)</f>
        <v>0</v>
      </c>
      <c r="H256" s="137" t="str">
        <f t="shared" si="2"/>
        <v/>
      </c>
      <c r="I256" s="137" t="str">
        <f t="shared" si="3"/>
        <v/>
      </c>
      <c r="J256" s="137" t="str">
        <f t="shared" si="4"/>
        <v>Week 17BAL</v>
      </c>
      <c r="K256" s="137" t="str">
        <f t="shared" si="5"/>
        <v>Week 17HOU</v>
      </c>
      <c r="L256" s="137" t="str">
        <f t="shared" ref="L256:M256" si="260">D256</f>
        <v/>
      </c>
      <c r="M256" s="137" t="str">
        <f t="shared" si="260"/>
        <v/>
      </c>
      <c r="N256" s="137" t="str">
        <f t="shared" si="7"/>
        <v>Week 17BAL</v>
      </c>
    </row>
    <row r="257">
      <c r="A257" s="137" t="str">
        <f>IFERROR(__xludf.DUMMYFUNCTION("""COMPUTED_VALUE"""),"20241225_KC@PIT")</f>
        <v>20241225_KC@PIT</v>
      </c>
      <c r="B257" s="137" t="str">
        <f>IFERROR(__xludf.DUMMYFUNCTION("""COMPUTED_VALUE"""),"KC")</f>
        <v>KC</v>
      </c>
      <c r="C257" s="137" t="str">
        <f>IFERROR(__xludf.DUMMYFUNCTION("""COMPUTED_VALUE"""),"PIT")</f>
        <v>PIT</v>
      </c>
      <c r="D257" s="137"/>
      <c r="E257" s="137"/>
      <c r="F257" s="137" t="str">
        <f>IFERROR(__xludf.DUMMYFUNCTION("""COMPUTED_VALUE"""),"Week 17")</f>
        <v>Week 17</v>
      </c>
      <c r="G257" s="137">
        <f>IFERROR(__xludf.DUMMYFUNCTION("""COMPUTED_VALUE"""),0.0)</f>
        <v>0</v>
      </c>
      <c r="H257" s="137" t="str">
        <f t="shared" si="2"/>
        <v/>
      </c>
      <c r="I257" s="137" t="str">
        <f t="shared" si="3"/>
        <v/>
      </c>
      <c r="J257" s="137" t="str">
        <f t="shared" si="4"/>
        <v>Week 17KC</v>
      </c>
      <c r="K257" s="137" t="str">
        <f t="shared" si="5"/>
        <v>Week 17PIT</v>
      </c>
      <c r="L257" s="137" t="str">
        <f t="shared" ref="L257:M257" si="261">D257</f>
        <v/>
      </c>
      <c r="M257" s="137" t="str">
        <f t="shared" si="261"/>
        <v/>
      </c>
      <c r="N257" s="137" t="str">
        <f t="shared" si="7"/>
        <v>Week 17KC</v>
      </c>
    </row>
    <row r="258">
      <c r="A258" s="137" t="str">
        <f>IFERROR(__xludf.DUMMYFUNCTION("""COMPUTED_VALUE"""),"20250105_CHI@GB")</f>
        <v>20250105_CHI@GB</v>
      </c>
      <c r="B258" s="137" t="str">
        <f>IFERROR(__xludf.DUMMYFUNCTION("""COMPUTED_VALUE"""),"CHI")</f>
        <v>CHI</v>
      </c>
      <c r="C258" s="137" t="str">
        <f>IFERROR(__xludf.DUMMYFUNCTION("""COMPUTED_VALUE"""),"GB")</f>
        <v>GB</v>
      </c>
      <c r="D258" s="137"/>
      <c r="E258" s="137"/>
      <c r="F258" s="137" t="str">
        <f>IFERROR(__xludf.DUMMYFUNCTION("""COMPUTED_VALUE"""),"Week 18")</f>
        <v>Week 18</v>
      </c>
      <c r="G258" s="137">
        <f>IFERROR(__xludf.DUMMYFUNCTION("""COMPUTED_VALUE"""),0.0)</f>
        <v>0</v>
      </c>
      <c r="H258" s="137" t="str">
        <f t="shared" si="2"/>
        <v/>
      </c>
      <c r="I258" s="137" t="str">
        <f t="shared" si="3"/>
        <v/>
      </c>
      <c r="J258" s="137" t="str">
        <f t="shared" si="4"/>
        <v>Week 18CHI</v>
      </c>
      <c r="K258" s="137" t="str">
        <f t="shared" si="5"/>
        <v>Week 18GB</v>
      </c>
      <c r="L258" s="137" t="str">
        <f t="shared" ref="L258:M258" si="262">D258</f>
        <v/>
      </c>
      <c r="M258" s="137" t="str">
        <f t="shared" si="262"/>
        <v/>
      </c>
      <c r="N258" s="137" t="str">
        <f t="shared" si="7"/>
        <v>Week 18CHI</v>
      </c>
    </row>
    <row r="259">
      <c r="A259" s="137" t="str">
        <f>IFERROR(__xludf.DUMMYFUNCTION("""COMPUTED_VALUE"""),"20250105_NYG@PHI")</f>
        <v>20250105_NYG@PHI</v>
      </c>
      <c r="B259" s="137" t="str">
        <f>IFERROR(__xludf.DUMMYFUNCTION("""COMPUTED_VALUE"""),"NYG")</f>
        <v>NYG</v>
      </c>
      <c r="C259" s="137" t="str">
        <f>IFERROR(__xludf.DUMMYFUNCTION("""COMPUTED_VALUE"""),"PHI")</f>
        <v>PHI</v>
      </c>
      <c r="D259" s="137"/>
      <c r="E259" s="137"/>
      <c r="F259" s="137" t="str">
        <f>IFERROR(__xludf.DUMMYFUNCTION("""COMPUTED_VALUE"""),"Week 18")</f>
        <v>Week 18</v>
      </c>
      <c r="G259" s="137">
        <f>IFERROR(__xludf.DUMMYFUNCTION("""COMPUTED_VALUE"""),0.0)</f>
        <v>0</v>
      </c>
      <c r="H259" s="137" t="str">
        <f t="shared" si="2"/>
        <v/>
      </c>
      <c r="I259" s="137" t="str">
        <f t="shared" si="3"/>
        <v/>
      </c>
      <c r="J259" s="137" t="str">
        <f t="shared" si="4"/>
        <v>Week 18NYG</v>
      </c>
      <c r="K259" s="137" t="str">
        <f t="shared" si="5"/>
        <v>Week 18PHI</v>
      </c>
      <c r="L259" s="137" t="str">
        <f t="shared" ref="L259:M259" si="263">D259</f>
        <v/>
      </c>
      <c r="M259" s="137" t="str">
        <f t="shared" si="263"/>
        <v/>
      </c>
      <c r="N259" s="137" t="str">
        <f t="shared" si="7"/>
        <v>Week 18NYG</v>
      </c>
    </row>
    <row r="260">
      <c r="A260" s="137" t="str">
        <f>IFERROR(__xludf.DUMMYFUNCTION("""COMPUTED_VALUE"""),"20250105_CAR@ATL")</f>
        <v>20250105_CAR@ATL</v>
      </c>
      <c r="B260" s="137" t="str">
        <f>IFERROR(__xludf.DUMMYFUNCTION("""COMPUTED_VALUE"""),"CAR")</f>
        <v>CAR</v>
      </c>
      <c r="C260" s="137" t="str">
        <f>IFERROR(__xludf.DUMMYFUNCTION("""COMPUTED_VALUE"""),"ATL")</f>
        <v>ATL</v>
      </c>
      <c r="D260" s="137"/>
      <c r="E260" s="137"/>
      <c r="F260" s="137" t="str">
        <f>IFERROR(__xludf.DUMMYFUNCTION("""COMPUTED_VALUE"""),"Week 18")</f>
        <v>Week 18</v>
      </c>
      <c r="G260" s="137">
        <f>IFERROR(__xludf.DUMMYFUNCTION("""COMPUTED_VALUE"""),0.0)</f>
        <v>0</v>
      </c>
      <c r="H260" s="137" t="str">
        <f t="shared" si="2"/>
        <v/>
      </c>
      <c r="I260" s="137" t="str">
        <f t="shared" si="3"/>
        <v/>
      </c>
      <c r="J260" s="137" t="str">
        <f t="shared" si="4"/>
        <v>Week 18CAR</v>
      </c>
      <c r="K260" s="137" t="str">
        <f t="shared" si="5"/>
        <v>Week 18ATL</v>
      </c>
      <c r="L260" s="137" t="str">
        <f t="shared" ref="L260:M260" si="264">D260</f>
        <v/>
      </c>
      <c r="M260" s="137" t="str">
        <f t="shared" si="264"/>
        <v/>
      </c>
      <c r="N260" s="137" t="str">
        <f t="shared" si="7"/>
        <v>Week 18CAR</v>
      </c>
    </row>
    <row r="261">
      <c r="A261" s="137" t="str">
        <f>IFERROR(__xludf.DUMMYFUNCTION("""COMPUTED_VALUE"""),"20250105_MIA@NYJ")</f>
        <v>20250105_MIA@NYJ</v>
      </c>
      <c r="B261" s="137" t="str">
        <f>IFERROR(__xludf.DUMMYFUNCTION("""COMPUTED_VALUE"""),"MIA")</f>
        <v>MIA</v>
      </c>
      <c r="C261" s="137" t="str">
        <f>IFERROR(__xludf.DUMMYFUNCTION("""COMPUTED_VALUE"""),"NYJ")</f>
        <v>NYJ</v>
      </c>
      <c r="D261" s="137"/>
      <c r="E261" s="137"/>
      <c r="F261" s="137" t="str">
        <f>IFERROR(__xludf.DUMMYFUNCTION("""COMPUTED_VALUE"""),"Week 18")</f>
        <v>Week 18</v>
      </c>
      <c r="G261" s="137">
        <f>IFERROR(__xludf.DUMMYFUNCTION("""COMPUTED_VALUE"""),0.0)</f>
        <v>0</v>
      </c>
      <c r="H261" s="137" t="str">
        <f t="shared" si="2"/>
        <v/>
      </c>
      <c r="I261" s="137" t="str">
        <f t="shared" si="3"/>
        <v/>
      </c>
      <c r="J261" s="137" t="str">
        <f t="shared" si="4"/>
        <v>Week 18MIA</v>
      </c>
      <c r="K261" s="137" t="str">
        <f t="shared" si="5"/>
        <v>Week 18NYJ</v>
      </c>
      <c r="L261" s="137" t="str">
        <f t="shared" ref="L261:M261" si="265">D261</f>
        <v/>
      </c>
      <c r="M261" s="137" t="str">
        <f t="shared" si="265"/>
        <v/>
      </c>
      <c r="N261" s="137" t="str">
        <f t="shared" si="7"/>
        <v>Week 18MIA</v>
      </c>
    </row>
    <row r="262">
      <c r="A262" s="137" t="str">
        <f>IFERROR(__xludf.DUMMYFUNCTION("""COMPUTED_VALUE"""),"20250105_SEA@LAR")</f>
        <v>20250105_SEA@LAR</v>
      </c>
      <c r="B262" s="137" t="str">
        <f>IFERROR(__xludf.DUMMYFUNCTION("""COMPUTED_VALUE"""),"SEA")</f>
        <v>SEA</v>
      </c>
      <c r="C262" s="137" t="str">
        <f>IFERROR(__xludf.DUMMYFUNCTION("""COMPUTED_VALUE"""),"LAR")</f>
        <v>LAR</v>
      </c>
      <c r="D262" s="137"/>
      <c r="E262" s="137"/>
      <c r="F262" s="137" t="str">
        <f>IFERROR(__xludf.DUMMYFUNCTION("""COMPUTED_VALUE"""),"Week 18")</f>
        <v>Week 18</v>
      </c>
      <c r="G262" s="137">
        <f>IFERROR(__xludf.DUMMYFUNCTION("""COMPUTED_VALUE"""),0.0)</f>
        <v>0</v>
      </c>
      <c r="H262" s="137" t="str">
        <f t="shared" si="2"/>
        <v/>
      </c>
      <c r="I262" s="137" t="str">
        <f t="shared" si="3"/>
        <v/>
      </c>
      <c r="J262" s="137" t="str">
        <f t="shared" si="4"/>
        <v>Week 18SEA</v>
      </c>
      <c r="K262" s="137" t="str">
        <f t="shared" si="5"/>
        <v>Week 18LAR</v>
      </c>
      <c r="L262" s="137" t="str">
        <f t="shared" ref="L262:M262" si="266">D262</f>
        <v/>
      </c>
      <c r="M262" s="137" t="str">
        <f t="shared" si="266"/>
        <v/>
      </c>
      <c r="N262" s="137" t="str">
        <f t="shared" si="7"/>
        <v>Week 18SEA</v>
      </c>
    </row>
    <row r="263">
      <c r="A263" s="137" t="str">
        <f>IFERROR(__xludf.DUMMYFUNCTION("""COMPUTED_VALUE"""),"20250105_BUF@NE")</f>
        <v>20250105_BUF@NE</v>
      </c>
      <c r="B263" s="137" t="str">
        <f>IFERROR(__xludf.DUMMYFUNCTION("""COMPUTED_VALUE"""),"BUF")</f>
        <v>BUF</v>
      </c>
      <c r="C263" s="137" t="str">
        <f>IFERROR(__xludf.DUMMYFUNCTION("""COMPUTED_VALUE"""),"NE")</f>
        <v>NE</v>
      </c>
      <c r="D263" s="137"/>
      <c r="E263" s="137"/>
      <c r="F263" s="137" t="str">
        <f>IFERROR(__xludf.DUMMYFUNCTION("""COMPUTED_VALUE"""),"Week 18")</f>
        <v>Week 18</v>
      </c>
      <c r="G263" s="137">
        <f>IFERROR(__xludf.DUMMYFUNCTION("""COMPUTED_VALUE"""),0.0)</f>
        <v>0</v>
      </c>
      <c r="H263" s="137" t="str">
        <f t="shared" si="2"/>
        <v/>
      </c>
      <c r="I263" s="137" t="str">
        <f t="shared" si="3"/>
        <v/>
      </c>
      <c r="J263" s="137" t="str">
        <f t="shared" si="4"/>
        <v>Week 18BUF</v>
      </c>
      <c r="K263" s="137" t="str">
        <f t="shared" si="5"/>
        <v>Week 18NE</v>
      </c>
      <c r="L263" s="137" t="str">
        <f t="shared" ref="L263:M263" si="267">D263</f>
        <v/>
      </c>
      <c r="M263" s="137" t="str">
        <f t="shared" si="267"/>
        <v/>
      </c>
      <c r="N263" s="137" t="str">
        <f t="shared" si="7"/>
        <v>Week 18BUF</v>
      </c>
    </row>
    <row r="264">
      <c r="A264" s="137" t="str">
        <f>IFERROR(__xludf.DUMMYFUNCTION("""COMPUTED_VALUE"""),"20250105_NO@TB")</f>
        <v>20250105_NO@TB</v>
      </c>
      <c r="B264" s="137" t="str">
        <f>IFERROR(__xludf.DUMMYFUNCTION("""COMPUTED_VALUE"""),"NO")</f>
        <v>NO</v>
      </c>
      <c r="C264" s="137" t="str">
        <f>IFERROR(__xludf.DUMMYFUNCTION("""COMPUTED_VALUE"""),"TB")</f>
        <v>TB</v>
      </c>
      <c r="D264" s="137"/>
      <c r="E264" s="137"/>
      <c r="F264" s="137" t="str">
        <f>IFERROR(__xludf.DUMMYFUNCTION("""COMPUTED_VALUE"""),"Week 18")</f>
        <v>Week 18</v>
      </c>
      <c r="G264" s="137">
        <f>IFERROR(__xludf.DUMMYFUNCTION("""COMPUTED_VALUE"""),0.0)</f>
        <v>0</v>
      </c>
      <c r="H264" s="137" t="str">
        <f t="shared" si="2"/>
        <v/>
      </c>
      <c r="I264" s="137" t="str">
        <f t="shared" si="3"/>
        <v/>
      </c>
      <c r="J264" s="137" t="str">
        <f t="shared" si="4"/>
        <v>Week 18NO</v>
      </c>
      <c r="K264" s="137" t="str">
        <f t="shared" si="5"/>
        <v>Week 18TB</v>
      </c>
      <c r="L264" s="137" t="str">
        <f t="shared" ref="L264:M264" si="268">D264</f>
        <v/>
      </c>
      <c r="M264" s="137" t="str">
        <f t="shared" si="268"/>
        <v/>
      </c>
      <c r="N264" s="137" t="str">
        <f t="shared" si="7"/>
        <v>Week 18NO</v>
      </c>
    </row>
    <row r="265">
      <c r="A265" s="137" t="str">
        <f>IFERROR(__xludf.DUMMYFUNCTION("""COMPUTED_VALUE"""),"20250105_CIN@PIT")</f>
        <v>20250105_CIN@PIT</v>
      </c>
      <c r="B265" s="137" t="str">
        <f>IFERROR(__xludf.DUMMYFUNCTION("""COMPUTED_VALUE"""),"CIN")</f>
        <v>CIN</v>
      </c>
      <c r="C265" s="137" t="str">
        <f>IFERROR(__xludf.DUMMYFUNCTION("""COMPUTED_VALUE"""),"PIT")</f>
        <v>PIT</v>
      </c>
      <c r="D265" s="137"/>
      <c r="E265" s="137"/>
      <c r="F265" s="137" t="str">
        <f>IFERROR(__xludf.DUMMYFUNCTION("""COMPUTED_VALUE"""),"Week 18")</f>
        <v>Week 18</v>
      </c>
      <c r="G265" s="137">
        <f>IFERROR(__xludf.DUMMYFUNCTION("""COMPUTED_VALUE"""),0.0)</f>
        <v>0</v>
      </c>
      <c r="H265" s="137" t="str">
        <f t="shared" si="2"/>
        <v/>
      </c>
      <c r="I265" s="137" t="str">
        <f t="shared" si="3"/>
        <v/>
      </c>
      <c r="J265" s="137" t="str">
        <f t="shared" si="4"/>
        <v>Week 18CIN</v>
      </c>
      <c r="K265" s="137" t="str">
        <f t="shared" si="5"/>
        <v>Week 18PIT</v>
      </c>
      <c r="L265" s="137" t="str">
        <f t="shared" ref="L265:M265" si="269">D265</f>
        <v/>
      </c>
      <c r="M265" s="137" t="str">
        <f t="shared" si="269"/>
        <v/>
      </c>
      <c r="N265" s="137" t="str">
        <f t="shared" si="7"/>
        <v>Week 18CIN</v>
      </c>
    </row>
    <row r="266">
      <c r="A266" s="137" t="str">
        <f>IFERROR(__xludf.DUMMYFUNCTION("""COMPUTED_VALUE"""),"20250105_MIN@DET")</f>
        <v>20250105_MIN@DET</v>
      </c>
      <c r="B266" s="137" t="str">
        <f>IFERROR(__xludf.DUMMYFUNCTION("""COMPUTED_VALUE"""),"MIN")</f>
        <v>MIN</v>
      </c>
      <c r="C266" s="137" t="str">
        <f>IFERROR(__xludf.DUMMYFUNCTION("""COMPUTED_VALUE"""),"DET")</f>
        <v>DET</v>
      </c>
      <c r="D266" s="137"/>
      <c r="E266" s="137"/>
      <c r="F266" s="137" t="str">
        <f>IFERROR(__xludf.DUMMYFUNCTION("""COMPUTED_VALUE"""),"Week 18")</f>
        <v>Week 18</v>
      </c>
      <c r="G266" s="137">
        <f>IFERROR(__xludf.DUMMYFUNCTION("""COMPUTED_VALUE"""),0.0)</f>
        <v>0</v>
      </c>
      <c r="H266" s="137" t="str">
        <f t="shared" si="2"/>
        <v/>
      </c>
      <c r="I266" s="137" t="str">
        <f t="shared" si="3"/>
        <v/>
      </c>
      <c r="J266" s="137" t="str">
        <f t="shared" si="4"/>
        <v>Week 18MIN</v>
      </c>
      <c r="K266" s="137" t="str">
        <f t="shared" si="5"/>
        <v>Week 18DET</v>
      </c>
      <c r="L266" s="137" t="str">
        <f t="shared" ref="L266:M266" si="270">D266</f>
        <v/>
      </c>
      <c r="M266" s="137" t="str">
        <f t="shared" si="270"/>
        <v/>
      </c>
      <c r="N266" s="137" t="str">
        <f t="shared" si="7"/>
        <v>Week 18MIN</v>
      </c>
    </row>
    <row r="267">
      <c r="A267" s="137" t="str">
        <f>IFERROR(__xludf.DUMMYFUNCTION("""COMPUTED_VALUE"""),"20250105_HOU@TEN")</f>
        <v>20250105_HOU@TEN</v>
      </c>
      <c r="B267" s="137" t="str">
        <f>IFERROR(__xludf.DUMMYFUNCTION("""COMPUTED_VALUE"""),"HOU")</f>
        <v>HOU</v>
      </c>
      <c r="C267" s="137" t="str">
        <f>IFERROR(__xludf.DUMMYFUNCTION("""COMPUTED_VALUE"""),"TEN")</f>
        <v>TEN</v>
      </c>
      <c r="D267" s="137"/>
      <c r="E267" s="137"/>
      <c r="F267" s="137" t="str">
        <f>IFERROR(__xludf.DUMMYFUNCTION("""COMPUTED_VALUE"""),"Week 18")</f>
        <v>Week 18</v>
      </c>
      <c r="G267" s="137">
        <f>IFERROR(__xludf.DUMMYFUNCTION("""COMPUTED_VALUE"""),0.0)</f>
        <v>0</v>
      </c>
      <c r="H267" s="137" t="str">
        <f t="shared" si="2"/>
        <v/>
      </c>
      <c r="I267" s="137" t="str">
        <f t="shared" si="3"/>
        <v/>
      </c>
      <c r="J267" s="137" t="str">
        <f t="shared" si="4"/>
        <v>Week 18HOU</v>
      </c>
      <c r="K267" s="137" t="str">
        <f t="shared" si="5"/>
        <v>Week 18TEN</v>
      </c>
      <c r="L267" s="137" t="str">
        <f t="shared" ref="L267:M267" si="271">D267</f>
        <v/>
      </c>
      <c r="M267" s="137" t="str">
        <f t="shared" si="271"/>
        <v/>
      </c>
      <c r="N267" s="137" t="str">
        <f t="shared" si="7"/>
        <v>Week 18HOU</v>
      </c>
    </row>
    <row r="268">
      <c r="A268" s="137" t="str">
        <f>IFERROR(__xludf.DUMMYFUNCTION("""COMPUTED_VALUE"""),"20250105_KC@DEN")</f>
        <v>20250105_KC@DEN</v>
      </c>
      <c r="B268" s="137" t="str">
        <f>IFERROR(__xludf.DUMMYFUNCTION("""COMPUTED_VALUE"""),"KC")</f>
        <v>KC</v>
      </c>
      <c r="C268" s="137" t="str">
        <f>IFERROR(__xludf.DUMMYFUNCTION("""COMPUTED_VALUE"""),"DEN")</f>
        <v>DEN</v>
      </c>
      <c r="D268" s="137"/>
      <c r="E268" s="137"/>
      <c r="F268" s="137" t="str">
        <f>IFERROR(__xludf.DUMMYFUNCTION("""COMPUTED_VALUE"""),"Week 18")</f>
        <v>Week 18</v>
      </c>
      <c r="G268" s="137">
        <f>IFERROR(__xludf.DUMMYFUNCTION("""COMPUTED_VALUE"""),0.0)</f>
        <v>0</v>
      </c>
      <c r="H268" s="137" t="str">
        <f t="shared" si="2"/>
        <v/>
      </c>
      <c r="I268" s="137" t="str">
        <f t="shared" si="3"/>
        <v/>
      </c>
      <c r="J268" s="137" t="str">
        <f t="shared" si="4"/>
        <v>Week 18KC</v>
      </c>
      <c r="K268" s="137" t="str">
        <f t="shared" si="5"/>
        <v>Week 18DEN</v>
      </c>
      <c r="L268" s="137" t="str">
        <f t="shared" ref="L268:M268" si="272">D268</f>
        <v/>
      </c>
      <c r="M268" s="137" t="str">
        <f t="shared" si="272"/>
        <v/>
      </c>
      <c r="N268" s="137" t="str">
        <f t="shared" si="7"/>
        <v>Week 18KC</v>
      </c>
    </row>
    <row r="269">
      <c r="A269" s="137" t="str">
        <f>IFERROR(__xludf.DUMMYFUNCTION("""COMPUTED_VALUE"""),"20250105_LAC@LV")</f>
        <v>20250105_LAC@LV</v>
      </c>
      <c r="B269" s="137" t="str">
        <f>IFERROR(__xludf.DUMMYFUNCTION("""COMPUTED_VALUE"""),"LAC")</f>
        <v>LAC</v>
      </c>
      <c r="C269" s="137" t="str">
        <f>IFERROR(__xludf.DUMMYFUNCTION("""COMPUTED_VALUE"""),"LV")</f>
        <v>LV</v>
      </c>
      <c r="D269" s="137"/>
      <c r="E269" s="137"/>
      <c r="F269" s="137" t="str">
        <f>IFERROR(__xludf.DUMMYFUNCTION("""COMPUTED_VALUE"""),"Week 18")</f>
        <v>Week 18</v>
      </c>
      <c r="G269" s="137">
        <f>IFERROR(__xludf.DUMMYFUNCTION("""COMPUTED_VALUE"""),0.0)</f>
        <v>0</v>
      </c>
      <c r="H269" s="137" t="str">
        <f t="shared" si="2"/>
        <v/>
      </c>
      <c r="I269" s="137" t="str">
        <f t="shared" si="3"/>
        <v/>
      </c>
      <c r="J269" s="137" t="str">
        <f t="shared" si="4"/>
        <v>Week 18LAC</v>
      </c>
      <c r="K269" s="137" t="str">
        <f t="shared" si="5"/>
        <v>Week 18LV</v>
      </c>
      <c r="L269" s="137" t="str">
        <f t="shared" ref="L269:M269" si="273">D269</f>
        <v/>
      </c>
      <c r="M269" s="137" t="str">
        <f t="shared" si="273"/>
        <v/>
      </c>
      <c r="N269" s="137" t="str">
        <f t="shared" si="7"/>
        <v>Week 18LAC</v>
      </c>
    </row>
    <row r="270">
      <c r="A270" s="137" t="str">
        <f>IFERROR(__xludf.DUMMYFUNCTION("""COMPUTED_VALUE"""),"20250105_CLE@BAL")</f>
        <v>20250105_CLE@BAL</v>
      </c>
      <c r="B270" s="137" t="str">
        <f>IFERROR(__xludf.DUMMYFUNCTION("""COMPUTED_VALUE"""),"CLE")</f>
        <v>CLE</v>
      </c>
      <c r="C270" s="137" t="str">
        <f>IFERROR(__xludf.DUMMYFUNCTION("""COMPUTED_VALUE"""),"BAL")</f>
        <v>BAL</v>
      </c>
      <c r="D270" s="137"/>
      <c r="E270" s="137"/>
      <c r="F270" s="137" t="str">
        <f>IFERROR(__xludf.DUMMYFUNCTION("""COMPUTED_VALUE"""),"Week 18")</f>
        <v>Week 18</v>
      </c>
      <c r="G270" s="137">
        <f>IFERROR(__xludf.DUMMYFUNCTION("""COMPUTED_VALUE"""),0.0)</f>
        <v>0</v>
      </c>
      <c r="H270" s="137" t="str">
        <f t="shared" si="2"/>
        <v/>
      </c>
      <c r="I270" s="137" t="str">
        <f t="shared" si="3"/>
        <v/>
      </c>
      <c r="J270" s="137" t="str">
        <f t="shared" si="4"/>
        <v>Week 18CLE</v>
      </c>
      <c r="K270" s="137" t="str">
        <f t="shared" si="5"/>
        <v>Week 18BAL</v>
      </c>
      <c r="L270" s="137" t="str">
        <f t="shared" ref="L270:M270" si="274">D270</f>
        <v/>
      </c>
      <c r="M270" s="137" t="str">
        <f t="shared" si="274"/>
        <v/>
      </c>
      <c r="N270" s="137" t="str">
        <f t="shared" si="7"/>
        <v>Week 18CLE</v>
      </c>
    </row>
    <row r="271">
      <c r="A271" s="137" t="str">
        <f>IFERROR(__xludf.DUMMYFUNCTION("""COMPUTED_VALUE"""),"20250105_SF@ARI")</f>
        <v>20250105_SF@ARI</v>
      </c>
      <c r="B271" s="137" t="str">
        <f>IFERROR(__xludf.DUMMYFUNCTION("""COMPUTED_VALUE"""),"SF")</f>
        <v>SF</v>
      </c>
      <c r="C271" s="137" t="str">
        <f>IFERROR(__xludf.DUMMYFUNCTION("""COMPUTED_VALUE"""),"ARI")</f>
        <v>ARI</v>
      </c>
      <c r="D271" s="137"/>
      <c r="E271" s="137"/>
      <c r="F271" s="137" t="str">
        <f>IFERROR(__xludf.DUMMYFUNCTION("""COMPUTED_VALUE"""),"Week 18")</f>
        <v>Week 18</v>
      </c>
      <c r="G271" s="137">
        <f>IFERROR(__xludf.DUMMYFUNCTION("""COMPUTED_VALUE"""),0.0)</f>
        <v>0</v>
      </c>
      <c r="H271" s="137" t="str">
        <f t="shared" si="2"/>
        <v/>
      </c>
      <c r="I271" s="137" t="str">
        <f t="shared" si="3"/>
        <v/>
      </c>
      <c r="J271" s="137" t="str">
        <f t="shared" si="4"/>
        <v>Week 18SF</v>
      </c>
      <c r="K271" s="137" t="str">
        <f t="shared" si="5"/>
        <v>Week 18ARI</v>
      </c>
      <c r="L271" s="137" t="str">
        <f t="shared" ref="L271:M271" si="275">D271</f>
        <v/>
      </c>
      <c r="M271" s="137" t="str">
        <f t="shared" si="275"/>
        <v/>
      </c>
      <c r="N271" s="137" t="str">
        <f t="shared" si="7"/>
        <v>Week 18SF</v>
      </c>
    </row>
    <row r="272">
      <c r="A272" s="137" t="str">
        <f>IFERROR(__xludf.DUMMYFUNCTION("""COMPUTED_VALUE"""),"20250105_WSH@DAL")</f>
        <v>20250105_WSH@DAL</v>
      </c>
      <c r="B272" s="137" t="str">
        <f>IFERROR(__xludf.DUMMYFUNCTION("""COMPUTED_VALUE"""),"WSH")</f>
        <v>WSH</v>
      </c>
      <c r="C272" s="137" t="str">
        <f>IFERROR(__xludf.DUMMYFUNCTION("""COMPUTED_VALUE"""),"DAL")</f>
        <v>DAL</v>
      </c>
      <c r="D272" s="137"/>
      <c r="E272" s="137"/>
      <c r="F272" s="137" t="str">
        <f>IFERROR(__xludf.DUMMYFUNCTION("""COMPUTED_VALUE"""),"Week 18")</f>
        <v>Week 18</v>
      </c>
      <c r="G272" s="137">
        <f>IFERROR(__xludf.DUMMYFUNCTION("""COMPUTED_VALUE"""),0.0)</f>
        <v>0</v>
      </c>
      <c r="H272" s="137" t="str">
        <f t="shared" si="2"/>
        <v/>
      </c>
      <c r="I272" s="137" t="str">
        <f t="shared" si="3"/>
        <v/>
      </c>
      <c r="J272" s="137" t="str">
        <f t="shared" si="4"/>
        <v>Week 18WSH</v>
      </c>
      <c r="K272" s="137" t="str">
        <f t="shared" si="5"/>
        <v>Week 18DAL</v>
      </c>
      <c r="L272" s="137" t="str">
        <f t="shared" ref="L272:M272" si="276">D272</f>
        <v/>
      </c>
      <c r="M272" s="137" t="str">
        <f t="shared" si="276"/>
        <v/>
      </c>
      <c r="N272" s="137" t="str">
        <f t="shared" si="7"/>
        <v>Week 18WSH</v>
      </c>
    </row>
    <row r="273">
      <c r="A273" s="137" t="str">
        <f>IFERROR(__xludf.DUMMYFUNCTION("""COMPUTED_VALUE"""),"20250105_JAX@IND")</f>
        <v>20250105_JAX@IND</v>
      </c>
      <c r="B273" s="137" t="str">
        <f>IFERROR(__xludf.DUMMYFUNCTION("""COMPUTED_VALUE"""),"JAX")</f>
        <v>JAX</v>
      </c>
      <c r="C273" s="137" t="str">
        <f>IFERROR(__xludf.DUMMYFUNCTION("""COMPUTED_VALUE"""),"IND")</f>
        <v>IND</v>
      </c>
      <c r="D273" s="137"/>
      <c r="E273" s="137"/>
      <c r="F273" s="137" t="str">
        <f>IFERROR(__xludf.DUMMYFUNCTION("""COMPUTED_VALUE"""),"Week 18")</f>
        <v>Week 18</v>
      </c>
      <c r="G273" s="137">
        <f>IFERROR(__xludf.DUMMYFUNCTION("""COMPUTED_VALUE"""),0.0)</f>
        <v>0</v>
      </c>
      <c r="H273" s="137" t="str">
        <f t="shared" si="2"/>
        <v/>
      </c>
      <c r="I273" s="137" t="str">
        <f t="shared" si="3"/>
        <v/>
      </c>
      <c r="J273" s="137" t="str">
        <f t="shared" si="4"/>
        <v>Week 18JAX</v>
      </c>
      <c r="K273" s="137" t="str">
        <f t="shared" si="5"/>
        <v>Week 18IND</v>
      </c>
      <c r="L273" s="137" t="str">
        <f t="shared" ref="L273:M273" si="277">D273</f>
        <v/>
      </c>
      <c r="M273" s="137" t="str">
        <f t="shared" si="277"/>
        <v/>
      </c>
      <c r="N273" s="137" t="str">
        <f t="shared" si="7"/>
        <v>Week 18JAX</v>
      </c>
    </row>
    <row r="274">
      <c r="H274" s="137" t="str">
        <f t="shared" si="2"/>
        <v/>
      </c>
      <c r="I274" s="137" t="str">
        <f t="shared" si="3"/>
        <v/>
      </c>
      <c r="J274" s="137" t="str">
        <f t="shared" si="4"/>
        <v/>
      </c>
      <c r="K274" s="137" t="str">
        <f t="shared" si="5"/>
        <v/>
      </c>
      <c r="L274" s="137" t="str">
        <f t="shared" ref="L274:M274" si="278">D274</f>
        <v/>
      </c>
      <c r="M274" s="137" t="str">
        <f t="shared" si="278"/>
        <v/>
      </c>
      <c r="N274" s="137" t="str">
        <f t="shared" si="7"/>
        <v/>
      </c>
    </row>
    <row r="275">
      <c r="H275" s="137" t="str">
        <f t="shared" si="2"/>
        <v/>
      </c>
      <c r="I275" s="137" t="str">
        <f t="shared" si="3"/>
        <v/>
      </c>
      <c r="J275" s="137" t="str">
        <f t="shared" si="4"/>
        <v/>
      </c>
      <c r="K275" s="137" t="str">
        <f t="shared" si="5"/>
        <v/>
      </c>
      <c r="L275" s="137" t="str">
        <f t="shared" ref="L275:M275" si="279">D275</f>
        <v/>
      </c>
      <c r="M275" s="137" t="str">
        <f t="shared" si="279"/>
        <v/>
      </c>
      <c r="N275" s="137" t="str">
        <f t="shared" si="7"/>
        <v/>
      </c>
    </row>
    <row r="276">
      <c r="H276" s="137" t="str">
        <f t="shared" si="2"/>
        <v/>
      </c>
      <c r="I276" s="137" t="str">
        <f t="shared" si="3"/>
        <v/>
      </c>
      <c r="J276" s="137" t="str">
        <f t="shared" si="4"/>
        <v/>
      </c>
      <c r="K276" s="137" t="str">
        <f t="shared" si="5"/>
        <v/>
      </c>
      <c r="L276" s="137" t="str">
        <f t="shared" ref="L276:M276" si="280">D276</f>
        <v/>
      </c>
      <c r="M276" s="137" t="str">
        <f t="shared" si="280"/>
        <v/>
      </c>
      <c r="N276" s="137" t="str">
        <f t="shared" si="7"/>
        <v/>
      </c>
    </row>
    <row r="277">
      <c r="H277" s="137" t="str">
        <f t="shared" si="2"/>
        <v/>
      </c>
      <c r="I277" s="137" t="str">
        <f t="shared" si="3"/>
        <v/>
      </c>
      <c r="J277" s="137" t="str">
        <f t="shared" si="4"/>
        <v/>
      </c>
      <c r="K277" s="137" t="str">
        <f t="shared" si="5"/>
        <v/>
      </c>
      <c r="L277" s="137" t="str">
        <f t="shared" ref="L277:M277" si="281">D277</f>
        <v/>
      </c>
      <c r="M277" s="137" t="str">
        <f t="shared" si="281"/>
        <v/>
      </c>
      <c r="N277" s="137" t="str">
        <f t="shared" si="7"/>
        <v/>
      </c>
    </row>
    <row r="278">
      <c r="H278" s="137" t="str">
        <f t="shared" si="2"/>
        <v/>
      </c>
      <c r="I278" s="137" t="str">
        <f t="shared" si="3"/>
        <v/>
      </c>
      <c r="J278" s="137" t="str">
        <f t="shared" si="4"/>
        <v/>
      </c>
      <c r="K278" s="137" t="str">
        <f t="shared" si="5"/>
        <v/>
      </c>
      <c r="L278" s="137" t="str">
        <f t="shared" ref="L278:M278" si="282">D278</f>
        <v/>
      </c>
      <c r="M278" s="137" t="str">
        <f t="shared" si="282"/>
        <v/>
      </c>
      <c r="N278" s="137" t="str">
        <f t="shared" si="7"/>
        <v/>
      </c>
    </row>
    <row r="279">
      <c r="H279" s="137" t="str">
        <f t="shared" si="2"/>
        <v/>
      </c>
      <c r="I279" s="137" t="str">
        <f t="shared" si="3"/>
        <v/>
      </c>
      <c r="J279" s="137" t="str">
        <f t="shared" si="4"/>
        <v/>
      </c>
      <c r="K279" s="137" t="str">
        <f t="shared" si="5"/>
        <v/>
      </c>
      <c r="L279" s="137" t="str">
        <f t="shared" ref="L279:M279" si="283">D279</f>
        <v/>
      </c>
      <c r="M279" s="137" t="str">
        <f t="shared" si="283"/>
        <v/>
      </c>
      <c r="N279" s="137" t="str">
        <f t="shared" si="7"/>
        <v/>
      </c>
    </row>
    <row r="280">
      <c r="H280" s="137" t="str">
        <f t="shared" si="2"/>
        <v/>
      </c>
      <c r="I280" s="137" t="str">
        <f t="shared" si="3"/>
        <v/>
      </c>
      <c r="J280" s="137" t="str">
        <f t="shared" si="4"/>
        <v/>
      </c>
      <c r="K280" s="137" t="str">
        <f t="shared" si="5"/>
        <v/>
      </c>
      <c r="L280" s="137" t="str">
        <f t="shared" ref="L280:M280" si="284">D280</f>
        <v/>
      </c>
      <c r="M280" s="137" t="str">
        <f t="shared" si="284"/>
        <v/>
      </c>
      <c r="N280" s="137" t="str">
        <f t="shared" si="7"/>
        <v/>
      </c>
    </row>
    <row r="281">
      <c r="H281" s="137" t="str">
        <f t="shared" si="2"/>
        <v/>
      </c>
      <c r="I281" s="137" t="str">
        <f t="shared" si="3"/>
        <v/>
      </c>
      <c r="J281" s="137" t="str">
        <f t="shared" si="4"/>
        <v/>
      </c>
      <c r="K281" s="137" t="str">
        <f t="shared" si="5"/>
        <v/>
      </c>
      <c r="L281" s="137" t="str">
        <f t="shared" ref="L281:M281" si="285">D281</f>
        <v/>
      </c>
      <c r="M281" s="137" t="str">
        <f t="shared" si="285"/>
        <v/>
      </c>
      <c r="N281" s="137" t="str">
        <f t="shared" si="7"/>
        <v/>
      </c>
    </row>
    <row r="282">
      <c r="H282" s="137" t="str">
        <f t="shared" si="2"/>
        <v/>
      </c>
      <c r="I282" s="137" t="str">
        <f t="shared" si="3"/>
        <v/>
      </c>
      <c r="J282" s="137" t="str">
        <f t="shared" si="4"/>
        <v/>
      </c>
      <c r="K282" s="137" t="str">
        <f t="shared" si="5"/>
        <v/>
      </c>
      <c r="L282" s="137" t="str">
        <f t="shared" ref="L282:M282" si="286">D282</f>
        <v/>
      </c>
      <c r="M282" s="137" t="str">
        <f t="shared" si="286"/>
        <v/>
      </c>
      <c r="N282" s="137" t="str">
        <f t="shared" si="7"/>
        <v/>
      </c>
    </row>
    <row r="283">
      <c r="H283" s="137" t="str">
        <f t="shared" si="2"/>
        <v/>
      </c>
      <c r="I283" s="137" t="str">
        <f t="shared" si="3"/>
        <v/>
      </c>
      <c r="J283" s="137" t="str">
        <f t="shared" si="4"/>
        <v/>
      </c>
      <c r="K283" s="137" t="str">
        <f t="shared" si="5"/>
        <v/>
      </c>
      <c r="L283" s="137" t="str">
        <f t="shared" ref="L283:M283" si="287">D283</f>
        <v/>
      </c>
      <c r="M283" s="137" t="str">
        <f t="shared" si="287"/>
        <v/>
      </c>
      <c r="N283" s="137" t="str">
        <f t="shared" si="7"/>
        <v/>
      </c>
    </row>
    <row r="284">
      <c r="H284" s="137" t="str">
        <f t="shared" si="2"/>
        <v/>
      </c>
      <c r="I284" s="137" t="str">
        <f t="shared" si="3"/>
        <v/>
      </c>
      <c r="J284" s="137" t="str">
        <f t="shared" si="4"/>
        <v/>
      </c>
      <c r="K284" s="137" t="str">
        <f t="shared" si="5"/>
        <v/>
      </c>
      <c r="L284" s="137" t="str">
        <f t="shared" ref="L284:M284" si="288">D284</f>
        <v/>
      </c>
      <c r="M284" s="137" t="str">
        <f t="shared" si="288"/>
        <v/>
      </c>
      <c r="N284" s="137" t="str">
        <f t="shared" si="7"/>
        <v/>
      </c>
    </row>
    <row r="285">
      <c r="H285" s="137" t="str">
        <f t="shared" si="2"/>
        <v/>
      </c>
      <c r="I285" s="137" t="str">
        <f t="shared" si="3"/>
        <v/>
      </c>
      <c r="J285" s="137" t="str">
        <f t="shared" si="4"/>
        <v/>
      </c>
      <c r="K285" s="137" t="str">
        <f t="shared" si="5"/>
        <v/>
      </c>
      <c r="L285" s="137" t="str">
        <f t="shared" ref="L285:M285" si="289">D285</f>
        <v/>
      </c>
      <c r="M285" s="137" t="str">
        <f t="shared" si="289"/>
        <v/>
      </c>
      <c r="N285" s="137" t="str">
        <f t="shared" si="7"/>
        <v/>
      </c>
    </row>
    <row r="286">
      <c r="H286" s="137" t="str">
        <f t="shared" si="2"/>
        <v/>
      </c>
      <c r="I286" s="137" t="str">
        <f t="shared" si="3"/>
        <v/>
      </c>
      <c r="J286" s="137" t="str">
        <f t="shared" si="4"/>
        <v/>
      </c>
      <c r="K286" s="137" t="str">
        <f t="shared" si="5"/>
        <v/>
      </c>
      <c r="L286" s="137" t="str">
        <f t="shared" ref="L286:M286" si="290">D286</f>
        <v/>
      </c>
      <c r="M286" s="137" t="str">
        <f t="shared" si="290"/>
        <v/>
      </c>
      <c r="N286" s="137" t="str">
        <f t="shared" si="7"/>
        <v/>
      </c>
    </row>
    <row r="287">
      <c r="H287" s="137" t="str">
        <f t="shared" si="2"/>
        <v/>
      </c>
      <c r="I287" s="137" t="str">
        <f t="shared" si="3"/>
        <v/>
      </c>
      <c r="J287" s="137" t="str">
        <f t="shared" si="4"/>
        <v/>
      </c>
      <c r="K287" s="137" t="str">
        <f t="shared" si="5"/>
        <v/>
      </c>
      <c r="L287" s="137" t="str">
        <f t="shared" ref="L287:M287" si="291">D287</f>
        <v/>
      </c>
      <c r="M287" s="137" t="str">
        <f t="shared" si="291"/>
        <v/>
      </c>
      <c r="N287" s="137" t="str">
        <f t="shared" si="7"/>
        <v/>
      </c>
    </row>
    <row r="288">
      <c r="H288" s="137" t="str">
        <f t="shared" si="2"/>
        <v/>
      </c>
      <c r="I288" s="137" t="str">
        <f t="shared" si="3"/>
        <v/>
      </c>
      <c r="J288" s="137" t="str">
        <f t="shared" si="4"/>
        <v/>
      </c>
      <c r="K288" s="137" t="str">
        <f t="shared" si="5"/>
        <v/>
      </c>
      <c r="L288" s="137" t="str">
        <f t="shared" ref="L288:M288" si="292">D288</f>
        <v/>
      </c>
      <c r="M288" s="137" t="str">
        <f t="shared" si="292"/>
        <v/>
      </c>
      <c r="N288" s="137" t="str">
        <f t="shared" si="7"/>
        <v/>
      </c>
    </row>
    <row r="289">
      <c r="H289" s="137" t="str">
        <f t="shared" si="2"/>
        <v/>
      </c>
      <c r="I289" s="137" t="str">
        <f t="shared" si="3"/>
        <v/>
      </c>
      <c r="J289" s="137" t="str">
        <f t="shared" si="4"/>
        <v/>
      </c>
      <c r="K289" s="137" t="str">
        <f t="shared" si="5"/>
        <v/>
      </c>
      <c r="L289" s="137" t="str">
        <f t="shared" ref="L289:M289" si="293">D289</f>
        <v/>
      </c>
      <c r="M289" s="137" t="str">
        <f t="shared" si="293"/>
        <v/>
      </c>
      <c r="N289" s="137" t="str">
        <f t="shared" si="7"/>
        <v/>
      </c>
    </row>
    <row r="290">
      <c r="H290" s="137" t="str">
        <f t="shared" si="2"/>
        <v/>
      </c>
      <c r="I290" s="137" t="str">
        <f t="shared" si="3"/>
        <v/>
      </c>
      <c r="J290" s="137" t="str">
        <f t="shared" si="4"/>
        <v/>
      </c>
      <c r="K290" s="137" t="str">
        <f t="shared" si="5"/>
        <v/>
      </c>
      <c r="L290" s="137" t="str">
        <f t="shared" ref="L290:M290" si="294">D290</f>
        <v/>
      </c>
      <c r="M290" s="137" t="str">
        <f t="shared" si="294"/>
        <v/>
      </c>
      <c r="N290" s="137" t="str">
        <f t="shared" si="7"/>
        <v/>
      </c>
    </row>
    <row r="291">
      <c r="H291" s="137" t="str">
        <f t="shared" si="2"/>
        <v/>
      </c>
      <c r="I291" s="137" t="str">
        <f t="shared" si="3"/>
        <v/>
      </c>
      <c r="J291" s="137" t="str">
        <f t="shared" si="4"/>
        <v/>
      </c>
      <c r="K291" s="137" t="str">
        <f t="shared" si="5"/>
        <v/>
      </c>
      <c r="L291" s="137" t="str">
        <f t="shared" ref="L291:M291" si="295">D291</f>
        <v/>
      </c>
      <c r="M291" s="137" t="str">
        <f t="shared" si="295"/>
        <v/>
      </c>
      <c r="N291" s="137" t="str">
        <f t="shared" si="7"/>
        <v/>
      </c>
    </row>
    <row r="292">
      <c r="H292" s="137" t="str">
        <f t="shared" si="2"/>
        <v/>
      </c>
      <c r="I292" s="137" t="str">
        <f t="shared" si="3"/>
        <v/>
      </c>
      <c r="J292" s="137" t="str">
        <f t="shared" si="4"/>
        <v/>
      </c>
      <c r="K292" s="137" t="str">
        <f t="shared" si="5"/>
        <v/>
      </c>
      <c r="L292" s="137" t="str">
        <f t="shared" ref="L292:M292" si="296">D292</f>
        <v/>
      </c>
      <c r="M292" s="137" t="str">
        <f t="shared" si="296"/>
        <v/>
      </c>
      <c r="N292" s="137" t="str">
        <f t="shared" si="7"/>
        <v/>
      </c>
    </row>
    <row r="293">
      <c r="H293" s="137" t="str">
        <f t="shared" si="2"/>
        <v/>
      </c>
      <c r="I293" s="137" t="str">
        <f t="shared" si="3"/>
        <v/>
      </c>
      <c r="J293" s="137" t="str">
        <f t="shared" si="4"/>
        <v/>
      </c>
      <c r="K293" s="137" t="str">
        <f t="shared" si="5"/>
        <v/>
      </c>
      <c r="L293" s="137" t="str">
        <f t="shared" ref="L293:M293" si="297">D293</f>
        <v/>
      </c>
      <c r="M293" s="137" t="str">
        <f t="shared" si="297"/>
        <v/>
      </c>
      <c r="N293" s="137" t="str">
        <f t="shared" si="7"/>
        <v/>
      </c>
    </row>
    <row r="294">
      <c r="H294" s="137" t="str">
        <f t="shared" si="2"/>
        <v/>
      </c>
      <c r="I294" s="137" t="str">
        <f t="shared" si="3"/>
        <v/>
      </c>
      <c r="J294" s="137" t="str">
        <f t="shared" si="4"/>
        <v/>
      </c>
      <c r="K294" s="137" t="str">
        <f t="shared" si="5"/>
        <v/>
      </c>
      <c r="L294" s="137" t="str">
        <f t="shared" ref="L294:M294" si="298">D294</f>
        <v/>
      </c>
      <c r="M294" s="137" t="str">
        <f t="shared" si="298"/>
        <v/>
      </c>
      <c r="N294" s="137" t="str">
        <f t="shared" si="7"/>
        <v/>
      </c>
    </row>
    <row r="295">
      <c r="H295" s="137" t="str">
        <f t="shared" si="2"/>
        <v/>
      </c>
      <c r="I295" s="137" t="str">
        <f t="shared" si="3"/>
        <v/>
      </c>
      <c r="J295" s="137" t="str">
        <f t="shared" si="4"/>
        <v/>
      </c>
      <c r="K295" s="137" t="str">
        <f t="shared" si="5"/>
        <v/>
      </c>
      <c r="L295" s="137" t="str">
        <f t="shared" ref="L295:M295" si="299">D295</f>
        <v/>
      </c>
      <c r="M295" s="137" t="str">
        <f t="shared" si="299"/>
        <v/>
      </c>
      <c r="N295" s="137" t="str">
        <f t="shared" si="7"/>
        <v/>
      </c>
    </row>
    <row r="296">
      <c r="H296" s="137" t="str">
        <f t="shared" si="2"/>
        <v/>
      </c>
      <c r="I296" s="137" t="str">
        <f t="shared" si="3"/>
        <v/>
      </c>
      <c r="J296" s="137" t="str">
        <f t="shared" si="4"/>
        <v/>
      </c>
      <c r="K296" s="137" t="str">
        <f t="shared" si="5"/>
        <v/>
      </c>
      <c r="L296" s="137" t="str">
        <f t="shared" ref="L296:M296" si="300">D296</f>
        <v/>
      </c>
      <c r="M296" s="137" t="str">
        <f t="shared" si="300"/>
        <v/>
      </c>
      <c r="N296" s="137" t="str">
        <f t="shared" si="7"/>
        <v/>
      </c>
    </row>
    <row r="297">
      <c r="H297" s="137" t="str">
        <f t="shared" si="2"/>
        <v/>
      </c>
      <c r="I297" s="137" t="str">
        <f t="shared" si="3"/>
        <v/>
      </c>
      <c r="J297" s="137" t="str">
        <f t="shared" si="4"/>
        <v/>
      </c>
      <c r="K297" s="137" t="str">
        <f t="shared" si="5"/>
        <v/>
      </c>
      <c r="L297" s="137" t="str">
        <f t="shared" ref="L297:M297" si="301">D297</f>
        <v/>
      </c>
      <c r="M297" s="137" t="str">
        <f t="shared" si="301"/>
        <v/>
      </c>
      <c r="N297" s="137" t="str">
        <f t="shared" si="7"/>
        <v/>
      </c>
    </row>
    <row r="298">
      <c r="H298" s="137" t="str">
        <f t="shared" si="2"/>
        <v/>
      </c>
      <c r="I298" s="137" t="str">
        <f t="shared" si="3"/>
        <v/>
      </c>
      <c r="J298" s="137" t="str">
        <f t="shared" si="4"/>
        <v/>
      </c>
      <c r="K298" s="137" t="str">
        <f t="shared" si="5"/>
        <v/>
      </c>
      <c r="L298" s="137" t="str">
        <f t="shared" ref="L298:M298" si="302">D298</f>
        <v/>
      </c>
      <c r="M298" s="137" t="str">
        <f t="shared" si="302"/>
        <v/>
      </c>
      <c r="N298" s="137" t="str">
        <f t="shared" si="7"/>
        <v/>
      </c>
    </row>
    <row r="299">
      <c r="H299" s="137" t="str">
        <f t="shared" si="2"/>
        <v/>
      </c>
      <c r="I299" s="137" t="str">
        <f t="shared" si="3"/>
        <v/>
      </c>
      <c r="J299" s="137" t="str">
        <f t="shared" si="4"/>
        <v/>
      </c>
      <c r="K299" s="137" t="str">
        <f t="shared" si="5"/>
        <v/>
      </c>
      <c r="L299" s="137" t="str">
        <f t="shared" ref="L299:M299" si="303">D299</f>
        <v/>
      </c>
      <c r="M299" s="137" t="str">
        <f t="shared" si="303"/>
        <v/>
      </c>
      <c r="N299" s="137" t="str">
        <f t="shared" si="7"/>
        <v/>
      </c>
    </row>
    <row r="300">
      <c r="H300" s="137" t="str">
        <f t="shared" si="2"/>
        <v/>
      </c>
      <c r="I300" s="137" t="str">
        <f t="shared" si="3"/>
        <v/>
      </c>
      <c r="J300" s="137" t="str">
        <f t="shared" si="4"/>
        <v/>
      </c>
      <c r="K300" s="137" t="str">
        <f t="shared" si="5"/>
        <v/>
      </c>
      <c r="L300" s="137" t="str">
        <f t="shared" ref="L300:M300" si="304">D300</f>
        <v/>
      </c>
      <c r="M300" s="137" t="str">
        <f t="shared" si="304"/>
        <v/>
      </c>
      <c r="N300" s="137" t="str">
        <f t="shared" si="7"/>
        <v/>
      </c>
    </row>
    <row r="301">
      <c r="H301" s="137" t="str">
        <f t="shared" si="2"/>
        <v/>
      </c>
      <c r="I301" s="137" t="str">
        <f t="shared" si="3"/>
        <v/>
      </c>
      <c r="J301" s="137" t="str">
        <f t="shared" si="4"/>
        <v/>
      </c>
      <c r="K301" s="137" t="str">
        <f t="shared" si="5"/>
        <v/>
      </c>
      <c r="L301" s="137" t="str">
        <f t="shared" ref="L301:M301" si="305">D301</f>
        <v/>
      </c>
      <c r="M301" s="137" t="str">
        <f t="shared" si="305"/>
        <v/>
      </c>
      <c r="N301" s="137" t="str">
        <f t="shared" si="7"/>
        <v/>
      </c>
    </row>
    <row r="302">
      <c r="H302" s="137" t="str">
        <f t="shared" si="2"/>
        <v/>
      </c>
      <c r="I302" s="137" t="str">
        <f t="shared" si="3"/>
        <v/>
      </c>
      <c r="J302" s="137" t="str">
        <f t="shared" si="4"/>
        <v/>
      </c>
      <c r="K302" s="137" t="str">
        <f t="shared" si="5"/>
        <v/>
      </c>
      <c r="L302" s="137" t="str">
        <f t="shared" ref="L302:M302" si="306">D302</f>
        <v/>
      </c>
      <c r="M302" s="137" t="str">
        <f t="shared" si="306"/>
        <v/>
      </c>
      <c r="N302" s="137" t="str">
        <f t="shared" si="7"/>
        <v/>
      </c>
    </row>
    <row r="303">
      <c r="H303" s="137" t="str">
        <f t="shared" si="2"/>
        <v/>
      </c>
      <c r="I303" s="137" t="str">
        <f t="shared" si="3"/>
        <v/>
      </c>
      <c r="J303" s="137" t="str">
        <f t="shared" si="4"/>
        <v/>
      </c>
      <c r="K303" s="137" t="str">
        <f t="shared" si="5"/>
        <v/>
      </c>
      <c r="L303" s="137" t="str">
        <f t="shared" ref="L303:M303" si="307">D303</f>
        <v/>
      </c>
      <c r="M303" s="137" t="str">
        <f t="shared" si="307"/>
        <v/>
      </c>
      <c r="N303" s="137" t="str">
        <f t="shared" si="7"/>
        <v/>
      </c>
    </row>
    <row r="304">
      <c r="H304" s="137" t="str">
        <f t="shared" si="2"/>
        <v/>
      </c>
      <c r="I304" s="137" t="str">
        <f t="shared" si="3"/>
        <v/>
      </c>
      <c r="J304" s="137" t="str">
        <f t="shared" si="4"/>
        <v/>
      </c>
      <c r="K304" s="137" t="str">
        <f t="shared" si="5"/>
        <v/>
      </c>
      <c r="L304" s="137" t="str">
        <f t="shared" ref="L304:M304" si="308">D304</f>
        <v/>
      </c>
      <c r="M304" s="137" t="str">
        <f t="shared" si="308"/>
        <v/>
      </c>
      <c r="N304" s="137" t="str">
        <f t="shared" si="7"/>
        <v/>
      </c>
    </row>
    <row r="305">
      <c r="H305" s="137" t="str">
        <f t="shared" si="2"/>
        <v/>
      </c>
      <c r="I305" s="137" t="str">
        <f t="shared" si="3"/>
        <v/>
      </c>
      <c r="J305" s="137" t="str">
        <f t="shared" si="4"/>
        <v/>
      </c>
      <c r="K305" s="137" t="str">
        <f t="shared" si="5"/>
        <v/>
      </c>
      <c r="L305" s="137" t="str">
        <f t="shared" ref="L305:M305" si="309">D305</f>
        <v/>
      </c>
      <c r="M305" s="137" t="str">
        <f t="shared" si="309"/>
        <v/>
      </c>
      <c r="N305" s="137" t="str">
        <f t="shared" si="7"/>
        <v/>
      </c>
    </row>
    <row r="306">
      <c r="H306" s="137" t="str">
        <f t="shared" si="2"/>
        <v/>
      </c>
      <c r="I306" s="137" t="str">
        <f t="shared" si="3"/>
        <v/>
      </c>
      <c r="J306" s="137" t="str">
        <f t="shared" si="4"/>
        <v/>
      </c>
      <c r="K306" s="137" t="str">
        <f t="shared" si="5"/>
        <v/>
      </c>
      <c r="L306" s="137" t="str">
        <f t="shared" ref="L306:M306" si="310">D306</f>
        <v/>
      </c>
      <c r="M306" s="137" t="str">
        <f t="shared" si="310"/>
        <v/>
      </c>
      <c r="N306" s="137" t="str">
        <f t="shared" si="7"/>
        <v/>
      </c>
    </row>
    <row r="307">
      <c r="H307" s="137" t="str">
        <f t="shared" si="2"/>
        <v/>
      </c>
      <c r="I307" s="137" t="str">
        <f t="shared" si="3"/>
        <v/>
      </c>
      <c r="J307" s="137" t="str">
        <f t="shared" si="4"/>
        <v/>
      </c>
      <c r="K307" s="137" t="str">
        <f t="shared" si="5"/>
        <v/>
      </c>
      <c r="L307" s="137" t="str">
        <f t="shared" ref="L307:M307" si="311">D307</f>
        <v/>
      </c>
      <c r="M307" s="137" t="str">
        <f t="shared" si="311"/>
        <v/>
      </c>
      <c r="N307" s="137" t="str">
        <f t="shared" si="7"/>
        <v/>
      </c>
    </row>
    <row r="308">
      <c r="H308" s="137" t="str">
        <f t="shared" si="2"/>
        <v/>
      </c>
      <c r="I308" s="137" t="str">
        <f t="shared" si="3"/>
        <v/>
      </c>
      <c r="J308" s="137" t="str">
        <f t="shared" si="4"/>
        <v/>
      </c>
      <c r="K308" s="137" t="str">
        <f t="shared" si="5"/>
        <v/>
      </c>
      <c r="L308" s="137" t="str">
        <f t="shared" ref="L308:M308" si="312">D308</f>
        <v/>
      </c>
      <c r="M308" s="137" t="str">
        <f t="shared" si="312"/>
        <v/>
      </c>
      <c r="N308" s="137" t="str">
        <f t="shared" si="7"/>
        <v/>
      </c>
    </row>
    <row r="309">
      <c r="H309" s="137" t="str">
        <f t="shared" si="2"/>
        <v/>
      </c>
      <c r="I309" s="137" t="str">
        <f t="shared" si="3"/>
        <v/>
      </c>
      <c r="J309" s="137" t="str">
        <f t="shared" si="4"/>
        <v/>
      </c>
      <c r="K309" s="137" t="str">
        <f t="shared" si="5"/>
        <v/>
      </c>
      <c r="L309" s="137" t="str">
        <f t="shared" ref="L309:M309" si="313">D309</f>
        <v/>
      </c>
      <c r="M309" s="137" t="str">
        <f t="shared" si="313"/>
        <v/>
      </c>
      <c r="N309" s="137" t="str">
        <f t="shared" si="7"/>
        <v/>
      </c>
    </row>
    <row r="310">
      <c r="H310" s="137" t="str">
        <f t="shared" si="2"/>
        <v/>
      </c>
      <c r="I310" s="137" t="str">
        <f t="shared" si="3"/>
        <v/>
      </c>
      <c r="J310" s="137" t="str">
        <f t="shared" si="4"/>
        <v/>
      </c>
      <c r="K310" s="137" t="str">
        <f t="shared" si="5"/>
        <v/>
      </c>
      <c r="L310" s="137" t="str">
        <f t="shared" ref="L310:M310" si="314">D310</f>
        <v/>
      </c>
      <c r="M310" s="137" t="str">
        <f t="shared" si="314"/>
        <v/>
      </c>
      <c r="N310" s="137" t="str">
        <f t="shared" si="7"/>
        <v/>
      </c>
    </row>
    <row r="311">
      <c r="H311" s="137" t="str">
        <f t="shared" si="2"/>
        <v/>
      </c>
      <c r="I311" s="137" t="str">
        <f t="shared" si="3"/>
        <v/>
      </c>
      <c r="J311" s="137" t="str">
        <f t="shared" si="4"/>
        <v/>
      </c>
      <c r="K311" s="137" t="str">
        <f t="shared" si="5"/>
        <v/>
      </c>
      <c r="L311" s="137" t="str">
        <f t="shared" ref="L311:M311" si="315">D311</f>
        <v/>
      </c>
      <c r="M311" s="137" t="str">
        <f t="shared" si="315"/>
        <v/>
      </c>
      <c r="N311" s="137" t="str">
        <f t="shared" si="7"/>
        <v/>
      </c>
    </row>
    <row r="312">
      <c r="H312" s="137" t="str">
        <f t="shared" si="2"/>
        <v/>
      </c>
      <c r="I312" s="137" t="str">
        <f t="shared" si="3"/>
        <v/>
      </c>
      <c r="J312" s="137" t="str">
        <f t="shared" si="4"/>
        <v/>
      </c>
      <c r="K312" s="137" t="str">
        <f t="shared" si="5"/>
        <v/>
      </c>
      <c r="L312" s="137" t="str">
        <f t="shared" ref="L312:M312" si="316">D312</f>
        <v/>
      </c>
      <c r="M312" s="137" t="str">
        <f t="shared" si="316"/>
        <v/>
      </c>
      <c r="N312" s="137" t="str">
        <f t="shared" si="7"/>
        <v/>
      </c>
    </row>
    <row r="313">
      <c r="H313" s="137" t="str">
        <f t="shared" si="2"/>
        <v/>
      </c>
      <c r="I313" s="137" t="str">
        <f t="shared" si="3"/>
        <v/>
      </c>
      <c r="J313" s="137" t="str">
        <f t="shared" si="4"/>
        <v/>
      </c>
      <c r="K313" s="137" t="str">
        <f t="shared" si="5"/>
        <v/>
      </c>
      <c r="L313" s="137" t="str">
        <f t="shared" ref="L313:M313" si="317">D313</f>
        <v/>
      </c>
      <c r="M313" s="137" t="str">
        <f t="shared" si="317"/>
        <v/>
      </c>
      <c r="N313" s="137" t="str">
        <f t="shared" si="7"/>
        <v/>
      </c>
    </row>
    <row r="314">
      <c r="H314" s="137" t="str">
        <f t="shared" si="2"/>
        <v/>
      </c>
      <c r="I314" s="137" t="str">
        <f t="shared" si="3"/>
        <v/>
      </c>
      <c r="J314" s="137" t="str">
        <f t="shared" si="4"/>
        <v/>
      </c>
      <c r="K314" s="137" t="str">
        <f t="shared" si="5"/>
        <v/>
      </c>
      <c r="L314" s="137" t="str">
        <f t="shared" ref="L314:M314" si="318">D314</f>
        <v/>
      </c>
      <c r="M314" s="137" t="str">
        <f t="shared" si="318"/>
        <v/>
      </c>
      <c r="N314" s="137" t="str">
        <f t="shared" si="7"/>
        <v/>
      </c>
    </row>
    <row r="315">
      <c r="H315" s="137" t="str">
        <f t="shared" si="2"/>
        <v/>
      </c>
      <c r="I315" s="137" t="str">
        <f t="shared" si="3"/>
        <v/>
      </c>
      <c r="J315" s="137" t="str">
        <f t="shared" si="4"/>
        <v/>
      </c>
      <c r="K315" s="137" t="str">
        <f t="shared" si="5"/>
        <v/>
      </c>
      <c r="L315" s="137" t="str">
        <f t="shared" ref="L315:M315" si="319">D315</f>
        <v/>
      </c>
      <c r="M315" s="137" t="str">
        <f t="shared" si="319"/>
        <v/>
      </c>
      <c r="N315" s="137" t="str">
        <f t="shared" si="7"/>
        <v/>
      </c>
    </row>
    <row r="316">
      <c r="H316" s="137" t="str">
        <f t="shared" si="2"/>
        <v/>
      </c>
      <c r="I316" s="137" t="str">
        <f t="shared" si="3"/>
        <v/>
      </c>
      <c r="J316" s="137" t="str">
        <f t="shared" si="4"/>
        <v/>
      </c>
      <c r="K316" s="137" t="str">
        <f t="shared" si="5"/>
        <v/>
      </c>
      <c r="L316" s="137" t="str">
        <f t="shared" ref="L316:M316" si="320">D316</f>
        <v/>
      </c>
      <c r="M316" s="137" t="str">
        <f t="shared" si="320"/>
        <v/>
      </c>
      <c r="N316" s="137" t="str">
        <f t="shared" si="7"/>
        <v/>
      </c>
    </row>
    <row r="317">
      <c r="H317" s="137" t="str">
        <f t="shared" si="2"/>
        <v/>
      </c>
      <c r="I317" s="137" t="str">
        <f t="shared" si="3"/>
        <v/>
      </c>
      <c r="J317" s="137" t="str">
        <f t="shared" si="4"/>
        <v/>
      </c>
      <c r="K317" s="137" t="str">
        <f t="shared" si="5"/>
        <v/>
      </c>
      <c r="L317" s="137" t="str">
        <f t="shared" ref="L317:M317" si="321">D317</f>
        <v/>
      </c>
      <c r="M317" s="137" t="str">
        <f t="shared" si="321"/>
        <v/>
      </c>
      <c r="N317" s="137" t="str">
        <f t="shared" si="7"/>
        <v/>
      </c>
    </row>
    <row r="318">
      <c r="H318" s="137" t="str">
        <f t="shared" si="2"/>
        <v/>
      </c>
      <c r="I318" s="137" t="str">
        <f t="shared" si="3"/>
        <v/>
      </c>
      <c r="J318" s="137" t="str">
        <f t="shared" si="4"/>
        <v/>
      </c>
      <c r="K318" s="137" t="str">
        <f t="shared" si="5"/>
        <v/>
      </c>
      <c r="L318" s="137" t="str">
        <f t="shared" ref="L318:M318" si="322">D318</f>
        <v/>
      </c>
      <c r="M318" s="137" t="str">
        <f t="shared" si="322"/>
        <v/>
      </c>
      <c r="N318" s="137" t="str">
        <f t="shared" si="7"/>
        <v/>
      </c>
    </row>
    <row r="319">
      <c r="H319" s="137" t="str">
        <f t="shared" si="2"/>
        <v/>
      </c>
      <c r="I319" s="137" t="str">
        <f t="shared" si="3"/>
        <v/>
      </c>
      <c r="J319" s="137" t="str">
        <f t="shared" si="4"/>
        <v/>
      </c>
      <c r="K319" s="137" t="str">
        <f t="shared" si="5"/>
        <v/>
      </c>
      <c r="L319" s="137" t="str">
        <f t="shared" ref="L319:M319" si="323">D319</f>
        <v/>
      </c>
      <c r="M319" s="137" t="str">
        <f t="shared" si="323"/>
        <v/>
      </c>
      <c r="N319" s="137" t="str">
        <f t="shared" si="7"/>
        <v/>
      </c>
    </row>
    <row r="320">
      <c r="H320" s="137" t="str">
        <f t="shared" si="2"/>
        <v/>
      </c>
      <c r="I320" s="137" t="str">
        <f t="shared" si="3"/>
        <v/>
      </c>
      <c r="J320" s="137" t="str">
        <f t="shared" si="4"/>
        <v/>
      </c>
      <c r="K320" s="137" t="str">
        <f t="shared" si="5"/>
        <v/>
      </c>
      <c r="L320" s="137" t="str">
        <f t="shared" ref="L320:M320" si="324">D320</f>
        <v/>
      </c>
      <c r="M320" s="137" t="str">
        <f t="shared" si="324"/>
        <v/>
      </c>
      <c r="N320" s="137" t="str">
        <f t="shared" si="7"/>
        <v/>
      </c>
    </row>
    <row r="321">
      <c r="H321" s="137" t="str">
        <f t="shared" si="2"/>
        <v/>
      </c>
      <c r="I321" s="137" t="str">
        <f t="shared" si="3"/>
        <v/>
      </c>
      <c r="J321" s="137" t="str">
        <f t="shared" si="4"/>
        <v/>
      </c>
      <c r="K321" s="137" t="str">
        <f t="shared" si="5"/>
        <v/>
      </c>
      <c r="L321" s="137" t="str">
        <f t="shared" ref="L321:M321" si="325">D321</f>
        <v/>
      </c>
      <c r="M321" s="137" t="str">
        <f t="shared" si="325"/>
        <v/>
      </c>
      <c r="N321" s="137" t="str">
        <f t="shared" si="7"/>
        <v/>
      </c>
    </row>
    <row r="322">
      <c r="H322" s="137" t="str">
        <f t="shared" si="2"/>
        <v/>
      </c>
      <c r="I322" s="137" t="str">
        <f t="shared" si="3"/>
        <v/>
      </c>
      <c r="J322" s="137" t="str">
        <f t="shared" si="4"/>
        <v/>
      </c>
      <c r="K322" s="137" t="str">
        <f t="shared" si="5"/>
        <v/>
      </c>
      <c r="L322" s="137" t="str">
        <f t="shared" ref="L322:M322" si="326">D322</f>
        <v/>
      </c>
      <c r="M322" s="137" t="str">
        <f t="shared" si="326"/>
        <v/>
      </c>
      <c r="N322" s="137" t="str">
        <f t="shared" si="7"/>
        <v/>
      </c>
    </row>
    <row r="323">
      <c r="H323" s="137" t="str">
        <f t="shared" si="2"/>
        <v/>
      </c>
      <c r="I323" s="137" t="str">
        <f t="shared" si="3"/>
        <v/>
      </c>
      <c r="J323" s="137" t="str">
        <f t="shared" si="4"/>
        <v/>
      </c>
      <c r="K323" s="137" t="str">
        <f t="shared" si="5"/>
        <v/>
      </c>
      <c r="L323" s="137" t="str">
        <f t="shared" ref="L323:M323" si="327">D323</f>
        <v/>
      </c>
      <c r="M323" s="137" t="str">
        <f t="shared" si="327"/>
        <v/>
      </c>
      <c r="N323" s="137" t="str">
        <f t="shared" si="7"/>
        <v/>
      </c>
    </row>
    <row r="324">
      <c r="H324" s="137" t="str">
        <f t="shared" si="2"/>
        <v/>
      </c>
      <c r="I324" s="137" t="str">
        <f t="shared" si="3"/>
        <v/>
      </c>
      <c r="J324" s="137" t="str">
        <f t="shared" si="4"/>
        <v/>
      </c>
      <c r="K324" s="137" t="str">
        <f t="shared" si="5"/>
        <v/>
      </c>
      <c r="L324" s="137" t="str">
        <f t="shared" ref="L324:M324" si="328">D324</f>
        <v/>
      </c>
      <c r="M324" s="137" t="str">
        <f t="shared" si="328"/>
        <v/>
      </c>
      <c r="N324" s="137" t="str">
        <f t="shared" si="7"/>
        <v/>
      </c>
    </row>
    <row r="325">
      <c r="H325" s="137" t="str">
        <f t="shared" si="2"/>
        <v/>
      </c>
      <c r="I325" s="137" t="str">
        <f t="shared" si="3"/>
        <v/>
      </c>
      <c r="J325" s="137" t="str">
        <f t="shared" si="4"/>
        <v/>
      </c>
      <c r="K325" s="137" t="str">
        <f t="shared" si="5"/>
        <v/>
      </c>
      <c r="L325" s="137" t="str">
        <f t="shared" ref="L325:M325" si="329">D325</f>
        <v/>
      </c>
      <c r="M325" s="137" t="str">
        <f t="shared" si="329"/>
        <v/>
      </c>
      <c r="N325" s="137" t="str">
        <f t="shared" si="7"/>
        <v/>
      </c>
    </row>
    <row r="326">
      <c r="H326" s="137" t="str">
        <f t="shared" si="2"/>
        <v/>
      </c>
      <c r="I326" s="137" t="str">
        <f t="shared" si="3"/>
        <v/>
      </c>
      <c r="J326" s="137" t="str">
        <f t="shared" si="4"/>
        <v/>
      </c>
      <c r="K326" s="137" t="str">
        <f t="shared" si="5"/>
        <v/>
      </c>
      <c r="L326" s="137" t="str">
        <f t="shared" ref="L326:M326" si="330">D326</f>
        <v/>
      </c>
      <c r="M326" s="137" t="str">
        <f t="shared" si="330"/>
        <v/>
      </c>
      <c r="N326" s="137" t="str">
        <f t="shared" si="7"/>
        <v/>
      </c>
    </row>
    <row r="327">
      <c r="H327" s="137" t="str">
        <f t="shared" si="2"/>
        <v/>
      </c>
      <c r="I327" s="137" t="str">
        <f t="shared" si="3"/>
        <v/>
      </c>
      <c r="J327" s="137" t="str">
        <f t="shared" si="4"/>
        <v/>
      </c>
      <c r="K327" s="137" t="str">
        <f t="shared" si="5"/>
        <v/>
      </c>
      <c r="L327" s="137" t="str">
        <f t="shared" ref="L327:M327" si="331">D327</f>
        <v/>
      </c>
      <c r="M327" s="137" t="str">
        <f t="shared" si="331"/>
        <v/>
      </c>
      <c r="N327" s="137" t="str">
        <f t="shared" si="7"/>
        <v/>
      </c>
    </row>
    <row r="328">
      <c r="H328" s="137" t="str">
        <f t="shared" si="2"/>
        <v/>
      </c>
      <c r="I328" s="137" t="str">
        <f t="shared" si="3"/>
        <v/>
      </c>
      <c r="J328" s="137" t="str">
        <f t="shared" si="4"/>
        <v/>
      </c>
      <c r="K328" s="137" t="str">
        <f t="shared" si="5"/>
        <v/>
      </c>
      <c r="L328" s="137" t="str">
        <f t="shared" ref="L328:M328" si="332">D328</f>
        <v/>
      </c>
      <c r="M328" s="137" t="str">
        <f t="shared" si="332"/>
        <v/>
      </c>
      <c r="N328" s="137" t="str">
        <f t="shared" si="7"/>
        <v/>
      </c>
    </row>
    <row r="329">
      <c r="H329" s="137" t="str">
        <f t="shared" si="2"/>
        <v/>
      </c>
      <c r="I329" s="137" t="str">
        <f t="shared" si="3"/>
        <v/>
      </c>
      <c r="J329" s="137" t="str">
        <f t="shared" si="4"/>
        <v/>
      </c>
      <c r="K329" s="137" t="str">
        <f t="shared" si="5"/>
        <v/>
      </c>
      <c r="L329" s="137" t="str">
        <f t="shared" ref="L329:M329" si="333">D329</f>
        <v/>
      </c>
      <c r="M329" s="137" t="str">
        <f t="shared" si="333"/>
        <v/>
      </c>
      <c r="N329" s="137" t="str">
        <f t="shared" si="7"/>
        <v/>
      </c>
    </row>
    <row r="330">
      <c r="H330" s="137" t="str">
        <f t="shared" si="2"/>
        <v/>
      </c>
      <c r="I330" s="137" t="str">
        <f t="shared" si="3"/>
        <v/>
      </c>
      <c r="J330" s="137" t="str">
        <f t="shared" si="4"/>
        <v/>
      </c>
      <c r="K330" s="137" t="str">
        <f t="shared" si="5"/>
        <v/>
      </c>
      <c r="L330" s="137" t="str">
        <f t="shared" ref="L330:M330" si="334">D330</f>
        <v/>
      </c>
      <c r="M330" s="137" t="str">
        <f t="shared" si="334"/>
        <v/>
      </c>
      <c r="N330" s="137" t="str">
        <f t="shared" si="7"/>
        <v/>
      </c>
    </row>
    <row r="331">
      <c r="H331" s="137" t="str">
        <f t="shared" si="2"/>
        <v/>
      </c>
      <c r="I331" s="137" t="str">
        <f t="shared" si="3"/>
        <v/>
      </c>
      <c r="J331" s="137" t="str">
        <f t="shared" si="4"/>
        <v/>
      </c>
      <c r="K331" s="137" t="str">
        <f t="shared" si="5"/>
        <v/>
      </c>
      <c r="L331" s="137" t="str">
        <f t="shared" ref="L331:M331" si="335">D331</f>
        <v/>
      </c>
      <c r="M331" s="137" t="str">
        <f t="shared" si="335"/>
        <v/>
      </c>
      <c r="N331" s="137" t="str">
        <f t="shared" si="7"/>
        <v/>
      </c>
    </row>
    <row r="332">
      <c r="H332" s="137" t="str">
        <f t="shared" si="2"/>
        <v/>
      </c>
      <c r="I332" s="137" t="str">
        <f t="shared" si="3"/>
        <v/>
      </c>
      <c r="J332" s="137" t="str">
        <f t="shared" si="4"/>
        <v/>
      </c>
      <c r="K332" s="137" t="str">
        <f t="shared" si="5"/>
        <v/>
      </c>
      <c r="L332" s="137" t="str">
        <f t="shared" ref="L332:M332" si="336">D332</f>
        <v/>
      </c>
      <c r="M332" s="137" t="str">
        <f t="shared" si="336"/>
        <v/>
      </c>
      <c r="N332" s="137" t="str">
        <f t="shared" si="7"/>
        <v/>
      </c>
    </row>
    <row r="333">
      <c r="H333" s="137" t="str">
        <f t="shared" si="2"/>
        <v/>
      </c>
      <c r="I333" s="137" t="str">
        <f t="shared" si="3"/>
        <v/>
      </c>
      <c r="J333" s="137" t="str">
        <f t="shared" si="4"/>
        <v/>
      </c>
      <c r="K333" s="137" t="str">
        <f t="shared" si="5"/>
        <v/>
      </c>
      <c r="L333" s="137" t="str">
        <f t="shared" ref="L333:M333" si="337">D333</f>
        <v/>
      </c>
      <c r="M333" s="137" t="str">
        <f t="shared" si="337"/>
        <v/>
      </c>
      <c r="N333" s="137" t="str">
        <f t="shared" si="7"/>
        <v/>
      </c>
    </row>
    <row r="334">
      <c r="H334" s="137" t="str">
        <f t="shared" si="2"/>
        <v/>
      </c>
      <c r="I334" s="137" t="str">
        <f t="shared" si="3"/>
        <v/>
      </c>
      <c r="J334" s="137" t="str">
        <f t="shared" si="4"/>
        <v/>
      </c>
      <c r="K334" s="137" t="str">
        <f t="shared" si="5"/>
        <v/>
      </c>
      <c r="L334" s="137" t="str">
        <f t="shared" ref="L334:M334" si="338">D334</f>
        <v/>
      </c>
      <c r="M334" s="137" t="str">
        <f t="shared" si="338"/>
        <v/>
      </c>
      <c r="N334" s="137" t="str">
        <f t="shared" si="7"/>
        <v/>
      </c>
    </row>
    <row r="335">
      <c r="H335" s="137" t="str">
        <f t="shared" si="2"/>
        <v/>
      </c>
      <c r="I335" s="137" t="str">
        <f t="shared" si="3"/>
        <v/>
      </c>
      <c r="J335" s="137" t="str">
        <f t="shared" si="4"/>
        <v/>
      </c>
      <c r="K335" s="137" t="str">
        <f t="shared" si="5"/>
        <v/>
      </c>
      <c r="L335" s="137" t="str">
        <f t="shared" ref="L335:M335" si="339">D335</f>
        <v/>
      </c>
      <c r="M335" s="137" t="str">
        <f t="shared" si="339"/>
        <v/>
      </c>
      <c r="N335" s="137" t="str">
        <f t="shared" si="7"/>
        <v/>
      </c>
    </row>
    <row r="336">
      <c r="H336" s="137" t="str">
        <f t="shared" si="2"/>
        <v/>
      </c>
      <c r="I336" s="137" t="str">
        <f t="shared" si="3"/>
        <v/>
      </c>
      <c r="J336" s="137" t="str">
        <f t="shared" si="4"/>
        <v/>
      </c>
      <c r="K336" s="137" t="str">
        <f t="shared" si="5"/>
        <v/>
      </c>
      <c r="L336" s="137" t="str">
        <f t="shared" ref="L336:M336" si="340">D336</f>
        <v/>
      </c>
      <c r="M336" s="137" t="str">
        <f t="shared" si="340"/>
        <v/>
      </c>
      <c r="N336" s="137" t="str">
        <f t="shared" si="7"/>
        <v/>
      </c>
    </row>
    <row r="337">
      <c r="H337" s="137" t="str">
        <f t="shared" si="2"/>
        <v/>
      </c>
      <c r="I337" s="137" t="str">
        <f t="shared" si="3"/>
        <v/>
      </c>
      <c r="J337" s="137" t="str">
        <f t="shared" si="4"/>
        <v/>
      </c>
      <c r="K337" s="137" t="str">
        <f t="shared" si="5"/>
        <v/>
      </c>
      <c r="L337" s="137" t="str">
        <f t="shared" ref="L337:M337" si="341">D337</f>
        <v/>
      </c>
      <c r="M337" s="137" t="str">
        <f t="shared" si="341"/>
        <v/>
      </c>
      <c r="N337" s="137" t="str">
        <f t="shared" si="7"/>
        <v/>
      </c>
    </row>
    <row r="338">
      <c r="H338" s="137" t="str">
        <f t="shared" si="2"/>
        <v/>
      </c>
      <c r="I338" s="137" t="str">
        <f t="shared" si="3"/>
        <v/>
      </c>
      <c r="J338" s="137" t="str">
        <f t="shared" si="4"/>
        <v/>
      </c>
      <c r="K338" s="137" t="str">
        <f t="shared" si="5"/>
        <v/>
      </c>
      <c r="L338" s="137" t="str">
        <f t="shared" ref="L338:M338" si="342">D338</f>
        <v/>
      </c>
      <c r="M338" s="137" t="str">
        <f t="shared" si="342"/>
        <v/>
      </c>
      <c r="N338" s="137" t="str">
        <f t="shared" si="7"/>
        <v/>
      </c>
    </row>
    <row r="339">
      <c r="H339" s="137" t="str">
        <f t="shared" si="2"/>
        <v/>
      </c>
      <c r="I339" s="137" t="str">
        <f t="shared" si="3"/>
        <v/>
      </c>
      <c r="J339" s="137" t="str">
        <f t="shared" si="4"/>
        <v/>
      </c>
      <c r="K339" s="137" t="str">
        <f t="shared" si="5"/>
        <v/>
      </c>
      <c r="L339" s="137" t="str">
        <f t="shared" ref="L339:M339" si="343">D339</f>
        <v/>
      </c>
      <c r="M339" s="137" t="str">
        <f t="shared" si="343"/>
        <v/>
      </c>
      <c r="N339" s="137" t="str">
        <f t="shared" si="7"/>
        <v/>
      </c>
    </row>
    <row r="340">
      <c r="H340" s="137" t="str">
        <f t="shared" si="2"/>
        <v/>
      </c>
      <c r="I340" s="137" t="str">
        <f t="shared" si="3"/>
        <v/>
      </c>
      <c r="J340" s="137" t="str">
        <f t="shared" si="4"/>
        <v/>
      </c>
      <c r="K340" s="137" t="str">
        <f t="shared" si="5"/>
        <v/>
      </c>
      <c r="L340" s="137" t="str">
        <f t="shared" ref="L340:M340" si="344">D340</f>
        <v/>
      </c>
      <c r="M340" s="137" t="str">
        <f t="shared" si="344"/>
        <v/>
      </c>
      <c r="N340" s="137" t="str">
        <f t="shared" si="7"/>
        <v/>
      </c>
    </row>
    <row r="341">
      <c r="H341" s="137" t="str">
        <f t="shared" si="2"/>
        <v/>
      </c>
      <c r="I341" s="137" t="str">
        <f t="shared" si="3"/>
        <v/>
      </c>
      <c r="J341" s="137" t="str">
        <f t="shared" si="4"/>
        <v/>
      </c>
      <c r="K341" s="137" t="str">
        <f t="shared" si="5"/>
        <v/>
      </c>
      <c r="L341" s="137" t="str">
        <f t="shared" ref="L341:M341" si="345">D341</f>
        <v/>
      </c>
      <c r="M341" s="137" t="str">
        <f t="shared" si="345"/>
        <v/>
      </c>
      <c r="N341" s="137" t="str">
        <f t="shared" si="7"/>
        <v/>
      </c>
    </row>
    <row r="342">
      <c r="H342" s="137" t="str">
        <f t="shared" si="2"/>
        <v/>
      </c>
      <c r="I342" s="137" t="str">
        <f t="shared" si="3"/>
        <v/>
      </c>
      <c r="J342" s="137" t="str">
        <f t="shared" si="4"/>
        <v/>
      </c>
      <c r="K342" s="137" t="str">
        <f t="shared" si="5"/>
        <v/>
      </c>
      <c r="L342" s="137" t="str">
        <f t="shared" ref="L342:M342" si="346">D342</f>
        <v/>
      </c>
      <c r="M342" s="137" t="str">
        <f t="shared" si="346"/>
        <v/>
      </c>
      <c r="N342" s="137" t="str">
        <f t="shared" si="7"/>
        <v/>
      </c>
    </row>
    <row r="343">
      <c r="H343" s="137" t="str">
        <f t="shared" si="2"/>
        <v/>
      </c>
      <c r="I343" s="137" t="str">
        <f t="shared" si="3"/>
        <v/>
      </c>
      <c r="J343" s="137" t="str">
        <f t="shared" si="4"/>
        <v/>
      </c>
      <c r="K343" s="137" t="str">
        <f t="shared" si="5"/>
        <v/>
      </c>
      <c r="L343" s="137" t="str">
        <f t="shared" ref="L343:M343" si="347">D343</f>
        <v/>
      </c>
      <c r="M343" s="137" t="str">
        <f t="shared" si="347"/>
        <v/>
      </c>
      <c r="N343" s="137" t="str">
        <f t="shared" si="7"/>
        <v/>
      </c>
    </row>
    <row r="344">
      <c r="H344" s="137" t="str">
        <f t="shared" si="2"/>
        <v/>
      </c>
      <c r="I344" s="137" t="str">
        <f t="shared" si="3"/>
        <v/>
      </c>
      <c r="J344" s="137" t="str">
        <f t="shared" si="4"/>
        <v/>
      </c>
      <c r="K344" s="137" t="str">
        <f t="shared" si="5"/>
        <v/>
      </c>
      <c r="L344" s="137" t="str">
        <f t="shared" ref="L344:M344" si="348">D344</f>
        <v/>
      </c>
      <c r="M344" s="137" t="str">
        <f t="shared" si="348"/>
        <v/>
      </c>
      <c r="N344" s="137" t="str">
        <f t="shared" si="7"/>
        <v/>
      </c>
    </row>
    <row r="345">
      <c r="H345" s="137" t="str">
        <f t="shared" si="2"/>
        <v/>
      </c>
      <c r="I345" s="137" t="str">
        <f t="shared" si="3"/>
        <v/>
      </c>
      <c r="J345" s="137" t="str">
        <f t="shared" si="4"/>
        <v/>
      </c>
      <c r="K345" s="137" t="str">
        <f t="shared" si="5"/>
        <v/>
      </c>
      <c r="L345" s="137" t="str">
        <f t="shared" ref="L345:M345" si="349">D345</f>
        <v/>
      </c>
      <c r="M345" s="137" t="str">
        <f t="shared" si="349"/>
        <v/>
      </c>
      <c r="N345" s="137" t="str">
        <f t="shared" si="7"/>
        <v/>
      </c>
    </row>
    <row r="346">
      <c r="H346" s="137" t="str">
        <f t="shared" si="2"/>
        <v/>
      </c>
      <c r="I346" s="137" t="str">
        <f t="shared" si="3"/>
        <v/>
      </c>
      <c r="J346" s="137" t="str">
        <f t="shared" si="4"/>
        <v/>
      </c>
      <c r="K346" s="137" t="str">
        <f t="shared" si="5"/>
        <v/>
      </c>
      <c r="L346" s="137" t="str">
        <f t="shared" ref="L346:M346" si="350">D346</f>
        <v/>
      </c>
      <c r="M346" s="137" t="str">
        <f t="shared" si="350"/>
        <v/>
      </c>
      <c r="N346" s="137" t="str">
        <f t="shared" si="7"/>
        <v/>
      </c>
    </row>
    <row r="347">
      <c r="H347" s="137" t="str">
        <f t="shared" si="2"/>
        <v/>
      </c>
      <c r="I347" s="137" t="str">
        <f t="shared" si="3"/>
        <v/>
      </c>
      <c r="J347" s="137" t="str">
        <f t="shared" si="4"/>
        <v/>
      </c>
      <c r="K347" s="137" t="str">
        <f t="shared" si="5"/>
        <v/>
      </c>
      <c r="L347" s="137" t="str">
        <f t="shared" ref="L347:M347" si="351">D347</f>
        <v/>
      </c>
      <c r="M347" s="137" t="str">
        <f t="shared" si="351"/>
        <v/>
      </c>
      <c r="N347" s="137" t="str">
        <f t="shared" si="7"/>
        <v/>
      </c>
    </row>
    <row r="348">
      <c r="H348" s="137" t="str">
        <f t="shared" si="2"/>
        <v/>
      </c>
      <c r="I348" s="137" t="str">
        <f t="shared" si="3"/>
        <v/>
      </c>
      <c r="J348" s="137" t="str">
        <f t="shared" si="4"/>
        <v/>
      </c>
      <c r="K348" s="137" t="str">
        <f t="shared" si="5"/>
        <v/>
      </c>
      <c r="L348" s="137" t="str">
        <f t="shared" ref="L348:M348" si="352">D348</f>
        <v/>
      </c>
      <c r="M348" s="137" t="str">
        <f t="shared" si="352"/>
        <v/>
      </c>
      <c r="N348" s="137" t="str">
        <f t="shared" si="7"/>
        <v/>
      </c>
    </row>
    <row r="349">
      <c r="H349" s="137" t="str">
        <f t="shared" si="2"/>
        <v/>
      </c>
      <c r="I349" s="137" t="str">
        <f t="shared" si="3"/>
        <v/>
      </c>
      <c r="J349" s="137" t="str">
        <f t="shared" si="4"/>
        <v/>
      </c>
      <c r="K349" s="137" t="str">
        <f t="shared" si="5"/>
        <v/>
      </c>
      <c r="L349" s="137" t="str">
        <f t="shared" ref="L349:M349" si="353">D349</f>
        <v/>
      </c>
      <c r="M349" s="137" t="str">
        <f t="shared" si="353"/>
        <v/>
      </c>
      <c r="N349" s="137" t="str">
        <f t="shared" si="7"/>
        <v/>
      </c>
    </row>
    <row r="350">
      <c r="H350" s="137" t="str">
        <f t="shared" si="2"/>
        <v/>
      </c>
      <c r="I350" s="137" t="str">
        <f t="shared" si="3"/>
        <v/>
      </c>
      <c r="J350" s="137" t="str">
        <f t="shared" si="4"/>
        <v/>
      </c>
      <c r="K350" s="137" t="str">
        <f t="shared" si="5"/>
        <v/>
      </c>
      <c r="L350" s="137" t="str">
        <f t="shared" ref="L350:M350" si="354">D350</f>
        <v/>
      </c>
      <c r="M350" s="137" t="str">
        <f t="shared" si="354"/>
        <v/>
      </c>
      <c r="N350" s="137" t="str">
        <f t="shared" si="7"/>
        <v/>
      </c>
    </row>
    <row r="351">
      <c r="H351" s="137" t="str">
        <f t="shared" si="2"/>
        <v/>
      </c>
      <c r="I351" s="137" t="str">
        <f t="shared" si="3"/>
        <v/>
      </c>
      <c r="J351" s="137" t="str">
        <f t="shared" si="4"/>
        <v/>
      </c>
      <c r="K351" s="137" t="str">
        <f t="shared" si="5"/>
        <v/>
      </c>
      <c r="L351" s="137" t="str">
        <f t="shared" ref="L351:M351" si="355">D351</f>
        <v/>
      </c>
      <c r="M351" s="137" t="str">
        <f t="shared" si="355"/>
        <v/>
      </c>
      <c r="N351" s="137" t="str">
        <f t="shared" si="7"/>
        <v/>
      </c>
    </row>
    <row r="352">
      <c r="H352" s="137" t="str">
        <f t="shared" si="2"/>
        <v/>
      </c>
      <c r="I352" s="137" t="str">
        <f t="shared" si="3"/>
        <v/>
      </c>
      <c r="J352" s="137" t="str">
        <f t="shared" si="4"/>
        <v/>
      </c>
      <c r="K352" s="137" t="str">
        <f t="shared" si="5"/>
        <v/>
      </c>
      <c r="L352" s="137" t="str">
        <f t="shared" ref="L352:M352" si="356">D352</f>
        <v/>
      </c>
      <c r="M352" s="137" t="str">
        <f t="shared" si="356"/>
        <v/>
      </c>
      <c r="N352" s="137" t="str">
        <f t="shared" si="7"/>
        <v/>
      </c>
    </row>
    <row r="353">
      <c r="H353" s="137" t="str">
        <f t="shared" si="2"/>
        <v/>
      </c>
      <c r="I353" s="137" t="str">
        <f t="shared" si="3"/>
        <v/>
      </c>
      <c r="J353" s="137" t="str">
        <f t="shared" si="4"/>
        <v/>
      </c>
      <c r="K353" s="137" t="str">
        <f t="shared" si="5"/>
        <v/>
      </c>
      <c r="L353" s="137" t="str">
        <f t="shared" ref="L353:M353" si="357">D353</f>
        <v/>
      </c>
      <c r="M353" s="137" t="str">
        <f t="shared" si="357"/>
        <v/>
      </c>
      <c r="N353" s="137" t="str">
        <f t="shared" si="7"/>
        <v/>
      </c>
    </row>
    <row r="354">
      <c r="H354" s="137" t="str">
        <f t="shared" si="2"/>
        <v/>
      </c>
      <c r="I354" s="137" t="str">
        <f t="shared" si="3"/>
        <v/>
      </c>
      <c r="J354" s="137" t="str">
        <f t="shared" si="4"/>
        <v/>
      </c>
      <c r="K354" s="137" t="str">
        <f t="shared" si="5"/>
        <v/>
      </c>
      <c r="L354" s="137" t="str">
        <f t="shared" ref="L354:M354" si="358">D354</f>
        <v/>
      </c>
      <c r="M354" s="137" t="str">
        <f t="shared" si="358"/>
        <v/>
      </c>
      <c r="N354" s="137" t="str">
        <f t="shared" si="7"/>
        <v/>
      </c>
    </row>
    <row r="355">
      <c r="H355" s="137" t="str">
        <f t="shared" si="2"/>
        <v/>
      </c>
      <c r="I355" s="137" t="str">
        <f t="shared" si="3"/>
        <v/>
      </c>
      <c r="J355" s="137" t="str">
        <f t="shared" si="4"/>
        <v/>
      </c>
      <c r="K355" s="137" t="str">
        <f t="shared" si="5"/>
        <v/>
      </c>
      <c r="L355" s="137" t="str">
        <f t="shared" ref="L355:M355" si="359">D355</f>
        <v/>
      </c>
      <c r="M355" s="137" t="str">
        <f t="shared" si="359"/>
        <v/>
      </c>
      <c r="N355" s="137" t="str">
        <f t="shared" si="7"/>
        <v/>
      </c>
    </row>
    <row r="356">
      <c r="H356" s="137" t="str">
        <f t="shared" si="2"/>
        <v/>
      </c>
      <c r="I356" s="137" t="str">
        <f t="shared" si="3"/>
        <v/>
      </c>
      <c r="J356" s="137" t="str">
        <f t="shared" si="4"/>
        <v/>
      </c>
      <c r="K356" s="137" t="str">
        <f t="shared" si="5"/>
        <v/>
      </c>
      <c r="L356" s="137" t="str">
        <f t="shared" ref="L356:M356" si="360">D356</f>
        <v/>
      </c>
      <c r="M356" s="137" t="str">
        <f t="shared" si="360"/>
        <v/>
      </c>
      <c r="N356" s="137" t="str">
        <f t="shared" si="7"/>
        <v/>
      </c>
    </row>
    <row r="357">
      <c r="H357" s="137" t="str">
        <f t="shared" si="2"/>
        <v/>
      </c>
      <c r="I357" s="137" t="str">
        <f t="shared" si="3"/>
        <v/>
      </c>
      <c r="J357" s="137" t="str">
        <f t="shared" si="4"/>
        <v/>
      </c>
      <c r="K357" s="137" t="str">
        <f t="shared" si="5"/>
        <v/>
      </c>
      <c r="L357" s="137" t="str">
        <f t="shared" ref="L357:M357" si="361">D357</f>
        <v/>
      </c>
      <c r="M357" s="137" t="str">
        <f t="shared" si="361"/>
        <v/>
      </c>
      <c r="N357" s="137" t="str">
        <f t="shared" si="7"/>
        <v/>
      </c>
    </row>
    <row r="358">
      <c r="H358" s="137" t="str">
        <f t="shared" si="2"/>
        <v/>
      </c>
      <c r="I358" s="137" t="str">
        <f t="shared" si="3"/>
        <v/>
      </c>
      <c r="J358" s="137" t="str">
        <f t="shared" si="4"/>
        <v/>
      </c>
      <c r="K358" s="137" t="str">
        <f t="shared" si="5"/>
        <v/>
      </c>
      <c r="L358" s="137" t="str">
        <f t="shared" ref="L358:M358" si="362">D358</f>
        <v/>
      </c>
      <c r="M358" s="137" t="str">
        <f t="shared" si="362"/>
        <v/>
      </c>
      <c r="N358" s="137" t="str">
        <f t="shared" si="7"/>
        <v/>
      </c>
    </row>
    <row r="359">
      <c r="H359" s="137" t="str">
        <f t="shared" si="2"/>
        <v/>
      </c>
      <c r="I359" s="137" t="str">
        <f t="shared" si="3"/>
        <v/>
      </c>
      <c r="J359" s="137" t="str">
        <f t="shared" si="4"/>
        <v/>
      </c>
      <c r="K359" s="137" t="str">
        <f t="shared" si="5"/>
        <v/>
      </c>
      <c r="L359" s="137" t="str">
        <f t="shared" ref="L359:M359" si="363">D359</f>
        <v/>
      </c>
      <c r="M359" s="137" t="str">
        <f t="shared" si="363"/>
        <v/>
      </c>
      <c r="N359" s="137" t="str">
        <f t="shared" si="7"/>
        <v/>
      </c>
    </row>
    <row r="360">
      <c r="H360" s="137" t="str">
        <f t="shared" si="2"/>
        <v/>
      </c>
      <c r="I360" s="137" t="str">
        <f t="shared" si="3"/>
        <v/>
      </c>
      <c r="J360" s="137" t="str">
        <f t="shared" si="4"/>
        <v/>
      </c>
      <c r="K360" s="137" t="str">
        <f t="shared" si="5"/>
        <v/>
      </c>
      <c r="L360" s="137" t="str">
        <f t="shared" ref="L360:M360" si="364">D360</f>
        <v/>
      </c>
      <c r="M360" s="137" t="str">
        <f t="shared" si="364"/>
        <v/>
      </c>
      <c r="N360" s="137" t="str">
        <f t="shared" si="7"/>
        <v/>
      </c>
    </row>
    <row r="361">
      <c r="H361" s="137" t="str">
        <f t="shared" si="2"/>
        <v/>
      </c>
      <c r="I361" s="137" t="str">
        <f t="shared" si="3"/>
        <v/>
      </c>
      <c r="J361" s="137" t="str">
        <f t="shared" si="4"/>
        <v/>
      </c>
      <c r="K361" s="137" t="str">
        <f t="shared" si="5"/>
        <v/>
      </c>
      <c r="L361" s="137" t="str">
        <f t="shared" ref="L361:M361" si="365">D361</f>
        <v/>
      </c>
      <c r="M361" s="137" t="str">
        <f t="shared" si="365"/>
        <v/>
      </c>
      <c r="N361" s="137" t="str">
        <f t="shared" si="7"/>
        <v/>
      </c>
    </row>
    <row r="362">
      <c r="H362" s="137" t="str">
        <f t="shared" si="2"/>
        <v/>
      </c>
      <c r="I362" s="137" t="str">
        <f t="shared" si="3"/>
        <v/>
      </c>
      <c r="J362" s="137" t="str">
        <f t="shared" si="4"/>
        <v/>
      </c>
      <c r="K362" s="137" t="str">
        <f t="shared" si="5"/>
        <v/>
      </c>
      <c r="L362" s="137" t="str">
        <f t="shared" ref="L362:M362" si="366">D362</f>
        <v/>
      </c>
      <c r="M362" s="137" t="str">
        <f t="shared" si="366"/>
        <v/>
      </c>
      <c r="N362" s="137" t="str">
        <f t="shared" si="7"/>
        <v/>
      </c>
    </row>
    <row r="363">
      <c r="H363" s="137" t="str">
        <f t="shared" si="2"/>
        <v/>
      </c>
      <c r="I363" s="137" t="str">
        <f t="shared" si="3"/>
        <v/>
      </c>
      <c r="J363" s="137" t="str">
        <f t="shared" si="4"/>
        <v/>
      </c>
      <c r="K363" s="137" t="str">
        <f t="shared" si="5"/>
        <v/>
      </c>
      <c r="L363" s="137" t="str">
        <f t="shared" ref="L363:M363" si="367">D363</f>
        <v/>
      </c>
      <c r="M363" s="137" t="str">
        <f t="shared" si="367"/>
        <v/>
      </c>
      <c r="N363" s="137" t="str">
        <f t="shared" si="7"/>
        <v/>
      </c>
    </row>
    <row r="364">
      <c r="H364" s="137" t="str">
        <f t="shared" si="2"/>
        <v/>
      </c>
      <c r="I364" s="137" t="str">
        <f t="shared" si="3"/>
        <v/>
      </c>
      <c r="J364" s="137" t="str">
        <f t="shared" si="4"/>
        <v/>
      </c>
      <c r="K364" s="137" t="str">
        <f t="shared" si="5"/>
        <v/>
      </c>
      <c r="L364" s="137" t="str">
        <f t="shared" ref="L364:M364" si="368">D364</f>
        <v/>
      </c>
      <c r="M364" s="137" t="str">
        <f t="shared" si="368"/>
        <v/>
      </c>
      <c r="N364" s="137" t="str">
        <f t="shared" si="7"/>
        <v/>
      </c>
    </row>
    <row r="365">
      <c r="H365" s="137" t="str">
        <f t="shared" si="2"/>
        <v/>
      </c>
      <c r="I365" s="137" t="str">
        <f t="shared" si="3"/>
        <v/>
      </c>
      <c r="J365" s="137" t="str">
        <f t="shared" si="4"/>
        <v/>
      </c>
      <c r="K365" s="137" t="str">
        <f t="shared" si="5"/>
        <v/>
      </c>
      <c r="L365" s="137" t="str">
        <f t="shared" ref="L365:M365" si="369">D365</f>
        <v/>
      </c>
      <c r="M365" s="137" t="str">
        <f t="shared" si="369"/>
        <v/>
      </c>
      <c r="N365" s="137" t="str">
        <f t="shared" si="7"/>
        <v/>
      </c>
    </row>
    <row r="366">
      <c r="H366" s="137" t="str">
        <f t="shared" si="2"/>
        <v/>
      </c>
      <c r="I366" s="137" t="str">
        <f t="shared" si="3"/>
        <v/>
      </c>
      <c r="J366" s="137" t="str">
        <f t="shared" si="4"/>
        <v/>
      </c>
      <c r="K366" s="137" t="str">
        <f t="shared" si="5"/>
        <v/>
      </c>
      <c r="L366" s="137" t="str">
        <f t="shared" ref="L366:M366" si="370">D366</f>
        <v/>
      </c>
      <c r="M366" s="137" t="str">
        <f t="shared" si="370"/>
        <v/>
      </c>
      <c r="N366" s="137" t="str">
        <f t="shared" si="7"/>
        <v/>
      </c>
    </row>
    <row r="367">
      <c r="H367" s="137" t="str">
        <f t="shared" si="2"/>
        <v/>
      </c>
      <c r="I367" s="137" t="str">
        <f t="shared" si="3"/>
        <v/>
      </c>
      <c r="J367" s="137" t="str">
        <f t="shared" si="4"/>
        <v/>
      </c>
      <c r="K367" s="137" t="str">
        <f t="shared" si="5"/>
        <v/>
      </c>
      <c r="L367" s="137" t="str">
        <f t="shared" ref="L367:M367" si="371">D367</f>
        <v/>
      </c>
      <c r="M367" s="137" t="str">
        <f t="shared" si="371"/>
        <v/>
      </c>
      <c r="N367" s="137" t="str">
        <f t="shared" si="7"/>
        <v/>
      </c>
    </row>
    <row r="368">
      <c r="H368" s="137" t="str">
        <f t="shared" si="2"/>
        <v/>
      </c>
      <c r="I368" s="137" t="str">
        <f t="shared" si="3"/>
        <v/>
      </c>
      <c r="J368" s="137" t="str">
        <f t="shared" si="4"/>
        <v/>
      </c>
      <c r="K368" s="137" t="str">
        <f t="shared" si="5"/>
        <v/>
      </c>
      <c r="L368" s="137" t="str">
        <f t="shared" ref="L368:M368" si="372">D368</f>
        <v/>
      </c>
      <c r="M368" s="137" t="str">
        <f t="shared" si="372"/>
        <v/>
      </c>
      <c r="N368" s="137" t="str">
        <f t="shared" si="7"/>
        <v/>
      </c>
    </row>
    <row r="369">
      <c r="H369" s="137" t="str">
        <f t="shared" si="2"/>
        <v/>
      </c>
      <c r="I369" s="137" t="str">
        <f t="shared" si="3"/>
        <v/>
      </c>
      <c r="J369" s="137" t="str">
        <f t="shared" si="4"/>
        <v/>
      </c>
      <c r="K369" s="137" t="str">
        <f t="shared" si="5"/>
        <v/>
      </c>
      <c r="L369" s="137" t="str">
        <f t="shared" ref="L369:M369" si="373">D369</f>
        <v/>
      </c>
      <c r="M369" s="137" t="str">
        <f t="shared" si="373"/>
        <v/>
      </c>
      <c r="N369" s="137" t="str">
        <f t="shared" si="7"/>
        <v/>
      </c>
    </row>
    <row r="370">
      <c r="H370" s="137" t="str">
        <f t="shared" si="2"/>
        <v/>
      </c>
      <c r="I370" s="137" t="str">
        <f t="shared" si="3"/>
        <v/>
      </c>
      <c r="J370" s="137" t="str">
        <f t="shared" si="4"/>
        <v/>
      </c>
      <c r="K370" s="137" t="str">
        <f t="shared" si="5"/>
        <v/>
      </c>
      <c r="L370" s="137" t="str">
        <f t="shared" ref="L370:M370" si="374">D370</f>
        <v/>
      </c>
      <c r="M370" s="137" t="str">
        <f t="shared" si="374"/>
        <v/>
      </c>
      <c r="N370" s="137" t="str">
        <f t="shared" si="7"/>
        <v/>
      </c>
    </row>
    <row r="371">
      <c r="H371" s="137" t="str">
        <f t="shared" si="2"/>
        <v/>
      </c>
      <c r="I371" s="137" t="str">
        <f t="shared" si="3"/>
        <v/>
      </c>
      <c r="J371" s="137" t="str">
        <f t="shared" si="4"/>
        <v/>
      </c>
      <c r="K371" s="137" t="str">
        <f t="shared" si="5"/>
        <v/>
      </c>
      <c r="L371" s="137" t="str">
        <f t="shared" ref="L371:M371" si="375">D371</f>
        <v/>
      </c>
      <c r="M371" s="137" t="str">
        <f t="shared" si="375"/>
        <v/>
      </c>
      <c r="N371" s="137" t="str">
        <f t="shared" si="7"/>
        <v/>
      </c>
    </row>
    <row r="372">
      <c r="H372" s="137" t="str">
        <f t="shared" si="2"/>
        <v/>
      </c>
      <c r="I372" s="137" t="str">
        <f t="shared" si="3"/>
        <v/>
      </c>
      <c r="J372" s="137" t="str">
        <f t="shared" si="4"/>
        <v/>
      </c>
      <c r="K372" s="137" t="str">
        <f t="shared" si="5"/>
        <v/>
      </c>
      <c r="L372" s="137" t="str">
        <f t="shared" ref="L372:M372" si="376">D372</f>
        <v/>
      </c>
      <c r="M372" s="137" t="str">
        <f t="shared" si="376"/>
        <v/>
      </c>
      <c r="N372" s="137" t="str">
        <f t="shared" si="7"/>
        <v/>
      </c>
    </row>
    <row r="373">
      <c r="H373" s="137" t="str">
        <f t="shared" si="2"/>
        <v/>
      </c>
      <c r="I373" s="137" t="str">
        <f t="shared" si="3"/>
        <v/>
      </c>
      <c r="J373" s="137" t="str">
        <f t="shared" si="4"/>
        <v/>
      </c>
      <c r="K373" s="137" t="str">
        <f t="shared" si="5"/>
        <v/>
      </c>
      <c r="L373" s="137" t="str">
        <f t="shared" ref="L373:M373" si="377">D373</f>
        <v/>
      </c>
      <c r="M373" s="137" t="str">
        <f t="shared" si="377"/>
        <v/>
      </c>
      <c r="N373" s="137" t="str">
        <f t="shared" si="7"/>
        <v/>
      </c>
    </row>
    <row r="374">
      <c r="H374" s="137" t="str">
        <f t="shared" si="2"/>
        <v/>
      </c>
      <c r="I374" s="137" t="str">
        <f t="shared" si="3"/>
        <v/>
      </c>
      <c r="J374" s="137" t="str">
        <f t="shared" si="4"/>
        <v/>
      </c>
      <c r="K374" s="137" t="str">
        <f t="shared" si="5"/>
        <v/>
      </c>
      <c r="L374" s="137" t="str">
        <f t="shared" ref="L374:M374" si="378">D374</f>
        <v/>
      </c>
      <c r="M374" s="137" t="str">
        <f t="shared" si="378"/>
        <v/>
      </c>
      <c r="N374" s="137" t="str">
        <f t="shared" si="7"/>
        <v/>
      </c>
    </row>
    <row r="375">
      <c r="H375" s="137" t="str">
        <f t="shared" si="2"/>
        <v/>
      </c>
      <c r="I375" s="137" t="str">
        <f t="shared" si="3"/>
        <v/>
      </c>
      <c r="J375" s="137" t="str">
        <f t="shared" si="4"/>
        <v/>
      </c>
      <c r="K375" s="137" t="str">
        <f t="shared" si="5"/>
        <v/>
      </c>
      <c r="L375" s="137" t="str">
        <f t="shared" ref="L375:M375" si="379">D375</f>
        <v/>
      </c>
      <c r="M375" s="137" t="str">
        <f t="shared" si="379"/>
        <v/>
      </c>
      <c r="N375" s="137" t="str">
        <f t="shared" si="7"/>
        <v/>
      </c>
    </row>
    <row r="376">
      <c r="H376" s="137" t="str">
        <f t="shared" si="2"/>
        <v/>
      </c>
      <c r="I376" s="137" t="str">
        <f t="shared" si="3"/>
        <v/>
      </c>
      <c r="J376" s="137" t="str">
        <f t="shared" si="4"/>
        <v/>
      </c>
      <c r="K376" s="137" t="str">
        <f t="shared" si="5"/>
        <v/>
      </c>
      <c r="L376" s="137" t="str">
        <f t="shared" ref="L376:M376" si="380">D376</f>
        <v/>
      </c>
      <c r="M376" s="137" t="str">
        <f t="shared" si="380"/>
        <v/>
      </c>
      <c r="N376" s="137" t="str">
        <f t="shared" si="7"/>
        <v/>
      </c>
    </row>
    <row r="377">
      <c r="H377" s="137" t="str">
        <f t="shared" si="2"/>
        <v/>
      </c>
      <c r="I377" s="137" t="str">
        <f t="shared" si="3"/>
        <v/>
      </c>
      <c r="J377" s="137" t="str">
        <f t="shared" si="4"/>
        <v/>
      </c>
      <c r="K377" s="137" t="str">
        <f t="shared" si="5"/>
        <v/>
      </c>
      <c r="L377" s="137" t="str">
        <f t="shared" ref="L377:M377" si="381">D377</f>
        <v/>
      </c>
      <c r="M377" s="137" t="str">
        <f t="shared" si="381"/>
        <v/>
      </c>
      <c r="N377" s="137" t="str">
        <f t="shared" si="7"/>
        <v/>
      </c>
    </row>
    <row r="378">
      <c r="H378" s="137" t="str">
        <f t="shared" si="2"/>
        <v/>
      </c>
      <c r="I378" s="137" t="str">
        <f t="shared" si="3"/>
        <v/>
      </c>
      <c r="J378" s="137" t="str">
        <f t="shared" si="4"/>
        <v/>
      </c>
      <c r="K378" s="137" t="str">
        <f t="shared" si="5"/>
        <v/>
      </c>
      <c r="L378" s="137" t="str">
        <f t="shared" ref="L378:M378" si="382">D378</f>
        <v/>
      </c>
      <c r="M378" s="137" t="str">
        <f t="shared" si="382"/>
        <v/>
      </c>
      <c r="N378" s="137" t="str">
        <f t="shared" si="7"/>
        <v/>
      </c>
    </row>
    <row r="379">
      <c r="H379" s="137" t="str">
        <f t="shared" si="2"/>
        <v/>
      </c>
      <c r="I379" s="137" t="str">
        <f t="shared" si="3"/>
        <v/>
      </c>
      <c r="J379" s="137" t="str">
        <f t="shared" si="4"/>
        <v/>
      </c>
      <c r="K379" s="137" t="str">
        <f t="shared" si="5"/>
        <v/>
      </c>
      <c r="L379" s="137" t="str">
        <f t="shared" ref="L379:M379" si="383">D379</f>
        <v/>
      </c>
      <c r="M379" s="137" t="str">
        <f t="shared" si="383"/>
        <v/>
      </c>
      <c r="N379" s="137" t="str">
        <f t="shared" si="7"/>
        <v/>
      </c>
    </row>
    <row r="380">
      <c r="H380" s="137" t="str">
        <f t="shared" si="2"/>
        <v/>
      </c>
      <c r="I380" s="137" t="str">
        <f t="shared" si="3"/>
        <v/>
      </c>
      <c r="J380" s="137" t="str">
        <f t="shared" si="4"/>
        <v/>
      </c>
      <c r="K380" s="137" t="str">
        <f t="shared" si="5"/>
        <v/>
      </c>
      <c r="L380" s="137" t="str">
        <f t="shared" ref="L380:M380" si="384">D380</f>
        <v/>
      </c>
      <c r="M380" s="137" t="str">
        <f t="shared" si="384"/>
        <v/>
      </c>
      <c r="N380" s="137" t="str">
        <f t="shared" si="7"/>
        <v/>
      </c>
    </row>
    <row r="381">
      <c r="H381" s="137" t="str">
        <f t="shared" si="2"/>
        <v/>
      </c>
      <c r="I381" s="137" t="str">
        <f t="shared" si="3"/>
        <v/>
      </c>
      <c r="J381" s="137" t="str">
        <f t="shared" si="4"/>
        <v/>
      </c>
      <c r="K381" s="137" t="str">
        <f t="shared" si="5"/>
        <v/>
      </c>
      <c r="L381" s="137" t="str">
        <f t="shared" ref="L381:M381" si="385">D381</f>
        <v/>
      </c>
      <c r="M381" s="137" t="str">
        <f t="shared" si="385"/>
        <v/>
      </c>
      <c r="N381" s="137" t="str">
        <f t="shared" si="7"/>
        <v/>
      </c>
    </row>
    <row r="382">
      <c r="H382" s="137" t="str">
        <f t="shared" si="2"/>
        <v/>
      </c>
      <c r="I382" s="137" t="str">
        <f t="shared" si="3"/>
        <v/>
      </c>
      <c r="J382" s="137" t="str">
        <f t="shared" si="4"/>
        <v/>
      </c>
      <c r="K382" s="137" t="str">
        <f t="shared" si="5"/>
        <v/>
      </c>
      <c r="L382" s="137" t="str">
        <f t="shared" ref="L382:M382" si="386">D382</f>
        <v/>
      </c>
      <c r="M382" s="137" t="str">
        <f t="shared" si="386"/>
        <v/>
      </c>
      <c r="N382" s="137" t="str">
        <f t="shared" si="7"/>
        <v/>
      </c>
    </row>
    <row r="383">
      <c r="H383" s="137" t="str">
        <f t="shared" si="2"/>
        <v/>
      </c>
      <c r="I383" s="137" t="str">
        <f t="shared" si="3"/>
        <v/>
      </c>
      <c r="J383" s="137" t="str">
        <f t="shared" si="4"/>
        <v/>
      </c>
      <c r="K383" s="137" t="str">
        <f t="shared" si="5"/>
        <v/>
      </c>
      <c r="L383" s="137" t="str">
        <f t="shared" ref="L383:M383" si="387">D383</f>
        <v/>
      </c>
      <c r="M383" s="137" t="str">
        <f t="shared" si="387"/>
        <v/>
      </c>
      <c r="N383" s="137" t="str">
        <f t="shared" si="7"/>
        <v/>
      </c>
    </row>
    <row r="384">
      <c r="H384" s="137" t="str">
        <f t="shared" si="2"/>
        <v/>
      </c>
      <c r="I384" s="137" t="str">
        <f t="shared" si="3"/>
        <v/>
      </c>
      <c r="J384" s="137" t="str">
        <f t="shared" si="4"/>
        <v/>
      </c>
      <c r="K384" s="137" t="str">
        <f t="shared" si="5"/>
        <v/>
      </c>
      <c r="L384" s="137" t="str">
        <f t="shared" ref="L384:M384" si="388">D384</f>
        <v/>
      </c>
      <c r="M384" s="137" t="str">
        <f t="shared" si="388"/>
        <v/>
      </c>
      <c r="N384" s="137" t="str">
        <f t="shared" si="7"/>
        <v/>
      </c>
    </row>
    <row r="385">
      <c r="H385" s="137" t="str">
        <f t="shared" si="2"/>
        <v/>
      </c>
      <c r="I385" s="137" t="str">
        <f t="shared" si="3"/>
        <v/>
      </c>
      <c r="J385" s="137" t="str">
        <f t="shared" si="4"/>
        <v/>
      </c>
      <c r="K385" s="137" t="str">
        <f t="shared" si="5"/>
        <v/>
      </c>
      <c r="L385" s="137" t="str">
        <f t="shared" ref="L385:M385" si="389">D385</f>
        <v/>
      </c>
      <c r="M385" s="137" t="str">
        <f t="shared" si="389"/>
        <v/>
      </c>
      <c r="N385" s="137" t="str">
        <f t="shared" si="7"/>
        <v/>
      </c>
    </row>
    <row r="386">
      <c r="H386" s="137" t="str">
        <f t="shared" si="2"/>
        <v/>
      </c>
      <c r="I386" s="137" t="str">
        <f t="shared" si="3"/>
        <v/>
      </c>
      <c r="J386" s="137" t="str">
        <f t="shared" si="4"/>
        <v/>
      </c>
      <c r="K386" s="137" t="str">
        <f t="shared" si="5"/>
        <v/>
      </c>
      <c r="L386" s="137" t="str">
        <f t="shared" ref="L386:M386" si="390">D386</f>
        <v/>
      </c>
      <c r="M386" s="137" t="str">
        <f t="shared" si="390"/>
        <v/>
      </c>
      <c r="N386" s="137" t="str">
        <f t="shared" si="7"/>
        <v/>
      </c>
    </row>
    <row r="387">
      <c r="H387" s="137" t="str">
        <f t="shared" si="2"/>
        <v/>
      </c>
      <c r="I387" s="137" t="str">
        <f t="shared" si="3"/>
        <v/>
      </c>
      <c r="J387" s="137" t="str">
        <f t="shared" si="4"/>
        <v/>
      </c>
      <c r="K387" s="137" t="str">
        <f t="shared" si="5"/>
        <v/>
      </c>
      <c r="L387" s="137" t="str">
        <f t="shared" ref="L387:M387" si="391">D387</f>
        <v/>
      </c>
      <c r="M387" s="137" t="str">
        <f t="shared" si="391"/>
        <v/>
      </c>
      <c r="N387" s="137" t="str">
        <f t="shared" si="7"/>
        <v/>
      </c>
    </row>
    <row r="388">
      <c r="H388" s="137" t="str">
        <f t="shared" si="2"/>
        <v/>
      </c>
      <c r="I388" s="137" t="str">
        <f t="shared" si="3"/>
        <v/>
      </c>
      <c r="J388" s="137" t="str">
        <f t="shared" si="4"/>
        <v/>
      </c>
      <c r="K388" s="137" t="str">
        <f t="shared" si="5"/>
        <v/>
      </c>
      <c r="L388" s="137" t="str">
        <f t="shared" ref="L388:M388" si="392">D388</f>
        <v/>
      </c>
      <c r="M388" s="137" t="str">
        <f t="shared" si="392"/>
        <v/>
      </c>
      <c r="N388" s="137" t="str">
        <f t="shared" si="7"/>
        <v/>
      </c>
    </row>
    <row r="389">
      <c r="H389" s="137" t="str">
        <f t="shared" si="2"/>
        <v/>
      </c>
      <c r="I389" s="137" t="str">
        <f t="shared" si="3"/>
        <v/>
      </c>
      <c r="J389" s="137" t="str">
        <f t="shared" si="4"/>
        <v/>
      </c>
      <c r="K389" s="137" t="str">
        <f t="shared" si="5"/>
        <v/>
      </c>
      <c r="L389" s="137" t="str">
        <f t="shared" ref="L389:M389" si="393">D389</f>
        <v/>
      </c>
      <c r="M389" s="137" t="str">
        <f t="shared" si="393"/>
        <v/>
      </c>
      <c r="N389" s="137" t="str">
        <f t="shared" si="7"/>
        <v/>
      </c>
    </row>
    <row r="390">
      <c r="H390" s="137" t="str">
        <f t="shared" si="2"/>
        <v/>
      </c>
      <c r="I390" s="137" t="str">
        <f t="shared" si="3"/>
        <v/>
      </c>
      <c r="J390" s="137" t="str">
        <f t="shared" si="4"/>
        <v/>
      </c>
      <c r="K390" s="137" t="str">
        <f t="shared" si="5"/>
        <v/>
      </c>
      <c r="L390" s="137" t="str">
        <f t="shared" ref="L390:M390" si="394">D390</f>
        <v/>
      </c>
      <c r="M390" s="137" t="str">
        <f t="shared" si="394"/>
        <v/>
      </c>
      <c r="N390" s="137" t="str">
        <f t="shared" si="7"/>
        <v/>
      </c>
    </row>
    <row r="391">
      <c r="H391" s="137" t="str">
        <f t="shared" si="2"/>
        <v/>
      </c>
      <c r="I391" s="137" t="str">
        <f t="shared" si="3"/>
        <v/>
      </c>
      <c r="J391" s="137" t="str">
        <f t="shared" si="4"/>
        <v/>
      </c>
      <c r="K391" s="137" t="str">
        <f t="shared" si="5"/>
        <v/>
      </c>
      <c r="L391" s="137" t="str">
        <f t="shared" ref="L391:M391" si="395">D391</f>
        <v/>
      </c>
      <c r="M391" s="137" t="str">
        <f t="shared" si="395"/>
        <v/>
      </c>
      <c r="N391" s="137" t="str">
        <f t="shared" si="7"/>
        <v/>
      </c>
    </row>
    <row r="392">
      <c r="H392" s="137" t="str">
        <f t="shared" si="2"/>
        <v/>
      </c>
      <c r="I392" s="137" t="str">
        <f t="shared" si="3"/>
        <v/>
      </c>
      <c r="J392" s="137" t="str">
        <f t="shared" si="4"/>
        <v/>
      </c>
      <c r="K392" s="137" t="str">
        <f t="shared" si="5"/>
        <v/>
      </c>
      <c r="L392" s="137" t="str">
        <f t="shared" ref="L392:M392" si="396">D392</f>
        <v/>
      </c>
      <c r="M392" s="137" t="str">
        <f t="shared" si="396"/>
        <v/>
      </c>
      <c r="N392" s="137" t="str">
        <f t="shared" si="7"/>
        <v/>
      </c>
    </row>
    <row r="393">
      <c r="H393" s="137" t="str">
        <f t="shared" si="2"/>
        <v/>
      </c>
      <c r="I393" s="137" t="str">
        <f t="shared" si="3"/>
        <v/>
      </c>
      <c r="J393" s="137" t="str">
        <f t="shared" si="4"/>
        <v/>
      </c>
      <c r="K393" s="137" t="str">
        <f t="shared" si="5"/>
        <v/>
      </c>
      <c r="L393" s="137" t="str">
        <f t="shared" ref="L393:M393" si="397">D393</f>
        <v/>
      </c>
      <c r="M393" s="137" t="str">
        <f t="shared" si="397"/>
        <v/>
      </c>
      <c r="N393" s="137" t="str">
        <f t="shared" si="7"/>
        <v/>
      </c>
    </row>
    <row r="394">
      <c r="H394" s="137" t="str">
        <f t="shared" si="2"/>
        <v/>
      </c>
      <c r="I394" s="137" t="str">
        <f t="shared" si="3"/>
        <v/>
      </c>
      <c r="J394" s="137" t="str">
        <f t="shared" si="4"/>
        <v/>
      </c>
      <c r="K394" s="137" t="str">
        <f t="shared" si="5"/>
        <v/>
      </c>
      <c r="L394" s="137" t="str">
        <f t="shared" ref="L394:M394" si="398">D394</f>
        <v/>
      </c>
      <c r="M394" s="137" t="str">
        <f t="shared" si="398"/>
        <v/>
      </c>
      <c r="N394" s="137" t="str">
        <f t="shared" si="7"/>
        <v/>
      </c>
    </row>
    <row r="395">
      <c r="H395" s="137" t="str">
        <f t="shared" si="2"/>
        <v/>
      </c>
      <c r="I395" s="137" t="str">
        <f t="shared" si="3"/>
        <v/>
      </c>
      <c r="J395" s="137" t="str">
        <f t="shared" si="4"/>
        <v/>
      </c>
      <c r="K395" s="137" t="str">
        <f t="shared" si="5"/>
        <v/>
      </c>
      <c r="L395" s="137" t="str">
        <f t="shared" ref="L395:M395" si="399">D395</f>
        <v/>
      </c>
      <c r="M395" s="137" t="str">
        <f t="shared" si="399"/>
        <v/>
      </c>
      <c r="N395" s="137" t="str">
        <f t="shared" si="7"/>
        <v/>
      </c>
    </row>
    <row r="396">
      <c r="H396" s="137" t="str">
        <f t="shared" si="2"/>
        <v/>
      </c>
      <c r="I396" s="137" t="str">
        <f t="shared" si="3"/>
        <v/>
      </c>
      <c r="J396" s="137" t="str">
        <f t="shared" si="4"/>
        <v/>
      </c>
      <c r="K396" s="137" t="str">
        <f t="shared" si="5"/>
        <v/>
      </c>
      <c r="L396" s="137" t="str">
        <f t="shared" ref="L396:M396" si="400">D396</f>
        <v/>
      </c>
      <c r="M396" s="137" t="str">
        <f t="shared" si="400"/>
        <v/>
      </c>
      <c r="N396" s="137" t="str">
        <f t="shared" si="7"/>
        <v/>
      </c>
    </row>
    <row r="397">
      <c r="H397" s="137" t="str">
        <f t="shared" si="2"/>
        <v/>
      </c>
      <c r="I397" s="137" t="str">
        <f t="shared" si="3"/>
        <v/>
      </c>
      <c r="J397" s="137" t="str">
        <f t="shared" si="4"/>
        <v/>
      </c>
      <c r="K397" s="137" t="str">
        <f t="shared" si="5"/>
        <v/>
      </c>
      <c r="L397" s="137" t="str">
        <f t="shared" ref="L397:M397" si="401">D397</f>
        <v/>
      </c>
      <c r="M397" s="137" t="str">
        <f t="shared" si="401"/>
        <v/>
      </c>
      <c r="N397" s="137" t="str">
        <f t="shared" si="7"/>
        <v/>
      </c>
    </row>
    <row r="398">
      <c r="H398" s="137" t="str">
        <f t="shared" si="2"/>
        <v/>
      </c>
      <c r="I398" s="137" t="str">
        <f t="shared" si="3"/>
        <v/>
      </c>
      <c r="J398" s="137" t="str">
        <f t="shared" si="4"/>
        <v/>
      </c>
      <c r="K398" s="137" t="str">
        <f t="shared" si="5"/>
        <v/>
      </c>
      <c r="L398" s="137" t="str">
        <f t="shared" ref="L398:M398" si="402">D398</f>
        <v/>
      </c>
      <c r="M398" s="137" t="str">
        <f t="shared" si="402"/>
        <v/>
      </c>
      <c r="N398" s="137" t="str">
        <f t="shared" si="7"/>
        <v/>
      </c>
    </row>
    <row r="399">
      <c r="H399" s="137" t="str">
        <f t="shared" si="2"/>
        <v/>
      </c>
      <c r="I399" s="137" t="str">
        <f t="shared" si="3"/>
        <v/>
      </c>
      <c r="J399" s="137" t="str">
        <f t="shared" si="4"/>
        <v/>
      </c>
      <c r="K399" s="137" t="str">
        <f t="shared" si="5"/>
        <v/>
      </c>
      <c r="L399" s="137" t="str">
        <f t="shared" ref="L399:M399" si="403">D399</f>
        <v/>
      </c>
      <c r="M399" s="137" t="str">
        <f t="shared" si="403"/>
        <v/>
      </c>
      <c r="N399" s="137" t="str">
        <f t="shared" si="7"/>
        <v/>
      </c>
    </row>
    <row r="400">
      <c r="H400" s="137" t="str">
        <f t="shared" si="2"/>
        <v/>
      </c>
      <c r="I400" s="137" t="str">
        <f t="shared" si="3"/>
        <v/>
      </c>
      <c r="J400" s="137" t="str">
        <f t="shared" si="4"/>
        <v/>
      </c>
      <c r="K400" s="137" t="str">
        <f t="shared" si="5"/>
        <v/>
      </c>
      <c r="L400" s="137" t="str">
        <f t="shared" ref="L400:M400" si="404">D400</f>
        <v/>
      </c>
      <c r="M400" s="137" t="str">
        <f t="shared" si="404"/>
        <v/>
      </c>
      <c r="N400" s="137" t="str">
        <f t="shared" si="7"/>
        <v/>
      </c>
    </row>
    <row r="401">
      <c r="H401" s="137" t="str">
        <f t="shared" si="2"/>
        <v/>
      </c>
      <c r="I401" s="137" t="str">
        <f t="shared" si="3"/>
        <v/>
      </c>
      <c r="J401" s="137" t="str">
        <f t="shared" si="4"/>
        <v/>
      </c>
      <c r="K401" s="137" t="str">
        <f t="shared" si="5"/>
        <v/>
      </c>
      <c r="L401" s="137" t="str">
        <f t="shared" ref="L401:M401" si="405">D401</f>
        <v/>
      </c>
      <c r="M401" s="137" t="str">
        <f t="shared" si="405"/>
        <v/>
      </c>
      <c r="N401" s="137" t="str">
        <f t="shared" si="7"/>
        <v/>
      </c>
    </row>
    <row r="402">
      <c r="H402" s="137" t="str">
        <f t="shared" si="2"/>
        <v/>
      </c>
      <c r="I402" s="137" t="str">
        <f t="shared" si="3"/>
        <v/>
      </c>
      <c r="J402" s="137" t="str">
        <f t="shared" si="4"/>
        <v/>
      </c>
      <c r="K402" s="137" t="str">
        <f t="shared" si="5"/>
        <v/>
      </c>
      <c r="L402" s="137" t="str">
        <f t="shared" ref="L402:M402" si="406">D402</f>
        <v/>
      </c>
      <c r="M402" s="137" t="str">
        <f t="shared" si="406"/>
        <v/>
      </c>
      <c r="N402" s="137" t="str">
        <f t="shared" si="7"/>
        <v/>
      </c>
    </row>
    <row r="403">
      <c r="H403" s="137" t="str">
        <f t="shared" si="2"/>
        <v/>
      </c>
      <c r="I403" s="137" t="str">
        <f t="shared" si="3"/>
        <v/>
      </c>
      <c r="J403" s="137" t="str">
        <f t="shared" si="4"/>
        <v/>
      </c>
      <c r="K403" s="137" t="str">
        <f t="shared" si="5"/>
        <v/>
      </c>
      <c r="L403" s="137" t="str">
        <f t="shared" ref="L403:M403" si="407">D403</f>
        <v/>
      </c>
      <c r="M403" s="137" t="str">
        <f t="shared" si="407"/>
        <v/>
      </c>
      <c r="N403" s="137" t="str">
        <f t="shared" si="7"/>
        <v/>
      </c>
    </row>
    <row r="404">
      <c r="H404" s="137" t="str">
        <f t="shared" si="2"/>
        <v/>
      </c>
      <c r="I404" s="137" t="str">
        <f t="shared" si="3"/>
        <v/>
      </c>
      <c r="J404" s="137" t="str">
        <f t="shared" si="4"/>
        <v/>
      </c>
      <c r="K404" s="137" t="str">
        <f t="shared" si="5"/>
        <v/>
      </c>
      <c r="L404" s="137" t="str">
        <f t="shared" ref="L404:M404" si="408">D404</f>
        <v/>
      </c>
      <c r="M404" s="137" t="str">
        <f t="shared" si="408"/>
        <v/>
      </c>
      <c r="N404" s="137" t="str">
        <f t="shared" si="7"/>
        <v/>
      </c>
    </row>
    <row r="405">
      <c r="H405" s="137" t="str">
        <f t="shared" si="2"/>
        <v/>
      </c>
      <c r="I405" s="137" t="str">
        <f t="shared" si="3"/>
        <v/>
      </c>
      <c r="J405" s="137" t="str">
        <f t="shared" si="4"/>
        <v/>
      </c>
      <c r="K405" s="137" t="str">
        <f t="shared" si="5"/>
        <v/>
      </c>
      <c r="L405" s="137" t="str">
        <f t="shared" ref="L405:M405" si="409">D405</f>
        <v/>
      </c>
      <c r="M405" s="137" t="str">
        <f t="shared" si="409"/>
        <v/>
      </c>
      <c r="N405" s="137" t="str">
        <f t="shared" si="7"/>
        <v/>
      </c>
    </row>
    <row r="406">
      <c r="H406" s="137" t="str">
        <f t="shared" si="2"/>
        <v/>
      </c>
      <c r="I406" s="137" t="str">
        <f t="shared" si="3"/>
        <v/>
      </c>
      <c r="J406" s="137" t="str">
        <f t="shared" si="4"/>
        <v/>
      </c>
      <c r="K406" s="137" t="str">
        <f t="shared" si="5"/>
        <v/>
      </c>
      <c r="L406" s="137" t="str">
        <f t="shared" ref="L406:M406" si="410">D406</f>
        <v/>
      </c>
      <c r="M406" s="137" t="str">
        <f t="shared" si="410"/>
        <v/>
      </c>
      <c r="N406" s="137" t="str">
        <f t="shared" si="7"/>
        <v/>
      </c>
    </row>
    <row r="407">
      <c r="H407" s="137" t="str">
        <f t="shared" si="2"/>
        <v/>
      </c>
      <c r="I407" s="137" t="str">
        <f t="shared" si="3"/>
        <v/>
      </c>
      <c r="J407" s="137" t="str">
        <f t="shared" si="4"/>
        <v/>
      </c>
      <c r="K407" s="137" t="str">
        <f t="shared" si="5"/>
        <v/>
      </c>
      <c r="L407" s="137" t="str">
        <f t="shared" ref="L407:M407" si="411">D407</f>
        <v/>
      </c>
      <c r="M407" s="137" t="str">
        <f t="shared" si="411"/>
        <v/>
      </c>
      <c r="N407" s="137" t="str">
        <f t="shared" si="7"/>
        <v/>
      </c>
    </row>
    <row r="408">
      <c r="H408" s="137" t="str">
        <f t="shared" si="2"/>
        <v/>
      </c>
      <c r="I408" s="137" t="str">
        <f t="shared" si="3"/>
        <v/>
      </c>
      <c r="J408" s="137" t="str">
        <f t="shared" si="4"/>
        <v/>
      </c>
      <c r="K408" s="137" t="str">
        <f t="shared" si="5"/>
        <v/>
      </c>
      <c r="L408" s="137" t="str">
        <f t="shared" ref="L408:M408" si="412">D408</f>
        <v/>
      </c>
      <c r="M408" s="137" t="str">
        <f t="shared" si="412"/>
        <v/>
      </c>
      <c r="N408" s="137" t="str">
        <f t="shared" si="7"/>
        <v/>
      </c>
    </row>
    <row r="409">
      <c r="H409" s="137" t="str">
        <f t="shared" si="2"/>
        <v/>
      </c>
      <c r="I409" s="137" t="str">
        <f t="shared" si="3"/>
        <v/>
      </c>
      <c r="J409" s="137" t="str">
        <f t="shared" si="4"/>
        <v/>
      </c>
      <c r="K409" s="137" t="str">
        <f t="shared" si="5"/>
        <v/>
      </c>
      <c r="L409" s="137" t="str">
        <f t="shared" ref="L409:M409" si="413">D409</f>
        <v/>
      </c>
      <c r="M409" s="137" t="str">
        <f t="shared" si="413"/>
        <v/>
      </c>
      <c r="N409" s="137" t="str">
        <f t="shared" si="7"/>
        <v/>
      </c>
    </row>
    <row r="410">
      <c r="H410" s="137" t="str">
        <f t="shared" si="2"/>
        <v/>
      </c>
      <c r="I410" s="137" t="str">
        <f t="shared" si="3"/>
        <v/>
      </c>
      <c r="J410" s="137" t="str">
        <f t="shared" si="4"/>
        <v/>
      </c>
      <c r="K410" s="137" t="str">
        <f t="shared" si="5"/>
        <v/>
      </c>
      <c r="L410" s="137" t="str">
        <f t="shared" ref="L410:M410" si="414">D410</f>
        <v/>
      </c>
      <c r="M410" s="137" t="str">
        <f t="shared" si="414"/>
        <v/>
      </c>
      <c r="N410" s="137" t="str">
        <f t="shared" si="7"/>
        <v/>
      </c>
    </row>
    <row r="411">
      <c r="H411" s="137" t="str">
        <f t="shared" si="2"/>
        <v/>
      </c>
      <c r="I411" s="137" t="str">
        <f t="shared" si="3"/>
        <v/>
      </c>
      <c r="J411" s="137" t="str">
        <f t="shared" si="4"/>
        <v/>
      </c>
      <c r="K411" s="137" t="str">
        <f t="shared" si="5"/>
        <v/>
      </c>
      <c r="L411" s="137" t="str">
        <f t="shared" ref="L411:M411" si="415">D411</f>
        <v/>
      </c>
      <c r="M411" s="137" t="str">
        <f t="shared" si="415"/>
        <v/>
      </c>
      <c r="N411" s="137" t="str">
        <f t="shared" si="7"/>
        <v/>
      </c>
    </row>
    <row r="412">
      <c r="H412" s="137" t="str">
        <f t="shared" si="2"/>
        <v/>
      </c>
      <c r="I412" s="137" t="str">
        <f t="shared" si="3"/>
        <v/>
      </c>
      <c r="J412" s="137" t="str">
        <f t="shared" si="4"/>
        <v/>
      </c>
      <c r="K412" s="137" t="str">
        <f t="shared" si="5"/>
        <v/>
      </c>
      <c r="L412" s="137" t="str">
        <f t="shared" ref="L412:M412" si="416">D412</f>
        <v/>
      </c>
      <c r="M412" s="137" t="str">
        <f t="shared" si="416"/>
        <v/>
      </c>
      <c r="N412" s="137" t="str">
        <f t="shared" si="7"/>
        <v/>
      </c>
    </row>
    <row r="413">
      <c r="H413" s="137" t="str">
        <f t="shared" si="2"/>
        <v/>
      </c>
      <c r="I413" s="137" t="str">
        <f t="shared" si="3"/>
        <v/>
      </c>
      <c r="J413" s="137" t="str">
        <f t="shared" si="4"/>
        <v/>
      </c>
      <c r="K413" s="137" t="str">
        <f t="shared" si="5"/>
        <v/>
      </c>
      <c r="L413" s="137" t="str">
        <f t="shared" ref="L413:M413" si="417">D413</f>
        <v/>
      </c>
      <c r="M413" s="137" t="str">
        <f t="shared" si="417"/>
        <v/>
      </c>
      <c r="N413" s="137" t="str">
        <f t="shared" si="7"/>
        <v/>
      </c>
    </row>
    <row r="414">
      <c r="H414" s="137" t="str">
        <f t="shared" si="2"/>
        <v/>
      </c>
      <c r="I414" s="137" t="str">
        <f t="shared" si="3"/>
        <v/>
      </c>
      <c r="J414" s="137" t="str">
        <f t="shared" si="4"/>
        <v/>
      </c>
      <c r="K414" s="137" t="str">
        <f t="shared" si="5"/>
        <v/>
      </c>
      <c r="L414" s="137" t="str">
        <f t="shared" ref="L414:M414" si="418">D414</f>
        <v/>
      </c>
      <c r="M414" s="137" t="str">
        <f t="shared" si="418"/>
        <v/>
      </c>
      <c r="N414" s="137" t="str">
        <f t="shared" si="7"/>
        <v/>
      </c>
    </row>
    <row r="415">
      <c r="H415" s="137" t="str">
        <f t="shared" si="2"/>
        <v/>
      </c>
      <c r="I415" s="137" t="str">
        <f t="shared" si="3"/>
        <v/>
      </c>
      <c r="J415" s="137" t="str">
        <f t="shared" si="4"/>
        <v/>
      </c>
      <c r="K415" s="137" t="str">
        <f t="shared" si="5"/>
        <v/>
      </c>
      <c r="L415" s="137" t="str">
        <f t="shared" ref="L415:M415" si="419">D415</f>
        <v/>
      </c>
      <c r="M415" s="137" t="str">
        <f t="shared" si="419"/>
        <v/>
      </c>
      <c r="N415" s="137" t="str">
        <f t="shared" si="7"/>
        <v/>
      </c>
    </row>
    <row r="416">
      <c r="H416" s="137" t="str">
        <f t="shared" si="2"/>
        <v/>
      </c>
      <c r="I416" s="137" t="str">
        <f t="shared" si="3"/>
        <v/>
      </c>
      <c r="J416" s="137" t="str">
        <f t="shared" si="4"/>
        <v/>
      </c>
      <c r="K416" s="137" t="str">
        <f t="shared" si="5"/>
        <v/>
      </c>
      <c r="L416" s="137" t="str">
        <f t="shared" ref="L416:M416" si="420">D416</f>
        <v/>
      </c>
      <c r="M416" s="137" t="str">
        <f t="shared" si="420"/>
        <v/>
      </c>
      <c r="N416" s="137" t="str">
        <f t="shared" si="7"/>
        <v/>
      </c>
    </row>
    <row r="417">
      <c r="H417" s="137" t="str">
        <f t="shared" si="2"/>
        <v/>
      </c>
      <c r="I417" s="137" t="str">
        <f t="shared" si="3"/>
        <v/>
      </c>
      <c r="J417" s="137" t="str">
        <f t="shared" si="4"/>
        <v/>
      </c>
      <c r="K417" s="137" t="str">
        <f t="shared" si="5"/>
        <v/>
      </c>
      <c r="L417" s="137" t="str">
        <f t="shared" ref="L417:M417" si="421">D417</f>
        <v/>
      </c>
      <c r="M417" s="137" t="str">
        <f t="shared" si="421"/>
        <v/>
      </c>
      <c r="N417" s="137" t="str">
        <f t="shared" si="7"/>
        <v/>
      </c>
    </row>
    <row r="418">
      <c r="H418" s="137" t="str">
        <f t="shared" si="2"/>
        <v/>
      </c>
      <c r="I418" s="137" t="str">
        <f t="shared" si="3"/>
        <v/>
      </c>
      <c r="J418" s="137" t="str">
        <f t="shared" si="4"/>
        <v/>
      </c>
      <c r="K418" s="137" t="str">
        <f t="shared" si="5"/>
        <v/>
      </c>
      <c r="L418" s="137" t="str">
        <f t="shared" ref="L418:M418" si="422">D418</f>
        <v/>
      </c>
      <c r="M418" s="137" t="str">
        <f t="shared" si="422"/>
        <v/>
      </c>
      <c r="N418" s="137" t="str">
        <f t="shared" si="7"/>
        <v/>
      </c>
    </row>
    <row r="419">
      <c r="H419" s="137" t="str">
        <f t="shared" si="2"/>
        <v/>
      </c>
      <c r="I419" s="137" t="str">
        <f t="shared" si="3"/>
        <v/>
      </c>
      <c r="J419" s="137" t="str">
        <f t="shared" si="4"/>
        <v/>
      </c>
      <c r="K419" s="137" t="str">
        <f t="shared" si="5"/>
        <v/>
      </c>
      <c r="L419" s="137" t="str">
        <f t="shared" ref="L419:M419" si="423">D419</f>
        <v/>
      </c>
      <c r="M419" s="137" t="str">
        <f t="shared" si="423"/>
        <v/>
      </c>
      <c r="N419" s="137" t="str">
        <f t="shared" si="7"/>
        <v/>
      </c>
    </row>
    <row r="420">
      <c r="H420" s="137" t="str">
        <f t="shared" si="2"/>
        <v/>
      </c>
      <c r="I420" s="137" t="str">
        <f t="shared" si="3"/>
        <v/>
      </c>
      <c r="J420" s="137" t="str">
        <f t="shared" si="4"/>
        <v/>
      </c>
      <c r="K420" s="137" t="str">
        <f t="shared" si="5"/>
        <v/>
      </c>
      <c r="L420" s="137" t="str">
        <f t="shared" ref="L420:M420" si="424">D420</f>
        <v/>
      </c>
      <c r="M420" s="137" t="str">
        <f t="shared" si="424"/>
        <v/>
      </c>
      <c r="N420" s="137" t="str">
        <f t="shared" si="7"/>
        <v/>
      </c>
    </row>
    <row r="421">
      <c r="H421" s="137" t="str">
        <f t="shared" si="2"/>
        <v/>
      </c>
      <c r="I421" s="137" t="str">
        <f t="shared" si="3"/>
        <v/>
      </c>
      <c r="J421" s="137" t="str">
        <f t="shared" si="4"/>
        <v/>
      </c>
      <c r="K421" s="137" t="str">
        <f t="shared" si="5"/>
        <v/>
      </c>
      <c r="L421" s="137" t="str">
        <f t="shared" ref="L421:M421" si="425">D421</f>
        <v/>
      </c>
      <c r="M421" s="137" t="str">
        <f t="shared" si="425"/>
        <v/>
      </c>
      <c r="N421" s="137" t="str">
        <f t="shared" si="7"/>
        <v/>
      </c>
    </row>
    <row r="422">
      <c r="H422" s="137" t="str">
        <f t="shared" si="2"/>
        <v/>
      </c>
      <c r="I422" s="137" t="str">
        <f t="shared" si="3"/>
        <v/>
      </c>
      <c r="J422" s="137" t="str">
        <f t="shared" si="4"/>
        <v/>
      </c>
      <c r="K422" s="137" t="str">
        <f t="shared" si="5"/>
        <v/>
      </c>
      <c r="L422" s="137" t="str">
        <f t="shared" ref="L422:M422" si="426">D422</f>
        <v/>
      </c>
      <c r="M422" s="137" t="str">
        <f t="shared" si="426"/>
        <v/>
      </c>
      <c r="N422" s="137" t="str">
        <f t="shared" si="7"/>
        <v/>
      </c>
    </row>
    <row r="423">
      <c r="H423" s="137" t="str">
        <f t="shared" si="2"/>
        <v/>
      </c>
      <c r="I423" s="137" t="str">
        <f t="shared" si="3"/>
        <v/>
      </c>
      <c r="J423" s="137" t="str">
        <f t="shared" si="4"/>
        <v/>
      </c>
      <c r="K423" s="137" t="str">
        <f t="shared" si="5"/>
        <v/>
      </c>
      <c r="L423" s="137" t="str">
        <f t="shared" ref="L423:M423" si="427">D423</f>
        <v/>
      </c>
      <c r="M423" s="137" t="str">
        <f t="shared" si="427"/>
        <v/>
      </c>
      <c r="N423" s="137" t="str">
        <f t="shared" si="7"/>
        <v/>
      </c>
    </row>
    <row r="424">
      <c r="H424" s="137" t="str">
        <f t="shared" si="2"/>
        <v/>
      </c>
      <c r="I424" s="137" t="str">
        <f t="shared" si="3"/>
        <v/>
      </c>
      <c r="J424" s="137" t="str">
        <f t="shared" si="4"/>
        <v/>
      </c>
      <c r="K424" s="137" t="str">
        <f t="shared" si="5"/>
        <v/>
      </c>
      <c r="L424" s="137" t="str">
        <f t="shared" ref="L424:M424" si="428">D424</f>
        <v/>
      </c>
      <c r="M424" s="137" t="str">
        <f t="shared" si="428"/>
        <v/>
      </c>
      <c r="N424" s="137" t="str">
        <f t="shared" si="7"/>
        <v/>
      </c>
    </row>
    <row r="425">
      <c r="H425" s="137" t="str">
        <f t="shared" si="2"/>
        <v/>
      </c>
      <c r="I425" s="137" t="str">
        <f t="shared" si="3"/>
        <v/>
      </c>
      <c r="J425" s="137" t="str">
        <f t="shared" si="4"/>
        <v/>
      </c>
      <c r="K425" s="137" t="str">
        <f t="shared" si="5"/>
        <v/>
      </c>
      <c r="L425" s="137" t="str">
        <f t="shared" ref="L425:M425" si="429">D425</f>
        <v/>
      </c>
      <c r="M425" s="137" t="str">
        <f t="shared" si="429"/>
        <v/>
      </c>
      <c r="N425" s="137" t="str">
        <f t="shared" si="7"/>
        <v/>
      </c>
    </row>
    <row r="426">
      <c r="H426" s="137" t="str">
        <f t="shared" si="2"/>
        <v/>
      </c>
      <c r="I426" s="137" t="str">
        <f t="shared" si="3"/>
        <v/>
      </c>
      <c r="J426" s="137" t="str">
        <f t="shared" si="4"/>
        <v/>
      </c>
      <c r="K426" s="137" t="str">
        <f t="shared" si="5"/>
        <v/>
      </c>
      <c r="L426" s="137" t="str">
        <f t="shared" ref="L426:M426" si="430">D426</f>
        <v/>
      </c>
      <c r="M426" s="137" t="str">
        <f t="shared" si="430"/>
        <v/>
      </c>
      <c r="N426" s="137" t="str">
        <f t="shared" si="7"/>
        <v/>
      </c>
    </row>
    <row r="427">
      <c r="H427" s="137" t="str">
        <f t="shared" si="2"/>
        <v/>
      </c>
      <c r="I427" s="137" t="str">
        <f t="shared" si="3"/>
        <v/>
      </c>
      <c r="J427" s="137" t="str">
        <f t="shared" si="4"/>
        <v/>
      </c>
      <c r="K427" s="137" t="str">
        <f t="shared" si="5"/>
        <v/>
      </c>
      <c r="L427" s="137" t="str">
        <f t="shared" ref="L427:M427" si="431">D427</f>
        <v/>
      </c>
      <c r="M427" s="137" t="str">
        <f t="shared" si="431"/>
        <v/>
      </c>
      <c r="N427" s="137" t="str">
        <f t="shared" si="7"/>
        <v/>
      </c>
    </row>
    <row r="428">
      <c r="H428" s="137" t="str">
        <f t="shared" si="2"/>
        <v/>
      </c>
      <c r="I428" s="137" t="str">
        <f t="shared" si="3"/>
        <v/>
      </c>
      <c r="J428" s="137" t="str">
        <f t="shared" si="4"/>
        <v/>
      </c>
      <c r="K428" s="137" t="str">
        <f t="shared" si="5"/>
        <v/>
      </c>
      <c r="L428" s="137" t="str">
        <f t="shared" ref="L428:M428" si="432">D428</f>
        <v/>
      </c>
      <c r="M428" s="137" t="str">
        <f t="shared" si="432"/>
        <v/>
      </c>
      <c r="N428" s="137" t="str">
        <f t="shared" si="7"/>
        <v/>
      </c>
    </row>
    <row r="429">
      <c r="H429" s="137" t="str">
        <f t="shared" si="2"/>
        <v/>
      </c>
      <c r="I429" s="137" t="str">
        <f t="shared" si="3"/>
        <v/>
      </c>
      <c r="J429" s="137" t="str">
        <f t="shared" si="4"/>
        <v/>
      </c>
      <c r="K429" s="137" t="str">
        <f t="shared" si="5"/>
        <v/>
      </c>
      <c r="L429" s="137" t="str">
        <f t="shared" ref="L429:M429" si="433">D429</f>
        <v/>
      </c>
      <c r="M429" s="137" t="str">
        <f t="shared" si="433"/>
        <v/>
      </c>
      <c r="N429" s="137" t="str">
        <f t="shared" si="7"/>
        <v/>
      </c>
    </row>
    <row r="430">
      <c r="H430" s="137" t="str">
        <f t="shared" si="2"/>
        <v/>
      </c>
      <c r="I430" s="137" t="str">
        <f t="shared" si="3"/>
        <v/>
      </c>
      <c r="J430" s="137" t="str">
        <f t="shared" si="4"/>
        <v/>
      </c>
      <c r="K430" s="137" t="str">
        <f t="shared" si="5"/>
        <v/>
      </c>
      <c r="L430" s="137" t="str">
        <f t="shared" ref="L430:M430" si="434">D430</f>
        <v/>
      </c>
      <c r="M430" s="137" t="str">
        <f t="shared" si="434"/>
        <v/>
      </c>
      <c r="N430" s="137" t="str">
        <f t="shared" si="7"/>
        <v/>
      </c>
    </row>
    <row r="431">
      <c r="H431" s="137" t="str">
        <f t="shared" si="2"/>
        <v/>
      </c>
      <c r="I431" s="137" t="str">
        <f t="shared" si="3"/>
        <v/>
      </c>
      <c r="J431" s="137" t="str">
        <f t="shared" si="4"/>
        <v/>
      </c>
      <c r="K431" s="137" t="str">
        <f t="shared" si="5"/>
        <v/>
      </c>
      <c r="L431" s="137" t="str">
        <f t="shared" ref="L431:M431" si="435">D431</f>
        <v/>
      </c>
      <c r="M431" s="137" t="str">
        <f t="shared" si="435"/>
        <v/>
      </c>
      <c r="N431" s="137" t="str">
        <f t="shared" si="7"/>
        <v/>
      </c>
    </row>
    <row r="432">
      <c r="H432" s="137" t="str">
        <f t="shared" si="2"/>
        <v/>
      </c>
      <c r="I432" s="137" t="str">
        <f t="shared" si="3"/>
        <v/>
      </c>
      <c r="J432" s="137" t="str">
        <f t="shared" si="4"/>
        <v/>
      </c>
      <c r="K432" s="137" t="str">
        <f t="shared" si="5"/>
        <v/>
      </c>
      <c r="L432" s="137" t="str">
        <f t="shared" ref="L432:M432" si="436">D432</f>
        <v/>
      </c>
      <c r="M432" s="137" t="str">
        <f t="shared" si="436"/>
        <v/>
      </c>
      <c r="N432" s="137" t="str">
        <f t="shared" si="7"/>
        <v/>
      </c>
    </row>
    <row r="433">
      <c r="H433" s="137" t="str">
        <f t="shared" si="2"/>
        <v/>
      </c>
      <c r="I433" s="137" t="str">
        <f t="shared" si="3"/>
        <v/>
      </c>
      <c r="J433" s="137" t="str">
        <f t="shared" si="4"/>
        <v/>
      </c>
      <c r="K433" s="137" t="str">
        <f t="shared" si="5"/>
        <v/>
      </c>
      <c r="L433" s="137" t="str">
        <f t="shared" ref="L433:M433" si="437">D433</f>
        <v/>
      </c>
      <c r="M433" s="137" t="str">
        <f t="shared" si="437"/>
        <v/>
      </c>
      <c r="N433" s="137" t="str">
        <f t="shared" si="7"/>
        <v/>
      </c>
    </row>
    <row r="434">
      <c r="H434" s="137" t="str">
        <f t="shared" si="2"/>
        <v/>
      </c>
      <c r="I434" s="137" t="str">
        <f t="shared" si="3"/>
        <v/>
      </c>
      <c r="J434" s="137" t="str">
        <f t="shared" si="4"/>
        <v/>
      </c>
      <c r="K434" s="137" t="str">
        <f t="shared" si="5"/>
        <v/>
      </c>
      <c r="L434" s="137" t="str">
        <f t="shared" ref="L434:M434" si="438">D434</f>
        <v/>
      </c>
      <c r="M434" s="137" t="str">
        <f t="shared" si="438"/>
        <v/>
      </c>
      <c r="N434" s="137" t="str">
        <f t="shared" si="7"/>
        <v/>
      </c>
    </row>
    <row r="435">
      <c r="H435" s="137" t="str">
        <f t="shared" si="2"/>
        <v/>
      </c>
      <c r="I435" s="137" t="str">
        <f t="shared" si="3"/>
        <v/>
      </c>
      <c r="J435" s="137" t="str">
        <f t="shared" si="4"/>
        <v/>
      </c>
      <c r="K435" s="137" t="str">
        <f t="shared" si="5"/>
        <v/>
      </c>
      <c r="L435" s="137" t="str">
        <f t="shared" ref="L435:M435" si="439">D435</f>
        <v/>
      </c>
      <c r="M435" s="137" t="str">
        <f t="shared" si="439"/>
        <v/>
      </c>
      <c r="N435" s="137" t="str">
        <f t="shared" si="7"/>
        <v/>
      </c>
    </row>
    <row r="436">
      <c r="H436" s="137" t="str">
        <f t="shared" si="2"/>
        <v/>
      </c>
      <c r="I436" s="137" t="str">
        <f t="shared" si="3"/>
        <v/>
      </c>
      <c r="J436" s="137" t="str">
        <f t="shared" si="4"/>
        <v/>
      </c>
      <c r="K436" s="137" t="str">
        <f t="shared" si="5"/>
        <v/>
      </c>
      <c r="L436" s="137" t="str">
        <f t="shared" ref="L436:M436" si="440">D436</f>
        <v/>
      </c>
      <c r="M436" s="137" t="str">
        <f t="shared" si="440"/>
        <v/>
      </c>
      <c r="N436" s="137" t="str">
        <f t="shared" si="7"/>
        <v/>
      </c>
    </row>
    <row r="437">
      <c r="H437" s="137" t="str">
        <f t="shared" si="2"/>
        <v/>
      </c>
      <c r="I437" s="137" t="str">
        <f t="shared" si="3"/>
        <v/>
      </c>
      <c r="J437" s="137" t="str">
        <f t="shared" si="4"/>
        <v/>
      </c>
      <c r="K437" s="137" t="str">
        <f t="shared" si="5"/>
        <v/>
      </c>
      <c r="L437" s="137" t="str">
        <f t="shared" ref="L437:M437" si="441">D437</f>
        <v/>
      </c>
      <c r="M437" s="137" t="str">
        <f t="shared" si="441"/>
        <v/>
      </c>
      <c r="N437" s="137" t="str">
        <f t="shared" si="7"/>
        <v/>
      </c>
    </row>
    <row r="438">
      <c r="H438" s="137" t="str">
        <f t="shared" si="2"/>
        <v/>
      </c>
      <c r="I438" s="137" t="str">
        <f t="shared" si="3"/>
        <v/>
      </c>
      <c r="J438" s="137" t="str">
        <f t="shared" si="4"/>
        <v/>
      </c>
      <c r="K438" s="137" t="str">
        <f t="shared" si="5"/>
        <v/>
      </c>
      <c r="L438" s="137" t="str">
        <f t="shared" ref="L438:M438" si="442">D438</f>
        <v/>
      </c>
      <c r="M438" s="137" t="str">
        <f t="shared" si="442"/>
        <v/>
      </c>
      <c r="N438" s="137" t="str">
        <f t="shared" si="7"/>
        <v/>
      </c>
    </row>
    <row r="439">
      <c r="H439" s="137" t="str">
        <f t="shared" si="2"/>
        <v/>
      </c>
      <c r="I439" s="137" t="str">
        <f t="shared" si="3"/>
        <v/>
      </c>
      <c r="J439" s="137" t="str">
        <f t="shared" si="4"/>
        <v/>
      </c>
      <c r="K439" s="137" t="str">
        <f t="shared" si="5"/>
        <v/>
      </c>
      <c r="L439" s="137" t="str">
        <f t="shared" ref="L439:M439" si="443">D439</f>
        <v/>
      </c>
      <c r="M439" s="137" t="str">
        <f t="shared" si="443"/>
        <v/>
      </c>
      <c r="N439" s="137" t="str">
        <f t="shared" si="7"/>
        <v/>
      </c>
    </row>
    <row r="440">
      <c r="H440" s="137" t="str">
        <f t="shared" si="2"/>
        <v/>
      </c>
      <c r="I440" s="137" t="str">
        <f t="shared" si="3"/>
        <v/>
      </c>
      <c r="J440" s="137" t="str">
        <f t="shared" si="4"/>
        <v/>
      </c>
      <c r="K440" s="137" t="str">
        <f t="shared" si="5"/>
        <v/>
      </c>
      <c r="L440" s="137" t="str">
        <f t="shared" ref="L440:M440" si="444">D440</f>
        <v/>
      </c>
      <c r="M440" s="137" t="str">
        <f t="shared" si="444"/>
        <v/>
      </c>
      <c r="N440" s="137" t="str">
        <f t="shared" si="7"/>
        <v/>
      </c>
    </row>
    <row r="441">
      <c r="H441" s="137" t="str">
        <f t="shared" si="2"/>
        <v/>
      </c>
      <c r="I441" s="137" t="str">
        <f t="shared" si="3"/>
        <v/>
      </c>
      <c r="J441" s="137" t="str">
        <f t="shared" si="4"/>
        <v/>
      </c>
      <c r="K441" s="137" t="str">
        <f t="shared" si="5"/>
        <v/>
      </c>
      <c r="L441" s="137" t="str">
        <f t="shared" ref="L441:M441" si="445">D441</f>
        <v/>
      </c>
      <c r="M441" s="137" t="str">
        <f t="shared" si="445"/>
        <v/>
      </c>
      <c r="N441" s="137" t="str">
        <f t="shared" si="7"/>
        <v/>
      </c>
    </row>
    <row r="442">
      <c r="H442" s="137" t="str">
        <f t="shared" si="2"/>
        <v/>
      </c>
      <c r="I442" s="137" t="str">
        <f t="shared" si="3"/>
        <v/>
      </c>
      <c r="J442" s="137" t="str">
        <f t="shared" si="4"/>
        <v/>
      </c>
      <c r="K442" s="137" t="str">
        <f t="shared" si="5"/>
        <v/>
      </c>
      <c r="L442" s="137" t="str">
        <f t="shared" ref="L442:M442" si="446">D442</f>
        <v/>
      </c>
      <c r="M442" s="137" t="str">
        <f t="shared" si="446"/>
        <v/>
      </c>
      <c r="N442" s="137" t="str">
        <f t="shared" si="7"/>
        <v/>
      </c>
    </row>
    <row r="443">
      <c r="H443" s="137" t="str">
        <f t="shared" si="2"/>
        <v/>
      </c>
      <c r="I443" s="137" t="str">
        <f t="shared" si="3"/>
        <v/>
      </c>
      <c r="J443" s="137" t="str">
        <f t="shared" si="4"/>
        <v/>
      </c>
      <c r="K443" s="137" t="str">
        <f t="shared" si="5"/>
        <v/>
      </c>
      <c r="L443" s="137" t="str">
        <f t="shared" ref="L443:M443" si="447">D443</f>
        <v/>
      </c>
      <c r="M443" s="137" t="str">
        <f t="shared" si="447"/>
        <v/>
      </c>
      <c r="N443" s="137" t="str">
        <f t="shared" si="7"/>
        <v/>
      </c>
    </row>
    <row r="444">
      <c r="H444" s="137" t="str">
        <f t="shared" si="2"/>
        <v/>
      </c>
      <c r="I444" s="137" t="str">
        <f t="shared" si="3"/>
        <v/>
      </c>
      <c r="J444" s="137" t="str">
        <f t="shared" si="4"/>
        <v/>
      </c>
      <c r="K444" s="137" t="str">
        <f t="shared" si="5"/>
        <v/>
      </c>
      <c r="L444" s="137" t="str">
        <f t="shared" ref="L444:M444" si="448">D444</f>
        <v/>
      </c>
      <c r="M444" s="137" t="str">
        <f t="shared" si="448"/>
        <v/>
      </c>
      <c r="N444" s="137" t="str">
        <f t="shared" si="7"/>
        <v/>
      </c>
    </row>
    <row r="445">
      <c r="H445" s="137" t="str">
        <f t="shared" si="2"/>
        <v/>
      </c>
      <c r="I445" s="137" t="str">
        <f t="shared" si="3"/>
        <v/>
      </c>
      <c r="J445" s="137" t="str">
        <f t="shared" si="4"/>
        <v/>
      </c>
      <c r="K445" s="137" t="str">
        <f t="shared" si="5"/>
        <v/>
      </c>
      <c r="L445" s="137" t="str">
        <f t="shared" ref="L445:M445" si="449">D445</f>
        <v/>
      </c>
      <c r="M445" s="137" t="str">
        <f t="shared" si="449"/>
        <v/>
      </c>
      <c r="N445" s="137" t="str">
        <f t="shared" si="7"/>
        <v/>
      </c>
    </row>
    <row r="446">
      <c r="H446" s="137" t="str">
        <f t="shared" si="2"/>
        <v/>
      </c>
      <c r="I446" s="137" t="str">
        <f t="shared" si="3"/>
        <v/>
      </c>
      <c r="J446" s="137" t="str">
        <f t="shared" si="4"/>
        <v/>
      </c>
      <c r="K446" s="137" t="str">
        <f t="shared" si="5"/>
        <v/>
      </c>
      <c r="L446" s="137" t="str">
        <f t="shared" ref="L446:M446" si="450">D446</f>
        <v/>
      </c>
      <c r="M446" s="137" t="str">
        <f t="shared" si="450"/>
        <v/>
      </c>
      <c r="N446" s="137" t="str">
        <f t="shared" si="7"/>
        <v/>
      </c>
    </row>
    <row r="447">
      <c r="H447" s="137" t="str">
        <f t="shared" si="2"/>
        <v/>
      </c>
      <c r="I447" s="137" t="str">
        <f t="shared" si="3"/>
        <v/>
      </c>
      <c r="J447" s="137" t="str">
        <f t="shared" si="4"/>
        <v/>
      </c>
      <c r="K447" s="137" t="str">
        <f t="shared" si="5"/>
        <v/>
      </c>
      <c r="L447" s="137" t="str">
        <f t="shared" ref="L447:M447" si="451">D447</f>
        <v/>
      </c>
      <c r="M447" s="137" t="str">
        <f t="shared" si="451"/>
        <v/>
      </c>
      <c r="N447" s="137" t="str">
        <f t="shared" si="7"/>
        <v/>
      </c>
    </row>
    <row r="448">
      <c r="H448" s="137" t="str">
        <f t="shared" si="2"/>
        <v/>
      </c>
      <c r="I448" s="137" t="str">
        <f t="shared" si="3"/>
        <v/>
      </c>
      <c r="J448" s="137" t="str">
        <f t="shared" si="4"/>
        <v/>
      </c>
      <c r="K448" s="137" t="str">
        <f t="shared" si="5"/>
        <v/>
      </c>
      <c r="L448" s="137" t="str">
        <f t="shared" ref="L448:M448" si="452">D448</f>
        <v/>
      </c>
      <c r="M448" s="137" t="str">
        <f t="shared" si="452"/>
        <v/>
      </c>
      <c r="N448" s="137" t="str">
        <f t="shared" si="7"/>
        <v/>
      </c>
    </row>
    <row r="449">
      <c r="H449" s="137" t="str">
        <f t="shared" si="2"/>
        <v/>
      </c>
      <c r="I449" s="137" t="str">
        <f t="shared" si="3"/>
        <v/>
      </c>
      <c r="J449" s="137" t="str">
        <f t="shared" si="4"/>
        <v/>
      </c>
      <c r="K449" s="137" t="str">
        <f t="shared" si="5"/>
        <v/>
      </c>
      <c r="L449" s="137" t="str">
        <f t="shared" ref="L449:M449" si="453">D449</f>
        <v/>
      </c>
      <c r="M449" s="137" t="str">
        <f t="shared" si="453"/>
        <v/>
      </c>
      <c r="N449" s="137" t="str">
        <f t="shared" si="7"/>
        <v/>
      </c>
    </row>
    <row r="450">
      <c r="H450" s="137" t="str">
        <f t="shared" si="2"/>
        <v/>
      </c>
      <c r="I450" s="137" t="str">
        <f t="shared" si="3"/>
        <v/>
      </c>
      <c r="J450" s="137" t="str">
        <f t="shared" si="4"/>
        <v/>
      </c>
      <c r="K450" s="137" t="str">
        <f t="shared" si="5"/>
        <v/>
      </c>
      <c r="L450" s="137" t="str">
        <f t="shared" ref="L450:M450" si="454">D450</f>
        <v/>
      </c>
      <c r="M450" s="137" t="str">
        <f t="shared" si="454"/>
        <v/>
      </c>
      <c r="N450" s="137" t="str">
        <f t="shared" si="7"/>
        <v/>
      </c>
    </row>
    <row r="451">
      <c r="H451" s="137" t="str">
        <f t="shared" si="2"/>
        <v/>
      </c>
      <c r="I451" s="137" t="str">
        <f t="shared" si="3"/>
        <v/>
      </c>
      <c r="J451" s="137" t="str">
        <f t="shared" si="4"/>
        <v/>
      </c>
      <c r="K451" s="137" t="str">
        <f t="shared" si="5"/>
        <v/>
      </c>
      <c r="L451" s="137" t="str">
        <f t="shared" ref="L451:M451" si="455">D451</f>
        <v/>
      </c>
      <c r="M451" s="137" t="str">
        <f t="shared" si="455"/>
        <v/>
      </c>
      <c r="N451" s="137" t="str">
        <f t="shared" si="7"/>
        <v/>
      </c>
    </row>
    <row r="452">
      <c r="H452" s="137" t="str">
        <f t="shared" si="2"/>
        <v/>
      </c>
      <c r="I452" s="137" t="str">
        <f t="shared" si="3"/>
        <v/>
      </c>
      <c r="J452" s="137" t="str">
        <f t="shared" si="4"/>
        <v/>
      </c>
      <c r="K452" s="137" t="str">
        <f t="shared" si="5"/>
        <v/>
      </c>
      <c r="L452" s="137" t="str">
        <f t="shared" ref="L452:M452" si="456">D452</f>
        <v/>
      </c>
      <c r="M452" s="137" t="str">
        <f t="shared" si="456"/>
        <v/>
      </c>
      <c r="N452" s="137" t="str">
        <f t="shared" si="7"/>
        <v/>
      </c>
    </row>
    <row r="453">
      <c r="H453" s="137" t="str">
        <f t="shared" si="2"/>
        <v/>
      </c>
      <c r="I453" s="137" t="str">
        <f t="shared" si="3"/>
        <v/>
      </c>
      <c r="J453" s="137" t="str">
        <f t="shared" si="4"/>
        <v/>
      </c>
      <c r="K453" s="137" t="str">
        <f t="shared" si="5"/>
        <v/>
      </c>
      <c r="L453" s="137" t="str">
        <f t="shared" ref="L453:M453" si="457">D453</f>
        <v/>
      </c>
      <c r="M453" s="137" t="str">
        <f t="shared" si="457"/>
        <v/>
      </c>
      <c r="N453" s="137" t="str">
        <f t="shared" si="7"/>
        <v/>
      </c>
    </row>
    <row r="454">
      <c r="H454" s="137" t="str">
        <f t="shared" si="2"/>
        <v/>
      </c>
      <c r="I454" s="137" t="str">
        <f t="shared" si="3"/>
        <v/>
      </c>
      <c r="J454" s="137" t="str">
        <f t="shared" si="4"/>
        <v/>
      </c>
      <c r="K454" s="137" t="str">
        <f t="shared" si="5"/>
        <v/>
      </c>
      <c r="L454" s="137" t="str">
        <f t="shared" ref="L454:M454" si="458">D454</f>
        <v/>
      </c>
      <c r="M454" s="137" t="str">
        <f t="shared" si="458"/>
        <v/>
      </c>
      <c r="N454" s="137" t="str">
        <f t="shared" si="7"/>
        <v/>
      </c>
    </row>
    <row r="455">
      <c r="H455" s="137" t="str">
        <f t="shared" si="2"/>
        <v/>
      </c>
      <c r="I455" s="137" t="str">
        <f t="shared" si="3"/>
        <v/>
      </c>
      <c r="J455" s="137" t="str">
        <f t="shared" si="4"/>
        <v/>
      </c>
      <c r="K455" s="137" t="str">
        <f t="shared" si="5"/>
        <v/>
      </c>
      <c r="L455" s="137" t="str">
        <f t="shared" ref="L455:M455" si="459">D455</f>
        <v/>
      </c>
      <c r="M455" s="137" t="str">
        <f t="shared" si="459"/>
        <v/>
      </c>
      <c r="N455" s="137" t="str">
        <f t="shared" si="7"/>
        <v/>
      </c>
    </row>
    <row r="456">
      <c r="H456" s="137" t="str">
        <f t="shared" si="2"/>
        <v/>
      </c>
      <c r="I456" s="137" t="str">
        <f t="shared" si="3"/>
        <v/>
      </c>
      <c r="J456" s="137" t="str">
        <f t="shared" si="4"/>
        <v/>
      </c>
      <c r="K456" s="137" t="str">
        <f t="shared" si="5"/>
        <v/>
      </c>
      <c r="L456" s="137" t="str">
        <f t="shared" ref="L456:M456" si="460">D456</f>
        <v/>
      </c>
      <c r="M456" s="137" t="str">
        <f t="shared" si="460"/>
        <v/>
      </c>
      <c r="N456" s="137" t="str">
        <f t="shared" si="7"/>
        <v/>
      </c>
    </row>
    <row r="457">
      <c r="H457" s="137" t="str">
        <f t="shared" si="2"/>
        <v/>
      </c>
      <c r="I457" s="137" t="str">
        <f t="shared" si="3"/>
        <v/>
      </c>
      <c r="J457" s="137" t="str">
        <f t="shared" si="4"/>
        <v/>
      </c>
      <c r="K457" s="137" t="str">
        <f t="shared" si="5"/>
        <v/>
      </c>
      <c r="L457" s="137" t="str">
        <f t="shared" ref="L457:M457" si="461">D457</f>
        <v/>
      </c>
      <c r="M457" s="137" t="str">
        <f t="shared" si="461"/>
        <v/>
      </c>
      <c r="N457" s="137" t="str">
        <f t="shared" si="7"/>
        <v/>
      </c>
    </row>
    <row r="458">
      <c r="H458" s="137" t="str">
        <f t="shared" si="2"/>
        <v/>
      </c>
      <c r="I458" s="137" t="str">
        <f t="shared" si="3"/>
        <v/>
      </c>
      <c r="J458" s="137" t="str">
        <f t="shared" si="4"/>
        <v/>
      </c>
      <c r="K458" s="137" t="str">
        <f t="shared" si="5"/>
        <v/>
      </c>
      <c r="L458" s="137" t="str">
        <f t="shared" ref="L458:M458" si="462">D458</f>
        <v/>
      </c>
      <c r="M458" s="137" t="str">
        <f t="shared" si="462"/>
        <v/>
      </c>
      <c r="N458" s="137" t="str">
        <f t="shared" si="7"/>
        <v/>
      </c>
    </row>
    <row r="459">
      <c r="H459" s="137" t="str">
        <f t="shared" si="2"/>
        <v/>
      </c>
      <c r="I459" s="137" t="str">
        <f t="shared" si="3"/>
        <v/>
      </c>
      <c r="J459" s="137" t="str">
        <f t="shared" si="4"/>
        <v/>
      </c>
      <c r="K459" s="137" t="str">
        <f t="shared" si="5"/>
        <v/>
      </c>
      <c r="L459" s="137" t="str">
        <f t="shared" ref="L459:M459" si="463">D459</f>
        <v/>
      </c>
      <c r="M459" s="137" t="str">
        <f t="shared" si="463"/>
        <v/>
      </c>
      <c r="N459" s="137" t="str">
        <f t="shared" si="7"/>
        <v/>
      </c>
    </row>
    <row r="460">
      <c r="H460" s="137" t="str">
        <f t="shared" si="2"/>
        <v/>
      </c>
      <c r="I460" s="137" t="str">
        <f t="shared" si="3"/>
        <v/>
      </c>
      <c r="J460" s="137" t="str">
        <f t="shared" si="4"/>
        <v/>
      </c>
      <c r="K460" s="137" t="str">
        <f t="shared" si="5"/>
        <v/>
      </c>
      <c r="L460" s="137" t="str">
        <f t="shared" ref="L460:M460" si="464">D460</f>
        <v/>
      </c>
      <c r="M460" s="137" t="str">
        <f t="shared" si="464"/>
        <v/>
      </c>
      <c r="N460" s="137" t="str">
        <f t="shared" si="7"/>
        <v/>
      </c>
    </row>
    <row r="461">
      <c r="H461" s="137" t="str">
        <f t="shared" si="2"/>
        <v/>
      </c>
      <c r="I461" s="137" t="str">
        <f t="shared" si="3"/>
        <v/>
      </c>
      <c r="J461" s="137" t="str">
        <f t="shared" si="4"/>
        <v/>
      </c>
      <c r="K461" s="137" t="str">
        <f t="shared" si="5"/>
        <v/>
      </c>
      <c r="L461" s="137" t="str">
        <f t="shared" ref="L461:M461" si="465">D461</f>
        <v/>
      </c>
      <c r="M461" s="137" t="str">
        <f t="shared" si="465"/>
        <v/>
      </c>
      <c r="N461" s="137" t="str">
        <f t="shared" si="7"/>
        <v/>
      </c>
    </row>
    <row r="462">
      <c r="H462" s="137" t="str">
        <f t="shared" si="2"/>
        <v/>
      </c>
      <c r="I462" s="137" t="str">
        <f t="shared" si="3"/>
        <v/>
      </c>
      <c r="J462" s="137" t="str">
        <f t="shared" si="4"/>
        <v/>
      </c>
      <c r="K462" s="137" t="str">
        <f t="shared" si="5"/>
        <v/>
      </c>
      <c r="L462" s="137" t="str">
        <f t="shared" ref="L462:M462" si="466">D462</f>
        <v/>
      </c>
      <c r="M462" s="137" t="str">
        <f t="shared" si="466"/>
        <v/>
      </c>
      <c r="N462" s="137" t="str">
        <f t="shared" si="7"/>
        <v/>
      </c>
    </row>
    <row r="463">
      <c r="H463" s="137" t="str">
        <f t="shared" si="2"/>
        <v/>
      </c>
      <c r="I463" s="137" t="str">
        <f t="shared" si="3"/>
        <v/>
      </c>
      <c r="J463" s="137" t="str">
        <f t="shared" si="4"/>
        <v/>
      </c>
      <c r="K463" s="137" t="str">
        <f t="shared" si="5"/>
        <v/>
      </c>
      <c r="L463" s="137" t="str">
        <f t="shared" ref="L463:M463" si="467">D463</f>
        <v/>
      </c>
      <c r="M463" s="137" t="str">
        <f t="shared" si="467"/>
        <v/>
      </c>
      <c r="N463" s="137" t="str">
        <f t="shared" si="7"/>
        <v/>
      </c>
    </row>
    <row r="464">
      <c r="H464" s="137" t="str">
        <f t="shared" si="2"/>
        <v/>
      </c>
      <c r="I464" s="137" t="str">
        <f t="shared" si="3"/>
        <v/>
      </c>
      <c r="J464" s="137" t="str">
        <f t="shared" si="4"/>
        <v/>
      </c>
      <c r="K464" s="137" t="str">
        <f t="shared" si="5"/>
        <v/>
      </c>
      <c r="L464" s="137" t="str">
        <f t="shared" ref="L464:M464" si="468">D464</f>
        <v/>
      </c>
      <c r="M464" s="137" t="str">
        <f t="shared" si="468"/>
        <v/>
      </c>
      <c r="N464" s="137" t="str">
        <f t="shared" si="7"/>
        <v/>
      </c>
    </row>
    <row r="465">
      <c r="H465" s="137" t="str">
        <f t="shared" si="2"/>
        <v/>
      </c>
      <c r="I465" s="137" t="str">
        <f t="shared" si="3"/>
        <v/>
      </c>
      <c r="J465" s="137" t="str">
        <f t="shared" si="4"/>
        <v/>
      </c>
      <c r="K465" s="137" t="str">
        <f t="shared" si="5"/>
        <v/>
      </c>
      <c r="L465" s="137" t="str">
        <f t="shared" ref="L465:M465" si="469">D465</f>
        <v/>
      </c>
      <c r="M465" s="137" t="str">
        <f t="shared" si="469"/>
        <v/>
      </c>
      <c r="N465" s="137" t="str">
        <f t="shared" si="7"/>
        <v/>
      </c>
    </row>
    <row r="466">
      <c r="H466" s="137" t="str">
        <f t="shared" si="2"/>
        <v/>
      </c>
      <c r="I466" s="137" t="str">
        <f t="shared" si="3"/>
        <v/>
      </c>
      <c r="J466" s="137" t="str">
        <f t="shared" si="4"/>
        <v/>
      </c>
      <c r="K466" s="137" t="str">
        <f t="shared" si="5"/>
        <v/>
      </c>
      <c r="L466" s="137" t="str">
        <f t="shared" ref="L466:M466" si="470">D466</f>
        <v/>
      </c>
      <c r="M466" s="137" t="str">
        <f t="shared" si="470"/>
        <v/>
      </c>
      <c r="N466" s="137" t="str">
        <f t="shared" si="7"/>
        <v/>
      </c>
    </row>
    <row r="467">
      <c r="H467" s="137" t="str">
        <f t="shared" si="2"/>
        <v/>
      </c>
      <c r="I467" s="137" t="str">
        <f t="shared" si="3"/>
        <v/>
      </c>
      <c r="J467" s="137" t="str">
        <f t="shared" si="4"/>
        <v/>
      </c>
      <c r="K467" s="137" t="str">
        <f t="shared" si="5"/>
        <v/>
      </c>
      <c r="L467" s="137" t="str">
        <f t="shared" ref="L467:M467" si="471">D467</f>
        <v/>
      </c>
      <c r="M467" s="137" t="str">
        <f t="shared" si="471"/>
        <v/>
      </c>
      <c r="N467" s="137" t="str">
        <f t="shared" si="7"/>
        <v/>
      </c>
    </row>
    <row r="468">
      <c r="H468" s="137" t="str">
        <f t="shared" si="2"/>
        <v/>
      </c>
      <c r="I468" s="137" t="str">
        <f t="shared" si="3"/>
        <v/>
      </c>
      <c r="J468" s="137" t="str">
        <f t="shared" si="4"/>
        <v/>
      </c>
      <c r="K468" s="137" t="str">
        <f t="shared" si="5"/>
        <v/>
      </c>
      <c r="L468" s="137" t="str">
        <f t="shared" ref="L468:M468" si="472">D468</f>
        <v/>
      </c>
      <c r="M468" s="137" t="str">
        <f t="shared" si="472"/>
        <v/>
      </c>
      <c r="N468" s="137" t="str">
        <f t="shared" si="7"/>
        <v/>
      </c>
    </row>
    <row r="469">
      <c r="H469" s="137" t="str">
        <f t="shared" si="2"/>
        <v/>
      </c>
      <c r="I469" s="137" t="str">
        <f t="shared" si="3"/>
        <v/>
      </c>
      <c r="J469" s="137" t="str">
        <f t="shared" si="4"/>
        <v/>
      </c>
      <c r="K469" s="137" t="str">
        <f t="shared" si="5"/>
        <v/>
      </c>
      <c r="L469" s="137" t="str">
        <f t="shared" ref="L469:M469" si="473">D469</f>
        <v/>
      </c>
      <c r="M469" s="137" t="str">
        <f t="shared" si="473"/>
        <v/>
      </c>
      <c r="N469" s="137" t="str">
        <f t="shared" si="7"/>
        <v/>
      </c>
    </row>
    <row r="470">
      <c r="H470" s="137" t="str">
        <f t="shared" si="2"/>
        <v/>
      </c>
      <c r="I470" s="137" t="str">
        <f t="shared" si="3"/>
        <v/>
      </c>
      <c r="J470" s="137" t="str">
        <f t="shared" si="4"/>
        <v/>
      </c>
      <c r="K470" s="137" t="str">
        <f t="shared" si="5"/>
        <v/>
      </c>
      <c r="L470" s="137" t="str">
        <f t="shared" ref="L470:M470" si="474">D470</f>
        <v/>
      </c>
      <c r="M470" s="137" t="str">
        <f t="shared" si="474"/>
        <v/>
      </c>
      <c r="N470" s="137" t="str">
        <f t="shared" si="7"/>
        <v/>
      </c>
    </row>
    <row r="471">
      <c r="H471" s="137" t="str">
        <f t="shared" si="2"/>
        <v/>
      </c>
      <c r="I471" s="137" t="str">
        <f t="shared" si="3"/>
        <v/>
      </c>
      <c r="J471" s="137" t="str">
        <f t="shared" si="4"/>
        <v/>
      </c>
      <c r="K471" s="137" t="str">
        <f t="shared" si="5"/>
        <v/>
      </c>
      <c r="L471" s="137" t="str">
        <f t="shared" ref="L471:M471" si="475">D471</f>
        <v/>
      </c>
      <c r="M471" s="137" t="str">
        <f t="shared" si="475"/>
        <v/>
      </c>
      <c r="N471" s="137" t="str">
        <f t="shared" si="7"/>
        <v/>
      </c>
    </row>
    <row r="472">
      <c r="H472" s="137" t="str">
        <f t="shared" si="2"/>
        <v/>
      </c>
      <c r="I472" s="137" t="str">
        <f t="shared" si="3"/>
        <v/>
      </c>
      <c r="J472" s="137" t="str">
        <f t="shared" si="4"/>
        <v/>
      </c>
      <c r="K472" s="137" t="str">
        <f t="shared" si="5"/>
        <v/>
      </c>
      <c r="L472" s="137" t="str">
        <f t="shared" ref="L472:M472" si="476">D472</f>
        <v/>
      </c>
      <c r="M472" s="137" t="str">
        <f t="shared" si="476"/>
        <v/>
      </c>
      <c r="N472" s="137" t="str">
        <f t="shared" si="7"/>
        <v/>
      </c>
    </row>
    <row r="473">
      <c r="H473" s="137" t="str">
        <f t="shared" si="2"/>
        <v/>
      </c>
      <c r="I473" s="137" t="str">
        <f t="shared" si="3"/>
        <v/>
      </c>
      <c r="J473" s="137" t="str">
        <f t="shared" si="4"/>
        <v/>
      </c>
      <c r="K473" s="137" t="str">
        <f t="shared" si="5"/>
        <v/>
      </c>
      <c r="L473" s="137" t="str">
        <f t="shared" ref="L473:M473" si="477">D473</f>
        <v/>
      </c>
      <c r="M473" s="137" t="str">
        <f t="shared" si="477"/>
        <v/>
      </c>
      <c r="N473" s="137" t="str">
        <f t="shared" si="7"/>
        <v/>
      </c>
    </row>
    <row r="474">
      <c r="H474" s="137" t="str">
        <f t="shared" si="2"/>
        <v/>
      </c>
      <c r="I474" s="137" t="str">
        <f t="shared" si="3"/>
        <v/>
      </c>
      <c r="J474" s="137" t="str">
        <f t="shared" si="4"/>
        <v/>
      </c>
      <c r="K474" s="137" t="str">
        <f t="shared" si="5"/>
        <v/>
      </c>
      <c r="L474" s="137" t="str">
        <f t="shared" ref="L474:M474" si="478">D474</f>
        <v/>
      </c>
      <c r="M474" s="137" t="str">
        <f t="shared" si="478"/>
        <v/>
      </c>
      <c r="N474" s="137" t="str">
        <f t="shared" si="7"/>
        <v/>
      </c>
    </row>
    <row r="475">
      <c r="H475" s="137" t="str">
        <f t="shared" si="2"/>
        <v/>
      </c>
      <c r="I475" s="137" t="str">
        <f t="shared" si="3"/>
        <v/>
      </c>
      <c r="J475" s="137" t="str">
        <f t="shared" si="4"/>
        <v/>
      </c>
      <c r="K475" s="137" t="str">
        <f t="shared" si="5"/>
        <v/>
      </c>
      <c r="L475" s="137" t="str">
        <f t="shared" ref="L475:M475" si="479">D475</f>
        <v/>
      </c>
      <c r="M475" s="137" t="str">
        <f t="shared" si="479"/>
        <v/>
      </c>
      <c r="N475" s="137" t="str">
        <f t="shared" si="7"/>
        <v/>
      </c>
    </row>
    <row r="476">
      <c r="H476" s="137" t="str">
        <f t="shared" si="2"/>
        <v/>
      </c>
      <c r="I476" s="137" t="str">
        <f t="shared" si="3"/>
        <v/>
      </c>
      <c r="J476" s="137" t="str">
        <f t="shared" si="4"/>
        <v/>
      </c>
      <c r="K476" s="137" t="str">
        <f t="shared" si="5"/>
        <v/>
      </c>
      <c r="L476" s="137" t="str">
        <f t="shared" ref="L476:M476" si="480">D476</f>
        <v/>
      </c>
      <c r="M476" s="137" t="str">
        <f t="shared" si="480"/>
        <v/>
      </c>
      <c r="N476" s="137" t="str">
        <f t="shared" si="7"/>
        <v/>
      </c>
    </row>
    <row r="477">
      <c r="H477" s="137" t="str">
        <f t="shared" si="2"/>
        <v/>
      </c>
      <c r="I477" s="137" t="str">
        <f t="shared" si="3"/>
        <v/>
      </c>
      <c r="J477" s="137" t="str">
        <f t="shared" si="4"/>
        <v/>
      </c>
      <c r="K477" s="137" t="str">
        <f t="shared" si="5"/>
        <v/>
      </c>
      <c r="L477" s="137" t="str">
        <f t="shared" ref="L477:M477" si="481">D477</f>
        <v/>
      </c>
      <c r="M477" s="137" t="str">
        <f t="shared" si="481"/>
        <v/>
      </c>
      <c r="N477" s="137" t="str">
        <f t="shared" si="7"/>
        <v/>
      </c>
    </row>
    <row r="478">
      <c r="H478" s="137" t="str">
        <f t="shared" si="2"/>
        <v/>
      </c>
      <c r="I478" s="137" t="str">
        <f t="shared" si="3"/>
        <v/>
      </c>
      <c r="J478" s="137" t="str">
        <f t="shared" si="4"/>
        <v/>
      </c>
      <c r="K478" s="137" t="str">
        <f t="shared" si="5"/>
        <v/>
      </c>
      <c r="L478" s="137" t="str">
        <f t="shared" ref="L478:M478" si="482">D478</f>
        <v/>
      </c>
      <c r="M478" s="137" t="str">
        <f t="shared" si="482"/>
        <v/>
      </c>
      <c r="N478" s="137" t="str">
        <f t="shared" si="7"/>
        <v/>
      </c>
    </row>
    <row r="479">
      <c r="H479" s="137" t="str">
        <f t="shared" si="2"/>
        <v/>
      </c>
      <c r="I479" s="137" t="str">
        <f t="shared" si="3"/>
        <v/>
      </c>
      <c r="J479" s="137" t="str">
        <f t="shared" si="4"/>
        <v/>
      </c>
      <c r="K479" s="137" t="str">
        <f t="shared" si="5"/>
        <v/>
      </c>
      <c r="L479" s="137" t="str">
        <f t="shared" ref="L479:M479" si="483">D479</f>
        <v/>
      </c>
      <c r="M479" s="137" t="str">
        <f t="shared" si="483"/>
        <v/>
      </c>
      <c r="N479" s="137" t="str">
        <f t="shared" si="7"/>
        <v/>
      </c>
    </row>
    <row r="480">
      <c r="H480" s="137" t="str">
        <f t="shared" si="2"/>
        <v/>
      </c>
      <c r="I480" s="137" t="str">
        <f t="shared" si="3"/>
        <v/>
      </c>
      <c r="J480" s="137" t="str">
        <f t="shared" si="4"/>
        <v/>
      </c>
      <c r="K480" s="137" t="str">
        <f t="shared" si="5"/>
        <v/>
      </c>
      <c r="L480" s="137" t="str">
        <f t="shared" ref="L480:M480" si="484">D480</f>
        <v/>
      </c>
      <c r="M480" s="137" t="str">
        <f t="shared" si="484"/>
        <v/>
      </c>
      <c r="N480" s="137" t="str">
        <f t="shared" si="7"/>
        <v/>
      </c>
    </row>
    <row r="481">
      <c r="H481" s="137" t="str">
        <f t="shared" si="2"/>
        <v/>
      </c>
      <c r="I481" s="137" t="str">
        <f t="shared" si="3"/>
        <v/>
      </c>
      <c r="J481" s="137" t="str">
        <f t="shared" si="4"/>
        <v/>
      </c>
      <c r="K481" s="137" t="str">
        <f t="shared" si="5"/>
        <v/>
      </c>
      <c r="L481" s="137" t="str">
        <f t="shared" ref="L481:M481" si="485">D481</f>
        <v/>
      </c>
      <c r="M481" s="137" t="str">
        <f t="shared" si="485"/>
        <v/>
      </c>
      <c r="N481" s="137" t="str">
        <f t="shared" si="7"/>
        <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469</v>
      </c>
      <c r="B1" s="1" t="s">
        <v>470</v>
      </c>
      <c r="C1" s="1" t="s">
        <v>471</v>
      </c>
      <c r="D1" s="1" t="s">
        <v>472</v>
      </c>
      <c r="E1" s="1" t="s">
        <v>473</v>
      </c>
      <c r="F1" s="1" t="s">
        <v>474</v>
      </c>
      <c r="G1" s="1" t="s">
        <v>475</v>
      </c>
      <c r="H1" s="1" t="s">
        <v>476</v>
      </c>
      <c r="I1" s="1" t="s">
        <v>477</v>
      </c>
      <c r="J1" s="1" t="s">
        <v>478</v>
      </c>
      <c r="K1" s="1" t="s">
        <v>479</v>
      </c>
      <c r="L1" s="1" t="s">
        <v>480</v>
      </c>
      <c r="M1" s="1" t="s">
        <v>481</v>
      </c>
      <c r="N1" s="1" t="s">
        <v>482</v>
      </c>
      <c r="O1" s="1" t="s">
        <v>483</v>
      </c>
      <c r="P1" s="1" t="s">
        <v>484</v>
      </c>
      <c r="Q1" s="1" t="s">
        <v>485</v>
      </c>
      <c r="R1" s="1" t="s">
        <v>486</v>
      </c>
      <c r="S1" s="1" t="s">
        <v>487</v>
      </c>
      <c r="T1" s="1" t="s">
        <v>488</v>
      </c>
      <c r="U1" s="1" t="s">
        <v>489</v>
      </c>
    </row>
  </sheetData>
  <drawing r:id="rId1"/>
</worksheet>
</file>