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10.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les" sheetId="1" r:id="rId4"/>
    <sheet state="visible" name="Summary" sheetId="2" r:id="rId5"/>
    <sheet state="hidden" name="Timestamp" sheetId="3" r:id="rId6"/>
    <sheet state="visible" name="Wins by Team" sheetId="4" r:id="rId7"/>
    <sheet state="hidden" name="Raw Game Level Data - API Impor" sheetId="5" r:id="rId8"/>
    <sheet state="visible" name="Stats by Team by Week" sheetId="6" r:id="rId9"/>
    <sheet state="hidden" name="Commissioner Instructions" sheetId="7" r:id="rId10"/>
    <sheet state="hidden" name="Raw With Formulas" sheetId="8" r:id="rId11"/>
    <sheet state="hidden" name="Week Date Mapping" sheetId="9" r:id="rId12"/>
    <sheet state="visible" name="Player Stats - Current Week" sheetId="10" r:id="rId13"/>
  </sheets>
  <definedNames>
    <definedName name="Formulas">'Raw With Formulas'!$A:$I</definedName>
    <definedName hidden="1" localSheetId="9" name="_xlnm._FilterDatabase">'Player Stats - Current Week'!$A$1:$U$1950</definedName>
  </definedNames>
  <calcPr/>
</workbook>
</file>

<file path=xl/sharedStrings.xml><?xml version="1.0" encoding="utf-8"?>
<sst xmlns="http://schemas.openxmlformats.org/spreadsheetml/2006/main" count="787" uniqueCount="221">
  <si>
    <t>Draft</t>
  </si>
  <si>
    <t>Buy-in</t>
  </si>
  <si>
    <t xml:space="preserve">Each owner(s) gets three teams. </t>
  </si>
  <si>
    <t>$200 per owner(s)</t>
  </si>
  <si>
    <t>Draft order will be randomized.</t>
  </si>
  <si>
    <t>Draft positions are as follows:</t>
  </si>
  <si>
    <t>Payouts</t>
  </si>
  <si>
    <t>$900 to owner(s) with most wins in aggregate across their three teams | Ties for first result in total pot split and no payout for 2nd place</t>
  </si>
  <si>
    <t>$200 to owner(s) with second most wins in aggregate across their three teams | Ties will split the $200 equally</t>
  </si>
  <si>
    <t>$50 weekly payout based on different stat each week. Stats will be specific to individual team/player and not aggregate across all three teams to make tracking simpler during games</t>
  </si>
  <si>
    <t>How to use this sheet</t>
  </si>
  <si>
    <r>
      <rPr>
        <color rgb="FF1155CC"/>
        <sz val="12.0"/>
      </rPr>
      <t xml:space="preserve">Summary tab </t>
    </r>
    <r>
      <rPr>
        <color rgb="FF000000"/>
        <sz val="12.0"/>
      </rPr>
      <t>will track total wins to date and earnings to date as well as winner for each weekly payout</t>
    </r>
  </si>
  <si>
    <r>
      <rPr>
        <color rgb="FF1155CC"/>
        <sz val="12.0"/>
      </rPr>
      <t xml:space="preserve">Wins by Team tab </t>
    </r>
    <r>
      <rPr>
        <color rgb="FF000000"/>
        <sz val="12.0"/>
      </rPr>
      <t>will track wins by individual NFL team</t>
    </r>
  </si>
  <si>
    <r>
      <rPr>
        <color rgb="FF1155CC"/>
        <sz val="12.0"/>
      </rPr>
      <t xml:space="preserve">Stats by Team by Week tab </t>
    </r>
    <r>
      <rPr>
        <color rgb="FF000000"/>
        <sz val="12.0"/>
      </rPr>
      <t>will track stat by week by NFL team. For individual player stats, this tab will show stats pertaining to the highest scoring player on the team.</t>
    </r>
  </si>
  <si>
    <r>
      <rPr>
        <color rgb="FF1155CC"/>
        <sz val="12.0"/>
      </rPr>
      <t>Player Stats - Current Week</t>
    </r>
    <r>
      <rPr>
        <sz val="12.0"/>
      </rPr>
      <t xml:space="preserve"> tab will show player level numbers for the CURRENT week.</t>
    </r>
  </si>
  <si>
    <t>Freshness</t>
  </si>
  <si>
    <t xml:space="preserve">The app is scheduled to run a refresh at the following cadence due to free tier API limits: Friday @ 7am; Sunday @ 4pm, 8:30pm, Monday @ 7am; Tuesday  @ 7am (all times ET) </t>
  </si>
  <si>
    <t>For Friday/Saturday games, script will run following morning at 7am ET; Commissioner can trigger refreshes manually as needed</t>
  </si>
  <si>
    <t>Rules</t>
  </si>
  <si>
    <t>Fantasy scoring rules:</t>
  </si>
  <si>
    <t>Statistic for each week:</t>
  </si>
  <si>
    <t>Scores will be based on standard ESPN Fantasy Football rules</t>
  </si>
  <si>
    <t>Week 1</t>
  </si>
  <si>
    <t>QB w/ Most Passing Yards</t>
  </si>
  <si>
    <t>Pass TD = 4pt</t>
  </si>
  <si>
    <t>Week 2</t>
  </si>
  <si>
    <t>Team w/ Most Points Scored</t>
  </si>
  <si>
    <t>Rush/rec TD = 6pt</t>
  </si>
  <si>
    <t>Week 3</t>
  </si>
  <si>
    <t>Def with Least Yards Against</t>
  </si>
  <si>
    <t>10 rush/rec yd = 1pt</t>
  </si>
  <si>
    <t>Week 4</t>
  </si>
  <si>
    <t>TE w/ Most Rec Yards</t>
  </si>
  <si>
    <t>25 pass yd = 1pt</t>
  </si>
  <si>
    <t>Week 5</t>
  </si>
  <si>
    <t>Receiver Most Fantasy Points</t>
  </si>
  <si>
    <t>INT, Fumble = -2pt</t>
  </si>
  <si>
    <t>Week 6</t>
  </si>
  <si>
    <t>DST w/ Most Points (XP, FG, TD)</t>
  </si>
  <si>
    <t>2pt conversion catch/pass/run = 2pt</t>
  </si>
  <si>
    <t>Week 7</t>
  </si>
  <si>
    <t>RB w/ Most Rush/Rec Yards</t>
  </si>
  <si>
    <t>Week 8</t>
  </si>
  <si>
    <t xml:space="preserve">Kicker Most Points (XP, FG) </t>
  </si>
  <si>
    <t>**Code for app can be found here**</t>
  </si>
  <si>
    <t>Week 9</t>
  </si>
  <si>
    <t>QB with Most Completions</t>
  </si>
  <si>
    <t>Week 10</t>
  </si>
  <si>
    <t>Def w/ Most Sacks</t>
  </si>
  <si>
    <t>Week 11</t>
  </si>
  <si>
    <t>TE Most Fantasy Points</t>
  </si>
  <si>
    <t>Week 12</t>
  </si>
  <si>
    <t>Def w/ Most Turnovers</t>
  </si>
  <si>
    <t>Week 13</t>
  </si>
  <si>
    <t>QB w/ Most Rush Yards</t>
  </si>
  <si>
    <t>Week 14</t>
  </si>
  <si>
    <t>Def w/ Least Points Against</t>
  </si>
  <si>
    <t>Week 15</t>
  </si>
  <si>
    <t>QB Most Fantasy Points</t>
  </si>
  <si>
    <t>Week 16</t>
  </si>
  <si>
    <t>Team w/ Least Points Scored</t>
  </si>
  <si>
    <t>Week 17</t>
  </si>
  <si>
    <t>Receiver w/ Most Rec Yards</t>
  </si>
  <si>
    <t>Week 18</t>
  </si>
  <si>
    <t>RB Most Fantasy Points</t>
  </si>
  <si>
    <t>Week</t>
  </si>
  <si>
    <t>Stat</t>
  </si>
  <si>
    <t>(Anticipated) Winner(s)</t>
  </si>
  <si>
    <t>Owners</t>
  </si>
  <si>
    <t>Accumulated 
Wins</t>
  </si>
  <si>
    <t>(Anticipated) 
Earnings</t>
  </si>
  <si>
    <t>Budde</t>
  </si>
  <si>
    <t xml:space="preserve">QB with Most Completions </t>
  </si>
  <si>
    <t>Chris</t>
  </si>
  <si>
    <t>Grant|Rusty</t>
  </si>
  <si>
    <t>Jim</t>
  </si>
  <si>
    <t>Kyle</t>
  </si>
  <si>
    <t>Max</t>
  </si>
  <si>
    <t>Rob</t>
  </si>
  <si>
    <t>Sagar</t>
  </si>
  <si>
    <t>Steve|Sutter</t>
  </si>
  <si>
    <t>Wyatt</t>
  </si>
  <si>
    <t>2024-09-20 12:01:40.607930</t>
  </si>
  <si>
    <t>Team API</t>
  </si>
  <si>
    <t>Team</t>
  </si>
  <si>
    <t>Owner</t>
  </si>
  <si>
    <t>Wins</t>
  </si>
  <si>
    <t>ARI</t>
  </si>
  <si>
    <t>ATL</t>
  </si>
  <si>
    <t>BUF</t>
  </si>
  <si>
    <t>CAR</t>
  </si>
  <si>
    <t>CHI</t>
  </si>
  <si>
    <t>CIN</t>
  </si>
  <si>
    <t>CLE</t>
  </si>
  <si>
    <t>CLT</t>
  </si>
  <si>
    <t>IND</t>
  </si>
  <si>
    <t>DAL</t>
  </si>
  <si>
    <t>DEN</t>
  </si>
  <si>
    <t>DET</t>
  </si>
  <si>
    <t>GNB</t>
  </si>
  <si>
    <t>GB</t>
  </si>
  <si>
    <t>HOU</t>
  </si>
  <si>
    <t>JAX</t>
  </si>
  <si>
    <t>KAN</t>
  </si>
  <si>
    <t>KC</t>
  </si>
  <si>
    <t>MIA</t>
  </si>
  <si>
    <t>MIN</t>
  </si>
  <si>
    <t>NOR</t>
  </si>
  <si>
    <t>NO</t>
  </si>
  <si>
    <t>NWE</t>
  </si>
  <si>
    <t>NE</t>
  </si>
  <si>
    <t>NYG</t>
  </si>
  <si>
    <t>NYJ</t>
  </si>
  <si>
    <t>OTI</t>
  </si>
  <si>
    <t>TEN</t>
  </si>
  <si>
    <t>PHI</t>
  </si>
  <si>
    <t>PIT</t>
  </si>
  <si>
    <t>RAI</t>
  </si>
  <si>
    <t>LV</t>
  </si>
  <si>
    <t>RAM</t>
  </si>
  <si>
    <t>LAR</t>
  </si>
  <si>
    <t>RAV</t>
  </si>
  <si>
    <t>BAL</t>
  </si>
  <si>
    <t>SDG</t>
  </si>
  <si>
    <t>LAC</t>
  </si>
  <si>
    <t>SEA</t>
  </si>
  <si>
    <t>SFO</t>
  </si>
  <si>
    <t>SF</t>
  </si>
  <si>
    <t>TAM</t>
  </si>
  <si>
    <t>TB</t>
  </si>
  <si>
    <t>WAS</t>
  </si>
  <si>
    <t>WSH</t>
  </si>
  <si>
    <t>Game</t>
  </si>
  <si>
    <t>Away_Team</t>
  </si>
  <si>
    <t>Home_Team</t>
  </si>
  <si>
    <t>Away_Pts</t>
  </si>
  <si>
    <t>Home_Pts</t>
  </si>
  <si>
    <t>Status</t>
  </si>
  <si>
    <t>Week1 Helper</t>
  </si>
  <si>
    <t>Week1</t>
  </si>
  <si>
    <t>Column 23</t>
  </si>
  <si>
    <t>Week2</t>
  </si>
  <si>
    <t>Column 24</t>
  </si>
  <si>
    <t>Week3</t>
  </si>
  <si>
    <t>Column 25</t>
  </si>
  <si>
    <t>Week4</t>
  </si>
  <si>
    <t>Column 26</t>
  </si>
  <si>
    <t>Week5</t>
  </si>
  <si>
    <t>Column 27</t>
  </si>
  <si>
    <t>Week6</t>
  </si>
  <si>
    <t>Column 28</t>
  </si>
  <si>
    <t>Week7</t>
  </si>
  <si>
    <t>Column 29</t>
  </si>
  <si>
    <t>Week8</t>
  </si>
  <si>
    <t>Column 30</t>
  </si>
  <si>
    <t>Week9</t>
  </si>
  <si>
    <t>Column 31</t>
  </si>
  <si>
    <t>Week10</t>
  </si>
  <si>
    <t>Column 32</t>
  </si>
  <si>
    <t>Week11</t>
  </si>
  <si>
    <t>Column 33</t>
  </si>
  <si>
    <t>Week12</t>
  </si>
  <si>
    <t>Column 34</t>
  </si>
  <si>
    <t>Week13</t>
  </si>
  <si>
    <t>Column 35</t>
  </si>
  <si>
    <t>Week14</t>
  </si>
  <si>
    <t>Column 36</t>
  </si>
  <si>
    <t>Week15</t>
  </si>
  <si>
    <t>Column 37</t>
  </si>
  <si>
    <t>Week16</t>
  </si>
  <si>
    <t>Column 38</t>
  </si>
  <si>
    <t>Week17</t>
  </si>
  <si>
    <t>Column 39</t>
  </si>
  <si>
    <t>Week18</t>
  </si>
  <si>
    <t>Owner2</t>
  </si>
  <si>
    <t>BYE, GAME NOT STARTED, OR NO STATS YET</t>
  </si>
  <si>
    <t>TEAM NOT DRAFTED</t>
  </si>
  <si>
    <t>Before Season Starts</t>
  </si>
  <si>
    <t>Take formulas below, paste in two row two of the column associated with the week and drag down. This will reset the "Copy, Paste Values" done each week during the previous season. Look at Conditional Formatting formula before and make sure it persists after</t>
  </si>
  <si>
    <t>Validate API behavior hasn't changed</t>
  </si>
  <si>
    <t>Update owners in the "Summary" tab</t>
  </si>
  <si>
    <t>Remove Owners from the "Stats by Team by Week" tab</t>
  </si>
  <si>
    <t>Update "Week Date Mapping" tab with weeks and dates for the new season</t>
  </si>
  <si>
    <t>Setup Cron to run script based on available API calls and new schedule you'd like. Link to API documentation is here: https://rapidapi.com/tank01/api/tank01-nfl-live-in-game-real-time-statistics-nfl/playground/apiendpoint_170ffbd1-36a2-4570-9671-0888277ee728</t>
  </si>
  <si>
    <t xml:space="preserve">After the draft, whatever two teams weren't drafted, manually paste "BYE, GAME NOT STARTED, OR NO STATS YET" across all weeks in the "Stats by Team by Week" tab so teams aren't selected as winners for any weeks </t>
  </si>
  <si>
    <t>DONT REMOVE HEADERS FROM ANY OF THE API FIELDS!</t>
  </si>
  <si>
    <t>Columns H-N of the "Raw With Formulas" tab have formulas - don't delete!</t>
  </si>
  <si>
    <t>Formula Taken from Row 2 of "Stats by Team by Week" Tab</t>
  </si>
  <si>
    <t>Weekly</t>
  </si>
  <si>
    <r>
      <rPr>
        <rFont val="Arial"/>
        <color theme="1"/>
        <sz val="12.0"/>
      </rPr>
      <t xml:space="preserve">Copy/Paste values for the previous week in the Stats by Team by Week tab </t>
    </r>
    <r>
      <rPr>
        <rFont val="Arial"/>
        <b/>
        <color theme="1"/>
        <sz val="12.0"/>
      </rPr>
      <t>ON TUESDAY - CAN'T BE LATER OR THE PREVIOUS WEEK DATA WILL GET OVERRIDDEN AND YOU'LL NEED TO UPDATE SCRIPT TO REPAIR PREVIOUS WEEK</t>
    </r>
  </si>
  <si>
    <t>Winner</t>
  </si>
  <si>
    <t>Loser</t>
  </si>
  <si>
    <t>Concatenate_Away</t>
  </si>
  <si>
    <t>Home</t>
  </si>
  <si>
    <t>Concatenate_Home</t>
  </si>
  <si>
    <t>Away_Score</t>
  </si>
  <si>
    <t>Home_Score</t>
  </si>
  <si>
    <t>Away</t>
  </si>
  <si>
    <t>Start_Date</t>
  </si>
  <si>
    <t>End_Date</t>
  </si>
  <si>
    <t>player_id</t>
  </si>
  <si>
    <t>name</t>
  </si>
  <si>
    <t>team</t>
  </si>
  <si>
    <t>position</t>
  </si>
  <si>
    <t>recyds</t>
  </si>
  <si>
    <t>rectd</t>
  </si>
  <si>
    <t>rushyds</t>
  </si>
  <si>
    <t>rushtd</t>
  </si>
  <si>
    <t>passyds</t>
  </si>
  <si>
    <t>passtd</t>
  </si>
  <si>
    <t>int</t>
  </si>
  <si>
    <t>kicking_pts</t>
  </si>
  <si>
    <t>fumbles</t>
  </si>
  <si>
    <t>passcmp</t>
  </si>
  <si>
    <t>sacks</t>
  </si>
  <si>
    <t>defensiveints</t>
  </si>
  <si>
    <t>fantasy_points</t>
  </si>
  <si>
    <t>dst_td</t>
  </si>
  <si>
    <t>turnovers</t>
  </si>
  <si>
    <t>totalyds</t>
  </si>
  <si>
    <t>totalrushrecyds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</si>
</sst>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 d, yy"/>
    <numFmt numFmtId="165" formatCode="&quot;$&quot;#,##0.00"/>
    <numFmt numFmtId="166" formatCode="yyyy-mm-dd"/>
  </numFmts>
  <fonts count="14">
    <font>
      <sz val="10.0"/>
      <color rgb="FF000000"/>
      <name val="Arial"/>
      <scheme val="minor"/>
    </font>
    <font>
      <b/>
      <sz val="12.0"/>
      <color theme="1"/>
      <name val="Arial"/>
      <scheme val="minor"/>
    </font>
    <font>
      <color theme="1"/>
      <name val="Arial"/>
      <scheme val="minor"/>
    </font>
    <font>
      <sz val="12.0"/>
      <color theme="1"/>
      <name val="Arial"/>
      <scheme val="minor"/>
    </font>
    <font>
      <sz val="10.0"/>
      <color theme="1"/>
      <name val="Arial"/>
      <scheme val="minor"/>
    </font>
    <font>
      <sz val="12.0"/>
      <color rgb="FF0000FF"/>
    </font>
    <font>
      <u/>
      <sz val="12.0"/>
      <color rgb="FF0000FF"/>
      <name val="Roboto"/>
    </font>
    <font>
      <b/>
      <i/>
      <color theme="1"/>
      <name val="Arial"/>
      <scheme val="minor"/>
    </font>
    <font/>
    <font>
      <color rgb="FF666666"/>
      <name val="Arial"/>
      <scheme val="minor"/>
    </font>
    <font>
      <b/>
      <color theme="1"/>
      <name val="Arial"/>
      <scheme val="minor"/>
    </font>
    <font>
      <color rgb="FF000000"/>
      <name val="Arial"/>
      <scheme val="minor"/>
    </font>
    <font>
      <strike/>
      <sz val="12.0"/>
      <color theme="1"/>
      <name val="Arial"/>
      <scheme val="minor"/>
    </font>
    <font>
      <u/>
      <sz val="12.0"/>
      <color rgb="FF0000FF"/>
      <name val="Roboto"/>
    </font>
  </fonts>
  <fills count="6">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80D3FF"/>
        <bgColor rgb="FF80D3FF"/>
      </patternFill>
    </fill>
    <fill>
      <patternFill patternType="solid">
        <fgColor rgb="FFEFEFEF"/>
        <bgColor rgb="FFEFEFEF"/>
      </patternFill>
    </fill>
  </fills>
  <borders count="53">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right style="thin">
        <color rgb="FFFFFFFF"/>
      </right>
      <top style="thin">
        <color rgb="FFFFFFFF"/>
      </top>
      <bottom style="thin">
        <color rgb="FFFFFFFF"/>
      </bottom>
    </border>
    <border>
      <left style="thin">
        <color rgb="FFFFFFFF"/>
      </left>
      <right style="thin">
        <color rgb="FFFFFFFF"/>
      </right>
      <top style="thin">
        <color rgb="FFFFFFFF"/>
      </top>
    </border>
    <border>
      <top style="thin">
        <color rgb="FFFFFFFF"/>
      </top>
      <bottom style="thin">
        <color rgb="FFFFFFFF"/>
      </bottom>
    </border>
    <border>
      <left style="thin">
        <color rgb="FF000000"/>
      </left>
      <right style="thin">
        <color rgb="FF000000"/>
      </right>
      <top style="thin">
        <color rgb="FF000000"/>
      </top>
      <bottom style="thin">
        <color rgb="FFFFFFFF"/>
      </bottom>
    </border>
    <border>
      <left style="thin">
        <color rgb="FF000000"/>
      </left>
      <right style="thin">
        <color rgb="FF000000"/>
      </right>
    </border>
    <border>
      <left style="thin">
        <color rgb="FF000000"/>
      </left>
      <right style="thin">
        <color rgb="FF000000"/>
      </right>
      <bottom style="thin">
        <color rgb="FF000000"/>
      </bottom>
    </border>
    <border>
      <top style="thin">
        <color rgb="FFFFFFFF"/>
      </top>
    </border>
    <border>
      <left style="thin">
        <color rgb="FFFFFFFF"/>
      </left>
      <right style="thin">
        <color rgb="FFFFFFFF"/>
      </right>
    </border>
    <border>
      <right style="thin">
        <color rgb="FFFFFFFF"/>
      </right>
      <top style="thin">
        <color rgb="FFFFFFFF"/>
      </top>
    </border>
    <border>
      <left style="thin">
        <color rgb="FFFFFFFF"/>
      </left>
      <right style="thin">
        <color rgb="FFFFFFFF"/>
      </right>
      <bottom style="thin">
        <color rgb="FFFFFFFF"/>
      </bottom>
    </border>
    <border>
      <left style="thin">
        <color rgb="FFFFFFFF"/>
      </left>
      <bottom style="thin">
        <color rgb="FFFFFFFF"/>
      </bottom>
    </border>
    <border>
      <right style="thin">
        <color rgb="FFFFFFFF"/>
      </right>
      <bottom style="thin">
        <color rgb="FFFFFFFF"/>
      </bottom>
    </border>
    <border>
      <left style="thin">
        <color rgb="FFFFFFFF"/>
      </left>
      <top style="thin">
        <color rgb="FFFFFFFF"/>
      </top>
    </border>
    <border>
      <left style="thin">
        <color rgb="FF000000"/>
      </left>
      <top style="thin">
        <color rgb="FF000000"/>
      </top>
    </border>
    <border>
      <right style="thin">
        <color rgb="FF000000"/>
      </right>
      <top style="thin">
        <color rgb="FF000000"/>
      </top>
    </border>
    <border>
      <left style="thin">
        <color rgb="FF666666"/>
      </left>
      <right style="thin">
        <color rgb="FF666666"/>
      </right>
      <top style="thin">
        <color rgb="FF666666"/>
      </top>
    </border>
    <border>
      <left style="thin">
        <color rgb="FF000000"/>
      </left>
    </border>
    <border>
      <right style="thin">
        <color rgb="FF000000"/>
      </right>
    </border>
    <border>
      <left style="thin">
        <color rgb="FF666666"/>
      </left>
      <right style="thin">
        <color rgb="FF666666"/>
      </right>
    </border>
    <border>
      <left style="thin">
        <color rgb="FF666666"/>
      </left>
      <right style="thin">
        <color rgb="FF666666"/>
      </right>
      <bottom style="thin">
        <color rgb="FF666666"/>
      </bottom>
    </border>
    <border>
      <left style="thin">
        <color rgb="FF000000"/>
      </left>
      <bottom style="thin">
        <color rgb="FF000000"/>
      </bottom>
    </border>
    <border>
      <right style="thin">
        <color rgb="FF000000"/>
      </right>
      <bottom style="thin">
        <color rgb="FF000000"/>
      </bottom>
    </border>
    <border>
      <left style="thin">
        <color rgb="FF6AA5BF"/>
      </left>
      <right style="thin">
        <color rgb="FF8DDCFF"/>
      </right>
      <top style="thin">
        <color rgb="FF6AA5BF"/>
      </top>
      <bottom style="thin">
        <color rgb="FF6AA5BF"/>
      </bottom>
    </border>
    <border>
      <left style="thin">
        <color rgb="FF8DDCFF"/>
      </left>
      <right style="thin">
        <color rgb="FF8DDCFF"/>
      </right>
      <top style="thin">
        <color rgb="FF6AA5BF"/>
      </top>
      <bottom style="thin">
        <color rgb="FF6AA5BF"/>
      </bottom>
    </border>
    <border>
      <left style="thin">
        <color rgb="FF8DDCFF"/>
      </left>
      <right style="thin">
        <color rgb="FF6AA5BF"/>
      </right>
      <top style="thin">
        <color rgb="FF6AA5BF"/>
      </top>
      <bottom style="thin">
        <color rgb="FF6AA5BF"/>
      </bottom>
    </border>
    <border>
      <left style="thin">
        <color rgb="FF6AA5BF"/>
      </left>
      <right style="thin">
        <color rgb="FFFFFFFF"/>
      </right>
      <top style="thin">
        <color rgb="FFFFFFFF"/>
      </top>
      <bottom style="thin">
        <color rgb="FFFFFFFF"/>
      </bottom>
    </border>
    <border>
      <left style="thin">
        <color rgb="FFFFFFFF"/>
      </left>
      <right style="thin">
        <color rgb="FF6AA5BF"/>
      </right>
      <top style="thin">
        <color rgb="FFFFFFFF"/>
      </top>
      <bottom style="thin">
        <color rgb="FFFFFFFF"/>
      </bottom>
    </border>
    <border>
      <left style="thin">
        <color rgb="FF6AA5B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6AA5BF"/>
      </right>
      <top style="thin">
        <color rgb="FFF6F8F9"/>
      </top>
      <bottom style="thin">
        <color rgb="FFF6F8F9"/>
      </bottom>
    </border>
    <border>
      <left style="thin">
        <color rgb="FF80D3FF"/>
      </left>
      <right style="thin">
        <color rgb="FF80D3FF"/>
      </right>
      <top style="thin">
        <color rgb="FF6AA5BF"/>
      </top>
      <bottom style="thin">
        <color rgb="FF6AA5BF"/>
      </bottom>
    </border>
    <border>
      <left style="thin">
        <color rgb="FF80D3FF"/>
      </left>
      <right style="thin">
        <color rgb="FF6AA5BF"/>
      </right>
      <top style="thin">
        <color rgb="FF6AA5BF"/>
      </top>
      <bottom style="thin">
        <color rgb="FF6AA5BF"/>
      </bottom>
    </border>
    <border>
      <left style="thin">
        <color rgb="FFF7F7F7"/>
      </left>
      <right style="thin">
        <color rgb="FF6AA5BF"/>
      </right>
      <top style="thin">
        <color rgb="FFF7F7F7"/>
      </top>
      <bottom style="thin">
        <color rgb="FFF7F7F7"/>
      </bottom>
    </border>
    <border>
      <left style="thin">
        <color rgb="FF57BB8A"/>
      </left>
      <right style="thin">
        <color rgb="FF57BB8A"/>
      </right>
      <top style="thin">
        <color rgb="FF57BB8A"/>
      </top>
      <bottom style="thin">
        <color rgb="FF57BB8A"/>
      </bottom>
    </border>
    <border>
      <left style="thin">
        <color rgb="FFF7F7F7"/>
      </left>
      <right style="thin">
        <color rgb="FFF7F7F7"/>
      </right>
      <top style="thin">
        <color rgb="FFF7F7F7"/>
      </top>
      <bottom style="thin">
        <color rgb="FFF7F7F7"/>
      </bottom>
    </border>
    <border>
      <left style="thin">
        <color rgb="FF6AA5BF"/>
      </left>
      <right style="thin">
        <color rgb="FFF6F8F9"/>
      </right>
      <top style="thin">
        <color rgb="FFF6F8F9"/>
      </top>
      <bottom style="thin">
        <color rgb="FF6AA5BF"/>
      </bottom>
    </border>
    <border>
      <left style="thin">
        <color rgb="FFF7F7F7"/>
      </left>
      <right style="thin">
        <color rgb="FFF7F7F7"/>
      </right>
      <top style="thin">
        <color rgb="FFF7F7F7"/>
      </top>
      <bottom style="thin">
        <color rgb="FF6AA5BF"/>
      </bottom>
    </border>
    <border>
      <left style="thin">
        <color rgb="FFF7F7F7"/>
      </left>
      <right style="thin">
        <color rgb="FF6AA5BF"/>
      </right>
      <top style="thin">
        <color rgb="FFF7F7F7"/>
      </top>
      <bottom style="thin">
        <color rgb="FF6AA5BF"/>
      </bottom>
    </border>
    <border>
      <left style="thin">
        <color rgb="FFF6F8F9"/>
      </left>
      <right style="thin">
        <color rgb="FFF6F8F9"/>
      </right>
      <top style="thin">
        <color rgb="FFF6F8F9"/>
      </top>
      <bottom style="thin">
        <color rgb="FF6AA5BF"/>
      </bottom>
    </border>
    <border>
      <left style="thin">
        <color rgb="FFF6F8F9"/>
      </left>
      <right style="thin">
        <color rgb="FF6AA5BF"/>
      </right>
      <top style="thin">
        <color rgb="FFF6F8F9"/>
      </top>
      <bottom style="thin">
        <color rgb="FF6AA5BF"/>
      </bottom>
    </border>
    <border>
      <left style="thin">
        <color rgb="FF34A853"/>
      </left>
      <right style="thin">
        <color rgb="FF6AA5BF"/>
      </right>
      <top style="thin">
        <color rgb="FF34A853"/>
      </top>
      <bottom style="thin">
        <color rgb="FF34A853"/>
      </bottom>
    </border>
    <border>
      <left style="thin">
        <color rgb="FF000000"/>
      </left>
      <right style="thin">
        <color rgb="FFFFFFFF"/>
      </right>
      <top style="thin">
        <color rgb="FF000000"/>
      </top>
    </border>
    <border>
      <left style="thin">
        <color rgb="FFFFFFFF"/>
      </left>
      <right style="thin">
        <color rgb="FFFFFFFF"/>
      </right>
      <top style="thin">
        <color rgb="FF000000"/>
      </top>
    </border>
    <border>
      <left style="thin">
        <color rgb="FFFFFFFF"/>
      </left>
      <right style="thin">
        <color rgb="FFFFFFFF"/>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000000"/>
      </left>
      <right style="thin">
        <color rgb="FFFFFFFF"/>
      </right>
      <top style="thin">
        <color rgb="FFFFFFFF"/>
      </top>
    </border>
    <border>
      <left style="thin">
        <color rgb="FFFFFFFF"/>
      </left>
      <right style="thin">
        <color rgb="FF000000"/>
      </right>
      <top style="thin">
        <color rgb="FFFFFFFF"/>
      </top>
      <bottom style="thin">
        <color rgb="FFFFFFFF"/>
      </bottom>
    </border>
    <border>
      <left style="thin">
        <color rgb="FF000000"/>
      </left>
      <right style="thin">
        <color rgb="FFFFFFFF"/>
      </right>
      <top style="thin">
        <color rgb="FFFFFFFF"/>
      </top>
      <bottom style="thin">
        <color rgb="FF000000"/>
      </bottom>
    </border>
    <border>
      <left style="thin">
        <color rgb="FFFFFFFF"/>
      </left>
      <right style="thin">
        <color rgb="FFFFFFFF"/>
      </right>
      <top style="thin">
        <color rgb="FFFFFFFF"/>
      </top>
      <bottom style="thin">
        <color rgb="FF000000"/>
      </bottom>
    </border>
    <border>
      <left style="thin">
        <color rgb="FFFFFFFF"/>
      </left>
      <right style="thin">
        <color rgb="FF000000"/>
      </right>
      <top style="thin">
        <color rgb="FFFFFFFF"/>
      </top>
      <bottom style="thin">
        <color rgb="FF000000"/>
      </bottom>
    </border>
  </borders>
  <cellStyleXfs count="1">
    <xf borderId="0" fillId="0" fontId="0" numFmtId="0" applyAlignment="1" applyFont="1"/>
  </cellStyleXfs>
  <cellXfs count="142">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Border="1" applyFont="1"/>
    <xf borderId="1" fillId="0" fontId="2" numFmtId="0" xfId="0" applyBorder="1" applyFont="1"/>
    <xf borderId="3" fillId="0" fontId="1" numFmtId="0" xfId="0" applyAlignment="1" applyBorder="1" applyFont="1">
      <alignment readingOrder="0"/>
    </xf>
    <xf borderId="1" fillId="0" fontId="3" numFmtId="0" xfId="0" applyAlignment="1" applyBorder="1" applyFont="1">
      <alignment readingOrder="0"/>
    </xf>
    <xf borderId="3" fillId="0" fontId="3" numFmtId="0" xfId="0" applyAlignment="1" applyBorder="1" applyFont="1">
      <alignment readingOrder="0"/>
    </xf>
    <xf borderId="3" fillId="0" fontId="3" numFmtId="0" xfId="0" applyBorder="1" applyFont="1"/>
    <xf borderId="4" fillId="0" fontId="3" numFmtId="0" xfId="0" applyAlignment="1" applyBorder="1" applyFont="1">
      <alignment readingOrder="0"/>
    </xf>
    <xf borderId="4" fillId="0" fontId="2" numFmtId="0" xfId="0" applyBorder="1" applyFont="1"/>
    <xf borderId="5" fillId="0" fontId="2" numFmtId="0" xfId="0" applyBorder="1" applyFont="1"/>
    <xf borderId="6" fillId="0" fontId="4" numFmtId="164" xfId="0" applyAlignment="1" applyBorder="1" applyFont="1" applyNumberFormat="1">
      <alignment horizontal="center" readingOrder="0"/>
    </xf>
    <xf borderId="7" fillId="0" fontId="2" numFmtId="164" xfId="0" applyAlignment="1" applyBorder="1" applyFont="1" applyNumberFormat="1">
      <alignment horizontal="center" readingOrder="0"/>
    </xf>
    <xf borderId="3" fillId="0" fontId="2" numFmtId="0" xfId="0" applyBorder="1" applyFont="1"/>
    <xf borderId="3" fillId="0" fontId="5" numFmtId="0" xfId="0" applyAlignment="1" applyBorder="1" applyFont="1">
      <alignment readingOrder="0"/>
    </xf>
    <xf borderId="8" fillId="0" fontId="2" numFmtId="164" xfId="0" applyAlignment="1" applyBorder="1" applyFont="1" applyNumberFormat="1">
      <alignment horizontal="center" readingOrder="0"/>
    </xf>
    <xf borderId="9" fillId="0" fontId="2" numFmtId="0" xfId="0" applyBorder="1" applyFont="1"/>
    <xf borderId="10" fillId="2" fontId="1" numFmtId="0" xfId="0" applyAlignment="1" applyBorder="1" applyFill="1" applyFont="1">
      <alignment readingOrder="0"/>
    </xf>
    <xf borderId="9" fillId="2" fontId="2" numFmtId="0" xfId="0" applyBorder="1" applyFont="1"/>
    <xf borderId="4" fillId="2" fontId="2" numFmtId="0" xfId="0" applyBorder="1" applyFont="1"/>
    <xf borderId="11" fillId="0" fontId="3" numFmtId="0" xfId="0" applyAlignment="1" applyBorder="1" applyFont="1">
      <alignment readingOrder="0"/>
    </xf>
    <xf borderId="1" fillId="2" fontId="2" numFmtId="0" xfId="0" applyBorder="1" applyFont="1"/>
    <xf borderId="11" fillId="2" fontId="2" numFmtId="0" xfId="0" applyBorder="1" applyFont="1"/>
    <xf borderId="12" fillId="2" fontId="1" numFmtId="0" xfId="0" applyAlignment="1" applyBorder="1" applyFont="1">
      <alignment readingOrder="0"/>
    </xf>
    <xf borderId="12" fillId="2" fontId="2" numFmtId="0" xfId="0" applyBorder="1" applyFont="1"/>
    <xf borderId="7" fillId="3" fontId="1" numFmtId="0" xfId="0" applyAlignment="1" applyBorder="1" applyFill="1" applyFont="1">
      <alignment readingOrder="0"/>
    </xf>
    <xf borderId="7" fillId="3" fontId="2" numFmtId="0" xfId="0" applyBorder="1" applyFont="1"/>
    <xf borderId="1" fillId="0" fontId="3" numFmtId="0" xfId="0" applyBorder="1" applyFont="1"/>
    <xf borderId="12" fillId="0" fontId="1" numFmtId="0" xfId="0" applyAlignment="1" applyBorder="1" applyFont="1">
      <alignment readingOrder="0"/>
    </xf>
    <xf borderId="13" fillId="0" fontId="3" numFmtId="0" xfId="0" applyBorder="1" applyFont="1"/>
    <xf borderId="12" fillId="0" fontId="3" numFmtId="0" xfId="0" applyBorder="1" applyFont="1"/>
    <xf borderId="14" fillId="0" fontId="1" numFmtId="0" xfId="0" applyAlignment="1" applyBorder="1" applyFont="1">
      <alignment readingOrder="0"/>
    </xf>
    <xf borderId="12" fillId="0" fontId="2" numFmtId="0" xfId="0" applyBorder="1" applyFont="1"/>
    <xf borderId="15" fillId="0" fontId="3" numFmtId="0" xfId="0" applyBorder="1" applyFont="1"/>
    <xf borderId="16" fillId="0" fontId="2" numFmtId="0" xfId="0" applyAlignment="1" applyBorder="1" applyFont="1">
      <alignment readingOrder="0"/>
    </xf>
    <xf borderId="17" fillId="0" fontId="2" numFmtId="0" xfId="0" applyAlignment="1" applyBorder="1" applyFont="1">
      <alignment readingOrder="0"/>
    </xf>
    <xf borderId="18" fillId="0" fontId="2" numFmtId="0" xfId="0" applyAlignment="1" applyBorder="1" applyFont="1">
      <alignment readingOrder="0"/>
    </xf>
    <xf borderId="19" fillId="0" fontId="2" numFmtId="0" xfId="0" applyAlignment="1" applyBorder="1" applyFont="1">
      <alignment readingOrder="0"/>
    </xf>
    <xf borderId="20" fillId="0" fontId="2" numFmtId="0" xfId="0" applyAlignment="1" applyBorder="1" applyFont="1">
      <alignment readingOrder="0"/>
    </xf>
    <xf borderId="21" fillId="0" fontId="2" numFmtId="0" xfId="0" applyAlignment="1" applyBorder="1" applyFont="1">
      <alignment readingOrder="0"/>
    </xf>
    <xf borderId="22" fillId="0" fontId="2" numFmtId="0" xfId="0" applyAlignment="1" applyBorder="1" applyFont="1">
      <alignment readingOrder="0"/>
    </xf>
    <xf borderId="3" fillId="0" fontId="6" numFmtId="0" xfId="0" applyAlignment="1" applyBorder="1" applyFont="1">
      <alignment readingOrder="0"/>
    </xf>
    <xf borderId="1" fillId="0" fontId="2" numFmtId="0" xfId="0" applyAlignment="1" applyBorder="1" applyFont="1">
      <alignment readingOrder="0"/>
    </xf>
    <xf borderId="23" fillId="0" fontId="2" numFmtId="0" xfId="0" applyAlignment="1" applyBorder="1" applyFont="1">
      <alignment readingOrder="0"/>
    </xf>
    <xf borderId="24" fillId="0" fontId="2" numFmtId="0" xfId="0" applyAlignment="1" applyBorder="1" applyFont="1">
      <alignment readingOrder="0"/>
    </xf>
    <xf borderId="2" fillId="0" fontId="7" numFmtId="0" xfId="0" applyAlignment="1" applyBorder="1" applyFont="1">
      <alignment horizontal="left" vertical="center"/>
    </xf>
    <xf borderId="5" fillId="0" fontId="8" numFmtId="0" xfId="0" applyBorder="1" applyFont="1"/>
    <xf borderId="3" fillId="0" fontId="8" numFmtId="0" xfId="0" applyBorder="1" applyFont="1"/>
    <xf borderId="1" fillId="0" fontId="2" numFmtId="0" xfId="0" applyAlignment="1" applyBorder="1" applyFont="1">
      <alignment horizontal="center" readingOrder="0"/>
    </xf>
    <xf borderId="1" fillId="0" fontId="2" numFmtId="0" xfId="0" applyAlignment="1" applyBorder="1" applyFont="1">
      <alignment horizontal="center"/>
    </xf>
    <xf borderId="25" fillId="0" fontId="9" numFmtId="0" xfId="0" applyAlignment="1" applyBorder="1" applyFont="1">
      <alignment horizontal="center" readingOrder="0" shrinkToFit="0" vertical="center" wrapText="0"/>
    </xf>
    <xf borderId="26" fillId="0" fontId="9" numFmtId="0" xfId="0" applyAlignment="1" applyBorder="1" applyFont="1">
      <alignment horizontal="center" readingOrder="0" shrinkToFit="0" vertical="center" wrapText="0"/>
    </xf>
    <xf borderId="27" fillId="0" fontId="9" numFmtId="0" xfId="0" applyAlignment="1" applyBorder="1" applyFont="1">
      <alignment horizontal="center" readingOrder="0" shrinkToFit="0" vertical="center" wrapText="0"/>
    </xf>
    <xf borderId="28" fillId="0" fontId="2" numFmtId="0" xfId="0" applyAlignment="1" applyBorder="1" applyFont="1">
      <alignment horizontal="center" readingOrder="0" shrinkToFit="0" vertical="center" wrapText="0"/>
    </xf>
    <xf borderId="1" fillId="0" fontId="2" numFmtId="0" xfId="0" applyAlignment="1" applyBorder="1" applyFont="1">
      <alignment horizontal="center" readingOrder="0" shrinkToFit="0" vertical="center" wrapText="0"/>
    </xf>
    <xf borderId="29" fillId="0" fontId="10" numFmtId="0" xfId="0" applyAlignment="1" applyBorder="1" applyFont="1">
      <alignment horizontal="center" readingOrder="0" shrinkToFit="0" vertical="center" wrapText="0"/>
    </xf>
    <xf borderId="30" fillId="0" fontId="2" numFmtId="0" xfId="0" applyAlignment="1" applyBorder="1" applyFont="1">
      <alignment horizontal="center" readingOrder="0" shrinkToFit="0" vertical="center" wrapText="0"/>
    </xf>
    <xf borderId="31" fillId="0" fontId="2" numFmtId="0" xfId="0" applyAlignment="1" applyBorder="1" applyFont="1">
      <alignment horizontal="center" readingOrder="0" shrinkToFit="0" vertical="center" wrapText="0"/>
    </xf>
    <xf borderId="32" fillId="0" fontId="10" numFmtId="0" xfId="0" applyAlignment="1" applyBorder="1" applyFont="1">
      <alignment horizontal="center" shrinkToFit="0" vertical="center" wrapText="0"/>
    </xf>
    <xf borderId="32" fillId="0" fontId="10" numFmtId="0" xfId="0" applyAlignment="1" applyBorder="1" applyFont="1">
      <alignment horizontal="center" readingOrder="0" shrinkToFit="0" vertical="center" wrapText="0"/>
    </xf>
    <xf borderId="0" fillId="0" fontId="2" numFmtId="0" xfId="0" applyAlignment="1" applyFont="1">
      <alignment horizontal="center"/>
    </xf>
    <xf borderId="1" fillId="0" fontId="11" numFmtId="0" xfId="0" applyAlignment="1" applyBorder="1" applyFont="1">
      <alignment horizontal="center"/>
    </xf>
    <xf borderId="25" fillId="0" fontId="9" numFmtId="0" xfId="0" applyAlignment="1" applyBorder="1" applyFont="1">
      <alignment horizontal="center" readingOrder="0" shrinkToFit="0" vertical="center" wrapText="0"/>
    </xf>
    <xf borderId="33" fillId="4" fontId="9" numFmtId="0" xfId="0" applyAlignment="1" applyBorder="1" applyFill="1" applyFont="1">
      <alignment horizontal="center" readingOrder="0" shrinkToFit="0" vertical="center" wrapText="0"/>
    </xf>
    <xf borderId="34" fillId="4" fontId="9" numFmtId="0" xfId="0" applyAlignment="1" applyBorder="1" applyFont="1">
      <alignment horizontal="center" readingOrder="0" shrinkToFit="0" vertical="center" wrapText="0"/>
    </xf>
    <xf borderId="28" fillId="0" fontId="10" numFmtId="0" xfId="0" applyAlignment="1" applyBorder="1" applyFont="1">
      <alignment horizontal="center" readingOrder="0" shrinkToFit="0" vertical="center" wrapText="0"/>
    </xf>
    <xf borderId="29" fillId="0" fontId="2" numFmtId="165" xfId="0" applyAlignment="1" applyBorder="1" applyFont="1" applyNumberFormat="1">
      <alignment horizontal="center" shrinkToFit="0" vertical="center" wrapText="0"/>
    </xf>
    <xf borderId="30" fillId="0" fontId="10" numFmtId="0" xfId="0" applyAlignment="1" applyBorder="1" applyFont="1">
      <alignment horizontal="center" readingOrder="0" shrinkToFit="0" vertical="center" wrapText="0"/>
    </xf>
    <xf borderId="35" fillId="5" fontId="2" numFmtId="165" xfId="0" applyAlignment="1" applyBorder="1" applyFill="1" applyFont="1" applyNumberFormat="1">
      <alignment horizontal="center" readingOrder="0" shrinkToFit="0" vertical="center" wrapText="0"/>
    </xf>
    <xf borderId="36" fillId="0" fontId="2" numFmtId="0" xfId="0" applyAlignment="1" applyBorder="1" applyFont="1">
      <alignment horizontal="center" readingOrder="0" shrinkToFit="0" vertical="center" wrapText="0"/>
    </xf>
    <xf borderId="35" fillId="0" fontId="2" numFmtId="165" xfId="0" applyAlignment="1" applyBorder="1" applyFont="1" applyNumberFormat="1">
      <alignment horizontal="center" readingOrder="0" shrinkToFit="0" vertical="center" wrapText="0"/>
    </xf>
    <xf borderId="37" fillId="0" fontId="2" numFmtId="0" xfId="0" applyAlignment="1" applyBorder="1" applyFont="1">
      <alignment horizontal="center" readingOrder="0" shrinkToFit="0" vertical="center" wrapText="0"/>
    </xf>
    <xf borderId="35" fillId="0" fontId="2" numFmtId="165" xfId="0" applyAlignment="1" applyBorder="1" applyFont="1" applyNumberFormat="1">
      <alignment horizontal="center" shrinkToFit="0" vertical="center" wrapText="0"/>
    </xf>
    <xf borderId="29" fillId="0" fontId="2" numFmtId="165" xfId="0" applyAlignment="1" applyBorder="1" applyFont="1" applyNumberFormat="1">
      <alignment horizontal="center" readingOrder="0" shrinkToFit="0" vertical="center" wrapText="0"/>
    </xf>
    <xf borderId="0" fillId="0" fontId="2" numFmtId="0" xfId="0" applyAlignment="1" applyFont="1">
      <alignment horizontal="center" readingOrder="0"/>
    </xf>
    <xf borderId="38" fillId="0" fontId="10" numFmtId="0" xfId="0" applyAlignment="1" applyBorder="1" applyFont="1">
      <alignment horizontal="center" readingOrder="0" shrinkToFit="0" vertical="center" wrapText="0"/>
    </xf>
    <xf borderId="39" fillId="0" fontId="2" numFmtId="0" xfId="0" applyAlignment="1" applyBorder="1" applyFont="1">
      <alignment horizontal="center" readingOrder="0" shrinkToFit="0" vertical="center" wrapText="0"/>
    </xf>
    <xf borderId="40" fillId="0" fontId="2" numFmtId="165" xfId="0" applyAlignment="1" applyBorder="1" applyFont="1" applyNumberFormat="1">
      <alignment horizontal="center" shrinkToFit="0" vertical="center" wrapText="0"/>
    </xf>
    <xf borderId="38" fillId="0" fontId="2" numFmtId="0" xfId="0" applyAlignment="1" applyBorder="1" applyFont="1">
      <alignment horizontal="center" readingOrder="0" shrinkToFit="0" vertical="center" wrapText="0"/>
    </xf>
    <xf borderId="41" fillId="0" fontId="2" numFmtId="0" xfId="0" applyAlignment="1" applyBorder="1" applyFont="1">
      <alignment horizontal="center" readingOrder="0" shrinkToFit="0" vertical="center" wrapText="0"/>
    </xf>
    <xf borderId="42" fillId="0" fontId="10" numFmtId="0" xfId="0" applyAlignment="1" applyBorder="1" applyFont="1">
      <alignment horizontal="center" readingOrder="0" shrinkToFit="0" vertical="center" wrapText="0"/>
    </xf>
    <xf borderId="0" fillId="0" fontId="2" numFmtId="49" xfId="0" applyAlignment="1" applyFont="1" applyNumberFormat="1">
      <alignment readingOrder="0"/>
    </xf>
    <xf borderId="25" fillId="0" fontId="9" numFmtId="0" xfId="0" applyAlignment="1" applyBorder="1" applyFont="1">
      <alignment horizontal="left" readingOrder="0" shrinkToFit="0" vertical="center" wrapText="0"/>
    </xf>
    <xf borderId="26" fillId="0" fontId="9" numFmtId="49" xfId="0" applyAlignment="1" applyBorder="1" applyFont="1" applyNumberFormat="1">
      <alignment horizontal="left" readingOrder="0" shrinkToFit="0" vertical="center" wrapText="0"/>
    </xf>
    <xf borderId="26" fillId="0" fontId="9" numFmtId="0" xfId="0" applyAlignment="1" applyBorder="1" applyFont="1">
      <alignment horizontal="left" readingOrder="0" shrinkToFit="0" vertical="center" wrapText="0"/>
    </xf>
    <xf borderId="27" fillId="0" fontId="9" numFmtId="0" xfId="0" applyAlignment="1" applyBorder="1" applyFont="1">
      <alignment horizontal="left" readingOrder="0" shrinkToFit="0" vertical="center" wrapText="0"/>
    </xf>
    <xf borderId="28" fillId="0" fontId="2" numFmtId="0" xfId="0" applyAlignment="1" applyBorder="1" applyFont="1">
      <alignment readingOrder="0" shrinkToFit="0" vertical="center" wrapText="0"/>
    </xf>
    <xf borderId="1" fillId="0" fontId="2" numFmtId="0" xfId="0" applyAlignment="1" applyBorder="1" applyFont="1">
      <alignment readingOrder="0" shrinkToFit="0" vertical="center" wrapText="0"/>
    </xf>
    <xf borderId="29" fillId="0" fontId="2" numFmtId="0" xfId="0" applyAlignment="1" applyBorder="1" applyFont="1">
      <alignment readingOrder="0" shrinkToFit="0" vertical="center" wrapText="0"/>
    </xf>
    <xf borderId="30" fillId="0" fontId="2" numFmtId="0" xfId="0" applyAlignment="1" applyBorder="1" applyFont="1">
      <alignment readingOrder="0" shrinkToFit="0" vertical="center" wrapText="0"/>
    </xf>
    <xf borderId="31" fillId="0" fontId="2" numFmtId="0" xfId="0" applyAlignment="1" applyBorder="1" applyFont="1">
      <alignment readingOrder="0" shrinkToFit="0" vertical="center" wrapText="0"/>
    </xf>
    <xf borderId="35" fillId="0" fontId="2" numFmtId="0" xfId="0" applyAlignment="1" applyBorder="1" applyFont="1">
      <alignment readingOrder="0" shrinkToFit="0" vertical="center" wrapText="0"/>
    </xf>
    <xf borderId="29" fillId="0" fontId="2" numFmtId="0" xfId="0" applyAlignment="1" applyBorder="1" applyFont="1">
      <alignment shrinkToFit="0" vertical="center" wrapText="0"/>
    </xf>
    <xf borderId="35" fillId="0" fontId="2" numFmtId="0" xfId="0" applyAlignment="1" applyBorder="1" applyFont="1">
      <alignment shrinkToFit="0" vertical="center" wrapText="0"/>
    </xf>
    <xf borderId="1" fillId="0" fontId="2" numFmtId="0" xfId="0" applyAlignment="1" applyBorder="1" applyFont="1">
      <alignment shrinkToFit="0" vertical="center" wrapText="0"/>
    </xf>
    <xf borderId="43" fillId="0" fontId="2" numFmtId="0" xfId="0" applyAlignment="1" applyBorder="1" applyFont="1">
      <alignment shrinkToFit="0" vertical="center" wrapText="0"/>
    </xf>
    <xf borderId="38" fillId="0" fontId="2" numFmtId="0" xfId="0" applyAlignment="1" applyBorder="1" applyFont="1">
      <alignment readingOrder="0" shrinkToFit="0" vertical="center" wrapText="0"/>
    </xf>
    <xf borderId="41" fillId="0" fontId="2" numFmtId="0" xfId="0" applyAlignment="1" applyBorder="1" applyFont="1">
      <alignment readingOrder="0" shrinkToFit="0" vertical="center" wrapText="0"/>
    </xf>
    <xf borderId="40" fillId="0" fontId="2" numFmtId="0" xfId="0" applyAlignment="1" applyBorder="1" applyFont="1">
      <alignment shrinkToFit="0" vertical="center" wrapText="0"/>
    </xf>
    <xf borderId="0" fillId="0" fontId="2" numFmtId="0" xfId="0" applyAlignment="1" applyFont="1">
      <alignment readingOrder="0"/>
    </xf>
    <xf borderId="1" fillId="0" fontId="2" numFmtId="0" xfId="0" applyAlignment="1" applyBorder="1" applyFont="1">
      <alignment horizontal="center" shrinkToFit="0" vertical="center" wrapText="0"/>
    </xf>
    <xf borderId="31" fillId="0" fontId="2" numFmtId="0" xfId="0" applyAlignment="1" applyBorder="1" applyFont="1">
      <alignment horizontal="center" shrinkToFit="0" vertical="center" wrapText="0"/>
    </xf>
    <xf borderId="32" fillId="0" fontId="2" numFmtId="0" xfId="0" applyAlignment="1" applyBorder="1" applyFont="1">
      <alignment readingOrder="0" shrinkToFit="0" vertical="center" wrapText="0"/>
    </xf>
    <xf borderId="31" fillId="0" fontId="2" numFmtId="0" xfId="0" applyAlignment="1" applyBorder="1" applyFont="1">
      <alignment shrinkToFit="0" vertical="center" wrapText="0"/>
    </xf>
    <xf borderId="32" fillId="0" fontId="2" numFmtId="0" xfId="0" applyAlignment="1" applyBorder="1" applyFont="1">
      <alignment shrinkToFit="0" vertical="center" wrapText="0"/>
    </xf>
    <xf borderId="41" fillId="0" fontId="2" numFmtId="0" xfId="0" applyAlignment="1" applyBorder="1" applyFont="1">
      <alignment shrinkToFit="0" vertical="center" wrapText="0"/>
    </xf>
    <xf borderId="41" fillId="0" fontId="2" numFmtId="0" xfId="0" applyAlignment="1" applyBorder="1" applyFont="1">
      <alignment horizontal="center" shrinkToFit="0" vertical="center" wrapText="0"/>
    </xf>
    <xf borderId="42" fillId="0" fontId="2" numFmtId="0" xfId="0" applyAlignment="1" applyBorder="1" applyFont="1">
      <alignment shrinkToFit="0" vertical="center" wrapText="0"/>
    </xf>
    <xf borderId="4" fillId="0" fontId="1" numFmtId="0" xfId="0" applyAlignment="1" applyBorder="1" applyFont="1">
      <alignment readingOrder="0"/>
    </xf>
    <xf borderId="15" fillId="0" fontId="2" numFmtId="0" xfId="0" applyBorder="1" applyFont="1"/>
    <xf borderId="11" fillId="0" fontId="1" numFmtId="0" xfId="0" applyAlignment="1" applyBorder="1" applyFont="1">
      <alignment readingOrder="0"/>
    </xf>
    <xf borderId="1" fillId="2" fontId="3" numFmtId="0" xfId="0" applyAlignment="1" applyBorder="1" applyFont="1">
      <alignment readingOrder="0"/>
    </xf>
    <xf borderId="1" fillId="2" fontId="3" numFmtId="0" xfId="0" applyBorder="1" applyFont="1"/>
    <xf borderId="1" fillId="2" fontId="1" numFmtId="0" xfId="0" applyAlignment="1" applyBorder="1" applyFont="1">
      <alignment readingOrder="0"/>
    </xf>
    <xf borderId="1" fillId="2" fontId="4" numFmtId="0" xfId="0" applyAlignment="1" applyBorder="1" applyFont="1">
      <alignment horizontal="center" readingOrder="0"/>
    </xf>
    <xf borderId="1" fillId="2" fontId="2" numFmtId="0" xfId="0" applyAlignment="1" applyBorder="1" applyFont="1">
      <alignment horizontal="center" readingOrder="0"/>
    </xf>
    <xf borderId="4" fillId="2" fontId="2" numFmtId="0" xfId="0" applyAlignment="1" applyBorder="1" applyFont="1">
      <alignment horizontal="center" readingOrder="0"/>
    </xf>
    <xf borderId="44" fillId="2" fontId="1" numFmtId="0" xfId="0" applyAlignment="1" applyBorder="1" applyFont="1">
      <alignment readingOrder="0"/>
    </xf>
    <xf borderId="45" fillId="2" fontId="1" numFmtId="0" xfId="0" applyAlignment="1" applyBorder="1" applyFont="1">
      <alignment readingOrder="0"/>
    </xf>
    <xf borderId="46" fillId="2" fontId="2" numFmtId="0" xfId="0" applyBorder="1" applyFont="1"/>
    <xf borderId="47" fillId="2" fontId="1" numFmtId="0" xfId="0" applyAlignment="1" applyBorder="1" applyFont="1">
      <alignment readingOrder="0"/>
    </xf>
    <xf borderId="3" fillId="2" fontId="2" numFmtId="0" xfId="0" applyBorder="1" applyFont="1"/>
    <xf borderId="48" fillId="2" fontId="3" numFmtId="0" xfId="0" applyAlignment="1" applyBorder="1" applyFont="1">
      <alignment readingOrder="0"/>
    </xf>
    <xf borderId="1" fillId="2" fontId="3" numFmtId="0" xfId="0" applyAlignment="1" applyBorder="1" applyFont="1">
      <alignment readingOrder="0"/>
    </xf>
    <xf borderId="49" fillId="2" fontId="3" numFmtId="0" xfId="0" applyAlignment="1" applyBorder="1" applyFont="1">
      <alignment readingOrder="0"/>
    </xf>
    <xf borderId="49" fillId="2" fontId="2" numFmtId="0" xfId="0" applyBorder="1" applyFont="1"/>
    <xf borderId="49" fillId="2" fontId="1" numFmtId="0" xfId="0" applyAlignment="1" applyBorder="1" applyFont="1">
      <alignment readingOrder="0"/>
    </xf>
    <xf borderId="49" fillId="2" fontId="12" numFmtId="0" xfId="0" applyAlignment="1" applyBorder="1" applyFont="1">
      <alignment readingOrder="0"/>
    </xf>
    <xf borderId="1" fillId="2" fontId="2" numFmtId="0" xfId="0" applyAlignment="1" applyBorder="1" applyFont="1">
      <alignment readingOrder="0"/>
    </xf>
    <xf borderId="49" fillId="2" fontId="3" numFmtId="0" xfId="0" applyAlignment="1" applyBorder="1" applyFont="1">
      <alignment readingOrder="0"/>
    </xf>
    <xf borderId="49" fillId="2" fontId="2" numFmtId="0" xfId="0" applyAlignment="1" applyBorder="1" applyFont="1">
      <alignment readingOrder="0"/>
    </xf>
    <xf borderId="50" fillId="2" fontId="3" numFmtId="0" xfId="0" applyAlignment="1" applyBorder="1" applyFont="1">
      <alignment readingOrder="0"/>
    </xf>
    <xf borderId="51" fillId="2" fontId="3" numFmtId="0" xfId="0" applyAlignment="1" applyBorder="1" applyFont="1">
      <alignment readingOrder="0"/>
    </xf>
    <xf borderId="51" fillId="2" fontId="2" numFmtId="0" xfId="0" applyBorder="1" applyFont="1"/>
    <xf borderId="52" fillId="2" fontId="2" numFmtId="0" xfId="0" applyAlignment="1" applyBorder="1" applyFont="1">
      <alignment readingOrder="0"/>
    </xf>
    <xf borderId="10" fillId="2" fontId="3" numFmtId="0" xfId="0" applyAlignment="1" applyBorder="1" applyFont="1">
      <alignment readingOrder="0"/>
    </xf>
    <xf borderId="12" fillId="2" fontId="3" numFmtId="0" xfId="0" applyAlignment="1" applyBorder="1" applyFont="1">
      <alignment readingOrder="0"/>
    </xf>
    <xf borderId="4" fillId="2" fontId="1" numFmtId="0" xfId="0" applyAlignment="1" applyBorder="1" applyFont="1">
      <alignment readingOrder="0"/>
    </xf>
    <xf borderId="1" fillId="2" fontId="13" numFmtId="0" xfId="0" applyAlignment="1" applyBorder="1" applyFont="1">
      <alignment readingOrder="0"/>
    </xf>
    <xf borderId="0" fillId="0" fontId="2" numFmtId="0" xfId="0" applyFont="1"/>
    <xf borderId="0" fillId="0" fontId="2" numFmtId="166" xfId="0" applyAlignment="1" applyFont="1" applyNumberFormat="1">
      <alignment readingOrder="0"/>
    </xf>
    <xf borderId="0" fillId="0" fontId="2" numFmtId="166" xfId="0" applyFont="1" applyNumberFormat="1"/>
  </cellXfs>
  <cellStyles count="1">
    <cellStyle xfId="0" name="Normal" builtinId="0"/>
  </cellStyles>
  <dxfs count="11">
    <dxf>
      <font/>
      <fill>
        <patternFill patternType="none"/>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FFFFFF"/>
          <bgColor rgb="FFFFFFFF"/>
        </patternFill>
      </fill>
      <border/>
    </dxf>
    <dxf>
      <font/>
      <fill>
        <patternFill patternType="solid">
          <fgColor rgb="FF57BB8A"/>
          <bgColor rgb="FF57BB8A"/>
        </patternFill>
      </fill>
      <border/>
    </dxf>
    <dxf>
      <font/>
      <fill>
        <patternFill patternType="none"/>
      </fill>
      <border/>
    </dxf>
    <dxf>
      <font/>
      <fill>
        <patternFill patternType="solid">
          <fgColor rgb="FFF7F7F7"/>
          <bgColor rgb="FFF7F7F7"/>
        </patternFill>
      </fill>
      <border/>
    </dxf>
    <dxf>
      <font/>
      <fill>
        <patternFill patternType="solid">
          <fgColor rgb="FFB7E1CD"/>
          <bgColor rgb="FFB7E1CD"/>
        </patternFill>
      </fill>
      <border/>
    </dxf>
    <dxf>
      <font/>
      <fill>
        <patternFill patternType="solid">
          <fgColor rgb="FF8DDCFF"/>
          <bgColor rgb="FF8DDCFF"/>
        </patternFill>
      </fill>
      <border/>
    </dxf>
    <dxf>
      <font/>
      <fill>
        <patternFill patternType="solid">
          <fgColor rgb="FF8DDCFF"/>
          <bgColor rgb="FF8DDCFF"/>
        </patternFill>
      </fill>
      <border/>
    </dxf>
    <dxf>
      <font/>
      <fill>
        <patternFill patternType="solid">
          <fgColor rgb="FF34A853"/>
          <bgColor rgb="FF34A853"/>
        </patternFill>
      </fill>
      <border/>
    </dxf>
  </dxfs>
  <tableStyles count="10">
    <tableStyle count="2" pivot="0" name="Rules-style">
      <tableStyleElement dxfId="1" type="firstRowStripe"/>
      <tableStyleElement dxfId="2" type="secondRowStripe"/>
    </tableStyle>
    <tableStyle count="2" pivot="0" name="Rules-style 2">
      <tableStyleElement dxfId="1" type="firstRowStripe"/>
      <tableStyleElement dxfId="2" type="secondRowStripe"/>
    </tableStyle>
    <tableStyle count="2" pivot="0" name="Rules-style 3">
      <tableStyleElement dxfId="1" type="firstRowStripe"/>
      <tableStyleElement dxfId="2" type="secondRowStripe"/>
    </tableStyle>
    <tableStyle count="3" pivot="0" name="Summary-style">
      <tableStyleElement dxfId="9" type="headerRow"/>
      <tableStyleElement dxfId="1" type="firstRowStripe"/>
      <tableStyleElement dxfId="2" type="secondRowStripe"/>
    </tableStyle>
    <tableStyle count="3" pivot="0" name="Summary-style 2">
      <tableStyleElement dxfId="9" type="headerRow"/>
      <tableStyleElement dxfId="1" type="firstRowStripe"/>
      <tableStyleElement dxfId="2" type="secondRowStripe"/>
    </tableStyle>
    <tableStyle count="3" pivot="0" name="Wins by Team-style">
      <tableStyleElement dxfId="9" type="headerRow"/>
      <tableStyleElement dxfId="1" type="firstRowStripe"/>
      <tableStyleElement dxfId="2" type="secondRowStripe"/>
    </tableStyle>
    <tableStyle count="3" pivot="0" name="Stats by Team by Week-style">
      <tableStyleElement dxfId="9" type="headerRow"/>
      <tableStyleElement dxfId="1" type="firstRowStripe"/>
      <tableStyleElement dxfId="2" type="secondRowStripe"/>
    </tableStyle>
    <tableStyle count="2" pivot="0" name="Commissioner Instructions-style">
      <tableStyleElement dxfId="1" type="firstRowStripe"/>
      <tableStyleElement dxfId="2" type="secondRowStripe"/>
    </tableStyle>
    <tableStyle count="2" pivot="0" name="Commissioner Instructions-style 2">
      <tableStyleElement dxfId="1" type="firstRowStripe"/>
      <tableStyleElement dxfId="2" type="secondRowStripe"/>
    </tableStyle>
    <tableStyle count="2" pivot="0" name="Commissioner Instructions-style 3">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781050</xdr:colOff>
      <xdr:row>1</xdr:row>
      <xdr:rowOff>38100</xdr:rowOff>
    </xdr:from>
    <xdr:ext cx="2076450" cy="19812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6:A15" displayName="Table_1" name="Table_1" id="1">
  <tableColumns count="1">
    <tableColumn name="Column1" id="1"/>
  </tableColumns>
  <tableStyleInfo name="Rules-style" showColumnStripes="0" showFirstColumn="1" showLastColumn="1" showRowStripes="1"/>
</table>
</file>

<file path=xl/tables/table10.xml><?xml version="1.0" encoding="utf-8"?>
<table xmlns="http://schemas.openxmlformats.org/spreadsheetml/2006/main" headerRowCount="0" ref="D25:D30" displayName="Table_6" name="Table_6" id="10">
  <tableColumns count="1">
    <tableColumn name="Column1" id="1"/>
  </tableColumns>
  <tableStyleInfo name="Commissioner Instructions-style 3" showColumnStripes="0" showFirstColumn="1" showLastColumn="1" showRowStripes="1"/>
</table>
</file>

<file path=xl/tables/table2.xml><?xml version="1.0" encoding="utf-8"?>
<table xmlns="http://schemas.openxmlformats.org/spreadsheetml/2006/main" headerRowCount="0" ref="A23:B40" displayName="Table_2" name="Table_2" id="2">
  <tableColumns count="2">
    <tableColumn name="Column1" id="1"/>
    <tableColumn name="Column2" id="2"/>
  </tableColumns>
  <tableStyleInfo name="Rules-style 2" showColumnStripes="0" showFirstColumn="1" showLastColumn="1" showRowStripes="1"/>
</table>
</file>

<file path=xl/tables/table3.xml><?xml version="1.0" encoding="utf-8"?>
<table xmlns="http://schemas.openxmlformats.org/spreadsheetml/2006/main" headerRowCount="0" ref="D23:D28" displayName="Table_3" name="Table_3" id="3">
  <tableColumns count="1">
    <tableColumn name="Column1" id="1"/>
  </tableColumns>
  <tableStyleInfo name="Rules-style 3" showColumnStripes="0" showFirstColumn="1" showLastColumn="1" showRowStripes="1"/>
</table>
</file>

<file path=xl/tables/table4.xml><?xml version="1.0" encoding="utf-8"?>
<table xmlns="http://schemas.openxmlformats.org/spreadsheetml/2006/main" ref="E2:G20" displayName="Weekly_Winners" name="Weekly_Winners" id="4">
  <tableColumns count="3">
    <tableColumn name="Week" id="1"/>
    <tableColumn name="Stat" id="2"/>
    <tableColumn name="(Anticipated) Winner(s)" id="3"/>
  </tableColumns>
  <tableStyleInfo name="Summary-style" showColumnStripes="0" showFirstColumn="1" showLastColumn="1" showRowStripes="1"/>
</table>
</file>

<file path=xl/tables/table5.xml><?xml version="1.0" encoding="utf-8"?>
<table xmlns="http://schemas.openxmlformats.org/spreadsheetml/2006/main" ref="A10:C20" displayName="Summary" name="Summary" id="5">
  <tableColumns count="3">
    <tableColumn name="Owners" id="1"/>
    <tableColumn name="Accumulated _x000a_Wins" id="2"/>
    <tableColumn name="(Anticipated) _x000a_Earnings" id="3"/>
  </tableColumns>
  <tableStyleInfo name="Summary-style 2" showColumnStripes="0" showFirstColumn="1" showLastColumn="1" showRowStripes="1"/>
</table>
</file>

<file path=xl/tables/table6.xml><?xml version="1.0" encoding="utf-8"?>
<table xmlns="http://schemas.openxmlformats.org/spreadsheetml/2006/main" ref="A1:D33" displayName="Wins_by_Team" name="Wins_by_Team" id="6">
  <tableColumns count="4">
    <tableColumn name="Team API" id="1"/>
    <tableColumn name="Team" id="2"/>
    <tableColumn name="Owner" id="3"/>
    <tableColumn name="Wins" id="4"/>
  </tableColumns>
  <tableStyleInfo name="Wins by Team-style" showColumnStripes="0" showFirstColumn="1" showLastColumn="1" showRowStripes="1"/>
</table>
</file>

<file path=xl/tables/table7.xml><?xml version="1.0" encoding="utf-8"?>
<table xmlns="http://schemas.openxmlformats.org/spreadsheetml/2006/main" ref="A1:AN33" displayName="Stats_by_Week" name="Stats_by_Week" id="7">
  <tableColumns count="40">
    <tableColumn name="Team API" id="1"/>
    <tableColumn name="Team" id="2"/>
    <tableColumn name="Owner" id="3"/>
    <tableColumn name="Week1 Helper" id="4"/>
    <tableColumn name="Week1" id="5"/>
    <tableColumn name="Column 23" id="6"/>
    <tableColumn name="Week2" id="7"/>
    <tableColumn name="Column 24" id="8"/>
    <tableColumn name="Week3" id="9"/>
    <tableColumn name="Column 25" id="10"/>
    <tableColumn name="Week4" id="11"/>
    <tableColumn name="Column 26" id="12"/>
    <tableColumn name="Week5" id="13"/>
    <tableColumn name="Column 27" id="14"/>
    <tableColumn name="Week6" id="15"/>
    <tableColumn name="Column 28" id="16"/>
    <tableColumn name="Week7" id="17"/>
    <tableColumn name="Column 29" id="18"/>
    <tableColumn name="Week8" id="19"/>
    <tableColumn name="Column 30" id="20"/>
    <tableColumn name="Week9" id="21"/>
    <tableColumn name="Column 31" id="22"/>
    <tableColumn name="Week10" id="23"/>
    <tableColumn name="Column 32" id="24"/>
    <tableColumn name="Week11" id="25"/>
    <tableColumn name="Column 33" id="26"/>
    <tableColumn name="Week12" id="27"/>
    <tableColumn name="Column 34" id="28"/>
    <tableColumn name="Week13" id="29"/>
    <tableColumn name="Column 35" id="30"/>
    <tableColumn name="Week14" id="31"/>
    <tableColumn name="Column 36" id="32"/>
    <tableColumn name="Week15" id="33"/>
    <tableColumn name="Column 37" id="34"/>
    <tableColumn name="Week16" id="35"/>
    <tableColumn name="Column 38" id="36"/>
    <tableColumn name="Week17" id="37"/>
    <tableColumn name="Column 39" id="38"/>
    <tableColumn name="Week18" id="39"/>
    <tableColumn name="Owner2" id="40"/>
  </tableColumns>
  <tableStyleInfo name="Stats by Team by Week-style" showColumnStripes="0" showFirstColumn="1" showLastColumn="1" showRowStripes="1"/>
</table>
</file>

<file path=xl/tables/table8.xml><?xml version="1.0" encoding="utf-8"?>
<table xmlns="http://schemas.openxmlformats.org/spreadsheetml/2006/main" headerRowCount="0" ref="A6:B18" displayName="Table_4" name="Table_4" id="8">
  <tableColumns count="2">
    <tableColumn name="Column1" id="1"/>
    <tableColumn name="Column2" id="2"/>
  </tableColumns>
  <tableStyleInfo name="Commissioner Instructions-style" showColumnStripes="0" showFirstColumn="1" showLastColumn="1" showRowStripes="1"/>
</table>
</file>

<file path=xl/tables/table9.xml><?xml version="1.0" encoding="utf-8"?>
<table xmlns="http://schemas.openxmlformats.org/spreadsheetml/2006/main" headerRowCount="0" ref="A25:B42" displayName="Table_5" name="Table_5" id="9">
  <tableColumns count="2">
    <tableColumn name="Column1" id="1"/>
    <tableColumn name="Column2" id="2"/>
  </tableColumns>
  <tableStyleInfo name="Commissioner Instructions-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sagarsuri89/Weekly_NFL_Pool/blob/main/main.py" TargetMode="External"/><Relationship Id="rId2" Type="http://schemas.openxmlformats.org/officeDocument/2006/relationships/drawing" Target="../drawings/drawing1.xml"/><Relationship Id="rId6" Type="http://schemas.openxmlformats.org/officeDocument/2006/relationships/table" Target="../tables/table1.xml"/><Relationship Id="rId7" Type="http://schemas.openxmlformats.org/officeDocument/2006/relationships/table" Target="../tables/table2.xml"/><Relationship Id="rId8" Type="http://schemas.openxmlformats.org/officeDocument/2006/relationships/table" Target="../tables/table3.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4" Type="http://schemas.openxmlformats.org/officeDocument/2006/relationships/table" Target="../tables/table4.xml"/><Relationship Id="rId5" Type="http://schemas.openxmlformats.org/officeDocument/2006/relationships/table" Target="../tables/table5.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5" Type="http://schemas.openxmlformats.org/officeDocument/2006/relationships/table" Target="../tables/table8.xml"/><Relationship Id="rId6" Type="http://schemas.openxmlformats.org/officeDocument/2006/relationships/table" Target="../tables/table9.xml"/><Relationship Id="rId7" Type="http://schemas.openxmlformats.org/officeDocument/2006/relationships/table" Target="../tables/table10.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
    <col customWidth="1" min="2" max="2" width="25.38"/>
    <col customWidth="1" min="3" max="3" width="2.0"/>
    <col customWidth="1" min="4" max="4" width="28.88"/>
  </cols>
  <sheetData>
    <row r="1">
      <c r="A1" s="1" t="s">
        <v>0</v>
      </c>
      <c r="B1" s="2"/>
      <c r="C1" s="3"/>
      <c r="D1" s="4" t="s">
        <v>1</v>
      </c>
    </row>
    <row r="2">
      <c r="A2" s="5" t="s">
        <v>2</v>
      </c>
      <c r="B2" s="2"/>
      <c r="C2" s="3"/>
      <c r="D2" s="6" t="s">
        <v>3</v>
      </c>
      <c r="E2" s="3"/>
      <c r="F2" s="3"/>
      <c r="G2" s="3"/>
      <c r="H2" s="3"/>
      <c r="I2" s="3"/>
      <c r="J2" s="3"/>
      <c r="K2" s="3"/>
      <c r="L2" s="3"/>
      <c r="M2" s="3"/>
      <c r="N2" s="3"/>
      <c r="O2" s="3"/>
    </row>
    <row r="3">
      <c r="A3" s="5" t="s">
        <v>4</v>
      </c>
      <c r="B3" s="2"/>
      <c r="C3" s="3"/>
      <c r="D3" s="7"/>
      <c r="E3" s="3"/>
      <c r="F3" s="3"/>
      <c r="G3" s="3"/>
      <c r="H3" s="3"/>
      <c r="I3" s="3"/>
      <c r="J3" s="3"/>
      <c r="K3" s="3"/>
      <c r="L3" s="3"/>
      <c r="M3" s="3"/>
      <c r="N3" s="3"/>
      <c r="O3" s="3"/>
    </row>
    <row r="4">
      <c r="A4" s="8" t="s">
        <v>5</v>
      </c>
      <c r="B4" s="2"/>
      <c r="C4" s="3"/>
      <c r="D4" s="4" t="s">
        <v>6</v>
      </c>
      <c r="E4" s="3"/>
      <c r="F4" s="3"/>
      <c r="G4" s="3"/>
      <c r="H4" s="3"/>
      <c r="I4" s="3"/>
      <c r="J4" s="3"/>
      <c r="K4" s="3"/>
      <c r="L4" s="3"/>
      <c r="M4" s="3"/>
      <c r="N4" s="3"/>
      <c r="O4" s="3"/>
    </row>
    <row r="5">
      <c r="A5" s="9"/>
      <c r="B5" s="10"/>
      <c r="C5" s="3"/>
      <c r="D5" s="6" t="s">
        <v>7</v>
      </c>
      <c r="E5" s="3"/>
      <c r="F5" s="3"/>
      <c r="G5" s="3"/>
      <c r="H5" s="3"/>
      <c r="I5" s="3"/>
      <c r="J5" s="3"/>
      <c r="K5" s="3"/>
      <c r="L5" s="3"/>
      <c r="M5" s="3"/>
      <c r="N5" s="3"/>
      <c r="O5" s="3"/>
    </row>
    <row r="6">
      <c r="A6" s="11">
        <v>46042.0</v>
      </c>
      <c r="B6" s="10"/>
      <c r="C6" s="3"/>
      <c r="D6" s="6" t="s">
        <v>8</v>
      </c>
      <c r="E6" s="3"/>
      <c r="F6" s="3"/>
      <c r="G6" s="3"/>
      <c r="H6" s="3"/>
      <c r="I6" s="3"/>
      <c r="J6" s="3"/>
      <c r="K6" s="3"/>
      <c r="L6" s="3"/>
      <c r="M6" s="3"/>
      <c r="N6" s="3"/>
      <c r="O6" s="3"/>
    </row>
    <row r="7">
      <c r="A7" s="12">
        <v>47165.0</v>
      </c>
      <c r="B7" s="10"/>
      <c r="C7" s="3"/>
      <c r="D7" s="6" t="s">
        <v>9</v>
      </c>
      <c r="E7" s="3"/>
      <c r="F7" s="3"/>
      <c r="G7" s="3"/>
      <c r="H7" s="3"/>
      <c r="I7" s="3"/>
      <c r="J7" s="3"/>
      <c r="K7" s="3"/>
      <c r="L7" s="3"/>
      <c r="M7" s="3"/>
      <c r="N7" s="3"/>
      <c r="O7" s="3"/>
    </row>
    <row r="8">
      <c r="A8" s="12">
        <v>11030.0</v>
      </c>
      <c r="B8" s="10"/>
      <c r="C8" s="3"/>
      <c r="D8" s="13"/>
      <c r="E8" s="3"/>
      <c r="F8" s="3"/>
      <c r="G8" s="3"/>
      <c r="H8" s="3"/>
      <c r="I8" s="3"/>
      <c r="J8" s="3"/>
      <c r="K8" s="3"/>
      <c r="L8" s="3"/>
      <c r="M8" s="3"/>
      <c r="N8" s="3"/>
      <c r="O8" s="3"/>
    </row>
    <row r="9">
      <c r="A9" s="12">
        <v>45765.0</v>
      </c>
      <c r="B9" s="10"/>
      <c r="C9" s="3"/>
      <c r="D9" s="4" t="s">
        <v>10</v>
      </c>
      <c r="E9" s="3"/>
      <c r="F9" s="3"/>
      <c r="G9" s="3"/>
      <c r="H9" s="3"/>
      <c r="I9" s="3"/>
      <c r="J9" s="3"/>
      <c r="K9" s="3"/>
      <c r="L9" s="3"/>
      <c r="M9" s="3"/>
      <c r="N9" s="3"/>
      <c r="O9" s="3"/>
    </row>
    <row r="10">
      <c r="A10" s="12">
        <v>46522.0</v>
      </c>
      <c r="B10" s="10"/>
      <c r="C10" s="3"/>
      <c r="D10" s="14" t="s">
        <v>11</v>
      </c>
      <c r="E10" s="3"/>
      <c r="F10" s="3"/>
      <c r="G10" s="3"/>
      <c r="H10" s="3"/>
      <c r="I10" s="3"/>
      <c r="J10" s="3"/>
      <c r="K10" s="3"/>
      <c r="L10" s="3"/>
      <c r="M10" s="3"/>
      <c r="N10" s="3"/>
      <c r="O10" s="3"/>
    </row>
    <row r="11">
      <c r="A11" s="12">
        <v>44731.0</v>
      </c>
      <c r="B11" s="10"/>
      <c r="C11" s="3"/>
      <c r="D11" s="14" t="s">
        <v>12</v>
      </c>
      <c r="E11" s="3"/>
      <c r="F11" s="3"/>
      <c r="G11" s="3"/>
      <c r="H11" s="3"/>
      <c r="I11" s="3"/>
      <c r="J11" s="3"/>
      <c r="K11" s="3"/>
      <c r="L11" s="3"/>
      <c r="M11" s="3"/>
      <c r="N11" s="3"/>
      <c r="O11" s="3"/>
    </row>
    <row r="12">
      <c r="A12" s="12">
        <v>46945.0</v>
      </c>
      <c r="B12" s="10"/>
      <c r="C12" s="3"/>
      <c r="D12" s="14" t="s">
        <v>13</v>
      </c>
      <c r="E12" s="3"/>
      <c r="F12" s="3"/>
      <c r="G12" s="3"/>
      <c r="H12" s="3"/>
      <c r="I12" s="3"/>
      <c r="J12" s="3"/>
      <c r="K12" s="3"/>
      <c r="L12" s="3"/>
      <c r="M12" s="3"/>
      <c r="N12" s="3"/>
      <c r="O12" s="3"/>
    </row>
    <row r="13">
      <c r="A13" s="12">
        <v>44425.0</v>
      </c>
      <c r="B13" s="10"/>
      <c r="C13" s="3"/>
      <c r="D13" s="14" t="s">
        <v>14</v>
      </c>
      <c r="E13" s="3"/>
      <c r="F13" s="3"/>
      <c r="G13" s="3"/>
      <c r="H13" s="3"/>
      <c r="I13" s="3"/>
      <c r="J13" s="3"/>
      <c r="K13" s="3"/>
      <c r="L13" s="3"/>
      <c r="M13" s="3"/>
      <c r="N13" s="3"/>
      <c r="O13" s="3"/>
    </row>
    <row r="14">
      <c r="A14" s="12">
        <v>45183.0</v>
      </c>
      <c r="B14" s="10"/>
      <c r="C14" s="3"/>
      <c r="E14" s="3"/>
      <c r="F14" s="3"/>
      <c r="G14" s="3"/>
      <c r="H14" s="3"/>
      <c r="I14" s="3"/>
      <c r="J14" s="3"/>
      <c r="K14" s="3"/>
      <c r="L14" s="3"/>
      <c r="M14" s="3"/>
      <c r="N14" s="3"/>
      <c r="O14" s="3"/>
    </row>
    <row r="15">
      <c r="A15" s="15">
        <v>45577.0</v>
      </c>
      <c r="B15" s="16"/>
      <c r="C15" s="9"/>
      <c r="D15" s="4" t="s">
        <v>15</v>
      </c>
      <c r="E15" s="3"/>
      <c r="F15" s="3"/>
      <c r="G15" s="3"/>
      <c r="H15" s="3"/>
      <c r="I15" s="3"/>
      <c r="J15" s="3"/>
      <c r="K15" s="3"/>
      <c r="L15" s="3"/>
      <c r="M15" s="3"/>
      <c r="N15" s="3"/>
      <c r="O15" s="3"/>
    </row>
    <row r="16">
      <c r="A16" s="17"/>
      <c r="B16" s="18"/>
      <c r="C16" s="19"/>
      <c r="D16" s="20" t="s">
        <v>16</v>
      </c>
      <c r="E16" s="9"/>
      <c r="F16" s="9"/>
      <c r="G16" s="9"/>
      <c r="H16" s="9"/>
      <c r="I16" s="9"/>
      <c r="J16" s="9"/>
      <c r="K16" s="9"/>
      <c r="L16" s="9"/>
      <c r="M16" s="9"/>
      <c r="N16" s="9"/>
      <c r="O16" s="9"/>
    </row>
    <row r="17" ht="18.75" customHeight="1">
      <c r="A17" s="3"/>
      <c r="B17" s="3"/>
      <c r="C17" s="3"/>
      <c r="D17" s="20" t="s">
        <v>17</v>
      </c>
      <c r="E17" s="21"/>
      <c r="F17" s="21"/>
      <c r="G17" s="21"/>
      <c r="H17" s="21"/>
      <c r="I17" s="22"/>
      <c r="J17" s="19"/>
      <c r="K17" s="19"/>
      <c r="L17" s="19"/>
      <c r="M17" s="19"/>
      <c r="N17" s="19"/>
      <c r="O17" s="19"/>
    </row>
    <row r="18" ht="7.5" customHeight="1">
      <c r="A18" s="23"/>
      <c r="B18" s="24"/>
      <c r="C18" s="24"/>
      <c r="D18" s="24"/>
      <c r="E18" s="24"/>
      <c r="F18" s="24"/>
      <c r="G18" s="24"/>
      <c r="H18" s="24"/>
      <c r="I18" s="21"/>
      <c r="J18" s="21"/>
      <c r="K18" s="21"/>
      <c r="L18" s="21"/>
      <c r="M18" s="21"/>
      <c r="N18" s="21"/>
      <c r="O18" s="21"/>
    </row>
    <row r="19" ht="6.0" customHeight="1">
      <c r="A19" s="25"/>
      <c r="B19" s="26"/>
      <c r="C19" s="26"/>
      <c r="D19" s="26"/>
      <c r="E19" s="26"/>
      <c r="F19" s="26"/>
      <c r="G19" s="26"/>
      <c r="H19" s="26"/>
      <c r="I19" s="26"/>
      <c r="J19" s="26"/>
      <c r="K19" s="26"/>
      <c r="L19" s="26"/>
      <c r="M19" s="26"/>
      <c r="N19" s="26"/>
      <c r="O19" s="26"/>
    </row>
    <row r="20" ht="6.75" customHeight="1">
      <c r="A20" s="1"/>
      <c r="B20" s="27"/>
      <c r="C20" s="27"/>
      <c r="D20" s="1"/>
      <c r="E20" s="3"/>
      <c r="F20" s="3"/>
      <c r="G20" s="3"/>
      <c r="H20" s="3"/>
      <c r="I20" s="3"/>
      <c r="J20" s="3"/>
      <c r="K20" s="3"/>
      <c r="L20" s="3"/>
      <c r="M20" s="3"/>
      <c r="N20" s="3"/>
      <c r="O20" s="3"/>
    </row>
    <row r="21">
      <c r="A21" s="28" t="s">
        <v>18</v>
      </c>
      <c r="B21" s="29"/>
      <c r="C21" s="30"/>
      <c r="D21" s="31" t="s">
        <v>19</v>
      </c>
      <c r="E21" s="32"/>
      <c r="F21" s="32"/>
      <c r="G21" s="32"/>
      <c r="H21" s="32"/>
      <c r="I21" s="32"/>
      <c r="J21" s="32"/>
      <c r="K21" s="32"/>
      <c r="L21" s="32"/>
      <c r="M21" s="32"/>
      <c r="N21" s="32"/>
      <c r="O21" s="32"/>
    </row>
    <row r="22">
      <c r="A22" s="8" t="s">
        <v>20</v>
      </c>
      <c r="B22" s="33"/>
      <c r="C22" s="27"/>
      <c r="D22" s="20" t="s">
        <v>21</v>
      </c>
      <c r="E22" s="3"/>
      <c r="F22" s="3"/>
      <c r="G22" s="3"/>
      <c r="H22" s="3"/>
      <c r="I22" s="3"/>
      <c r="J22" s="3"/>
      <c r="K22" s="3"/>
      <c r="L22" s="3"/>
      <c r="M22" s="3"/>
      <c r="N22" s="3"/>
      <c r="O22" s="3"/>
    </row>
    <row r="23">
      <c r="A23" s="34" t="s">
        <v>22</v>
      </c>
      <c r="B23" s="35" t="s">
        <v>23</v>
      </c>
      <c r="C23" s="10"/>
      <c r="D23" s="36" t="s">
        <v>24</v>
      </c>
      <c r="E23" s="13"/>
      <c r="F23" s="3"/>
      <c r="G23" s="3"/>
      <c r="H23" s="3"/>
      <c r="I23" s="3"/>
      <c r="J23" s="3"/>
      <c r="K23" s="3"/>
      <c r="L23" s="3"/>
      <c r="M23" s="3"/>
      <c r="N23" s="3"/>
      <c r="O23" s="3"/>
    </row>
    <row r="24">
      <c r="A24" s="37" t="s">
        <v>25</v>
      </c>
      <c r="B24" s="38" t="s">
        <v>26</v>
      </c>
      <c r="C24" s="10"/>
      <c r="D24" s="39" t="s">
        <v>27</v>
      </c>
      <c r="E24" s="13"/>
      <c r="F24" s="3"/>
      <c r="G24" s="3"/>
      <c r="H24" s="3"/>
      <c r="I24" s="3"/>
      <c r="J24" s="3"/>
      <c r="K24" s="3"/>
      <c r="L24" s="3"/>
      <c r="M24" s="3"/>
      <c r="N24" s="3"/>
      <c r="O24" s="3"/>
    </row>
    <row r="25">
      <c r="A25" s="37" t="s">
        <v>28</v>
      </c>
      <c r="B25" s="38" t="s">
        <v>29</v>
      </c>
      <c r="C25" s="10"/>
      <c r="D25" s="39" t="s">
        <v>30</v>
      </c>
      <c r="E25" s="13"/>
      <c r="F25" s="3"/>
      <c r="G25" s="3"/>
      <c r="H25" s="3"/>
      <c r="I25" s="3"/>
      <c r="J25" s="3"/>
      <c r="K25" s="3"/>
      <c r="L25" s="3"/>
      <c r="M25" s="3"/>
      <c r="N25" s="3"/>
      <c r="O25" s="3"/>
    </row>
    <row r="26">
      <c r="A26" s="37" t="s">
        <v>31</v>
      </c>
      <c r="B26" s="38" t="s">
        <v>32</v>
      </c>
      <c r="C26" s="10"/>
      <c r="D26" s="39" t="s">
        <v>33</v>
      </c>
      <c r="E26" s="13"/>
      <c r="F26" s="3"/>
      <c r="G26" s="3"/>
      <c r="H26" s="3"/>
      <c r="I26" s="3"/>
      <c r="J26" s="3"/>
      <c r="K26" s="3"/>
      <c r="L26" s="3"/>
      <c r="M26" s="3"/>
      <c r="N26" s="3"/>
      <c r="O26" s="3"/>
    </row>
    <row r="27">
      <c r="A27" s="37" t="s">
        <v>34</v>
      </c>
      <c r="B27" s="38" t="s">
        <v>35</v>
      </c>
      <c r="C27" s="10"/>
      <c r="D27" s="39" t="s">
        <v>36</v>
      </c>
      <c r="E27" s="13"/>
      <c r="F27" s="3"/>
      <c r="G27" s="3"/>
      <c r="H27" s="3"/>
      <c r="I27" s="3"/>
      <c r="J27" s="3"/>
      <c r="K27" s="3"/>
      <c r="L27" s="3"/>
      <c r="M27" s="3"/>
      <c r="N27" s="3"/>
      <c r="O27" s="3"/>
    </row>
    <row r="28">
      <c r="A28" s="37" t="s">
        <v>37</v>
      </c>
      <c r="B28" s="38" t="s">
        <v>38</v>
      </c>
      <c r="C28" s="10"/>
      <c r="D28" s="40" t="s">
        <v>39</v>
      </c>
      <c r="E28" s="13"/>
      <c r="F28" s="3"/>
      <c r="G28" s="3"/>
      <c r="H28" s="3"/>
      <c r="I28" s="3"/>
      <c r="J28" s="3"/>
      <c r="K28" s="3"/>
      <c r="L28" s="3"/>
      <c r="M28" s="3"/>
      <c r="N28" s="3"/>
      <c r="O28" s="3"/>
    </row>
    <row r="29">
      <c r="A29" s="37" t="s">
        <v>40</v>
      </c>
      <c r="B29" s="38" t="s">
        <v>41</v>
      </c>
      <c r="C29" s="13"/>
      <c r="E29" s="3"/>
      <c r="F29" s="3"/>
      <c r="G29" s="3"/>
      <c r="H29" s="3"/>
      <c r="I29" s="3"/>
      <c r="J29" s="3"/>
      <c r="K29" s="3"/>
      <c r="L29" s="3"/>
      <c r="M29" s="3"/>
      <c r="N29" s="3"/>
      <c r="O29" s="3"/>
    </row>
    <row r="30">
      <c r="A30" s="37" t="s">
        <v>42</v>
      </c>
      <c r="B30" s="38" t="s">
        <v>43</v>
      </c>
      <c r="C30" s="13"/>
      <c r="D30" s="41" t="s">
        <v>44</v>
      </c>
      <c r="E30" s="3"/>
      <c r="F30" s="3"/>
      <c r="G30" s="3"/>
      <c r="H30" s="3"/>
      <c r="I30" s="3"/>
      <c r="J30" s="3"/>
      <c r="K30" s="3"/>
      <c r="L30" s="3"/>
      <c r="M30" s="3"/>
      <c r="N30" s="3"/>
      <c r="O30" s="3"/>
    </row>
    <row r="31">
      <c r="A31" s="37" t="s">
        <v>45</v>
      </c>
      <c r="B31" s="38" t="s">
        <v>46</v>
      </c>
      <c r="C31" s="13"/>
      <c r="D31" s="13"/>
      <c r="E31" s="3"/>
      <c r="F31" s="3"/>
      <c r="G31" s="3"/>
      <c r="H31" s="3"/>
      <c r="I31" s="3"/>
      <c r="J31" s="3"/>
      <c r="K31" s="3"/>
      <c r="L31" s="3"/>
      <c r="M31" s="3"/>
      <c r="N31" s="3"/>
      <c r="O31" s="3"/>
    </row>
    <row r="32">
      <c r="A32" s="37" t="s">
        <v>47</v>
      </c>
      <c r="B32" s="38" t="s">
        <v>48</v>
      </c>
      <c r="C32" s="13"/>
      <c r="D32" s="13"/>
      <c r="E32" s="3"/>
      <c r="F32" s="3"/>
      <c r="G32" s="3"/>
      <c r="H32" s="3"/>
      <c r="I32" s="3"/>
      <c r="J32" s="3"/>
      <c r="K32" s="3"/>
      <c r="L32" s="3"/>
      <c r="M32" s="3"/>
      <c r="N32" s="3"/>
      <c r="O32" s="3"/>
    </row>
    <row r="33">
      <c r="A33" s="37" t="s">
        <v>49</v>
      </c>
      <c r="B33" s="38" t="s">
        <v>50</v>
      </c>
      <c r="C33" s="13"/>
      <c r="D33" s="13"/>
      <c r="E33" s="3"/>
      <c r="F33" s="3"/>
      <c r="G33" s="3"/>
      <c r="H33" s="3"/>
      <c r="I33" s="3"/>
      <c r="J33" s="3"/>
      <c r="K33" s="3"/>
      <c r="L33" s="3"/>
      <c r="M33" s="3"/>
      <c r="N33" s="3"/>
      <c r="O33" s="3"/>
    </row>
    <row r="34">
      <c r="A34" s="37" t="s">
        <v>51</v>
      </c>
      <c r="B34" s="38" t="s">
        <v>52</v>
      </c>
      <c r="C34" s="13"/>
      <c r="D34" s="13"/>
      <c r="E34" s="3"/>
      <c r="F34" s="3"/>
      <c r="G34" s="3"/>
      <c r="H34" s="3"/>
      <c r="I34" s="3"/>
      <c r="J34" s="3"/>
      <c r="K34" s="3"/>
      <c r="L34" s="3"/>
      <c r="M34" s="3"/>
      <c r="N34" s="3"/>
      <c r="O34" s="3"/>
    </row>
    <row r="35">
      <c r="A35" s="37" t="s">
        <v>53</v>
      </c>
      <c r="B35" s="38" t="s">
        <v>54</v>
      </c>
      <c r="C35" s="13"/>
      <c r="D35" s="13"/>
      <c r="E35" s="3"/>
      <c r="F35" s="3"/>
      <c r="G35" s="3"/>
      <c r="H35" s="3"/>
      <c r="I35" s="3"/>
      <c r="J35" s="3"/>
      <c r="K35" s="3"/>
      <c r="L35" s="3"/>
      <c r="M35" s="3"/>
      <c r="N35" s="3"/>
      <c r="O35" s="3"/>
    </row>
    <row r="36">
      <c r="A36" s="37" t="s">
        <v>55</v>
      </c>
      <c r="B36" s="38" t="s">
        <v>56</v>
      </c>
      <c r="C36" s="13"/>
      <c r="D36" s="13"/>
      <c r="E36" s="42"/>
      <c r="F36" s="3"/>
      <c r="G36" s="3"/>
      <c r="H36" s="3"/>
      <c r="I36" s="3"/>
      <c r="J36" s="3"/>
      <c r="K36" s="3"/>
      <c r="L36" s="3"/>
      <c r="M36" s="3"/>
      <c r="N36" s="3"/>
      <c r="O36" s="3"/>
    </row>
    <row r="37">
      <c r="A37" s="37" t="s">
        <v>57</v>
      </c>
      <c r="B37" s="38" t="s">
        <v>58</v>
      </c>
      <c r="C37" s="13"/>
      <c r="D37" s="13"/>
      <c r="E37" s="42"/>
      <c r="F37" s="3"/>
      <c r="G37" s="3"/>
      <c r="H37" s="3"/>
      <c r="I37" s="3"/>
      <c r="J37" s="3"/>
      <c r="K37" s="3"/>
      <c r="L37" s="3"/>
      <c r="M37" s="3"/>
      <c r="N37" s="3"/>
      <c r="O37" s="3"/>
    </row>
    <row r="38">
      <c r="A38" s="37" t="s">
        <v>59</v>
      </c>
      <c r="B38" s="38" t="s">
        <v>60</v>
      </c>
      <c r="C38" s="13"/>
      <c r="D38" s="13"/>
      <c r="E38" s="3"/>
      <c r="F38" s="3"/>
      <c r="G38" s="3"/>
      <c r="H38" s="3"/>
      <c r="I38" s="3"/>
      <c r="J38" s="3"/>
      <c r="K38" s="3"/>
      <c r="L38" s="3"/>
      <c r="M38" s="3"/>
      <c r="N38" s="3"/>
      <c r="O38" s="3"/>
    </row>
    <row r="39">
      <c r="A39" s="37" t="s">
        <v>61</v>
      </c>
      <c r="B39" s="38" t="s">
        <v>62</v>
      </c>
      <c r="C39" s="13"/>
      <c r="D39" s="13"/>
      <c r="E39" s="3"/>
      <c r="F39" s="3"/>
      <c r="G39" s="3"/>
      <c r="H39" s="3"/>
      <c r="I39" s="3"/>
      <c r="J39" s="3"/>
      <c r="K39" s="3"/>
      <c r="L39" s="3"/>
      <c r="M39" s="3"/>
      <c r="N39" s="3"/>
      <c r="O39" s="3"/>
    </row>
    <row r="40">
      <c r="A40" s="43" t="s">
        <v>63</v>
      </c>
      <c r="B40" s="44" t="s">
        <v>64</v>
      </c>
      <c r="C40" s="13"/>
      <c r="D40" s="13"/>
      <c r="E40" s="3"/>
      <c r="F40" s="3"/>
      <c r="G40" s="3"/>
      <c r="H40" s="3"/>
      <c r="I40" s="3"/>
      <c r="J40" s="3"/>
      <c r="K40" s="3"/>
      <c r="L40" s="3"/>
      <c r="M40" s="3"/>
      <c r="N40" s="3"/>
      <c r="O40" s="3"/>
    </row>
  </sheetData>
  <hyperlinks>
    <hyperlink display="Summary tab will track total wins to date and earnings to date as well as winner for each weekly payout" location="Summary!A1" ref="D10"/>
    <hyperlink display="Wins by Team tab will track wins by individual NFL team" location="'Wins by Team'!A1" ref="D11"/>
    <hyperlink display="Stats by Team by Week tab will track stat by week by NFL team. For individual player stats, this tab will show stats pertaining to the highest scoring player on the team." location="'Stats by Team by Week'!A1" ref="D12"/>
    <hyperlink display="Player Stats - Current Week tab will show player level numbers for the CURRENT week." location="'Player Stats - Current Week'!A1" ref="D13"/>
    <hyperlink r:id="rId1" ref="D30"/>
  </hyperlinks>
  <drawing r:id="rId2"/>
  <tableParts count="3">
    <tablePart r:id="rId6"/>
    <tablePart r:id="rId7"/>
    <tablePart r:id="rId8"/>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9" t="s">
        <v>200</v>
      </c>
      <c r="B1" s="99" t="s">
        <v>201</v>
      </c>
      <c r="C1" s="99" t="s">
        <v>202</v>
      </c>
      <c r="D1" s="99" t="s">
        <v>203</v>
      </c>
      <c r="E1" s="99" t="s">
        <v>204</v>
      </c>
      <c r="F1" s="99" t="s">
        <v>205</v>
      </c>
      <c r="G1" s="99" t="s">
        <v>206</v>
      </c>
      <c r="H1" s="99" t="s">
        <v>207</v>
      </c>
      <c r="I1" s="99" t="s">
        <v>208</v>
      </c>
      <c r="J1" s="99" t="s">
        <v>209</v>
      </c>
      <c r="K1" s="99" t="s">
        <v>210</v>
      </c>
      <c r="L1" s="99" t="s">
        <v>211</v>
      </c>
      <c r="M1" s="99" t="s">
        <v>212</v>
      </c>
      <c r="N1" s="99" t="s">
        <v>213</v>
      </c>
      <c r="O1" s="99" t="s">
        <v>214</v>
      </c>
      <c r="P1" s="99" t="s">
        <v>215</v>
      </c>
      <c r="Q1" s="99" t="s">
        <v>216</v>
      </c>
      <c r="R1" s="99" t="s">
        <v>217</v>
      </c>
      <c r="S1" s="99" t="s">
        <v>218</v>
      </c>
      <c r="T1" s="99" t="s">
        <v>219</v>
      </c>
      <c r="U1" s="99" t="s">
        <v>220</v>
      </c>
    </row>
  </sheetData>
  <autoFilter ref="$A$1:$U$1950"/>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DCFF"/>
    <outlinePr summaryBelow="0" summaryRight="0"/>
  </sheetPr>
  <sheetViews>
    <sheetView workbookViewId="0"/>
  </sheetViews>
  <sheetFormatPr customHeight="1" defaultColWidth="12.63" defaultRowHeight="15.75"/>
  <cols>
    <col customWidth="1" min="1" max="1" width="11.63"/>
    <col customWidth="1" min="2" max="2" width="19.38"/>
    <col customWidth="1" min="3" max="3" width="16.13"/>
    <col customWidth="1" min="4" max="4" width="2.13"/>
    <col customWidth="1" min="5" max="5" width="8.75"/>
    <col customWidth="1" min="6" max="6" width="25.0"/>
    <col customWidth="1" min="7" max="7" width="21.5"/>
  </cols>
  <sheetData>
    <row r="1">
      <c r="A1" s="45" t="str">
        <f>CONCATENATE("Last Refreshed: ",Timestamp!A1," ET")</f>
        <v>Last Refreshed: 2024-09-20 12:01:40.607930 ET</v>
      </c>
      <c r="B1" s="46"/>
      <c r="C1" s="47"/>
      <c r="D1" s="48"/>
      <c r="E1" s="49"/>
      <c r="F1" s="49"/>
      <c r="G1" s="49"/>
    </row>
    <row r="2">
      <c r="A2" s="49"/>
      <c r="B2" s="49"/>
      <c r="C2" s="49"/>
      <c r="D2" s="48"/>
      <c r="E2" s="50" t="s">
        <v>65</v>
      </c>
      <c r="F2" s="51" t="s">
        <v>66</v>
      </c>
      <c r="G2" s="52" t="s">
        <v>67</v>
      </c>
    </row>
    <row r="3">
      <c r="A3" s="49"/>
      <c r="B3" s="49"/>
      <c r="C3" s="49"/>
      <c r="D3" s="48"/>
      <c r="E3" s="53" t="s">
        <v>22</v>
      </c>
      <c r="F3" s="54" t="s">
        <v>23</v>
      </c>
      <c r="G3" s="55" t="str">
        <f>iferror(if(
countif(Stats_by_Week[Week1],
max(Stats_by_Week[Week1]))=1,
vlookup(max(Stats_by_Week[Week1]),'Stats by Team by Week'!E$3:$AN$33,36,false),
if(
countif(Stats_by_Week[Week1],
max(Stats_by_Week[Week1]))=2,
vlookup(max(Stats_by_Week[Week1]),'Stats by Team by Week'!E$3:$AN$33,36,false)
&amp;" / "&amp;
vlookup(max(Stats_by_Week[Week1])&amp;2,'Stats by Team by Week'!D$3:$AN$33,37,false),
vlookup(max(Stats_by_Week[Week1]),'Stats by Team by Week'!E$3:$AN$33,36,false)
&amp;" / "&amp;
vlookup(max(Stats_by_Week[Week1])&amp;2,'Stats by Team by Week'!D$3:$AN$33,37,false)
&amp;" / "&amp;
vlookup(max(Stats_by_Week[Week1])&amp;3,'Stats by Team by Week'!D$3:$AN$33,37,false)
)),"")</f>
        <v/>
      </c>
    </row>
    <row r="4">
      <c r="A4" s="49"/>
      <c r="B4" s="49"/>
      <c r="C4" s="49"/>
      <c r="D4" s="48"/>
      <c r="E4" s="56" t="s">
        <v>25</v>
      </c>
      <c r="F4" s="57" t="s">
        <v>26</v>
      </c>
      <c r="G4" s="58" t="str">
        <f>iferror(if(
countif(Stats_by_Week[Week2],
max(Stats_by_Week[Week2]))=1,
vlookup(max(Stats_by_Week[Week2]),'Stats by Team by Week'!G$3:$AN$33,34,false),
if(
countif(Stats_by_Week[Week2],
max(Stats_by_Week[Week2]))=2,
vlookup(max(Stats_by_Week[Week2]),'Stats by Team by Week'!G$3:$AN$33,34,false)
&amp;" / "&amp;
vlookup(max(Stats_by_Week[Week2])&amp;2,'Stats by Team by Week'!F$3:$AN$33,35,false),
vlookup(max(Stats_by_Week[Week2]),'Stats by Team by Week'!G$3:$AN$33,34,false)
&amp;" / "&amp;
vlookup(max(Stats_by_Week[Week2])&amp;2,'Stats by Team by Week'!F$3:$AN$33,35,false)
&amp;" / "&amp;
vlookup(max(Stats_by_Week[Week2])&amp;3,'Stats by Team by Week'!F$3:$AN$33,35,false)
)),"")</f>
        <v/>
      </c>
    </row>
    <row r="5">
      <c r="A5" s="49"/>
      <c r="B5" s="49"/>
      <c r="C5" s="49"/>
      <c r="D5" s="48"/>
      <c r="E5" s="53" t="s">
        <v>28</v>
      </c>
      <c r="F5" s="54" t="s">
        <v>29</v>
      </c>
      <c r="G5" s="55" t="str">
        <f>iferror(if(
countif(Stats_by_Week[Week3],
min(Stats_by_Week[Week3]))=1,
vlookup(min(Stats_by_Week[Week3]),'Stats by Team by Week'!I$3:$AN$33,32,false),
if(
countif(Stats_by_Week[Week3],
min(Stats_by_Week[Week3]))=2,
vlookup(min(Stats_by_Week[Week3]),'Stats by Team by Week'!I$3:$AN$33,32,false)
&amp;" / "&amp;
vlookup(min(Stats_by_Week[Week3])&amp;2,'Stats by Team by Week'!H$3:$AN$33,33,false),
vlookup(min(Stats_by_Week[Week3]),'Stats by Team by Week'!I$3:$AN$33,32,false)
&amp;" / "&amp;
vlookup(min(Stats_by_Week[Week3])&amp;2,'Stats by Team by Week'!H$3:$AN$33,33,false)
&amp;" / "&amp;
vlookup(min(Stats_by_Week[Week3])&amp;3,'Stats by Team by Week'!H$3:$AN$33,33,false)
)),"")</f>
        <v/>
      </c>
    </row>
    <row r="6">
      <c r="A6" s="49"/>
      <c r="B6" s="49"/>
      <c r="C6" s="49"/>
      <c r="D6" s="48"/>
      <c r="E6" s="56" t="s">
        <v>31</v>
      </c>
      <c r="F6" s="57" t="s">
        <v>32</v>
      </c>
      <c r="G6" s="59" t="str">
        <f>iferror(if(
countif(Stats_by_Week[Week4],
max(Stats_by_Week[Week4]))=1,
vlookup(max(Stats_by_Week[Week4]),'Stats by Team by Week'!K$3:$AN$33,30,false),
if(
countif(Stats_by_Week[Week4],
max(Stats_by_Week[Week4]))=2,
vlookup(max(Stats_by_Week[Week4]),'Stats by Team by Week'!K$3:$AN$33,30,false)
&amp;" / "&amp;
vlookup(max(Stats_by_Week[Week4])&amp;2,'Stats by Team by Week'!J$3:$AN$33,31,false),
vlookup(max(Stats_by_Week[Week4]),'Stats by Team by Week'!K$3:$AN$33,30,false)
&amp;" / "&amp;
vlookup(max(Stats_by_Week[Week4])&amp;2,'Stats by Team by Week'!J$3:$AN$33,31,false)
&amp;" / "&amp;
vlookup(max(Stats_by_Week[Week4])&amp;3,'Stats by Team by Week'!J$3:$AN$33,31,false)
)),"")</f>
        <v/>
      </c>
    </row>
    <row r="7">
      <c r="A7" s="49"/>
      <c r="B7" s="49"/>
      <c r="C7" s="60"/>
      <c r="D7" s="48"/>
      <c r="E7" s="53" t="s">
        <v>34</v>
      </c>
      <c r="F7" s="54" t="s">
        <v>35</v>
      </c>
      <c r="G7" s="55" t="str">
        <f>iferror(if(
countif(Stats_by_Week[Week5],
max(Stats_by_Week[Week5]))=1,
vlookup(max(Stats_by_Week[Week5]),'Stats by Team by Week'!M$3:$AN$33,28,false),
if(
countif(Stats_by_Week[Week5],
max(Stats_by_Week[Week5]))=2,
vlookup(max(Stats_by_Week[Week5]),'Stats by Team by Week'!M$3:$AN$33,28,false)
&amp;" / "&amp;
vlookup(max(Stats_by_Week[Week5])&amp;2,'Stats by Team by Week'!L$3:$AN$33,29,false),
vlookup(max(Stats_by_Week[Week5]),'Stats by Team by Week'!M$3:$AN$33,28,false)
&amp;" / "&amp;
vlookup(max(Stats_by_Week[Week5])&amp;2,'Stats by Team by Week'!L$3:$AN$33,29,false)
&amp;" / "&amp;
vlookup(max(Stats_by_Week[Week5])&amp;3,'Stats by Team by Week'!L$3:$AN$33,29,false)
)),"")</f>
        <v/>
      </c>
    </row>
    <row r="8">
      <c r="A8" s="49"/>
      <c r="B8" s="49"/>
      <c r="C8" s="48"/>
      <c r="D8" s="48"/>
      <c r="E8" s="56" t="s">
        <v>37</v>
      </c>
      <c r="F8" s="57" t="s">
        <v>38</v>
      </c>
      <c r="G8" s="59" t="str">
        <f>iferror(if(
countif(Stats_by_Week[Week6],
max(Stats_by_Week[Week6]))=1,
vlookup(max(Stats_by_Week[Week6]),'Stats by Team by Week'!O$3:$AN$33,26,false),
if(
countif(Stats_by_Week[Week6],
max(Stats_by_Week[Week6]))=2,
vlookup(max(Stats_by_Week[Week6]),'Stats by Team by Week'!O$3:$AN$33,26,false)
&amp;" / "&amp;
vlookup(max(Stats_by_Week[Week6])&amp;2,'Stats by Team by Week'!N$3:$AN$33,27,false),
vlookup(max(Stats_by_Week[Week6]),'Stats by Team by Week'!O$3:$AN$33,26,false)
&amp;" / "&amp;
vlookup(max(Stats_by_Week[Week6])&amp;2,'Stats by Team by Week'!N$3:$AN$33,27,false)
&amp;" / "&amp;
vlookup(max(Stats_by_Week[Week6])&amp;3,'Stats by Team by Week'!N$3:$AN$33,27,false)
)),"")</f>
        <v/>
      </c>
    </row>
    <row r="9">
      <c r="A9" s="61"/>
      <c r="B9" s="61"/>
      <c r="C9" s="61"/>
      <c r="D9" s="48"/>
      <c r="E9" s="53" t="s">
        <v>40</v>
      </c>
      <c r="F9" s="54" t="s">
        <v>41</v>
      </c>
      <c r="G9" s="55" t="str">
        <f>iferror(if(
countif(Stats_by_Week[Week7],
max(Stats_by_Week[Week7]))=1,
vlookup(max(Stats_by_Week[Week7]),'Stats by Team by Week'!Q$3:$AN$33,24,false),
if(
countif(Stats_by_Week[Week7],
max(Stats_by_Week[Week7]))=2,
vlookup(max(Stats_by_Week[Week7]),'Stats by Team by Week'!Q$3:$AN$33,24,false)
&amp;" / "&amp;
vlookup(max(Stats_by_Week[Week7])&amp;2,'Stats by Team by Week'!P$3:$AN$33,25,false),
vlookup(max(Stats_by_Week[Week7]),'Stats by Team by Week'!Q$3:$AN$33,24,false)
&amp;" / "&amp;
vlookup(max(Stats_by_Week[Week7])&amp;2,'Stats by Team by Week'!P$3:$AN$33,25,false)
&amp;" / "&amp;
vlookup(max(Stats_by_Week[Week7])&amp;3,'Stats by Team by Week'!P$3:$AN$33,25,false)
)),"")</f>
        <v/>
      </c>
    </row>
    <row r="10">
      <c r="A10" s="62" t="s">
        <v>68</v>
      </c>
      <c r="B10" s="63" t="s">
        <v>69</v>
      </c>
      <c r="C10" s="64" t="s">
        <v>70</v>
      </c>
      <c r="D10" s="48"/>
      <c r="E10" s="56" t="s">
        <v>42</v>
      </c>
      <c r="F10" s="57" t="s">
        <v>43</v>
      </c>
      <c r="G10" s="59" t="str">
        <f>iferror(if(
countif(Stats_by_Week[Week8],
max(Stats_by_Week[Week8]))=1,
vlookup(max(Stats_by_Week[Week8]),'Stats by Team by Week'!S$3:$AN$33,22,false),
if(
countif(Stats_by_Week[Week8],
max(Stats_by_Week[Week8]))=2,
vlookup(max(Stats_by_Week[Week8]),'Stats by Team by Week'!S$3:$AN$33,22,false)
&amp;" / "&amp;
vlookup(max(Stats_by_Week[Week8])&amp;2,'Stats by Team by Week'!R$3:$AN$33,23,false),
vlookup(max(Stats_by_Week[Week8]),'Stats by Team by Week'!S$3:$AN$33,22,false)
&amp;" / "&amp;
vlookup(max(Stats_by_Week[Week8])&amp;2,'Stats by Team by Week'!R$3:$AN$33,23,false)
&amp;" / "&amp;
vlookup(max(Stats_by_Week[Week8])&amp;3,'Stats by Team by Week'!R$3:$AN$33,23,false)
)),"")</f>
        <v/>
      </c>
    </row>
    <row r="11">
      <c r="A11" s="65" t="s">
        <v>71</v>
      </c>
      <c r="B11" s="54">
        <f>sumif(Wins_by_Team[Owner],A11,Wins_by_Team[Wins])</f>
        <v>0</v>
      </c>
      <c r="C11" s="66">
        <f>(countif(Weekly_Winners[(Anticipated) Winner(s)],"*"&amp;A11&amp;"*"))*50</f>
        <v>0</v>
      </c>
      <c r="D11" s="48"/>
      <c r="E11" s="53" t="s">
        <v>45</v>
      </c>
      <c r="F11" s="54" t="s">
        <v>72</v>
      </c>
      <c r="G11" s="55" t="str">
        <f>iferror(if(
countif(Stats_by_Week[Week9],
max(Stats_by_Week[Week9]))=1,
vlookup(max(Stats_by_Week[Week9]),'Stats by Team by Week'!U$3:$AN$33,20,false),
if(
countif(Stats_by_Week[Week9],
max(Stats_by_Week[Week9]))=2,
vlookup(max(Stats_by_Week[Week9]),'Stats by Team by Week'!U$3:$AN$33,20,false)
&amp;" / "&amp;
vlookup(max(Stats_by_Week[Week9])&amp;2,'Stats by Team by Week'!T$3:$AN$33,21,false),
vlookup(max(Stats_by_Week[Week9]),'Stats by Team by Week'!U$3:$AN$33,20,false)
&amp;" / "&amp;
vlookup(max(Stats_by_Week[Week9])&amp;2,'Stats by Team by Week'!T$3:$AN$33,21,false)
&amp;" / "&amp;
vlookup(max(Stats_by_Week[Week9])&amp;3,'Stats by Team by Week'!T$3:$AN$33,21,false)
)),"")</f>
        <v/>
      </c>
    </row>
    <row r="12">
      <c r="A12" s="67" t="s">
        <v>73</v>
      </c>
      <c r="B12" s="57">
        <f>sumif(Wins_by_Team[Owner],A12,Wins_by_Team[Wins])</f>
        <v>0</v>
      </c>
      <c r="C12" s="68">
        <f>(countif(Weekly_Winners[(Anticipated) Winner(s)],"*"&amp;A12&amp;"*"))*50</f>
        <v>0</v>
      </c>
      <c r="D12" s="48"/>
      <c r="E12" s="56" t="s">
        <v>47</v>
      </c>
      <c r="F12" s="57" t="s">
        <v>48</v>
      </c>
      <c r="G12" s="59" t="str">
        <f>iferror(if(
countif(Stats_by_Week[Week10],
max(Stats_by_Week[Week10]))=1,
vlookup(max(Stats_by_Week[Week10]),'Stats by Team by Week'!W$3:$AN$33,18,false),
if(
countif(Stats_by_Week[Week10],
max(Stats_by_Week[Week10]))=2,
vlookup(max(Stats_by_Week[Week10]),'Stats by Team by Week'!W$3:$AN$33,18,false)
&amp;" / "&amp;
vlookup(max(Stats_by_Week[Week10])&amp;2,'Stats by Team by Week'!V$3:$AN$33,19,false),
vlookup(max(Stats_by_Week[Week10]),'Stats by Team by Week'!W$3:$AN$33,18,false)
&amp;" / "&amp;
vlookup(max(Stats_by_Week[Week10])&amp;2,'Stats by Team by Week'!V$3:$AN$33,19,false)
&amp;" / "&amp;
vlookup(max(Stats_by_Week[Week10])&amp;3,'Stats by Team by Week'!V$3:$AN$33,19,false)
)),"")</f>
        <v/>
      </c>
    </row>
    <row r="13">
      <c r="A13" s="65" t="s">
        <v>74</v>
      </c>
      <c r="B13" s="54">
        <f>sumif(Wins_by_Team[Owner],A13,Wins_by_Team[Wins])</f>
        <v>0</v>
      </c>
      <c r="C13" s="66">
        <f>(countif(Weekly_Winners[(Anticipated) Winner(s)],"*"&amp;A13&amp;"*"))*50</f>
        <v>0</v>
      </c>
      <c r="D13" s="48"/>
      <c r="E13" s="53" t="s">
        <v>49</v>
      </c>
      <c r="F13" s="54" t="s">
        <v>50</v>
      </c>
      <c r="G13" s="55" t="str">
        <f>iferror(if(
countif(Stats_by_Week[Week11],
max(Stats_by_Week[Week11]))=1,
vlookup(max(Stats_by_Week[Week11]),'Stats by Team by Week'!Y$3:$AN$33,16,false),
if(
countif(Stats_by_Week[Week11],
max(Stats_by_Week[Week11]))=2,
vlookup(max(Stats_by_Week[Week11]),'Stats by Team by Week'!Y$3:$AN$33,16,false)
&amp;" / "&amp;
vlookup(max(Stats_by_Week[Week11])&amp;2,'Stats by Team by Week'!X$3:$AN$33,17,false),
vlookup(max(Stats_by_Week[Week11]),'Stats by Team by Week'!Y$3:$AN$33,16,false)
&amp;" / "&amp;
vlookup(max(Stats_by_Week[Week11])&amp;2,'Stats by Team by Week'!X$3:$AN$33,17,false)
&amp;" / "&amp;
vlookup(max(Stats_by_Week[Week11])&amp;3,'Stats by Team by Week'!X$3:$AN$33,17,false)
)),"")</f>
        <v/>
      </c>
    </row>
    <row r="14">
      <c r="A14" s="67" t="s">
        <v>75</v>
      </c>
      <c r="B14" s="69">
        <f>sumif(Wins_by_Team[Owner],A14,Wins_by_Team[Wins])</f>
        <v>1</v>
      </c>
      <c r="C14" s="70">
        <f>(countif(Weekly_Winners[(Anticipated) Winner(s)],"*"&amp;A14&amp;"*"))*50</f>
        <v>0</v>
      </c>
      <c r="D14" s="48"/>
      <c r="E14" s="56" t="s">
        <v>51</v>
      </c>
      <c r="F14" s="57" t="s">
        <v>52</v>
      </c>
      <c r="G14" s="59" t="str">
        <f>iferror(if(
countif(Stats_by_Week[Week12],
max(Stats_by_Week[Week12]))=1,
vlookup(max(Stats_by_Week[Week12]),'Stats by Team by Week'!AA$3:$AN$33,14,false),
if(
countif(Stats_by_Week[Week12],
max(Stats_by_Week[Week12]))=2,
vlookup(max(Stats_by_Week[Week12]),'Stats by Team by Week'!AA$3:$AN$33,14,false)
&amp;" / "&amp;
vlookup(max(Stats_by_Week[Week12])&amp;2,'Stats by Team by Week'!Z$3:$AN$33,15,false),
vlookup(max(Stats_by_Week[Week12]),'Stats by Team by Week'!AA$3:$AN$33,14,false)
&amp;" / "&amp;
vlookup(max(Stats_by_Week[Week12])&amp;2,'Stats by Team by Week'!Z$3:$AN$33,15,false)
&amp;" / "&amp;
vlookup(max(Stats_by_Week[Week12])&amp;3,'Stats by Team by Week'!Z$3:$AN$33,15,false)
)),"")</f>
        <v/>
      </c>
    </row>
    <row r="15">
      <c r="A15" s="65" t="s">
        <v>76</v>
      </c>
      <c r="B15" s="54">
        <f>sumif(Wins_by_Team[Owner],A15,Wins_by_Team[Wins])</f>
        <v>0</v>
      </c>
      <c r="C15" s="66">
        <f>(countif(Weekly_Winners[(Anticipated) Winner(s)],"*"&amp;A15&amp;"*"))*50</f>
        <v>0</v>
      </c>
      <c r="D15" s="48"/>
      <c r="E15" s="53" t="s">
        <v>53</v>
      </c>
      <c r="F15" s="54" t="s">
        <v>54</v>
      </c>
      <c r="G15" s="55" t="str">
        <f>iferror(if(
countif(Stats_by_Week[Week13],
max(Stats_by_Week[Week13]))=1,
vlookup(max(Stats_by_Week[Week13]),'Stats by Team by Week'!AC$3:$AN$33,12,false),
if(
countif(Stats_by_Week[Week13],
max(Stats_by_Week[Week13]))=2,
vlookup(max(Stats_by_Week[Week13]),'Stats by Team by Week'!AC$3:$AN$33,12,false)
&amp;" / "&amp;
vlookup(max(Stats_by_Week[Week13])&amp;2,'Stats by Team by Week'!AB$3:$AN$33,13,false),
vlookup(max(Stats_by_Week[Week13]),'Stats by Team by Week'!AC$3:$AN$33,12,false)
&amp;" / "&amp;
vlookup(max(Stats_by_Week[Week13])&amp;2,'Stats by Team by Week'!AB$3:$AN$33,13,false)
&amp;" / "&amp;
vlookup(max(Stats_by_Week[Week13])&amp;3,'Stats by Team by Week'!AB$3:$AN$33,13,false)
)),"")</f>
        <v/>
      </c>
    </row>
    <row r="16">
      <c r="A16" s="67" t="s">
        <v>77</v>
      </c>
      <c r="B16" s="71">
        <f>sumif(Wins_by_Team[Owner],A16,Wins_by_Team[Wins])</f>
        <v>0</v>
      </c>
      <c r="C16" s="72">
        <f>(countif(Weekly_Winners[(Anticipated) Winner(s)],"*"&amp;A16&amp;"*"))*50</f>
        <v>0</v>
      </c>
      <c r="D16" s="48"/>
      <c r="E16" s="56" t="s">
        <v>55</v>
      </c>
      <c r="F16" s="57" t="s">
        <v>56</v>
      </c>
      <c r="G16" s="59" t="str">
        <f>iferror(if(
countif(Stats_by_Week[Week14],
min(Stats_by_Week[Week14]))=1,
vlookup(min(Stats_by_Week[Week14]),'Stats by Team by Week'!AE$3:$AN$33,10,false),
if(
countif(Stats_by_Week[Week14],
min(Stats_by_Week[Week14]))=2,
vlookup(min(Stats_by_Week[Week14]),'Stats by Team by Week'!AE$3:$AN$33,10,false)
&amp;" / "&amp;
vlookup(min(Stats_by_Week[Week14])&amp;2,'Stats by Team by Week'!AD$3:$AN$33,11,false),
vlookup(min(Stats_by_Week[Week14]),'Stats by Team by Week'!AE$3:$AN$33,10,false)
&amp;" / "&amp;
vlookup(min(Stats_by_Week[Week14])&amp;2,'Stats by Team by Week'!AD$3:$AN$33,11,false)
&amp;" / "&amp;
vlookup(min(Stats_by_Week[Week14])&amp;3,'Stats by Team by Week'!AD$3:$AN$33,11,false)
)),"")</f>
        <v/>
      </c>
    </row>
    <row r="17">
      <c r="A17" s="65" t="s">
        <v>78</v>
      </c>
      <c r="B17" s="54">
        <f>sumif(Wins_by_Team[Owner],A17,Wins_by_Team[Wins])</f>
        <v>0</v>
      </c>
      <c r="C17" s="73">
        <f>(countif(Weekly_Winners[(Anticipated) Winner(s)],"*"&amp;A17&amp;"*"))*50</f>
        <v>0</v>
      </c>
      <c r="D17" s="48"/>
      <c r="E17" s="53" t="s">
        <v>57</v>
      </c>
      <c r="F17" s="54" t="s">
        <v>58</v>
      </c>
      <c r="G17" s="55" t="str">
        <f>iferror(if(
countif(Stats_by_Week[Week15],
max(Stats_by_Week[Week15]))=1,
vlookup(max(Stats_by_Week[Week15]),'Stats by Team by Week'!AG$3:$AN$33,8,false),
if(
countif(Stats_by_Week[Week15],
max(Stats_by_Week[Week15]))=2,
vlookup(max(Stats_by_Week[Week15]),'Stats by Team by Week'!AG$3:$AN$33,8,false)
&amp;" / "&amp;
vlookup(max(Stats_by_Week[Week15])&amp;2,'Stats by Team by Week'!AF$3:$AN$33,9,false),
vlookup(max(Stats_by_Week[Week15]),'Stats by Team by Week'!AG$3:$AN$33,8,false)
&amp;" / "&amp;
vlookup(max(Stats_by_Week[Week15])&amp;2,'Stats by Team by Week'!AF$3:$AN$33,9,false)
&amp;" / "&amp;
vlookup(max(Stats_by_Week[Week15])&amp;3,'Stats by Team by Week'!AF$3:$AN$33,9,false)
)),"")</f>
        <v/>
      </c>
    </row>
    <row r="18">
      <c r="A18" s="67" t="s">
        <v>79</v>
      </c>
      <c r="B18" s="71">
        <f>sumif(Wins_by_Team[Owner],A18,Wins_by_Team[Wins])</f>
        <v>0</v>
      </c>
      <c r="C18" s="70">
        <f>(countif(Weekly_Winners[(Anticipated) Winner(s)],"*"&amp;A18&amp;"*"))*50</f>
        <v>0</v>
      </c>
      <c r="D18" s="74"/>
      <c r="E18" s="56" t="s">
        <v>59</v>
      </c>
      <c r="F18" s="57" t="s">
        <v>60</v>
      </c>
      <c r="G18" s="59" t="str">
        <f>iferror(if(
countif(Stats_by_Week[Week16],
min(Stats_by_Week[Week16]))=1,
vlookup(min(Stats_by_Week[Week16]),'Stats by Team by Week'!AI$3:$AN$33,6,false),
if(
countif(Stats_by_Week[Week16],
min(Stats_by_Week[Week16]))=2,
vlookup(min(Stats_by_Week[Week16]),'Stats by Team by Week'!AI$3:$AN$33,6,false)
&amp;" / "&amp;
vlookup(min(Stats_by_Week[Week16])&amp;2,'Stats by Team by Week'!AH$3:$AN$33,7,false),
vlookup(min(Stats_by_Week[Week16]),'Stats by Team by Week'!AI$3:$AN$33,6,false)
&amp;" / "&amp;
vlookup(min(Stats_by_Week[Week16])&amp;2,'Stats by Team by Week'!AH$3:$AN$33,7,false)
&amp;" / "&amp;
vlookup(min(Stats_by_Week[Week16])&amp;3,'Stats by Team by Week'!AH$3:$AN$33,7,false)
)),"")</f>
        <v/>
      </c>
    </row>
    <row r="19">
      <c r="A19" s="65" t="s">
        <v>80</v>
      </c>
      <c r="B19" s="54">
        <f>sumif(Wins_by_Team[Owner],A19,Wins_by_Team[Wins])</f>
        <v>0</v>
      </c>
      <c r="C19" s="73">
        <f>(countif(Weekly_Winners[(Anticipated) Winner(s)],"*"&amp;A19&amp;"*"))*50</f>
        <v>0</v>
      </c>
      <c r="D19" s="74"/>
      <c r="E19" s="53" t="s">
        <v>61</v>
      </c>
      <c r="F19" s="54" t="s">
        <v>62</v>
      </c>
      <c r="G19" s="55" t="str">
        <f>iferror(if(
countif(Stats_by_Week[Week17],
max(Stats_by_Week[Week17]))=1,
vlookup(max(Stats_by_Week[Week17]),'Stats by Team by Week'!AK$3:$AN$33,4,false),
if(
countif(Stats_by_Week[Week17],
max(Stats_by_Week[Week17]))=2,
vlookup(max(Stats_by_Week[Week17]),'Stats by Team by Week'!AK$3:$AN$33,4,false)
&amp;" / "&amp;
vlookup(max(Stats_by_Week[Week17])&amp;2,'Stats by Team by Week'!AJ$3:$AN$33,5,false),
vlookup(max(Stats_by_Week[Week17]),'Stats by Team by Week'!AK$3:$AN$33,4,false)
&amp;" / "&amp;
vlookup(max(Stats_by_Week[Week17])&amp;2,'Stats by Team by Week'!AJ$3:$AN$33,5,false)
&amp;" / "&amp;
vlookup(max(Stats_by_Week[Week17])&amp;3,'Stats by Team by Week'!AJ$3:$AN$33,5,false)
)),"")</f>
        <v/>
      </c>
    </row>
    <row r="20">
      <c r="A20" s="75" t="s">
        <v>81</v>
      </c>
      <c r="B20" s="76">
        <f>sumif(Wins_by_Team[Owner],A20,Wins_by_Team[Wins])</f>
        <v>0</v>
      </c>
      <c r="C20" s="77">
        <f>(countif(Weekly_Winners[(Anticipated) Winner(s)],"*"&amp;A20&amp;"*"))*50</f>
        <v>0</v>
      </c>
      <c r="D20" s="74"/>
      <c r="E20" s="78" t="s">
        <v>63</v>
      </c>
      <c r="F20" s="79" t="s">
        <v>64</v>
      </c>
      <c r="G20" s="80" t="str">
        <f>iferror(if(
countif(Stats_by_Week[Week18],
max(Stats_by_Week[Week18]))=1,
vlookup(max(Stats_by_Week[Week18]),'Stats by Team by Week'!AM$3:$AN$33,2,false),
if(
countif(Stats_by_Week[Week18],
max(Stats_by_Week[Week18]))=2,
vlookup(max(Stats_by_Week[Week18]),'Stats by Team by Week'!AM$3:$AN$33,2,false)
&amp;" / "&amp;
vlookup(max(Stats_by_Week[Week18])&amp;2,'Stats by Team by Week'!AL$3:$AN$33,3,false),
vlookup(max(Stats_by_Week[Week18]),'Stats by Team by Week'!AM$3:$AN$33,2,false)
&amp;" / "&amp;
vlookup(max(Stats_by_Week[Week18])&amp;2,'Stats by Team by Week'!AL$3:$AN$33,3,false)
&amp;" / "&amp;
vlookup(max(Stats_by_Week[Week18])&amp;3,'Stats by Team by Week'!AL$3:$AN$33,3,false)
)),"")</f>
        <v/>
      </c>
    </row>
  </sheetData>
  <mergeCells count="1">
    <mergeCell ref="A1:C1"/>
  </mergeCells>
  <conditionalFormatting sqref="B11">
    <cfRule type="cellIs" dxfId="3" priority="1" operator="equal">
      <formula>0</formula>
    </cfRule>
  </conditionalFormatting>
  <conditionalFormatting sqref="B11">
    <cfRule type="cellIs" dxfId="4" priority="2" operator="equal">
      <formula>max(B11:B20)</formula>
    </cfRule>
  </conditionalFormatting>
  <conditionalFormatting sqref="B12">
    <cfRule type="cellIs" dxfId="5" priority="3" operator="equal">
      <formula>0</formula>
    </cfRule>
  </conditionalFormatting>
  <conditionalFormatting sqref="B12">
    <cfRule type="cellIs" dxfId="4" priority="4" operator="equal">
      <formula>max(B11:B20)</formula>
    </cfRule>
  </conditionalFormatting>
  <conditionalFormatting sqref="B13">
    <cfRule type="cellIs" dxfId="3" priority="5" operator="equal">
      <formula>0</formula>
    </cfRule>
  </conditionalFormatting>
  <conditionalFormatting sqref="B13">
    <cfRule type="cellIs" dxfId="4" priority="6" operator="equal">
      <formula>max(B11:B20)</formula>
    </cfRule>
  </conditionalFormatting>
  <conditionalFormatting sqref="B14">
    <cfRule type="cellIs" dxfId="6" priority="7" operator="equal">
      <formula>0</formula>
    </cfRule>
  </conditionalFormatting>
  <conditionalFormatting sqref="B14">
    <cfRule type="cellIs" dxfId="4" priority="8" operator="equal">
      <formula>max(B11:B20)</formula>
    </cfRule>
  </conditionalFormatting>
  <conditionalFormatting sqref="B15">
    <cfRule type="cellIs" dxfId="3" priority="9" operator="equal">
      <formula>0</formula>
    </cfRule>
  </conditionalFormatting>
  <conditionalFormatting sqref="B15">
    <cfRule type="cellIs" dxfId="4" priority="10" operator="equal">
      <formula>max(B11:B20)</formula>
    </cfRule>
  </conditionalFormatting>
  <conditionalFormatting sqref="B16">
    <cfRule type="cellIs" dxfId="6" priority="11" operator="equal">
      <formula>0</formula>
    </cfRule>
  </conditionalFormatting>
  <conditionalFormatting sqref="B16">
    <cfRule type="cellIs" dxfId="4" priority="12" operator="equal">
      <formula>max(B11:B20)</formula>
    </cfRule>
  </conditionalFormatting>
  <conditionalFormatting sqref="B17">
    <cfRule type="cellIs" dxfId="3" priority="13" operator="equal">
      <formula>0</formula>
    </cfRule>
  </conditionalFormatting>
  <conditionalFormatting sqref="B17">
    <cfRule type="cellIs" dxfId="4" priority="14" operator="equal">
      <formula>max(B11:B20)</formula>
    </cfRule>
  </conditionalFormatting>
  <conditionalFormatting sqref="B18">
    <cfRule type="cellIs" dxfId="6" priority="15" operator="equal">
      <formula>0</formula>
    </cfRule>
  </conditionalFormatting>
  <conditionalFormatting sqref="B18">
    <cfRule type="cellIs" dxfId="4" priority="16" operator="equal">
      <formula>max(B11:B20)</formula>
    </cfRule>
  </conditionalFormatting>
  <conditionalFormatting sqref="B19">
    <cfRule type="cellIs" dxfId="3" priority="17" operator="equal">
      <formula>0</formula>
    </cfRule>
  </conditionalFormatting>
  <conditionalFormatting sqref="B19">
    <cfRule type="cellIs" dxfId="4" priority="18" operator="equal">
      <formula>max(B11:B20)</formula>
    </cfRule>
  </conditionalFormatting>
  <conditionalFormatting sqref="B20">
    <cfRule type="cellIs" dxfId="6" priority="19" operator="equal">
      <formula>0</formula>
    </cfRule>
  </conditionalFormatting>
  <conditionalFormatting sqref="B20">
    <cfRule type="cellIs" dxfId="4" priority="20" operator="equal">
      <formula>max(B11:B20)</formula>
    </cfRule>
  </conditionalFormatting>
  <conditionalFormatting sqref="C12">
    <cfRule type="cellIs" dxfId="6" priority="21" operator="equal">
      <formula>0</formula>
    </cfRule>
  </conditionalFormatting>
  <conditionalFormatting sqref="C12">
    <cfRule type="cellIs" dxfId="4" priority="22" operator="equal">
      <formula>max(C11:C20)</formula>
    </cfRule>
  </conditionalFormatting>
  <conditionalFormatting sqref="C13">
    <cfRule type="cellIs" dxfId="3" priority="23" operator="equal">
      <formula>0</formula>
    </cfRule>
  </conditionalFormatting>
  <conditionalFormatting sqref="C13">
    <cfRule type="cellIs" dxfId="4" priority="24" operator="equal">
      <formula>max(C11:C20)</formula>
    </cfRule>
  </conditionalFormatting>
  <conditionalFormatting sqref="C14">
    <cfRule type="cellIs" dxfId="6" priority="25" operator="equal">
      <formula>0</formula>
    </cfRule>
  </conditionalFormatting>
  <conditionalFormatting sqref="C14">
    <cfRule type="cellIs" dxfId="4" priority="26" operator="equal">
      <formula>max(C11:C20)</formula>
    </cfRule>
  </conditionalFormatting>
  <conditionalFormatting sqref="C15">
    <cfRule type="cellIs" dxfId="3" priority="27" operator="equal">
      <formula>0</formula>
    </cfRule>
  </conditionalFormatting>
  <conditionalFormatting sqref="C15">
    <cfRule type="cellIs" dxfId="4" priority="28" operator="equal">
      <formula>max(C11:C20)</formula>
    </cfRule>
  </conditionalFormatting>
  <conditionalFormatting sqref="C16">
    <cfRule type="cellIs" dxfId="6" priority="29" operator="equal">
      <formula>0</formula>
    </cfRule>
  </conditionalFormatting>
  <conditionalFormatting sqref="C16">
    <cfRule type="cellIs" dxfId="4" priority="30" operator="equal">
      <formula>max(C11:C20)</formula>
    </cfRule>
  </conditionalFormatting>
  <conditionalFormatting sqref="C17">
    <cfRule type="cellIs" dxfId="3" priority="31" operator="equal">
      <formula>0</formula>
    </cfRule>
  </conditionalFormatting>
  <conditionalFormatting sqref="C17">
    <cfRule type="cellIs" dxfId="4" priority="32" operator="equal">
      <formula>max(C11:C20)</formula>
    </cfRule>
  </conditionalFormatting>
  <conditionalFormatting sqref="C18">
    <cfRule type="cellIs" dxfId="6" priority="33" operator="equal">
      <formula>0</formula>
    </cfRule>
  </conditionalFormatting>
  <conditionalFormatting sqref="C18">
    <cfRule type="cellIs" dxfId="4" priority="34" operator="equal">
      <formula>max(C11:C20)</formula>
    </cfRule>
  </conditionalFormatting>
  <conditionalFormatting sqref="C19">
    <cfRule type="cellIs" dxfId="3" priority="35" operator="equal">
      <formula>0</formula>
    </cfRule>
  </conditionalFormatting>
  <conditionalFormatting sqref="C19">
    <cfRule type="cellIs" dxfId="4" priority="36" operator="equal">
      <formula>max(C11:C20)</formula>
    </cfRule>
  </conditionalFormatting>
  <conditionalFormatting sqref="C20">
    <cfRule type="cellIs" dxfId="6" priority="37" operator="equal">
      <formula>0</formula>
    </cfRule>
  </conditionalFormatting>
  <conditionalFormatting sqref="C20">
    <cfRule type="cellIs" dxfId="4" priority="38" operator="equal">
      <formula>max(C11:C20)</formula>
    </cfRule>
  </conditionalFormatting>
  <conditionalFormatting sqref="B11">
    <cfRule type="cellIs" dxfId="7" priority="39" operator="equal">
      <formula>LARGE(B11:B20,2)</formula>
    </cfRule>
  </conditionalFormatting>
  <conditionalFormatting sqref="B12">
    <cfRule type="cellIs" dxfId="7" priority="40" operator="equal">
      <formula>LARGE(B11:B20,2)</formula>
    </cfRule>
  </conditionalFormatting>
  <conditionalFormatting sqref="B13">
    <cfRule type="cellIs" dxfId="7" priority="41" operator="equal">
      <formula>LARGE(B11:B20,2)</formula>
    </cfRule>
  </conditionalFormatting>
  <conditionalFormatting sqref="B14">
    <cfRule type="cellIs" dxfId="7" priority="42" operator="equal">
      <formula>LARGE(B11:B20,2)</formula>
    </cfRule>
  </conditionalFormatting>
  <conditionalFormatting sqref="B15">
    <cfRule type="cellIs" dxfId="7" priority="43" operator="equal">
      <formula>LARGE(B11:B20,2)</formula>
    </cfRule>
  </conditionalFormatting>
  <conditionalFormatting sqref="B16">
    <cfRule type="cellIs" dxfId="7" priority="44" operator="equal">
      <formula>LARGE(B11:B20,2)</formula>
    </cfRule>
  </conditionalFormatting>
  <conditionalFormatting sqref="B17">
    <cfRule type="cellIs" dxfId="7" priority="45" operator="equal">
      <formula>LARGE(B11:B20,2)</formula>
    </cfRule>
  </conditionalFormatting>
  <conditionalFormatting sqref="B18">
    <cfRule type="cellIs" dxfId="7" priority="46" operator="equal">
      <formula>LARGE(B11:B20,2)</formula>
    </cfRule>
  </conditionalFormatting>
  <conditionalFormatting sqref="B19">
    <cfRule type="cellIs" dxfId="7" priority="47" operator="equal">
      <formula>LARGE(B11:B20,2)</formula>
    </cfRule>
  </conditionalFormatting>
  <conditionalFormatting sqref="B20">
    <cfRule type="cellIs" dxfId="7" priority="48" operator="equal">
      <formula>LARGE(B11:B20,2)</formula>
    </cfRule>
  </conditionalFormatting>
  <conditionalFormatting sqref="G3:G20">
    <cfRule type="notContainsBlanks" dxfId="8" priority="49">
      <formula>LEN(TRIM(G3))&gt;0</formula>
    </cfRule>
  </conditionalFormatting>
  <conditionalFormatting sqref="C11">
    <cfRule type="cellIs" dxfId="3" priority="50" operator="equal">
      <formula>0</formula>
    </cfRule>
  </conditionalFormatting>
  <conditionalFormatting sqref="C11">
    <cfRule type="cellIs" dxfId="4" priority="51" operator="equal">
      <formula>max(C11:C20)</formula>
    </cfRule>
  </conditionalFormatting>
  <dataValidations>
    <dataValidation type="custom" allowBlank="1" showDropDown="1" sqref="C11:C20">
      <formula1>AND(ISNUMBER(C11),(NOT(OR(NOT(ISERROR(DATEVALUE(C11))), AND(ISNUMBER(C11), LEFT(CELL("format", C11))="D")))))</formula1>
    </dataValidation>
  </dataValidations>
  <drawing r:id="rId1"/>
  <tableParts count="2">
    <tablePart r:id="rId4"/>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s>
  <sheetData>
    <row r="1">
      <c r="A1" s="81" t="s">
        <v>82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1" width="12.63"/>
  </cols>
  <sheetData>
    <row r="1">
      <c r="A1" s="82" t="s">
        <v>83</v>
      </c>
      <c r="B1" s="83" t="s">
        <v>84</v>
      </c>
      <c r="C1" s="84" t="s">
        <v>85</v>
      </c>
      <c r="D1" s="85" t="s">
        <v>86</v>
      </c>
    </row>
    <row r="2">
      <c r="A2" s="86" t="s">
        <v>87</v>
      </c>
      <c r="B2" s="87" t="s">
        <v>87</v>
      </c>
      <c r="C2" s="87" t="s">
        <v>74</v>
      </c>
      <c r="D2" s="88">
        <f>COUNTIFS('Raw With Formulas'!$G$1:$G$1000, 2, 'Raw With Formulas'!$H$1:$H$1000,B2)</f>
        <v>0</v>
      </c>
    </row>
    <row r="3">
      <c r="A3" s="89" t="s">
        <v>88</v>
      </c>
      <c r="B3" s="90" t="s">
        <v>88</v>
      </c>
      <c r="C3" s="90" t="s">
        <v>78</v>
      </c>
      <c r="D3" s="91">
        <f>COUNTIFS('Raw With Formulas'!$G$1:$G$1000, 2, 'Raw With Formulas'!$H$1:$H$1000,B3)</f>
        <v>0</v>
      </c>
    </row>
    <row r="4">
      <c r="A4" s="86" t="s">
        <v>89</v>
      </c>
      <c r="B4" s="87" t="s">
        <v>89</v>
      </c>
      <c r="C4" s="87" t="s">
        <v>74</v>
      </c>
      <c r="D4" s="88">
        <f>COUNTIFS('Raw With Formulas'!$G$1:$G$1000, 2, 'Raw With Formulas'!$H$1:$H$1000,B4)</f>
        <v>0</v>
      </c>
    </row>
    <row r="5">
      <c r="A5" s="89" t="s">
        <v>90</v>
      </c>
      <c r="B5" s="90" t="s">
        <v>90</v>
      </c>
      <c r="C5" s="90" t="s">
        <v>79</v>
      </c>
      <c r="D5" s="91">
        <f>COUNTIFS('Raw With Formulas'!$G$1:$G$1000, 2, 'Raw With Formulas'!$H$1:$H$1000,B5)</f>
        <v>0</v>
      </c>
    </row>
    <row r="6">
      <c r="A6" s="86" t="s">
        <v>91</v>
      </c>
      <c r="B6" s="87" t="s">
        <v>91</v>
      </c>
      <c r="C6" s="87" t="s">
        <v>81</v>
      </c>
      <c r="D6" s="92">
        <f>COUNTIFS('Raw With Formulas'!$G$1:$G$1000, 2, 'Raw With Formulas'!$H$1:$H$1000,B6)</f>
        <v>0</v>
      </c>
    </row>
    <row r="7">
      <c r="A7" s="89" t="s">
        <v>92</v>
      </c>
      <c r="B7" s="90" t="s">
        <v>92</v>
      </c>
      <c r="C7" s="90" t="s">
        <v>80</v>
      </c>
      <c r="D7" s="93">
        <f>COUNTIFS('Raw With Formulas'!$G$1:$G$1000, 2, 'Raw With Formulas'!$H$1:$H$1000,B7)</f>
        <v>0</v>
      </c>
    </row>
    <row r="8">
      <c r="A8" s="86" t="s">
        <v>93</v>
      </c>
      <c r="B8" s="87" t="s">
        <v>93</v>
      </c>
      <c r="C8" s="87" t="s">
        <v>81</v>
      </c>
      <c r="D8" s="92">
        <f>COUNTIFS('Raw With Formulas'!$G$1:$G$1000, 2, 'Raw With Formulas'!$H$1:$H$1000,B8)</f>
        <v>0</v>
      </c>
    </row>
    <row r="9">
      <c r="A9" s="89" t="s">
        <v>94</v>
      </c>
      <c r="B9" s="90" t="s">
        <v>95</v>
      </c>
      <c r="C9" s="90" t="s">
        <v>71</v>
      </c>
      <c r="D9" s="93">
        <f>COUNTIFS('Raw With Formulas'!$G$1:$G$1000, 2, 'Raw With Formulas'!$H$1:$H$1000,B9)</f>
        <v>0</v>
      </c>
    </row>
    <row r="10">
      <c r="A10" s="86" t="s">
        <v>96</v>
      </c>
      <c r="B10" s="87" t="s">
        <v>96</v>
      </c>
      <c r="C10" s="87" t="s">
        <v>78</v>
      </c>
      <c r="D10" s="92">
        <f>COUNTIFS('Raw With Formulas'!$G$1:$G$1000, 2, 'Raw With Formulas'!$H$1:$H$1000,B10)</f>
        <v>0</v>
      </c>
    </row>
    <row r="11">
      <c r="A11" s="89" t="s">
        <v>97</v>
      </c>
      <c r="B11" s="90" t="s">
        <v>97</v>
      </c>
      <c r="C11" s="90" t="s">
        <v>76</v>
      </c>
      <c r="D11" s="93">
        <f>COUNTIFS('Raw With Formulas'!$G$1:$G$1000, 2, 'Raw With Formulas'!$H$1:$H$1000,B11)</f>
        <v>0</v>
      </c>
    </row>
    <row r="12">
      <c r="A12" s="86" t="s">
        <v>98</v>
      </c>
      <c r="B12" s="87" t="s">
        <v>98</v>
      </c>
      <c r="C12" s="87" t="s">
        <v>79</v>
      </c>
      <c r="D12" s="92">
        <f>COUNTIFS('Raw With Formulas'!$G$1:$G$1000, 2, 'Raw With Formulas'!$H$1:$H$1000,B12)</f>
        <v>0</v>
      </c>
    </row>
    <row r="13">
      <c r="A13" s="89" t="s">
        <v>99</v>
      </c>
      <c r="B13" s="90" t="s">
        <v>100</v>
      </c>
      <c r="C13" s="90" t="s">
        <v>77</v>
      </c>
      <c r="D13" s="93">
        <f>COUNTIFS('Raw With Formulas'!$G$1:$G$1000, 2, 'Raw With Formulas'!$H$1:$H$1000,B13)</f>
        <v>0</v>
      </c>
    </row>
    <row r="14">
      <c r="A14" s="86" t="s">
        <v>101</v>
      </c>
      <c r="B14" s="87" t="s">
        <v>101</v>
      </c>
      <c r="C14" s="87" t="s">
        <v>74</v>
      </c>
      <c r="D14" s="92">
        <f>COUNTIFS('Raw With Formulas'!$G$1:$G$1000, 2, 'Raw With Formulas'!$H$1:$H$1000,B14)</f>
        <v>0</v>
      </c>
    </row>
    <row r="15">
      <c r="A15" s="89" t="s">
        <v>102</v>
      </c>
      <c r="B15" s="90" t="s">
        <v>102</v>
      </c>
      <c r="C15" s="90" t="s">
        <v>80</v>
      </c>
      <c r="D15" s="93">
        <f>COUNTIFS('Raw With Formulas'!$G$1:$G$1000, 2, 'Raw With Formulas'!$H$1:$H$1000,B15)</f>
        <v>0</v>
      </c>
    </row>
    <row r="16">
      <c r="A16" s="86" t="s">
        <v>103</v>
      </c>
      <c r="B16" s="87" t="s">
        <v>104</v>
      </c>
      <c r="C16" s="87" t="s">
        <v>71</v>
      </c>
      <c r="D16" s="92">
        <f>COUNTIFS('Raw With Formulas'!$G$1:$G$1000, 2, 'Raw With Formulas'!$H$1:$H$1000,B16)</f>
        <v>0</v>
      </c>
    </row>
    <row r="17">
      <c r="A17" s="89" t="s">
        <v>105</v>
      </c>
      <c r="B17" s="90" t="s">
        <v>105</v>
      </c>
      <c r="C17" s="90" t="s">
        <v>77</v>
      </c>
      <c r="D17" s="93">
        <f>COUNTIFS('Raw With Formulas'!$G$1:$G$1000, 2, 'Raw With Formulas'!$H$1:$H$1000,B17)</f>
        <v>0</v>
      </c>
    </row>
    <row r="18">
      <c r="A18" s="86" t="s">
        <v>106</v>
      </c>
      <c r="B18" s="87" t="s">
        <v>106</v>
      </c>
      <c r="C18" s="94"/>
      <c r="D18" s="88">
        <f>COUNTIFS('Raw With Formulas'!$G$1:$G$1000, 2, 'Raw With Formulas'!$H$1:$H$1000,B18)</f>
        <v>0</v>
      </c>
    </row>
    <row r="19">
      <c r="A19" s="89" t="s">
        <v>107</v>
      </c>
      <c r="B19" s="90" t="s">
        <v>108</v>
      </c>
      <c r="C19" s="90" t="s">
        <v>73</v>
      </c>
      <c r="D19" s="91">
        <f>COUNTIFS('Raw With Formulas'!$G$1:$G$1000, 2, 'Raw With Formulas'!$H$1:$H$1000,B19)</f>
        <v>0</v>
      </c>
    </row>
    <row r="20">
      <c r="A20" s="86" t="s">
        <v>109</v>
      </c>
      <c r="B20" s="87" t="s">
        <v>110</v>
      </c>
      <c r="C20" s="94"/>
      <c r="D20" s="92">
        <f>COUNTIFS('Raw With Formulas'!$G$1:$G$1000, 2, 'Raw With Formulas'!$H$1:$H$1000,B20)</f>
        <v>0</v>
      </c>
    </row>
    <row r="21">
      <c r="A21" s="89" t="s">
        <v>111</v>
      </c>
      <c r="B21" s="90" t="s">
        <v>111</v>
      </c>
      <c r="C21" s="90" t="s">
        <v>75</v>
      </c>
      <c r="D21" s="93">
        <f>COUNTIFS('Raw With Formulas'!$G$1:$G$1000, 2, 'Raw With Formulas'!$H$1:$H$1000,B21)</f>
        <v>0</v>
      </c>
    </row>
    <row r="22">
      <c r="A22" s="86" t="s">
        <v>112</v>
      </c>
      <c r="B22" s="87" t="s">
        <v>112</v>
      </c>
      <c r="C22" s="87" t="s">
        <v>76</v>
      </c>
      <c r="D22" s="92">
        <f>COUNTIFS('Raw With Formulas'!$G$1:$G$1000, 2, 'Raw With Formulas'!$H$1:$H$1000,B22)</f>
        <v>0</v>
      </c>
    </row>
    <row r="23">
      <c r="A23" s="89" t="s">
        <v>113</v>
      </c>
      <c r="B23" s="90" t="s">
        <v>114</v>
      </c>
      <c r="C23" s="90" t="s">
        <v>71</v>
      </c>
      <c r="D23" s="93">
        <f>COUNTIFS('Raw With Formulas'!$G$1:$G$1000, 2, 'Raw With Formulas'!$H$1:$H$1000,B23)</f>
        <v>0</v>
      </c>
    </row>
    <row r="24">
      <c r="A24" s="86" t="s">
        <v>115</v>
      </c>
      <c r="B24" s="87" t="s">
        <v>115</v>
      </c>
      <c r="C24" s="87" t="s">
        <v>73</v>
      </c>
      <c r="D24" s="92">
        <f>COUNTIFS('Raw With Formulas'!$G$1:$G$1000, 2, 'Raw With Formulas'!$H$1:$H$1000,B24)</f>
        <v>0</v>
      </c>
    </row>
    <row r="25">
      <c r="A25" s="89" t="s">
        <v>116</v>
      </c>
      <c r="B25" s="90" t="s">
        <v>116</v>
      </c>
      <c r="C25" s="90" t="s">
        <v>79</v>
      </c>
      <c r="D25" s="93">
        <f>COUNTIFS('Raw With Formulas'!$G$1:$G$1000, 2, 'Raw With Formulas'!$H$1:$H$1000,B25)</f>
        <v>0</v>
      </c>
    </row>
    <row r="26">
      <c r="A26" s="86" t="s">
        <v>117</v>
      </c>
      <c r="B26" s="87" t="s">
        <v>118</v>
      </c>
      <c r="C26" s="87" t="s">
        <v>81</v>
      </c>
      <c r="D26" s="92">
        <f>COUNTIFS('Raw With Formulas'!$G$1:$G$1000, 2, 'Raw With Formulas'!$H$1:$H$1000,B26)</f>
        <v>0</v>
      </c>
    </row>
    <row r="27">
      <c r="A27" s="89" t="s">
        <v>119</v>
      </c>
      <c r="B27" s="90" t="s">
        <v>120</v>
      </c>
      <c r="C27" s="90" t="s">
        <v>73</v>
      </c>
      <c r="D27" s="93">
        <f>COUNTIFS('Raw With Formulas'!$G$1:$G$1000, 2, 'Raw With Formulas'!$H$1:$H$1000,B27)</f>
        <v>0</v>
      </c>
    </row>
    <row r="28">
      <c r="A28" s="86" t="s">
        <v>121</v>
      </c>
      <c r="B28" s="87" t="s">
        <v>122</v>
      </c>
      <c r="C28" s="87" t="s">
        <v>76</v>
      </c>
      <c r="D28" s="92">
        <f>COUNTIFS('Raw With Formulas'!$G$1:$G$1000, 2, 'Raw With Formulas'!$H$1:$H$1000,B28)</f>
        <v>0</v>
      </c>
    </row>
    <row r="29">
      <c r="A29" s="89" t="s">
        <v>123</v>
      </c>
      <c r="B29" s="90" t="s">
        <v>124</v>
      </c>
      <c r="C29" s="90" t="s">
        <v>75</v>
      </c>
      <c r="D29" s="93">
        <f>COUNTIFS('Raw With Formulas'!$G$1:$G$1000, 2, 'Raw With Formulas'!$H$1:$H$1000,B29)</f>
        <v>0</v>
      </c>
    </row>
    <row r="30">
      <c r="A30" s="86" t="s">
        <v>125</v>
      </c>
      <c r="B30" s="87" t="s">
        <v>125</v>
      </c>
      <c r="C30" s="87" t="s">
        <v>80</v>
      </c>
      <c r="D30" s="92">
        <f>COUNTIFS('Raw With Formulas'!$G$1:$G$1000, 2, 'Raw With Formulas'!$H$1:$H$1000,B30)</f>
        <v>0</v>
      </c>
    </row>
    <row r="31">
      <c r="A31" s="89" t="s">
        <v>126</v>
      </c>
      <c r="B31" s="90" t="s">
        <v>127</v>
      </c>
      <c r="C31" s="90" t="s">
        <v>75</v>
      </c>
      <c r="D31" s="95">
        <f>COUNTIFS('Raw With Formulas'!$G$1:$G$1000, 2, 'Raw With Formulas'!$H$1:$H$1000,B31)</f>
        <v>1</v>
      </c>
    </row>
    <row r="32">
      <c r="A32" s="86" t="s">
        <v>128</v>
      </c>
      <c r="B32" s="87" t="s">
        <v>129</v>
      </c>
      <c r="C32" s="87" t="s">
        <v>78</v>
      </c>
      <c r="D32" s="92">
        <f>COUNTIFS('Raw With Formulas'!$G$1:$G$1000, 2, 'Raw With Formulas'!$H$1:$H$1000,B32)</f>
        <v>0</v>
      </c>
    </row>
    <row r="33">
      <c r="A33" s="96" t="s">
        <v>130</v>
      </c>
      <c r="B33" s="97" t="s">
        <v>131</v>
      </c>
      <c r="C33" s="97" t="s">
        <v>77</v>
      </c>
      <c r="D33" s="98">
        <f>COUNTIFS('Raw With Formulas'!$G$1:$G$1000, 2, 'Raw With Formulas'!$H$1:$H$1000,B33)</f>
        <v>0</v>
      </c>
    </row>
  </sheetData>
  <conditionalFormatting sqref="D3 D5 D7 D9 D11 D13 D15 D17 D19 D21 D23 D25 D27 D29 D31 D33">
    <cfRule type="cellIs" dxfId="6" priority="1" operator="equal">
      <formula>0</formula>
    </cfRule>
  </conditionalFormatting>
  <conditionalFormatting sqref="D2 D4 D6 D8 D10 D12 D14 D16 D18 D20 D22 D24 D26 D28 D30 D32">
    <cfRule type="cellIs" dxfId="3" priority="2" operator="equal">
      <formula>0</formula>
    </cfRule>
  </conditionalFormatting>
  <conditionalFormatting sqref="D2:D33">
    <cfRule type="expression" dxfId="10" priority="3">
      <formula>D2=MAX($D$3:$D$33)</formula>
    </cfRule>
  </conditionalFormatting>
  <conditionalFormatting sqref="D2:D33">
    <cfRule type="expression" dxfId="7" priority="4">
      <formula>D2=LARGE($D$3:$D$33,2)</formula>
    </cfRule>
  </conditionalFormatting>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s>
  <sheetData>
    <row r="1">
      <c r="A1" s="99" t="s">
        <v>132</v>
      </c>
      <c r="B1" s="99" t="s">
        <v>133</v>
      </c>
      <c r="C1" s="99" t="s">
        <v>134</v>
      </c>
      <c r="D1" s="99" t="s">
        <v>135</v>
      </c>
      <c r="E1" s="99" t="s">
        <v>136</v>
      </c>
      <c r="F1" s="99" t="s">
        <v>65</v>
      </c>
      <c r="G1" s="99" t="s">
        <v>137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1" width="12.63"/>
    <col customWidth="1" min="2" max="2" width="9.63"/>
    <col customWidth="1" min="3" max="3" width="11.5"/>
    <col hidden="1" min="4" max="4" width="12.63"/>
    <col customWidth="1" min="5" max="5" width="37.75"/>
    <col hidden="1" min="6" max="6" width="12.63"/>
    <col customWidth="1" min="7" max="7" width="24.0"/>
    <col hidden="1" min="8" max="8" width="12.63"/>
    <col customWidth="1" min="9" max="9" width="35.88"/>
    <col hidden="1" min="10" max="10" width="12.63"/>
    <col customWidth="1" min="11" max="11" width="35.88"/>
    <col hidden="1" min="12" max="12" width="12.63"/>
    <col customWidth="1" min="13" max="13" width="35.88"/>
    <col hidden="1" min="14" max="14" width="12.63"/>
    <col customWidth="1" min="15" max="15" width="35.88"/>
    <col hidden="1" min="16" max="16" width="12.63"/>
    <col customWidth="1" min="17" max="17" width="35.88"/>
    <col hidden="1" min="18" max="18" width="12.63"/>
    <col customWidth="1" min="19" max="19" width="35.88"/>
    <col hidden="1" min="20" max="20" width="12.63"/>
    <col customWidth="1" min="21" max="21" width="35.88"/>
    <col hidden="1" min="22" max="22" width="12.63"/>
    <col customWidth="1" min="23" max="23" width="35.88"/>
    <col hidden="1" min="24" max="24" width="12.63"/>
    <col customWidth="1" min="25" max="25" width="35.88"/>
    <col hidden="1" min="26" max="26" width="12.63"/>
    <col customWidth="1" min="27" max="27" width="35.88"/>
    <col hidden="1" min="28" max="28" width="12.63"/>
    <col customWidth="1" min="29" max="29" width="35.88"/>
    <col hidden="1" min="30" max="30" width="12.63"/>
    <col customWidth="1" min="31" max="31" width="24.0"/>
    <col hidden="1" min="32" max="32" width="12.63"/>
    <col customWidth="1" min="33" max="33" width="35.88"/>
    <col hidden="1" min="34" max="34" width="12.63"/>
    <col customWidth="1" min="35" max="35" width="24.0"/>
    <col hidden="1" min="36" max="36" width="12.63"/>
    <col customWidth="1" min="37" max="37" width="35.88"/>
    <col hidden="1" min="38" max="38" width="12.63"/>
    <col customWidth="1" min="39" max="39" width="35.88"/>
    <col hidden="1" min="40" max="40" width="12.63"/>
  </cols>
  <sheetData>
    <row r="1">
      <c r="A1" s="82" t="s">
        <v>83</v>
      </c>
      <c r="B1" s="83" t="s">
        <v>84</v>
      </c>
      <c r="C1" s="83" t="s">
        <v>85</v>
      </c>
      <c r="D1" s="83" t="s">
        <v>138</v>
      </c>
      <c r="E1" s="84" t="s">
        <v>139</v>
      </c>
      <c r="F1" s="83" t="s">
        <v>140</v>
      </c>
      <c r="G1" s="84" t="s">
        <v>141</v>
      </c>
      <c r="H1" s="83" t="s">
        <v>142</v>
      </c>
      <c r="I1" s="84" t="s">
        <v>143</v>
      </c>
      <c r="J1" s="83" t="s">
        <v>144</v>
      </c>
      <c r="K1" s="84" t="s">
        <v>145</v>
      </c>
      <c r="L1" s="83" t="s">
        <v>146</v>
      </c>
      <c r="M1" s="84" t="s">
        <v>147</v>
      </c>
      <c r="N1" s="83" t="s">
        <v>148</v>
      </c>
      <c r="O1" s="84" t="s">
        <v>149</v>
      </c>
      <c r="P1" s="83" t="s">
        <v>150</v>
      </c>
      <c r="Q1" s="84" t="s">
        <v>151</v>
      </c>
      <c r="R1" s="83" t="s">
        <v>152</v>
      </c>
      <c r="S1" s="84" t="s">
        <v>153</v>
      </c>
      <c r="T1" s="83" t="s">
        <v>154</v>
      </c>
      <c r="U1" s="84" t="s">
        <v>155</v>
      </c>
      <c r="V1" s="83" t="s">
        <v>156</v>
      </c>
      <c r="W1" s="84" t="s">
        <v>157</v>
      </c>
      <c r="X1" s="83" t="s">
        <v>158</v>
      </c>
      <c r="Y1" s="84" t="s">
        <v>159</v>
      </c>
      <c r="Z1" s="83" t="s">
        <v>160</v>
      </c>
      <c r="AA1" s="84" t="s">
        <v>161</v>
      </c>
      <c r="AB1" s="83" t="s">
        <v>162</v>
      </c>
      <c r="AC1" s="84" t="s">
        <v>163</v>
      </c>
      <c r="AD1" s="83" t="s">
        <v>164</v>
      </c>
      <c r="AE1" s="51" t="s">
        <v>165</v>
      </c>
      <c r="AF1" s="83" t="s">
        <v>166</v>
      </c>
      <c r="AG1" s="84" t="s">
        <v>167</v>
      </c>
      <c r="AH1" s="83" t="s">
        <v>168</v>
      </c>
      <c r="AI1" s="84" t="s">
        <v>169</v>
      </c>
      <c r="AJ1" s="83" t="s">
        <v>170</v>
      </c>
      <c r="AK1" s="84" t="s">
        <v>171</v>
      </c>
      <c r="AL1" s="83" t="s">
        <v>172</v>
      </c>
      <c r="AM1" s="84" t="s">
        <v>173</v>
      </c>
      <c r="AN1" s="85" t="s">
        <v>174</v>
      </c>
    </row>
    <row r="2">
      <c r="A2" s="86" t="s">
        <v>87</v>
      </c>
      <c r="B2" s="87" t="s">
        <v>87</v>
      </c>
      <c r="C2" s="87" t="str">
        <f>vlookup(A2,'Wins by Team'!A:C,3,false)</f>
        <v>Grant|Rusty</v>
      </c>
      <c r="D2" s="87" t="str">
        <f>E2&amp;COUNTIF($E2:E$3, E2)</f>
        <v>BYE, GAME NOT STARTED, OR NO STATS YET2</v>
      </c>
      <c r="E2" s="87" t="str">
        <f>if(MAXIFS('Player Stats - Current Week'!I:I,'Player Stats - Current Week'!C:C,B2,'Player Stats - Current Week'!D:D,"QB")=0,"BYE, GAME NOT STARTED, OR NO STATS YET",iferror(MAXIFS('Player Stats - Current Week'!I:I,'Player Stats - Current Week'!C:C,B2,'Player Stats - Current Week'!D:D,"QB"),""))</f>
        <v>BYE, GAME NOT STARTED, OR NO STATS YET</v>
      </c>
      <c r="F2" s="87" t="str">
        <f>G2&amp;COUNTIF($G2:G$3, G2)</f>
        <v>BYE OR GAME NOT STARTED2</v>
      </c>
      <c r="G2" s="87" t="str">
        <f>if(iferror(vlookup(CONCATENATE("Week 2",B2),'Raw With Formulas'!J:N,4,false),iferror(vlookup(CONCATENATE("Week 2",B2),'Raw With Formulas'!L:N,3,false),"BYE OR GAME NOT STARTED")) = "", "BYE OR GAME NOT STARTED", iferror(vlookup(CONCATENATE("Week 2",B2),'Raw With Formulas'!J:N,4,false),iferror(vlookup(CONCATENATE("Week 2",B2),'Raw With Formulas'!L:N,3,false),"BYE OR GAME NOT STARTED")))</f>
        <v>BYE OR GAME NOT STARTED</v>
      </c>
      <c r="H2" s="87" t="str">
        <f>I2&amp;COUNTIF($I2:I$3, I2)</f>
        <v>BYE, GAME NOT STARTED, OR NO STATS YET2</v>
      </c>
      <c r="I2" s="87" t="str">
        <f>if(today()&gt;='Week Date Mapping'!$A$4,iferror(
if(
sumifs(
'Player Stats - Current Week'!T:T,
'Player Stats - Current Week'!C:C,
iferror(
vlookup(
CONCATENATE("Week 3",B2), 
'Raw With Formulas'!J:O,
2,false
),
vlookup(CONCATENATE("Week 3",B2), 'Raw With Formulas'!L:O,4,false))) 
= 0,
"BYE, GAME NOT STARTED, OR NO STATS YET",
iferror(
sumifs(
'Player Stats - Current Week'!T:T,
'Player Stats - Current Week'!C:C,
iferror(
vlookup(
CONCATENATE("Week 3",B2), 
'Raw With Formulas'!J:O,
2,false
),
vlookup(CONCATENATE("Week 3",B2), 'Raw With Formulas'!L:O,4,false))),
""
)
),
"BYE, GAME NOT STARTED, OR NO STATS YET"
),"BYE, GAME NOT STARTED, OR NO STATS YET")</f>
        <v>BYE, GAME NOT STARTED, OR NO STATS YET</v>
      </c>
      <c r="J2" s="87" t="s">
        <v>175</v>
      </c>
      <c r="K2" s="87" t="str">
        <f>if(today()&gt;='Week Date Mapping'!$A$5,if(MAXIFS('Player Stats - Current Week'!E:E,'Player Stats - Current Week'!C:C,B2,'Player Stats - Current Week'!D:D,"TE")=0,"BYE, GAME NOT STARTED, OR NO STATS YET",iferror(MAXIFS('Player Stats - Current Week'!E:E,'Player Stats - Current Week'!C:C,B2,'Player Stats - Current Week'!D:D,"TE"),"")),"BYE, GAME NOT STARTED, OR NO STATS YET")</f>
        <v>BYE, GAME NOT STARTED, OR NO STATS YET</v>
      </c>
      <c r="L2" s="87" t="s">
        <v>175</v>
      </c>
      <c r="M2" s="87" t="str">
        <f>if(today()&gt;='Week Date Mapping'!$A$6,if(MAXIFS('Player Stats - Current Week'!Q:Q,'Player Stats - Current Week'!C:C,B2,'Player Stats - Current Week'!D:D,"WR")=0,"BYE, GAME NOT STARTED, OR NO STATS YET",iferror(MAXIFS('Player Stats - Current Week'!Q:Q,'Player Stats - Current Week'!C:C,B2,'Player Stats - Current Week'!D:D,"WR"),"")),"BYE, GAME NOT STARTED, OR NO STATS YET")</f>
        <v>BYE, GAME NOT STARTED, OR NO STATS YET</v>
      </c>
      <c r="N2" s="87" t="s">
        <v>175</v>
      </c>
      <c r="O2" s="87" t="str">
        <f>if(today()&gt;='Week Date Mapping'!$A$7,if((SUMIFS('Player Stats - Current Week'!L:L,'Player Stats - Current Week'!C:C,B2)+SUMIFS('Player Stats - Current Week'!R:R,'Player Stats - Current Week'!C:C,B2))=0,"BYE, GAME NOT STARTED, OR NO STATS YET",((SUMIFS('Player Stats - Current Week'!R:R,'Player Stats - Current Week'!C:C,B2)*6)+SUMIFS('Player Stats - Current Week'!L:L,'Player Stats - Current Week'!C:C,B2))),"BYE, GAME NOT STARTED, OR NO STATS YET")</f>
        <v>BYE, GAME NOT STARTED, OR NO STATS YET</v>
      </c>
      <c r="P2" s="87" t="s">
        <v>175</v>
      </c>
      <c r="Q2" s="87" t="str">
        <f>if(today()&gt;='Week Date Mapping'!$A$8,if((SUMIFS('Player Stats - Current Week'!G:G,'Player Stats - Current Week'!C:C,B2,'Player Stats - Current Week'!D:D,"RB")+SUMIFS('Player Stats - Current Week'!E:E,'Player Stats - Current Week'!C:C,B2,'Player Stats - Current Week'!D:D,"RB"))=0,"BYE, GAME NOT STARTED, OR NO STATS YET",((SUMIFS('Player Stats - Current Week'!G:G,'Player Stats - Current Week'!C:C,B2,'Player Stats - Current Week'!D:D,"RB"))+SUMIFS('Player Stats - Current Week'!E:E,'Player Stats - Current Week'!C:C,B2,'Player Stats - Current Week'!D:D,"RB"))),"BYE, GAME NOT STARTED, OR NO STATS YET")</f>
        <v>BYE, GAME NOT STARTED, OR NO STATS YET</v>
      </c>
      <c r="R2" s="87" t="s">
        <v>175</v>
      </c>
      <c r="S2" s="87" t="str">
        <f>if(today()&gt;='Week Date Mapping'!$A$9,if(MAXIFS('Player Stats - Current Week'!L:L,'Player Stats - Current Week'!C:C,B2,'Player Stats - Current Week'!D:D,"PK")=0,"BYE, GAME NOT STARTED, OR NO STATS YET",iferror(MAXIFS('Player Stats - Current Week'!L:L,'Player Stats - Current Week'!C:C,B2,'Player Stats - Current Week'!D:D,"PK"),"")),"BYE, GAME NOT STARTED, OR NO STATS YET")</f>
        <v>BYE, GAME NOT STARTED, OR NO STATS YET</v>
      </c>
      <c r="T2" s="87" t="s">
        <v>175</v>
      </c>
      <c r="U2" s="87" t="str">
        <f>if(today()&gt;='Week Date Mapping'!$A$10,if(MAXIFS('Player Stats - Current Week'!N:N,'Player Stats - Current Week'!C:C,B2,'Player Stats - Current Week'!D:D,"QB")=0,"BYE, GAME NOT STARTED, OR NO STATS YET",iferror(MAXIFS('Player Stats - Current Week'!N:N,'Player Stats - Current Week'!C:C,B2,'Player Stats - Current Week'!D:D,"QB"),"")),"BYE, GAME NOT STARTED, OR NO STATS YET")</f>
        <v>BYE, GAME NOT STARTED, OR NO STATS YET</v>
      </c>
      <c r="V2" s="87" t="s">
        <v>175</v>
      </c>
      <c r="W2" s="87" t="str">
        <f>if(today()&gt;='Week Date Mapping'!$A$11,if(SUMIFS('Player Stats - Current Week'!O:O,'Player Stats - Current Week'!C:C,B2)=0,"BYE, GAME NOT STARTED, OR NO STATS YET",iferror(SUMIFS('Player Stats - Current Week'!O:O,'Player Stats - Current Week'!C:C,B2),"")),"BYE, GAME NOT STARTED, OR NO STATS YET")</f>
        <v>BYE, GAME NOT STARTED, OR NO STATS YET</v>
      </c>
      <c r="X2" s="87" t="s">
        <v>175</v>
      </c>
      <c r="Y2" s="87" t="str">
        <f>if(today()&gt;='Week Date Mapping'!$A$12,if(MAXIFS('Player Stats - Current Week'!Q:Q,'Player Stats - Current Week'!C:C,B2,'Player Stats - Current Week'!D:D,"TE")=0,"BYE, GAME NOT STARTED, OR NO STATS YET",iferror(MAXIFS('Player Stats - Current Week'!Q:Q,'Player Stats - Current Week'!C:C,B2,'Player Stats - Current Week'!D:D,"TE"),"")),"BYE, GAME NOT STARTED, OR NO STATS YET")</f>
        <v>BYE, GAME NOT STARTED, OR NO STATS YET</v>
      </c>
      <c r="Z2" s="87" t="s">
        <v>175</v>
      </c>
      <c r="AA2" s="87" t="str">
        <f>if(today()&gt;='Week Date Mapping'!$A$13,if(MAXIFS('Player Stats - Current Week'!S:S,'Player Stats - Current Week'!C:C,B2)=0,"BYE, GAME NOT STARTED, OR NO STATS YET",iferror(MAXIFS('Player Stats - Current Week'!S:S,'Player Stats - Current Week'!C:C,B2),"")),"BYE, GAME NOT STARTED, OR NO STATS YET")</f>
        <v>BYE, GAME NOT STARTED, OR NO STATS YET</v>
      </c>
      <c r="AB2" s="87" t="s">
        <v>175</v>
      </c>
      <c r="AC2" s="87" t="str">
        <f>if(today()&gt;='Week Date Mapping'!$A$14,if(MAXIFS('Player Stats - Current Week'!G:G,'Player Stats - Current Week'!C:C,B2,'Player Stats - Current Week'!D:D,"QB")=0,"BYE, GAME NOT STARTED, OR NO STATS YET",iferror(MAXIFS('Player Stats - Current Week'!G:G,'Player Stats - Current Week'!C:C,B2,'Player Stats - Current Week'!D:D,"QB"),"")),"BYE, GAME NOT STARTED, OR NO STATS YET")</f>
        <v>BYE, GAME NOT STARTED, OR NO STATS YET</v>
      </c>
      <c r="AD2" s="87" t="str">
        <f>AE2&amp;COUNTIF($AE2:AE$3, AE2)</f>
        <v>BYE OR GAME NOT STARTED2</v>
      </c>
      <c r="AE2" s="100" t="str">
        <f>if(today()&gt;='Week Date Mapping'!$A$15,if(iferror(vlookup(CONCATENATE("Week 14",B2),'Raw With Formulas'!J:N,5,false),iferror(vlookup(CONCATENATE("Week 14",B2),'Raw With Formulas'!L:N,2,false),"BYE OR GAME NOT STARTED"))="","BYE OR GAME NOT STARTED",iferror(vlookup(CONCATENATE("Week 14",B2),'Raw With Formulas'!J:N,5,false),iferror(vlookup(CONCATENATE("Week 14",B2),'Raw With Formulas'!L:N,2,false),"BYE OR GAME NOT STARTED"))),"BYE OR GAME NOT STARTED")</f>
        <v>BYE OR GAME NOT STARTED</v>
      </c>
      <c r="AF2" s="87" t="str">
        <f>AG2&amp;COUNTIF($AG2:AG$3, AG2)</f>
        <v>BYE, GAME NOT STARTED, OR NO STATS YET2</v>
      </c>
      <c r="AG2" s="87" t="str">
        <f>if(today()&gt;='Week Date Mapping'!$A$16,if(MAXIFS('Player Stats - Current Week'!Q:Q,'Player Stats - Current Week'!C:C,B2,'Player Stats - Current Week'!D:D,"QB")=0,"BYE, GAME NOT STARTED, OR NO STATS YET",iferror(MAXIFS('Player Stats - Current Week'!Q:Q,'Player Stats - Current Week'!C:C,B2,'Player Stats - Current Week'!D:D,"QB"),"")),"BYE, GAME NOT STARTED, OR NO STATS YET")</f>
        <v>BYE, GAME NOT STARTED, OR NO STATS YET</v>
      </c>
      <c r="AH2" s="87" t="str">
        <f>AI2&amp;COUNTIF($AI2:AI$3, AI2)</f>
        <v>BYE OR GAME NOT STARTED2</v>
      </c>
      <c r="AI2" s="87" t="str">
        <f>if(today()&gt;='Week Date Mapping'!$A$17,if(iferror(vlookup(CONCATENATE("Week 16",B2),'Raw With Formulas'!J:N,4,false),iferror(vlookup(CONCATENATE("Week 16",B2),'Raw With Formulas'!L:N,3,false),"BYE OR GAME NOT STARTED"))="","BYE OR GAME NOT STARTED",iferror(vlookup(CONCATENATE("Week 16",B2),'Raw With Formulas'!J:N,4,false),iferror(vlookup(CONCATENATE("Week 16",B2),'Raw With Formulas'!L:N,3,false),"BYE OR GAME NOT STARTED"))),"BYE OR GAME NOT STARTED")</f>
        <v>BYE OR GAME NOT STARTED</v>
      </c>
      <c r="AJ2" s="87" t="str">
        <f>AK2&amp;COUNTIF($AK2:AK$3, AK2)</f>
        <v>BYE, GAME NOT STARTED, OR NO STATS YET2</v>
      </c>
      <c r="AK2" s="87" t="str">
        <f>if(today()&gt;='Week Date Mapping'!$A$18,if(MAXIFS('Player Stats - Current Week'!E:E,'Player Stats - Current Week'!C:C,B2,'Player Stats - Current Week'!D:D,"WR")=0,"BYE, GAME NOT STARTED, OR NO STATS YET",iferror(MAXIFS('Player Stats - Current Week'!E:E,'Player Stats - Current Week'!C:C,B2,'Player Stats - Current Week'!D:D,"WR"),"")),"BYE, GAME NOT STARTED, OR NO STATS YET")</f>
        <v>BYE, GAME NOT STARTED, OR NO STATS YET</v>
      </c>
      <c r="AL2" s="87" t="s">
        <v>175</v>
      </c>
      <c r="AM2" s="87" t="str">
        <f>if(today()&gt;='Week Date Mapping'!$A$19,if(MAXIFS('Player Stats - Current Week'!Q:Q,'Player Stats - Current Week'!C:C,B2,'Player Stats - Current Week'!D:D,"RB")=0,"BYE, GAME NOT STARTED, OR NO STATS YET",iferror(MAXIFS('Player Stats - Current Week'!Q:Q,'Player Stats - Current Week'!C:C,B2,'Player Stats - Current Week'!D:D,"RB"),"")),"BYE, GAME NOT STARTED, OR NO STATS YET")</f>
        <v>BYE, GAME NOT STARTED, OR NO STATS YET</v>
      </c>
      <c r="AN2" s="88" t="str">
        <f t="shared" ref="AN2:AN33" si="1">C2</f>
        <v>Grant|Rusty</v>
      </c>
    </row>
    <row r="3">
      <c r="A3" s="89" t="s">
        <v>88</v>
      </c>
      <c r="B3" s="90" t="s">
        <v>88</v>
      </c>
      <c r="C3" s="90" t="str">
        <f>vlookup(A3,'Wins by Team'!A:C,3,false)</f>
        <v>Rob</v>
      </c>
      <c r="D3" s="90" t="str">
        <f t="shared" ref="D3:D33" si="2">E3&amp;COUNTIF($E$3:E3, E3)</f>
        <v>BYE, GAME NOT STARTED, OR NO STATS YET1</v>
      </c>
      <c r="E3" s="90" t="str">
        <f>if(MAXIFS('Player Stats - Current Week'!I:I,'Player Stats - Current Week'!C:C,B3,'Player Stats - Current Week'!D:D,"QB")=0,"BYE, GAME NOT STARTED, OR NO STATS YET",iferror(MAXIFS('Player Stats - Current Week'!I:I,'Player Stats - Current Week'!C:C,B3,'Player Stats - Current Week'!D:D,"QB"),""))</f>
        <v>BYE, GAME NOT STARTED, OR NO STATS YET</v>
      </c>
      <c r="F3" s="90" t="str">
        <f t="shared" ref="F3:F17" si="3">G3&amp;COUNTIF($G$3:G3, G3)</f>
        <v>BYE OR GAME NOT STARTED1</v>
      </c>
      <c r="G3" s="90" t="str">
        <f>if(iferror(vlookup(CONCATENATE("Week 2",B3),'Raw With Formulas'!J:N,4,false),iferror(vlookup(CONCATENATE("Week 2",B3),'Raw With Formulas'!L:N,3,false),"BYE OR GAME NOT STARTED")) = "", "BYE OR GAME NOT STARTED", iferror(vlookup(CONCATENATE("Week 2",B3),'Raw With Formulas'!J:N,4,false),iferror(vlookup(CONCATENATE("Week 2",B3),'Raw With Formulas'!L:N,3,false),"BYE OR GAME NOT STARTED")))</f>
        <v>BYE OR GAME NOT STARTED</v>
      </c>
      <c r="H3" s="90" t="str">
        <f t="shared" ref="H3:H17" si="4">I3&amp;COUNTIF($I$3:I3, I3)</f>
        <v>BYE, GAME NOT STARTED, OR NO STATS YET1</v>
      </c>
      <c r="I3" s="90" t="str">
        <f>if(today()&gt;='Week Date Mapping'!$A$4,iferror(
if(
sumifs(
'Player Stats - Current Week'!T:T,
'Player Stats - Current Week'!C:C,
iferror(
vlookup(
CONCATENATE("Week 3",B3), 
'Raw With Formulas'!J:O,
2,false
),
vlookup(CONCATENATE("Week 3",B3), 'Raw With Formulas'!L:O,4,false))) 
= 0,
"BYE, GAME NOT STARTED, OR NO STATS YET",
iferror(
sumifs(
'Player Stats - Current Week'!T:T,
'Player Stats - Current Week'!C:C,
iferror(
vlookup(
CONCATENATE("Week 3",B3), 
'Raw With Formulas'!J:O,
2,false
),
vlookup(CONCATENATE("Week 3",B3), 'Raw With Formulas'!L:O,4,false))),
""
)
),
"BYE, GAME NOT STARTED, OR NO STATS YET"
),"BYE, GAME NOT STARTED, OR NO STATS YET")</f>
        <v>BYE, GAME NOT STARTED, OR NO STATS YET</v>
      </c>
      <c r="J3" s="90" t="s">
        <v>175</v>
      </c>
      <c r="K3" s="90" t="str">
        <f>if(today()&gt;='Week Date Mapping'!$A$5,if(MAXIFS('Player Stats - Current Week'!E:E,'Player Stats - Current Week'!C:C,B3,'Player Stats - Current Week'!D:D,"TE")=0,"BYE, GAME NOT STARTED, OR NO STATS YET",iferror(MAXIFS('Player Stats - Current Week'!E:E,'Player Stats - Current Week'!C:C,B3,'Player Stats - Current Week'!D:D,"TE"),"")),"BYE, GAME NOT STARTED, OR NO STATS YET")</f>
        <v>BYE, GAME NOT STARTED, OR NO STATS YET</v>
      </c>
      <c r="L3" s="90" t="s">
        <v>175</v>
      </c>
      <c r="M3" s="90" t="str">
        <f>if(today()&gt;='Week Date Mapping'!$A$6,if(MAXIFS('Player Stats - Current Week'!Q:Q,'Player Stats - Current Week'!C:C,B3,'Player Stats - Current Week'!D:D,"WR")=0,"BYE, GAME NOT STARTED, OR NO STATS YET",iferror(MAXIFS('Player Stats - Current Week'!Q:Q,'Player Stats - Current Week'!C:C,B3,'Player Stats - Current Week'!D:D,"WR"),"")),"BYE, GAME NOT STARTED, OR NO STATS YET")</f>
        <v>BYE, GAME NOT STARTED, OR NO STATS YET</v>
      </c>
      <c r="N3" s="90" t="s">
        <v>175</v>
      </c>
      <c r="O3" s="90" t="str">
        <f>if(today()&gt;='Week Date Mapping'!$A$7,if((SUMIFS('Player Stats - Current Week'!L:L,'Player Stats - Current Week'!C:C,B3)+SUMIFS('Player Stats - Current Week'!R:R,'Player Stats - Current Week'!C:C,B3))=0,"BYE, GAME NOT STARTED, OR NO STATS YET",((SUMIFS('Player Stats - Current Week'!R:R,'Player Stats - Current Week'!C:C,B3)*6)+SUMIFS('Player Stats - Current Week'!L:L,'Player Stats - Current Week'!C:C,B3))),"BYE, GAME NOT STARTED, OR NO STATS YET")</f>
        <v>BYE, GAME NOT STARTED, OR NO STATS YET</v>
      </c>
      <c r="P3" s="90" t="s">
        <v>175</v>
      </c>
      <c r="Q3" s="90" t="str">
        <f>if(today()&gt;='Week Date Mapping'!$A$8,if((SUMIFS('Player Stats - Current Week'!G:G,'Player Stats - Current Week'!C:C,B3,'Player Stats - Current Week'!D:D,"RB")+SUMIFS('Player Stats - Current Week'!E:E,'Player Stats - Current Week'!C:C,B3,'Player Stats - Current Week'!D:D,"RB"))=0,"BYE, GAME NOT STARTED, OR NO STATS YET",((SUMIFS('Player Stats - Current Week'!G:G,'Player Stats - Current Week'!C:C,B3,'Player Stats - Current Week'!D:D,"RB"))+SUMIFS('Player Stats - Current Week'!E:E,'Player Stats - Current Week'!C:C,B3,'Player Stats - Current Week'!D:D,"RB"))),"BYE, GAME NOT STARTED, OR NO STATS YET")</f>
        <v>BYE, GAME NOT STARTED, OR NO STATS YET</v>
      </c>
      <c r="R3" s="90" t="s">
        <v>175</v>
      </c>
      <c r="S3" s="90" t="str">
        <f>if(today()&gt;='Week Date Mapping'!$A$9,if(MAXIFS('Player Stats - Current Week'!L:L,'Player Stats - Current Week'!C:C,B3,'Player Stats - Current Week'!D:D,"PK")=0,"BYE, GAME NOT STARTED, OR NO STATS YET",iferror(MAXIFS('Player Stats - Current Week'!L:L,'Player Stats - Current Week'!C:C,B3,'Player Stats - Current Week'!D:D,"PK"),"")),"BYE, GAME NOT STARTED, OR NO STATS YET")</f>
        <v>BYE, GAME NOT STARTED, OR NO STATS YET</v>
      </c>
      <c r="T3" s="90" t="s">
        <v>175</v>
      </c>
      <c r="U3" s="90" t="str">
        <f>if(today()&gt;='Week Date Mapping'!$A$10,if(MAXIFS('Player Stats - Current Week'!N:N,'Player Stats - Current Week'!C:C,B3,'Player Stats - Current Week'!D:D,"QB")=0,"BYE, GAME NOT STARTED, OR NO STATS YET",iferror(MAXIFS('Player Stats - Current Week'!N:N,'Player Stats - Current Week'!C:C,B3,'Player Stats - Current Week'!D:D,"QB"),"")),"BYE, GAME NOT STARTED, OR NO STATS YET")</f>
        <v>BYE, GAME NOT STARTED, OR NO STATS YET</v>
      </c>
      <c r="V3" s="90" t="s">
        <v>175</v>
      </c>
      <c r="W3" s="90" t="str">
        <f>if(today()&gt;='Week Date Mapping'!$A$11,if(SUMIFS('Player Stats - Current Week'!O:O,'Player Stats - Current Week'!C:C,B3)=0,"BYE, GAME NOT STARTED, OR NO STATS YET",iferror(SUMIFS('Player Stats - Current Week'!O:O,'Player Stats - Current Week'!C:C,B3),"")),"BYE, GAME NOT STARTED, OR NO STATS YET")</f>
        <v>BYE, GAME NOT STARTED, OR NO STATS YET</v>
      </c>
      <c r="X3" s="90" t="s">
        <v>175</v>
      </c>
      <c r="Y3" s="90" t="str">
        <f>if(today()&gt;='Week Date Mapping'!$A$12,if(MAXIFS('Player Stats - Current Week'!Q:Q,'Player Stats - Current Week'!C:C,B3,'Player Stats - Current Week'!D:D,"TE")=0,"BYE, GAME NOT STARTED, OR NO STATS YET",iferror(MAXIFS('Player Stats - Current Week'!Q:Q,'Player Stats - Current Week'!C:C,B3,'Player Stats - Current Week'!D:D,"TE"),"")),"BYE, GAME NOT STARTED, OR NO STATS YET")</f>
        <v>BYE, GAME NOT STARTED, OR NO STATS YET</v>
      </c>
      <c r="Z3" s="90" t="s">
        <v>175</v>
      </c>
      <c r="AA3" s="90" t="str">
        <f>if(today()&gt;='Week Date Mapping'!$A$13,if(MAXIFS('Player Stats - Current Week'!S:S,'Player Stats - Current Week'!C:C,B3)=0,"BYE, GAME NOT STARTED, OR NO STATS YET",iferror(MAXIFS('Player Stats - Current Week'!S:S,'Player Stats - Current Week'!C:C,B3),"")),"BYE, GAME NOT STARTED, OR NO STATS YET")</f>
        <v>BYE, GAME NOT STARTED, OR NO STATS YET</v>
      </c>
      <c r="AB3" s="90" t="s">
        <v>175</v>
      </c>
      <c r="AC3" s="90" t="str">
        <f>if(today()&gt;='Week Date Mapping'!$A$14,if(MAXIFS('Player Stats - Current Week'!G:G,'Player Stats - Current Week'!C:C,B3,'Player Stats - Current Week'!D:D,"QB")=0,"BYE, GAME NOT STARTED, OR NO STATS YET",iferror(MAXIFS('Player Stats - Current Week'!G:G,'Player Stats - Current Week'!C:C,B3,'Player Stats - Current Week'!D:D,"QB"),"")),"BYE, GAME NOT STARTED, OR NO STATS YET")</f>
        <v>BYE, GAME NOT STARTED, OR NO STATS YET</v>
      </c>
      <c r="AD3" s="90" t="str">
        <f t="shared" ref="AD3:AD17" si="5">AE3&amp;COUNTIF($AE$3:AE3, AE3)</f>
        <v>BYE OR GAME NOT STARTED1</v>
      </c>
      <c r="AE3" s="101" t="str">
        <f>if(today()&gt;='Week Date Mapping'!$A$15,if(iferror(vlookup(CONCATENATE("Week 14",B3),'Raw With Formulas'!J:N,5,false),iferror(vlookup(CONCATENATE("Week 14",B3),'Raw With Formulas'!L:N,2,false),"BYE OR GAME NOT STARTED"))="","BYE OR GAME NOT STARTED",iferror(vlookup(CONCATENATE("Week 14",B3),'Raw With Formulas'!J:N,5,false),iferror(vlookup(CONCATENATE("Week 14",B3),'Raw With Formulas'!L:N,2,false),"BYE OR GAME NOT STARTED"))),"BYE OR GAME NOT STARTED")</f>
        <v>BYE OR GAME NOT STARTED</v>
      </c>
      <c r="AF3" s="90" t="str">
        <f t="shared" ref="AF3:AF17" si="6">AG3&amp;COUNTIF($AG$3:AG3, AG3)</f>
        <v>BYE, GAME NOT STARTED, OR NO STATS YET1</v>
      </c>
      <c r="AG3" s="90" t="str">
        <f>if(today()&gt;='Week Date Mapping'!$A$16,if(MAXIFS('Player Stats - Current Week'!Q:Q,'Player Stats - Current Week'!C:C,B3,'Player Stats - Current Week'!D:D,"QB")=0,"BYE, GAME NOT STARTED, OR NO STATS YET",iferror(MAXIFS('Player Stats - Current Week'!Q:Q,'Player Stats - Current Week'!C:C,B3,'Player Stats - Current Week'!D:D,"QB"),"")),"BYE, GAME NOT STARTED, OR NO STATS YET")</f>
        <v>BYE, GAME NOT STARTED, OR NO STATS YET</v>
      </c>
      <c r="AH3" s="90" t="str">
        <f t="shared" ref="AH3:AH17" si="7">AI3&amp;COUNTIF($AI$3:AI3, AI3)</f>
        <v>BYE OR GAME NOT STARTED1</v>
      </c>
      <c r="AI3" s="90" t="str">
        <f>if(today()&gt;='Week Date Mapping'!$A$17,if(iferror(vlookup(CONCATENATE("Week 16",B3),'Raw With Formulas'!J:N,4,false),iferror(vlookup(CONCATENATE("Week 16",B3),'Raw With Formulas'!L:N,3,false),"BYE OR GAME NOT STARTED"))="","BYE OR GAME NOT STARTED",iferror(vlookup(CONCATENATE("Week 16",B3),'Raw With Formulas'!J:N,4,false),iferror(vlookup(CONCATENATE("Week 16",B3),'Raw With Formulas'!L:N,3,false),"BYE OR GAME NOT STARTED"))),"BYE OR GAME NOT STARTED")</f>
        <v>BYE OR GAME NOT STARTED</v>
      </c>
      <c r="AJ3" s="90" t="str">
        <f t="shared" ref="AJ3:AJ17" si="8">AK3&amp;COUNTIF($AK$3:AK3, AK3)</f>
        <v>BYE, GAME NOT STARTED, OR NO STATS YET1</v>
      </c>
      <c r="AK3" s="90" t="str">
        <f>if(today()&gt;='Week Date Mapping'!$A$18,if(MAXIFS('Player Stats - Current Week'!E:E,'Player Stats - Current Week'!C:C,B3,'Player Stats - Current Week'!D:D,"WR")=0,"BYE, GAME NOT STARTED, OR NO STATS YET",iferror(MAXIFS('Player Stats - Current Week'!E:E,'Player Stats - Current Week'!C:C,B3,'Player Stats - Current Week'!D:D,"WR"),"")),"BYE, GAME NOT STARTED, OR NO STATS YET")</f>
        <v>BYE, GAME NOT STARTED, OR NO STATS YET</v>
      </c>
      <c r="AL3" s="90" t="s">
        <v>175</v>
      </c>
      <c r="AM3" s="90" t="str">
        <f>if(today()&gt;='Week Date Mapping'!$A$19,if(MAXIFS('Player Stats - Current Week'!Q:Q,'Player Stats - Current Week'!C:C,B3,'Player Stats - Current Week'!D:D,"RB")=0,"BYE, GAME NOT STARTED, OR NO STATS YET",iferror(MAXIFS('Player Stats - Current Week'!Q:Q,'Player Stats - Current Week'!C:C,B3,'Player Stats - Current Week'!D:D,"RB"),"")),"BYE, GAME NOT STARTED, OR NO STATS YET")</f>
        <v>BYE, GAME NOT STARTED, OR NO STATS YET</v>
      </c>
      <c r="AN3" s="102" t="str">
        <f t="shared" si="1"/>
        <v>Rob</v>
      </c>
    </row>
    <row r="4">
      <c r="A4" s="86" t="s">
        <v>89</v>
      </c>
      <c r="B4" s="87" t="s">
        <v>89</v>
      </c>
      <c r="C4" s="87" t="str">
        <f>vlookup(A4,'Wins by Team'!A:C,3,false)</f>
        <v>Grant|Rusty</v>
      </c>
      <c r="D4" s="94" t="str">
        <f t="shared" si="2"/>
        <v>BYE, GAME NOT STARTED, OR NO STATS YET2</v>
      </c>
      <c r="E4" s="87" t="str">
        <f>if(MAXIFS('Player Stats - Current Week'!I:I,'Player Stats - Current Week'!C:C,B4,'Player Stats - Current Week'!D:D,"QB")=0,"BYE, GAME NOT STARTED, OR NO STATS YET",iferror(MAXIFS('Player Stats - Current Week'!I:I,'Player Stats - Current Week'!C:C,B4,'Player Stats - Current Week'!D:D,"QB"),""))</f>
        <v>BYE, GAME NOT STARTED, OR NO STATS YET</v>
      </c>
      <c r="F4" s="94" t="str">
        <f t="shared" si="3"/>
        <v>BYE OR GAME NOT STARTED2</v>
      </c>
      <c r="G4" s="87" t="str">
        <f>if(iferror(vlookup(CONCATENATE("Week 2",B4),'Raw With Formulas'!J:N,4,false),iferror(vlookup(CONCATENATE("Week 2",B4),'Raw With Formulas'!L:N,3,false),"BYE OR GAME NOT STARTED")) = "", "BYE OR GAME NOT STARTED", iferror(vlookup(CONCATENATE("Week 2",B4),'Raw With Formulas'!J:N,4,false),iferror(vlookup(CONCATENATE("Week 2",B4),'Raw With Formulas'!L:N,3,false),"BYE OR GAME NOT STARTED")))</f>
        <v>BYE OR GAME NOT STARTED</v>
      </c>
      <c r="H4" s="94" t="str">
        <f t="shared" si="4"/>
        <v>BYE, GAME NOT STARTED, OR NO STATS YET2</v>
      </c>
      <c r="I4" s="87" t="str">
        <f>if(today()&gt;='Week Date Mapping'!$A$4,iferror(
if(
sumifs(
'Player Stats - Current Week'!T:T,
'Player Stats - Current Week'!C:C,
iferror(
vlookup(
CONCATENATE("Week 3",B4), 
'Raw With Formulas'!J:O,
2,false
),
vlookup(CONCATENATE("Week 3",B4), 'Raw With Formulas'!L:O,4,false))) 
= 0,
"BYE, GAME NOT STARTED, OR NO STATS YET",
iferror(
sumifs(
'Player Stats - Current Week'!T:T,
'Player Stats - Current Week'!C:C,
iferror(
vlookup(
CONCATENATE("Week 3",B4), 
'Raw With Formulas'!J:O,
2,false
),
vlookup(CONCATENATE("Week 3",B4), 'Raw With Formulas'!L:O,4,false))),
""
)
),
"BYE, GAME NOT STARTED, OR NO STATS YET"
),"BYE, GAME NOT STARTED, OR NO STATS YET")</f>
        <v>BYE, GAME NOT STARTED, OR NO STATS YET</v>
      </c>
      <c r="J4" s="87" t="s">
        <v>175</v>
      </c>
      <c r="K4" s="87" t="str">
        <f>if(today()&gt;='Week Date Mapping'!$A$5,if(MAXIFS('Player Stats - Current Week'!E:E,'Player Stats - Current Week'!C:C,B4,'Player Stats - Current Week'!D:D,"TE")=0,"BYE, GAME NOT STARTED, OR NO STATS YET",iferror(MAXIFS('Player Stats - Current Week'!E:E,'Player Stats - Current Week'!C:C,B4,'Player Stats - Current Week'!D:D,"TE"),"")),"BYE, GAME NOT STARTED, OR NO STATS YET")</f>
        <v>BYE, GAME NOT STARTED, OR NO STATS YET</v>
      </c>
      <c r="L4" s="87" t="s">
        <v>175</v>
      </c>
      <c r="M4" s="87" t="str">
        <f>if(today()&gt;='Week Date Mapping'!$A$6,if(MAXIFS('Player Stats - Current Week'!Q:Q,'Player Stats - Current Week'!C:C,B4,'Player Stats - Current Week'!D:D,"WR")=0,"BYE, GAME NOT STARTED, OR NO STATS YET",iferror(MAXIFS('Player Stats - Current Week'!Q:Q,'Player Stats - Current Week'!C:C,B4,'Player Stats - Current Week'!D:D,"WR"),"")),"BYE, GAME NOT STARTED, OR NO STATS YET")</f>
        <v>BYE, GAME NOT STARTED, OR NO STATS YET</v>
      </c>
      <c r="N4" s="87" t="s">
        <v>175</v>
      </c>
      <c r="O4" s="87" t="str">
        <f>if(today()&gt;='Week Date Mapping'!$A$7,if((SUMIFS('Player Stats - Current Week'!L:L,'Player Stats - Current Week'!C:C,B4)+SUMIFS('Player Stats - Current Week'!R:R,'Player Stats - Current Week'!C:C,B4))=0,"BYE, GAME NOT STARTED, OR NO STATS YET",((SUMIFS('Player Stats - Current Week'!R:R,'Player Stats - Current Week'!C:C,B4)*6)+SUMIFS('Player Stats - Current Week'!L:L,'Player Stats - Current Week'!C:C,B4))),"BYE, GAME NOT STARTED, OR NO STATS YET")</f>
        <v>BYE, GAME NOT STARTED, OR NO STATS YET</v>
      </c>
      <c r="P4" s="87" t="s">
        <v>175</v>
      </c>
      <c r="Q4" s="87" t="str">
        <f>if(today()&gt;='Week Date Mapping'!$A$8,if((SUMIFS('Player Stats - Current Week'!G:G,'Player Stats - Current Week'!C:C,B4,'Player Stats - Current Week'!D:D,"RB")+SUMIFS('Player Stats - Current Week'!E:E,'Player Stats - Current Week'!C:C,B4,'Player Stats - Current Week'!D:D,"RB"))=0,"BYE, GAME NOT STARTED, OR NO STATS YET",((SUMIFS('Player Stats - Current Week'!G:G,'Player Stats - Current Week'!C:C,B4,'Player Stats - Current Week'!D:D,"RB"))+SUMIFS('Player Stats - Current Week'!E:E,'Player Stats - Current Week'!C:C,B4,'Player Stats - Current Week'!D:D,"RB"))),"BYE, GAME NOT STARTED, OR NO STATS YET")</f>
        <v>BYE, GAME NOT STARTED, OR NO STATS YET</v>
      </c>
      <c r="R4" s="87" t="s">
        <v>175</v>
      </c>
      <c r="S4" s="87" t="str">
        <f>if(today()&gt;='Week Date Mapping'!$A$9,if(MAXIFS('Player Stats - Current Week'!L:L,'Player Stats - Current Week'!C:C,B4,'Player Stats - Current Week'!D:D,"PK")=0,"BYE, GAME NOT STARTED, OR NO STATS YET",iferror(MAXIFS('Player Stats - Current Week'!L:L,'Player Stats - Current Week'!C:C,B4,'Player Stats - Current Week'!D:D,"PK"),"")),"BYE, GAME NOT STARTED, OR NO STATS YET")</f>
        <v>BYE, GAME NOT STARTED, OR NO STATS YET</v>
      </c>
      <c r="T4" s="87" t="s">
        <v>175</v>
      </c>
      <c r="U4" s="87" t="str">
        <f>if(today()&gt;='Week Date Mapping'!$A$10,if(MAXIFS('Player Stats - Current Week'!N:N,'Player Stats - Current Week'!C:C,B4,'Player Stats - Current Week'!D:D,"QB")=0,"BYE, GAME NOT STARTED, OR NO STATS YET",iferror(MAXIFS('Player Stats - Current Week'!N:N,'Player Stats - Current Week'!C:C,B4,'Player Stats - Current Week'!D:D,"QB"),"")),"BYE, GAME NOT STARTED, OR NO STATS YET")</f>
        <v>BYE, GAME NOT STARTED, OR NO STATS YET</v>
      </c>
      <c r="V4" s="87" t="s">
        <v>175</v>
      </c>
      <c r="W4" s="87" t="str">
        <f>if(today()&gt;='Week Date Mapping'!$A$11,if(SUMIFS('Player Stats - Current Week'!O:O,'Player Stats - Current Week'!C:C,B4)=0,"BYE, GAME NOT STARTED, OR NO STATS YET",iferror(SUMIFS('Player Stats - Current Week'!O:O,'Player Stats - Current Week'!C:C,B4),"")),"BYE, GAME NOT STARTED, OR NO STATS YET")</f>
        <v>BYE, GAME NOT STARTED, OR NO STATS YET</v>
      </c>
      <c r="X4" s="87" t="s">
        <v>175</v>
      </c>
      <c r="Y4" s="87" t="str">
        <f>if(today()&gt;='Week Date Mapping'!$A$12,if(MAXIFS('Player Stats - Current Week'!Q:Q,'Player Stats - Current Week'!C:C,B4,'Player Stats - Current Week'!D:D,"TE")=0,"BYE, GAME NOT STARTED, OR NO STATS YET",iferror(MAXIFS('Player Stats - Current Week'!Q:Q,'Player Stats - Current Week'!C:C,B4,'Player Stats - Current Week'!D:D,"TE"),"")),"BYE, GAME NOT STARTED, OR NO STATS YET")</f>
        <v>BYE, GAME NOT STARTED, OR NO STATS YET</v>
      </c>
      <c r="Z4" s="87" t="s">
        <v>175</v>
      </c>
      <c r="AA4" s="87" t="str">
        <f>if(today()&gt;='Week Date Mapping'!$A$13,if(MAXIFS('Player Stats - Current Week'!S:S,'Player Stats - Current Week'!C:C,B4)=0,"BYE, GAME NOT STARTED, OR NO STATS YET",iferror(MAXIFS('Player Stats - Current Week'!S:S,'Player Stats - Current Week'!C:C,B4),"")),"BYE, GAME NOT STARTED, OR NO STATS YET")</f>
        <v>BYE, GAME NOT STARTED, OR NO STATS YET</v>
      </c>
      <c r="AB4" s="87" t="s">
        <v>175</v>
      </c>
      <c r="AC4" s="87" t="str">
        <f>if(today()&gt;='Week Date Mapping'!$A$14,if(MAXIFS('Player Stats - Current Week'!G:G,'Player Stats - Current Week'!C:C,B4,'Player Stats - Current Week'!D:D,"QB")=0,"BYE, GAME NOT STARTED, OR NO STATS YET",iferror(MAXIFS('Player Stats - Current Week'!G:G,'Player Stats - Current Week'!C:C,B4,'Player Stats - Current Week'!D:D,"QB"),"")),"BYE, GAME NOT STARTED, OR NO STATS YET")</f>
        <v>BYE, GAME NOT STARTED, OR NO STATS YET</v>
      </c>
      <c r="AD4" s="94" t="str">
        <f t="shared" si="5"/>
        <v>BYE OR GAME NOT STARTED2</v>
      </c>
      <c r="AE4" s="100" t="str">
        <f>if(today()&gt;='Week Date Mapping'!$A$15,if(iferror(vlookup(CONCATENATE("Week 14",B4),'Raw With Formulas'!J:N,5,false),iferror(vlookup(CONCATENATE("Week 14",B4),'Raw With Formulas'!L:N,2,false),"BYE OR GAME NOT STARTED"))="","BYE OR GAME NOT STARTED",iferror(vlookup(CONCATENATE("Week 14",B4),'Raw With Formulas'!J:N,5,false),iferror(vlookup(CONCATENATE("Week 14",B4),'Raw With Formulas'!L:N,2,false),"BYE OR GAME NOT STARTED"))),"BYE OR GAME NOT STARTED")</f>
        <v>BYE OR GAME NOT STARTED</v>
      </c>
      <c r="AF4" s="94" t="str">
        <f t="shared" si="6"/>
        <v>BYE, GAME NOT STARTED, OR NO STATS YET2</v>
      </c>
      <c r="AG4" s="87" t="str">
        <f>if(today()&gt;='Week Date Mapping'!$A$16,if(MAXIFS('Player Stats - Current Week'!Q:Q,'Player Stats - Current Week'!C:C,B4,'Player Stats - Current Week'!D:D,"QB")=0,"BYE, GAME NOT STARTED, OR NO STATS YET",iferror(MAXIFS('Player Stats - Current Week'!Q:Q,'Player Stats - Current Week'!C:C,B4,'Player Stats - Current Week'!D:D,"QB"),"")),"BYE, GAME NOT STARTED, OR NO STATS YET")</f>
        <v>BYE, GAME NOT STARTED, OR NO STATS YET</v>
      </c>
      <c r="AH4" s="94" t="str">
        <f t="shared" si="7"/>
        <v>BYE OR GAME NOT STARTED2</v>
      </c>
      <c r="AI4" s="87" t="str">
        <f>if(today()&gt;='Week Date Mapping'!$A$17,if(iferror(vlookup(CONCATENATE("Week 16",B4),'Raw With Formulas'!J:N,4,false),iferror(vlookup(CONCATENATE("Week 16",B4),'Raw With Formulas'!L:N,3,false),"BYE OR GAME NOT STARTED"))="","BYE OR GAME NOT STARTED",iferror(vlookup(CONCATENATE("Week 16",B4),'Raw With Formulas'!J:N,4,false),iferror(vlookup(CONCATENATE("Week 16",B4),'Raw With Formulas'!L:N,3,false),"BYE OR GAME NOT STARTED"))),"BYE OR GAME NOT STARTED")</f>
        <v>BYE OR GAME NOT STARTED</v>
      </c>
      <c r="AJ4" s="94" t="str">
        <f t="shared" si="8"/>
        <v>BYE, GAME NOT STARTED, OR NO STATS YET2</v>
      </c>
      <c r="AK4" s="87" t="str">
        <f>if(today()&gt;='Week Date Mapping'!$A$18,if(MAXIFS('Player Stats - Current Week'!E:E,'Player Stats - Current Week'!C:C,B4,'Player Stats - Current Week'!D:D,"WR")=0,"BYE, GAME NOT STARTED, OR NO STATS YET",iferror(MAXIFS('Player Stats - Current Week'!E:E,'Player Stats - Current Week'!C:C,B4,'Player Stats - Current Week'!D:D,"WR"),"")),"BYE, GAME NOT STARTED, OR NO STATS YET")</f>
        <v>BYE, GAME NOT STARTED, OR NO STATS YET</v>
      </c>
      <c r="AL4" s="87" t="s">
        <v>175</v>
      </c>
      <c r="AM4" s="87" t="str">
        <f>if(today()&gt;='Week Date Mapping'!$A$19,if(MAXIFS('Player Stats - Current Week'!Q:Q,'Player Stats - Current Week'!C:C,B4,'Player Stats - Current Week'!D:D,"RB")=0,"BYE, GAME NOT STARTED, OR NO STATS YET",iferror(MAXIFS('Player Stats - Current Week'!Q:Q,'Player Stats - Current Week'!C:C,B4,'Player Stats - Current Week'!D:D,"RB"),"")),"BYE, GAME NOT STARTED, OR NO STATS YET")</f>
        <v>BYE, GAME NOT STARTED, OR NO STATS YET</v>
      </c>
      <c r="AN4" s="88" t="str">
        <f t="shared" si="1"/>
        <v>Grant|Rusty</v>
      </c>
    </row>
    <row r="5">
      <c r="A5" s="89" t="s">
        <v>90</v>
      </c>
      <c r="B5" s="90" t="s">
        <v>90</v>
      </c>
      <c r="C5" s="90" t="str">
        <f>vlookup(A5,'Wins by Team'!A:C,3,false)</f>
        <v>Sagar</v>
      </c>
      <c r="D5" s="103" t="str">
        <f t="shared" si="2"/>
        <v>BYE, GAME NOT STARTED, OR NO STATS YET3</v>
      </c>
      <c r="E5" s="90" t="str">
        <f>if(MAXIFS('Player Stats - Current Week'!I:I,'Player Stats - Current Week'!C:C,B5,'Player Stats - Current Week'!D:D,"QB")=0,"BYE, GAME NOT STARTED, OR NO STATS YET",iferror(MAXIFS('Player Stats - Current Week'!I:I,'Player Stats - Current Week'!C:C,B5,'Player Stats - Current Week'!D:D,"QB"),""))</f>
        <v>BYE, GAME NOT STARTED, OR NO STATS YET</v>
      </c>
      <c r="F5" s="103" t="str">
        <f t="shared" si="3"/>
        <v>BYE OR GAME NOT STARTED3</v>
      </c>
      <c r="G5" s="90" t="str">
        <f>if(iferror(vlookup(CONCATENATE("Week 2",B5),'Raw With Formulas'!J:N,4,false),iferror(vlookup(CONCATENATE("Week 2",B5),'Raw With Formulas'!L:N,3,false),"BYE OR GAME NOT STARTED")) = "", "BYE OR GAME NOT STARTED", iferror(vlookup(CONCATENATE("Week 2",B5),'Raw With Formulas'!J:N,4,false),iferror(vlookup(CONCATENATE("Week 2",B5),'Raw With Formulas'!L:N,3,false),"BYE OR GAME NOT STARTED")))</f>
        <v>BYE OR GAME NOT STARTED</v>
      </c>
      <c r="H5" s="103" t="str">
        <f t="shared" si="4"/>
        <v>BYE, GAME NOT STARTED, OR NO STATS YET3</v>
      </c>
      <c r="I5" s="90" t="str">
        <f>if(today()&gt;='Week Date Mapping'!$A$4,iferror(
if(
sumifs(
'Player Stats - Current Week'!T:T,
'Player Stats - Current Week'!C:C,
iferror(
vlookup(
CONCATENATE("Week 3",B5), 
'Raw With Formulas'!J:O,
2,false
),
vlookup(CONCATENATE("Week 3",B5), 'Raw With Formulas'!L:O,4,false))) 
= 0,
"BYE, GAME NOT STARTED, OR NO STATS YET",
iferror(
sumifs(
'Player Stats - Current Week'!T:T,
'Player Stats - Current Week'!C:C,
iferror(
vlookup(
CONCATENATE("Week 3",B5), 
'Raw With Formulas'!J:O,
2,false
),
vlookup(CONCATENATE("Week 3",B5), 'Raw With Formulas'!L:O,4,false))),
""
)
),
"BYE, GAME NOT STARTED, OR NO STATS YET"
),"BYE, GAME NOT STARTED, OR NO STATS YET")</f>
        <v>BYE, GAME NOT STARTED, OR NO STATS YET</v>
      </c>
      <c r="J5" s="90" t="s">
        <v>175</v>
      </c>
      <c r="K5" s="90" t="str">
        <f>if(today()&gt;='Week Date Mapping'!$A$5,if(MAXIFS('Player Stats - Current Week'!E:E,'Player Stats - Current Week'!C:C,B5,'Player Stats - Current Week'!D:D,"TE")=0,"BYE, GAME NOT STARTED, OR NO STATS YET",iferror(MAXIFS('Player Stats - Current Week'!E:E,'Player Stats - Current Week'!C:C,B5,'Player Stats - Current Week'!D:D,"TE"),"")),"BYE, GAME NOT STARTED, OR NO STATS YET")</f>
        <v>BYE, GAME NOT STARTED, OR NO STATS YET</v>
      </c>
      <c r="L5" s="90" t="s">
        <v>175</v>
      </c>
      <c r="M5" s="90" t="str">
        <f>if(today()&gt;='Week Date Mapping'!$A$6,if(MAXIFS('Player Stats - Current Week'!Q:Q,'Player Stats - Current Week'!C:C,B5,'Player Stats - Current Week'!D:D,"WR")=0,"BYE, GAME NOT STARTED, OR NO STATS YET",iferror(MAXIFS('Player Stats - Current Week'!Q:Q,'Player Stats - Current Week'!C:C,B5,'Player Stats - Current Week'!D:D,"WR"),"")),"BYE, GAME NOT STARTED, OR NO STATS YET")</f>
        <v>BYE, GAME NOT STARTED, OR NO STATS YET</v>
      </c>
      <c r="N5" s="90" t="s">
        <v>175</v>
      </c>
      <c r="O5" s="90" t="str">
        <f>if(today()&gt;='Week Date Mapping'!$A$7,if((SUMIFS('Player Stats - Current Week'!L:L,'Player Stats - Current Week'!C:C,B5)+SUMIFS('Player Stats - Current Week'!R:R,'Player Stats - Current Week'!C:C,B5))=0,"BYE, GAME NOT STARTED, OR NO STATS YET",((SUMIFS('Player Stats - Current Week'!R:R,'Player Stats - Current Week'!C:C,B5)*6)+SUMIFS('Player Stats - Current Week'!L:L,'Player Stats - Current Week'!C:C,B5))),"BYE, GAME NOT STARTED, OR NO STATS YET")</f>
        <v>BYE, GAME NOT STARTED, OR NO STATS YET</v>
      </c>
      <c r="P5" s="90" t="s">
        <v>175</v>
      </c>
      <c r="Q5" s="90" t="str">
        <f>if(today()&gt;='Week Date Mapping'!$A$8,if((SUMIFS('Player Stats - Current Week'!G:G,'Player Stats - Current Week'!C:C,B5,'Player Stats - Current Week'!D:D,"RB")+SUMIFS('Player Stats - Current Week'!E:E,'Player Stats - Current Week'!C:C,B5,'Player Stats - Current Week'!D:D,"RB"))=0,"BYE, GAME NOT STARTED, OR NO STATS YET",((SUMIFS('Player Stats - Current Week'!G:G,'Player Stats - Current Week'!C:C,B5,'Player Stats - Current Week'!D:D,"RB"))+SUMIFS('Player Stats - Current Week'!E:E,'Player Stats - Current Week'!C:C,B5,'Player Stats - Current Week'!D:D,"RB"))),"BYE, GAME NOT STARTED, OR NO STATS YET")</f>
        <v>BYE, GAME NOT STARTED, OR NO STATS YET</v>
      </c>
      <c r="R5" s="90" t="s">
        <v>175</v>
      </c>
      <c r="S5" s="90" t="str">
        <f>if(today()&gt;='Week Date Mapping'!$A$9,if(MAXIFS('Player Stats - Current Week'!L:L,'Player Stats - Current Week'!C:C,B5,'Player Stats - Current Week'!D:D,"PK")=0,"BYE, GAME NOT STARTED, OR NO STATS YET",iferror(MAXIFS('Player Stats - Current Week'!L:L,'Player Stats - Current Week'!C:C,B5,'Player Stats - Current Week'!D:D,"PK"),"")),"BYE, GAME NOT STARTED, OR NO STATS YET")</f>
        <v>BYE, GAME NOT STARTED, OR NO STATS YET</v>
      </c>
      <c r="T5" s="90" t="s">
        <v>175</v>
      </c>
      <c r="U5" s="90" t="str">
        <f>if(today()&gt;='Week Date Mapping'!$A$10,if(MAXIFS('Player Stats - Current Week'!N:N,'Player Stats - Current Week'!C:C,B5,'Player Stats - Current Week'!D:D,"QB")=0,"BYE, GAME NOT STARTED, OR NO STATS YET",iferror(MAXIFS('Player Stats - Current Week'!N:N,'Player Stats - Current Week'!C:C,B5,'Player Stats - Current Week'!D:D,"QB"),"")),"BYE, GAME NOT STARTED, OR NO STATS YET")</f>
        <v>BYE, GAME NOT STARTED, OR NO STATS YET</v>
      </c>
      <c r="V5" s="90" t="s">
        <v>175</v>
      </c>
      <c r="W5" s="90" t="str">
        <f>if(today()&gt;='Week Date Mapping'!$A$11,if(SUMIFS('Player Stats - Current Week'!O:O,'Player Stats - Current Week'!C:C,B5)=0,"BYE, GAME NOT STARTED, OR NO STATS YET",iferror(SUMIFS('Player Stats - Current Week'!O:O,'Player Stats - Current Week'!C:C,B5),"")),"BYE, GAME NOT STARTED, OR NO STATS YET")</f>
        <v>BYE, GAME NOT STARTED, OR NO STATS YET</v>
      </c>
      <c r="X5" s="90" t="s">
        <v>175</v>
      </c>
      <c r="Y5" s="90" t="str">
        <f>if(today()&gt;='Week Date Mapping'!$A$12,if(MAXIFS('Player Stats - Current Week'!Q:Q,'Player Stats - Current Week'!C:C,B5,'Player Stats - Current Week'!D:D,"TE")=0,"BYE, GAME NOT STARTED, OR NO STATS YET",iferror(MAXIFS('Player Stats - Current Week'!Q:Q,'Player Stats - Current Week'!C:C,B5,'Player Stats - Current Week'!D:D,"TE"),"")),"BYE, GAME NOT STARTED, OR NO STATS YET")</f>
        <v>BYE, GAME NOT STARTED, OR NO STATS YET</v>
      </c>
      <c r="Z5" s="90" t="s">
        <v>175</v>
      </c>
      <c r="AA5" s="90" t="str">
        <f>if(today()&gt;='Week Date Mapping'!$A$13,if(MAXIFS('Player Stats - Current Week'!S:S,'Player Stats - Current Week'!C:C,B5)=0,"BYE, GAME NOT STARTED, OR NO STATS YET",iferror(MAXIFS('Player Stats - Current Week'!S:S,'Player Stats - Current Week'!C:C,B5),"")),"BYE, GAME NOT STARTED, OR NO STATS YET")</f>
        <v>BYE, GAME NOT STARTED, OR NO STATS YET</v>
      </c>
      <c r="AB5" s="90" t="s">
        <v>175</v>
      </c>
      <c r="AC5" s="90" t="str">
        <f>if(today()&gt;='Week Date Mapping'!$A$14,if(MAXIFS('Player Stats - Current Week'!G:G,'Player Stats - Current Week'!C:C,B5,'Player Stats - Current Week'!D:D,"QB")=0,"BYE, GAME NOT STARTED, OR NO STATS YET",iferror(MAXIFS('Player Stats - Current Week'!G:G,'Player Stats - Current Week'!C:C,B5,'Player Stats - Current Week'!D:D,"QB"),"")),"BYE, GAME NOT STARTED, OR NO STATS YET")</f>
        <v>BYE, GAME NOT STARTED, OR NO STATS YET</v>
      </c>
      <c r="AD5" s="103" t="str">
        <f t="shared" si="5"/>
        <v>BYE OR GAME NOT STARTED3</v>
      </c>
      <c r="AE5" s="101" t="str">
        <f>if(today()&gt;='Week Date Mapping'!$A$15,if(iferror(vlookup(CONCATENATE("Week 14",B5),'Raw With Formulas'!J:N,5,false),iferror(vlookup(CONCATENATE("Week 14",B5),'Raw With Formulas'!L:N,2,false),"BYE OR GAME NOT STARTED"))="","BYE OR GAME NOT STARTED",iferror(vlookup(CONCATENATE("Week 14",B5),'Raw With Formulas'!J:N,5,false),iferror(vlookup(CONCATENATE("Week 14",B5),'Raw With Formulas'!L:N,2,false),"BYE OR GAME NOT STARTED"))),"BYE OR GAME NOT STARTED")</f>
        <v>BYE OR GAME NOT STARTED</v>
      </c>
      <c r="AF5" s="103" t="str">
        <f t="shared" si="6"/>
        <v>BYE, GAME NOT STARTED, OR NO STATS YET3</v>
      </c>
      <c r="AG5" s="90" t="str">
        <f>if(today()&gt;='Week Date Mapping'!$A$16,if(MAXIFS('Player Stats - Current Week'!Q:Q,'Player Stats - Current Week'!C:C,B5,'Player Stats - Current Week'!D:D,"QB")=0,"BYE, GAME NOT STARTED, OR NO STATS YET",iferror(MAXIFS('Player Stats - Current Week'!Q:Q,'Player Stats - Current Week'!C:C,B5,'Player Stats - Current Week'!D:D,"QB"),"")),"BYE, GAME NOT STARTED, OR NO STATS YET")</f>
        <v>BYE, GAME NOT STARTED, OR NO STATS YET</v>
      </c>
      <c r="AH5" s="103" t="str">
        <f t="shared" si="7"/>
        <v>BYE OR GAME NOT STARTED3</v>
      </c>
      <c r="AI5" s="90" t="str">
        <f>if(today()&gt;='Week Date Mapping'!$A$17,if(iferror(vlookup(CONCATENATE("Week 16",B5),'Raw With Formulas'!J:N,4,false),iferror(vlookup(CONCATENATE("Week 16",B5),'Raw With Formulas'!L:N,3,false),"BYE OR GAME NOT STARTED"))="","BYE OR GAME NOT STARTED",iferror(vlookup(CONCATENATE("Week 16",B5),'Raw With Formulas'!J:N,4,false),iferror(vlookup(CONCATENATE("Week 16",B5),'Raw With Formulas'!L:N,3,false),"BYE OR GAME NOT STARTED"))),"BYE OR GAME NOT STARTED")</f>
        <v>BYE OR GAME NOT STARTED</v>
      </c>
      <c r="AJ5" s="103" t="str">
        <f t="shared" si="8"/>
        <v>BYE, GAME NOT STARTED, OR NO STATS YET3</v>
      </c>
      <c r="AK5" s="90" t="str">
        <f>if(today()&gt;='Week Date Mapping'!$A$18,if(MAXIFS('Player Stats - Current Week'!E:E,'Player Stats - Current Week'!C:C,B5,'Player Stats - Current Week'!D:D,"WR")=0,"BYE, GAME NOT STARTED, OR NO STATS YET",iferror(MAXIFS('Player Stats - Current Week'!E:E,'Player Stats - Current Week'!C:C,B5,'Player Stats - Current Week'!D:D,"WR"),"")),"BYE, GAME NOT STARTED, OR NO STATS YET")</f>
        <v>BYE, GAME NOT STARTED, OR NO STATS YET</v>
      </c>
      <c r="AL5" s="90" t="s">
        <v>175</v>
      </c>
      <c r="AM5" s="90" t="str">
        <f>if(today()&gt;='Week Date Mapping'!$A$19,if(MAXIFS('Player Stats - Current Week'!Q:Q,'Player Stats - Current Week'!C:C,B5,'Player Stats - Current Week'!D:D,"RB")=0,"BYE, GAME NOT STARTED, OR NO STATS YET",iferror(MAXIFS('Player Stats - Current Week'!Q:Q,'Player Stats - Current Week'!C:C,B5,'Player Stats - Current Week'!D:D,"RB"),"")),"BYE, GAME NOT STARTED, OR NO STATS YET")</f>
        <v>BYE, GAME NOT STARTED, OR NO STATS YET</v>
      </c>
      <c r="AN5" s="102" t="str">
        <f t="shared" si="1"/>
        <v>Sagar</v>
      </c>
    </row>
    <row r="6">
      <c r="A6" s="86" t="s">
        <v>91</v>
      </c>
      <c r="B6" s="87" t="s">
        <v>91</v>
      </c>
      <c r="C6" s="87" t="str">
        <f>vlookup(A6,'Wins by Team'!A:C,3,false)</f>
        <v>Wyatt</v>
      </c>
      <c r="D6" s="94" t="str">
        <f t="shared" si="2"/>
        <v>BYE, GAME NOT STARTED, OR NO STATS YET4</v>
      </c>
      <c r="E6" s="87" t="str">
        <f>if(MAXIFS('Player Stats - Current Week'!I:I,'Player Stats - Current Week'!C:C,B6,'Player Stats - Current Week'!D:D,"QB")=0,"BYE, GAME NOT STARTED, OR NO STATS YET",iferror(MAXIFS('Player Stats - Current Week'!I:I,'Player Stats - Current Week'!C:C,B6,'Player Stats - Current Week'!D:D,"QB"),""))</f>
        <v>BYE, GAME NOT STARTED, OR NO STATS YET</v>
      </c>
      <c r="F6" s="94" t="str">
        <f t="shared" si="3"/>
        <v>BYE OR GAME NOT STARTED4</v>
      </c>
      <c r="G6" s="87" t="str">
        <f>if(iferror(vlookup(CONCATENATE("Week 2",B6),'Raw With Formulas'!J:N,4,false),iferror(vlookup(CONCATENATE("Week 2",B6),'Raw With Formulas'!L:N,3,false),"BYE OR GAME NOT STARTED")) = "", "BYE OR GAME NOT STARTED", iferror(vlookup(CONCATENATE("Week 2",B6),'Raw With Formulas'!J:N,4,false),iferror(vlookup(CONCATENATE("Week 2",B6),'Raw With Formulas'!L:N,3,false),"BYE OR GAME NOT STARTED")))</f>
        <v>BYE OR GAME NOT STARTED</v>
      </c>
      <c r="H6" s="94" t="str">
        <f t="shared" si="4"/>
        <v>BYE, GAME NOT STARTED, OR NO STATS YET4</v>
      </c>
      <c r="I6" s="87" t="str">
        <f>if(today()&gt;='Week Date Mapping'!$A$4,iferror(
if(
sumifs(
'Player Stats - Current Week'!T:T,
'Player Stats - Current Week'!C:C,
iferror(
vlookup(
CONCATENATE("Week 3",B6), 
'Raw With Formulas'!J:O,
2,false
),
vlookup(CONCATENATE("Week 3",B6), 'Raw With Formulas'!L:O,4,false))) 
= 0,
"BYE, GAME NOT STARTED, OR NO STATS YET",
iferror(
sumifs(
'Player Stats - Current Week'!T:T,
'Player Stats - Current Week'!C:C,
iferror(
vlookup(
CONCATENATE("Week 3",B6), 
'Raw With Formulas'!J:O,
2,false
),
vlookup(CONCATENATE("Week 3",B6), 'Raw With Formulas'!L:O,4,false))),
""
)
),
"BYE, GAME NOT STARTED, OR NO STATS YET"
),"BYE, GAME NOT STARTED, OR NO STATS YET")</f>
        <v>BYE, GAME NOT STARTED, OR NO STATS YET</v>
      </c>
      <c r="J6" s="87" t="s">
        <v>175</v>
      </c>
      <c r="K6" s="87" t="str">
        <f>if(today()&gt;='Week Date Mapping'!$A$5,if(MAXIFS('Player Stats - Current Week'!E:E,'Player Stats - Current Week'!C:C,B6,'Player Stats - Current Week'!D:D,"TE")=0,"BYE, GAME NOT STARTED, OR NO STATS YET",iferror(MAXIFS('Player Stats - Current Week'!E:E,'Player Stats - Current Week'!C:C,B6,'Player Stats - Current Week'!D:D,"TE"),"")),"BYE, GAME NOT STARTED, OR NO STATS YET")</f>
        <v>BYE, GAME NOT STARTED, OR NO STATS YET</v>
      </c>
      <c r="L6" s="87" t="s">
        <v>175</v>
      </c>
      <c r="M6" s="87" t="str">
        <f>if(today()&gt;='Week Date Mapping'!$A$6,if(MAXIFS('Player Stats - Current Week'!Q:Q,'Player Stats - Current Week'!C:C,B6,'Player Stats - Current Week'!D:D,"WR")=0,"BYE, GAME NOT STARTED, OR NO STATS YET",iferror(MAXIFS('Player Stats - Current Week'!Q:Q,'Player Stats - Current Week'!C:C,B6,'Player Stats - Current Week'!D:D,"WR"),"")),"BYE, GAME NOT STARTED, OR NO STATS YET")</f>
        <v>BYE, GAME NOT STARTED, OR NO STATS YET</v>
      </c>
      <c r="N6" s="87" t="s">
        <v>175</v>
      </c>
      <c r="O6" s="87" t="str">
        <f>if(today()&gt;='Week Date Mapping'!$A$7,if((SUMIFS('Player Stats - Current Week'!L:L,'Player Stats - Current Week'!C:C,B6)+SUMIFS('Player Stats - Current Week'!R:R,'Player Stats - Current Week'!C:C,B6))=0,"BYE, GAME NOT STARTED, OR NO STATS YET",((SUMIFS('Player Stats - Current Week'!R:R,'Player Stats - Current Week'!C:C,B6)*6)+SUMIFS('Player Stats - Current Week'!L:L,'Player Stats - Current Week'!C:C,B6))),"BYE, GAME NOT STARTED, OR NO STATS YET")</f>
        <v>BYE, GAME NOT STARTED, OR NO STATS YET</v>
      </c>
      <c r="P6" s="87" t="s">
        <v>175</v>
      </c>
      <c r="Q6" s="87" t="str">
        <f>if(today()&gt;='Week Date Mapping'!$A$8,if((SUMIFS('Player Stats - Current Week'!G:G,'Player Stats - Current Week'!C:C,B6,'Player Stats - Current Week'!D:D,"RB")+SUMIFS('Player Stats - Current Week'!E:E,'Player Stats - Current Week'!C:C,B6,'Player Stats - Current Week'!D:D,"RB"))=0,"BYE, GAME NOT STARTED, OR NO STATS YET",((SUMIFS('Player Stats - Current Week'!G:G,'Player Stats - Current Week'!C:C,B6,'Player Stats - Current Week'!D:D,"RB"))+SUMIFS('Player Stats - Current Week'!E:E,'Player Stats - Current Week'!C:C,B6,'Player Stats - Current Week'!D:D,"RB"))),"BYE, GAME NOT STARTED, OR NO STATS YET")</f>
        <v>BYE, GAME NOT STARTED, OR NO STATS YET</v>
      </c>
      <c r="R6" s="87" t="s">
        <v>175</v>
      </c>
      <c r="S6" s="87" t="str">
        <f>if(today()&gt;='Week Date Mapping'!$A$9,if(MAXIFS('Player Stats - Current Week'!L:L,'Player Stats - Current Week'!C:C,B6,'Player Stats - Current Week'!D:D,"PK")=0,"BYE, GAME NOT STARTED, OR NO STATS YET",iferror(MAXIFS('Player Stats - Current Week'!L:L,'Player Stats - Current Week'!C:C,B6,'Player Stats - Current Week'!D:D,"PK"),"")),"BYE, GAME NOT STARTED, OR NO STATS YET")</f>
        <v>BYE, GAME NOT STARTED, OR NO STATS YET</v>
      </c>
      <c r="T6" s="87" t="s">
        <v>175</v>
      </c>
      <c r="U6" s="87" t="str">
        <f>if(today()&gt;='Week Date Mapping'!$A$10,if(MAXIFS('Player Stats - Current Week'!N:N,'Player Stats - Current Week'!C:C,B6,'Player Stats - Current Week'!D:D,"QB")=0,"BYE, GAME NOT STARTED, OR NO STATS YET",iferror(MAXIFS('Player Stats - Current Week'!N:N,'Player Stats - Current Week'!C:C,B6,'Player Stats - Current Week'!D:D,"QB"),"")),"BYE, GAME NOT STARTED, OR NO STATS YET")</f>
        <v>BYE, GAME NOT STARTED, OR NO STATS YET</v>
      </c>
      <c r="V6" s="87" t="s">
        <v>175</v>
      </c>
      <c r="W6" s="87" t="str">
        <f>if(today()&gt;='Week Date Mapping'!$A$11,if(SUMIFS('Player Stats - Current Week'!O:O,'Player Stats - Current Week'!C:C,B6)=0,"BYE, GAME NOT STARTED, OR NO STATS YET",iferror(SUMIFS('Player Stats - Current Week'!O:O,'Player Stats - Current Week'!C:C,B6),"")),"BYE, GAME NOT STARTED, OR NO STATS YET")</f>
        <v>BYE, GAME NOT STARTED, OR NO STATS YET</v>
      </c>
      <c r="X6" s="87" t="s">
        <v>175</v>
      </c>
      <c r="Y6" s="87" t="str">
        <f>if(today()&gt;='Week Date Mapping'!$A$12,if(MAXIFS('Player Stats - Current Week'!Q:Q,'Player Stats - Current Week'!C:C,B6,'Player Stats - Current Week'!D:D,"TE")=0,"BYE, GAME NOT STARTED, OR NO STATS YET",iferror(MAXIFS('Player Stats - Current Week'!Q:Q,'Player Stats - Current Week'!C:C,B6,'Player Stats - Current Week'!D:D,"TE"),"")),"BYE, GAME NOT STARTED, OR NO STATS YET")</f>
        <v>BYE, GAME NOT STARTED, OR NO STATS YET</v>
      </c>
      <c r="Z6" s="87" t="s">
        <v>175</v>
      </c>
      <c r="AA6" s="87" t="str">
        <f>if(today()&gt;='Week Date Mapping'!$A$13,if(MAXIFS('Player Stats - Current Week'!S:S,'Player Stats - Current Week'!C:C,B6)=0,"BYE, GAME NOT STARTED, OR NO STATS YET",iferror(MAXIFS('Player Stats - Current Week'!S:S,'Player Stats - Current Week'!C:C,B6),"")),"BYE, GAME NOT STARTED, OR NO STATS YET")</f>
        <v>BYE, GAME NOT STARTED, OR NO STATS YET</v>
      </c>
      <c r="AB6" s="87" t="s">
        <v>175</v>
      </c>
      <c r="AC6" s="87" t="str">
        <f>if(today()&gt;='Week Date Mapping'!$A$14,if(MAXIFS('Player Stats - Current Week'!G:G,'Player Stats - Current Week'!C:C,B6,'Player Stats - Current Week'!D:D,"QB")=0,"BYE, GAME NOT STARTED, OR NO STATS YET",iferror(MAXIFS('Player Stats - Current Week'!G:G,'Player Stats - Current Week'!C:C,B6,'Player Stats - Current Week'!D:D,"QB"),"")),"BYE, GAME NOT STARTED, OR NO STATS YET")</f>
        <v>BYE, GAME NOT STARTED, OR NO STATS YET</v>
      </c>
      <c r="AD6" s="94" t="str">
        <f t="shared" si="5"/>
        <v>BYE OR GAME NOT STARTED4</v>
      </c>
      <c r="AE6" s="100" t="str">
        <f>if(today()&gt;='Week Date Mapping'!$A$15,if(iferror(vlookup(CONCATENATE("Week 14",B6),'Raw With Formulas'!J:N,5,false),iferror(vlookup(CONCATENATE("Week 14",B6),'Raw With Formulas'!L:N,2,false),"BYE OR GAME NOT STARTED"))="","BYE OR GAME NOT STARTED",iferror(vlookup(CONCATENATE("Week 14",B6),'Raw With Formulas'!J:N,5,false),iferror(vlookup(CONCATENATE("Week 14",B6),'Raw With Formulas'!L:N,2,false),"BYE OR GAME NOT STARTED"))),"BYE OR GAME NOT STARTED")</f>
        <v>BYE OR GAME NOT STARTED</v>
      </c>
      <c r="AF6" s="94" t="str">
        <f t="shared" si="6"/>
        <v>BYE, GAME NOT STARTED, OR NO STATS YET4</v>
      </c>
      <c r="AG6" s="87" t="str">
        <f>if(today()&gt;='Week Date Mapping'!$A$16,if(MAXIFS('Player Stats - Current Week'!Q:Q,'Player Stats - Current Week'!C:C,B6,'Player Stats - Current Week'!D:D,"QB")=0,"BYE, GAME NOT STARTED, OR NO STATS YET",iferror(MAXIFS('Player Stats - Current Week'!Q:Q,'Player Stats - Current Week'!C:C,B6,'Player Stats - Current Week'!D:D,"QB"),"")),"BYE, GAME NOT STARTED, OR NO STATS YET")</f>
        <v>BYE, GAME NOT STARTED, OR NO STATS YET</v>
      </c>
      <c r="AH6" s="94" t="str">
        <f t="shared" si="7"/>
        <v>BYE OR GAME NOT STARTED4</v>
      </c>
      <c r="AI6" s="87" t="str">
        <f>if(today()&gt;='Week Date Mapping'!$A$17,if(iferror(vlookup(CONCATENATE("Week 16",B6),'Raw With Formulas'!J:N,4,false),iferror(vlookup(CONCATENATE("Week 16",B6),'Raw With Formulas'!L:N,3,false),"BYE OR GAME NOT STARTED"))="","BYE OR GAME NOT STARTED",iferror(vlookup(CONCATENATE("Week 16",B6),'Raw With Formulas'!J:N,4,false),iferror(vlookup(CONCATENATE("Week 16",B6),'Raw With Formulas'!L:N,3,false),"BYE OR GAME NOT STARTED"))),"BYE OR GAME NOT STARTED")</f>
        <v>BYE OR GAME NOT STARTED</v>
      </c>
      <c r="AJ6" s="94" t="str">
        <f t="shared" si="8"/>
        <v>BYE, GAME NOT STARTED, OR NO STATS YET4</v>
      </c>
      <c r="AK6" s="87" t="str">
        <f>if(today()&gt;='Week Date Mapping'!$A$18,if(MAXIFS('Player Stats - Current Week'!E:E,'Player Stats - Current Week'!C:C,B6,'Player Stats - Current Week'!D:D,"WR")=0,"BYE, GAME NOT STARTED, OR NO STATS YET",iferror(MAXIFS('Player Stats - Current Week'!E:E,'Player Stats - Current Week'!C:C,B6,'Player Stats - Current Week'!D:D,"WR"),"")),"BYE, GAME NOT STARTED, OR NO STATS YET")</f>
        <v>BYE, GAME NOT STARTED, OR NO STATS YET</v>
      </c>
      <c r="AL6" s="87" t="s">
        <v>175</v>
      </c>
      <c r="AM6" s="87" t="str">
        <f>if(today()&gt;='Week Date Mapping'!$A$19,if(MAXIFS('Player Stats - Current Week'!Q:Q,'Player Stats - Current Week'!C:C,B6,'Player Stats - Current Week'!D:D,"RB")=0,"BYE, GAME NOT STARTED, OR NO STATS YET",iferror(MAXIFS('Player Stats - Current Week'!Q:Q,'Player Stats - Current Week'!C:C,B6,'Player Stats - Current Week'!D:D,"RB"),"")),"BYE, GAME NOT STARTED, OR NO STATS YET")</f>
        <v>BYE, GAME NOT STARTED, OR NO STATS YET</v>
      </c>
      <c r="AN6" s="88" t="str">
        <f t="shared" si="1"/>
        <v>Wyatt</v>
      </c>
    </row>
    <row r="7">
      <c r="A7" s="89" t="s">
        <v>92</v>
      </c>
      <c r="B7" s="90" t="s">
        <v>92</v>
      </c>
      <c r="C7" s="90" t="str">
        <f>vlookup(A7,'Wins by Team'!A:C,3,false)</f>
        <v>Steve|Sutter</v>
      </c>
      <c r="D7" s="103" t="str">
        <f t="shared" si="2"/>
        <v>BYE, GAME NOT STARTED, OR NO STATS YET5</v>
      </c>
      <c r="E7" s="90" t="str">
        <f>if(MAXIFS('Player Stats - Current Week'!I:I,'Player Stats - Current Week'!C:C,B7,'Player Stats - Current Week'!D:D,"QB")=0,"BYE, GAME NOT STARTED, OR NO STATS YET",iferror(MAXIFS('Player Stats - Current Week'!I:I,'Player Stats - Current Week'!C:C,B7,'Player Stats - Current Week'!D:D,"QB"),""))</f>
        <v>BYE, GAME NOT STARTED, OR NO STATS YET</v>
      </c>
      <c r="F7" s="103" t="str">
        <f t="shared" si="3"/>
        <v>BYE OR GAME NOT STARTED5</v>
      </c>
      <c r="G7" s="90" t="str">
        <f>if(iferror(vlookup(CONCATENATE("Week 2",B7),'Raw With Formulas'!J:N,4,false),iferror(vlookup(CONCATENATE("Week 2",B7),'Raw With Formulas'!L:N,3,false),"BYE OR GAME NOT STARTED")) = "", "BYE OR GAME NOT STARTED", iferror(vlookup(CONCATENATE("Week 2",B7),'Raw With Formulas'!J:N,4,false),iferror(vlookup(CONCATENATE("Week 2",B7),'Raw With Formulas'!L:N,3,false),"BYE OR GAME NOT STARTED")))</f>
        <v>BYE OR GAME NOT STARTED</v>
      </c>
      <c r="H7" s="103" t="str">
        <f t="shared" si="4"/>
        <v>BYE, GAME NOT STARTED, OR NO STATS YET5</v>
      </c>
      <c r="I7" s="90" t="str">
        <f>if(today()&gt;='Week Date Mapping'!$A$4,iferror(
if(
sumifs(
'Player Stats - Current Week'!T:T,
'Player Stats - Current Week'!C:C,
iferror(
vlookup(
CONCATENATE("Week 3",B7), 
'Raw With Formulas'!J:O,
2,false
),
vlookup(CONCATENATE("Week 3",B7), 'Raw With Formulas'!L:O,4,false))) 
= 0,
"BYE, GAME NOT STARTED, OR NO STATS YET",
iferror(
sumifs(
'Player Stats - Current Week'!T:T,
'Player Stats - Current Week'!C:C,
iferror(
vlookup(
CONCATENATE("Week 3",B7), 
'Raw With Formulas'!J:O,
2,false
),
vlookup(CONCATENATE("Week 3",B7), 'Raw With Formulas'!L:O,4,false))),
""
)
),
"BYE, GAME NOT STARTED, OR NO STATS YET"
),"BYE, GAME NOT STARTED, OR NO STATS YET")</f>
        <v>BYE, GAME NOT STARTED, OR NO STATS YET</v>
      </c>
      <c r="J7" s="90" t="s">
        <v>175</v>
      </c>
      <c r="K7" s="90" t="str">
        <f>if(today()&gt;='Week Date Mapping'!$A$5,if(MAXIFS('Player Stats - Current Week'!E:E,'Player Stats - Current Week'!C:C,B7,'Player Stats - Current Week'!D:D,"TE")=0,"BYE, GAME NOT STARTED, OR NO STATS YET",iferror(MAXIFS('Player Stats - Current Week'!E:E,'Player Stats - Current Week'!C:C,B7,'Player Stats - Current Week'!D:D,"TE"),"")),"BYE, GAME NOT STARTED, OR NO STATS YET")</f>
        <v>BYE, GAME NOT STARTED, OR NO STATS YET</v>
      </c>
      <c r="L7" s="90" t="s">
        <v>175</v>
      </c>
      <c r="M7" s="90" t="str">
        <f>if(today()&gt;='Week Date Mapping'!$A$6,if(MAXIFS('Player Stats - Current Week'!Q:Q,'Player Stats - Current Week'!C:C,B7,'Player Stats - Current Week'!D:D,"WR")=0,"BYE, GAME NOT STARTED, OR NO STATS YET",iferror(MAXIFS('Player Stats - Current Week'!Q:Q,'Player Stats - Current Week'!C:C,B7,'Player Stats - Current Week'!D:D,"WR"),"")),"BYE, GAME NOT STARTED, OR NO STATS YET")</f>
        <v>BYE, GAME NOT STARTED, OR NO STATS YET</v>
      </c>
      <c r="N7" s="90" t="s">
        <v>175</v>
      </c>
      <c r="O7" s="90" t="str">
        <f>if(today()&gt;='Week Date Mapping'!$A$7,if((SUMIFS('Player Stats - Current Week'!L:L,'Player Stats - Current Week'!C:C,B7)+SUMIFS('Player Stats - Current Week'!R:R,'Player Stats - Current Week'!C:C,B7))=0,"BYE, GAME NOT STARTED, OR NO STATS YET",((SUMIFS('Player Stats - Current Week'!R:R,'Player Stats - Current Week'!C:C,B7)*6)+SUMIFS('Player Stats - Current Week'!L:L,'Player Stats - Current Week'!C:C,B7))),"BYE, GAME NOT STARTED, OR NO STATS YET")</f>
        <v>BYE, GAME NOT STARTED, OR NO STATS YET</v>
      </c>
      <c r="P7" s="90" t="s">
        <v>175</v>
      </c>
      <c r="Q7" s="90" t="str">
        <f>if(today()&gt;='Week Date Mapping'!$A$8,if((SUMIFS('Player Stats - Current Week'!G:G,'Player Stats - Current Week'!C:C,B7,'Player Stats - Current Week'!D:D,"RB")+SUMIFS('Player Stats - Current Week'!E:E,'Player Stats - Current Week'!C:C,B7,'Player Stats - Current Week'!D:D,"RB"))=0,"BYE, GAME NOT STARTED, OR NO STATS YET",((SUMIFS('Player Stats - Current Week'!G:G,'Player Stats - Current Week'!C:C,B7,'Player Stats - Current Week'!D:D,"RB"))+SUMIFS('Player Stats - Current Week'!E:E,'Player Stats - Current Week'!C:C,B7,'Player Stats - Current Week'!D:D,"RB"))),"BYE, GAME NOT STARTED, OR NO STATS YET")</f>
        <v>BYE, GAME NOT STARTED, OR NO STATS YET</v>
      </c>
      <c r="R7" s="90" t="s">
        <v>175</v>
      </c>
      <c r="S7" s="90" t="str">
        <f>if(today()&gt;='Week Date Mapping'!$A$9,if(MAXIFS('Player Stats - Current Week'!L:L,'Player Stats - Current Week'!C:C,B7,'Player Stats - Current Week'!D:D,"PK")=0,"BYE, GAME NOT STARTED, OR NO STATS YET",iferror(MAXIFS('Player Stats - Current Week'!L:L,'Player Stats - Current Week'!C:C,B7,'Player Stats - Current Week'!D:D,"PK"),"")),"BYE, GAME NOT STARTED, OR NO STATS YET")</f>
        <v>BYE, GAME NOT STARTED, OR NO STATS YET</v>
      </c>
      <c r="T7" s="90" t="s">
        <v>175</v>
      </c>
      <c r="U7" s="90" t="str">
        <f>if(today()&gt;='Week Date Mapping'!$A$10,if(MAXIFS('Player Stats - Current Week'!N:N,'Player Stats - Current Week'!C:C,B7,'Player Stats - Current Week'!D:D,"QB")=0,"BYE, GAME NOT STARTED, OR NO STATS YET",iferror(MAXIFS('Player Stats - Current Week'!N:N,'Player Stats - Current Week'!C:C,B7,'Player Stats - Current Week'!D:D,"QB"),"")),"BYE, GAME NOT STARTED, OR NO STATS YET")</f>
        <v>BYE, GAME NOT STARTED, OR NO STATS YET</v>
      </c>
      <c r="V7" s="90" t="s">
        <v>175</v>
      </c>
      <c r="W7" s="90" t="str">
        <f>if(today()&gt;='Week Date Mapping'!$A$11,if(SUMIFS('Player Stats - Current Week'!O:O,'Player Stats - Current Week'!C:C,B7)=0,"BYE, GAME NOT STARTED, OR NO STATS YET",iferror(SUMIFS('Player Stats - Current Week'!O:O,'Player Stats - Current Week'!C:C,B7),"")),"BYE, GAME NOT STARTED, OR NO STATS YET")</f>
        <v>BYE, GAME NOT STARTED, OR NO STATS YET</v>
      </c>
      <c r="X7" s="90" t="s">
        <v>175</v>
      </c>
      <c r="Y7" s="90" t="str">
        <f>if(today()&gt;='Week Date Mapping'!$A$12,if(MAXIFS('Player Stats - Current Week'!Q:Q,'Player Stats - Current Week'!C:C,B7,'Player Stats - Current Week'!D:D,"TE")=0,"BYE, GAME NOT STARTED, OR NO STATS YET",iferror(MAXIFS('Player Stats - Current Week'!Q:Q,'Player Stats - Current Week'!C:C,B7,'Player Stats - Current Week'!D:D,"TE"),"")),"BYE, GAME NOT STARTED, OR NO STATS YET")</f>
        <v>BYE, GAME NOT STARTED, OR NO STATS YET</v>
      </c>
      <c r="Z7" s="90" t="s">
        <v>175</v>
      </c>
      <c r="AA7" s="90" t="str">
        <f>if(today()&gt;='Week Date Mapping'!$A$13,if(MAXIFS('Player Stats - Current Week'!S:S,'Player Stats - Current Week'!C:C,B7)=0,"BYE, GAME NOT STARTED, OR NO STATS YET",iferror(MAXIFS('Player Stats - Current Week'!S:S,'Player Stats - Current Week'!C:C,B7),"")),"BYE, GAME NOT STARTED, OR NO STATS YET")</f>
        <v>BYE, GAME NOT STARTED, OR NO STATS YET</v>
      </c>
      <c r="AB7" s="90" t="s">
        <v>175</v>
      </c>
      <c r="AC7" s="90" t="str">
        <f>if(today()&gt;='Week Date Mapping'!$A$14,if(MAXIFS('Player Stats - Current Week'!G:G,'Player Stats - Current Week'!C:C,B7,'Player Stats - Current Week'!D:D,"QB")=0,"BYE, GAME NOT STARTED, OR NO STATS YET",iferror(MAXIFS('Player Stats - Current Week'!G:G,'Player Stats - Current Week'!C:C,B7,'Player Stats - Current Week'!D:D,"QB"),"")),"BYE, GAME NOT STARTED, OR NO STATS YET")</f>
        <v>BYE, GAME NOT STARTED, OR NO STATS YET</v>
      </c>
      <c r="AD7" s="103" t="str">
        <f t="shared" si="5"/>
        <v>BYE OR GAME NOT STARTED5</v>
      </c>
      <c r="AE7" s="101" t="str">
        <f>if(today()&gt;='Week Date Mapping'!$A$15,if(iferror(vlookup(CONCATENATE("Week 14",B7),'Raw With Formulas'!J:N,5,false),iferror(vlookup(CONCATENATE("Week 14",B7),'Raw With Formulas'!L:N,2,false),"BYE OR GAME NOT STARTED"))="","BYE OR GAME NOT STARTED",iferror(vlookup(CONCATENATE("Week 14",B7),'Raw With Formulas'!J:N,5,false),iferror(vlookup(CONCATENATE("Week 14",B7),'Raw With Formulas'!L:N,2,false),"BYE OR GAME NOT STARTED"))),"BYE OR GAME NOT STARTED")</f>
        <v>BYE OR GAME NOT STARTED</v>
      </c>
      <c r="AF7" s="103" t="str">
        <f t="shared" si="6"/>
        <v>BYE, GAME NOT STARTED, OR NO STATS YET5</v>
      </c>
      <c r="AG7" s="90" t="str">
        <f>if(today()&gt;='Week Date Mapping'!$A$16,if(MAXIFS('Player Stats - Current Week'!Q:Q,'Player Stats - Current Week'!C:C,B7,'Player Stats - Current Week'!D:D,"QB")=0,"BYE, GAME NOT STARTED, OR NO STATS YET",iferror(MAXIFS('Player Stats - Current Week'!Q:Q,'Player Stats - Current Week'!C:C,B7,'Player Stats - Current Week'!D:D,"QB"),"")),"BYE, GAME NOT STARTED, OR NO STATS YET")</f>
        <v>BYE, GAME NOT STARTED, OR NO STATS YET</v>
      </c>
      <c r="AH7" s="103" t="str">
        <f t="shared" si="7"/>
        <v>BYE OR GAME NOT STARTED5</v>
      </c>
      <c r="AI7" s="90" t="str">
        <f>if(today()&gt;='Week Date Mapping'!$A$17,if(iferror(vlookup(CONCATENATE("Week 16",B7),'Raw With Formulas'!J:N,4,false),iferror(vlookup(CONCATENATE("Week 16",B7),'Raw With Formulas'!L:N,3,false),"BYE OR GAME NOT STARTED"))="","BYE OR GAME NOT STARTED",iferror(vlookup(CONCATENATE("Week 16",B7),'Raw With Formulas'!J:N,4,false),iferror(vlookup(CONCATENATE("Week 16",B7),'Raw With Formulas'!L:N,3,false),"BYE OR GAME NOT STARTED"))),"BYE OR GAME NOT STARTED")</f>
        <v>BYE OR GAME NOT STARTED</v>
      </c>
      <c r="AJ7" s="103" t="str">
        <f t="shared" si="8"/>
        <v>BYE, GAME NOT STARTED, OR NO STATS YET5</v>
      </c>
      <c r="AK7" s="90" t="str">
        <f>if(today()&gt;='Week Date Mapping'!$A$18,if(MAXIFS('Player Stats - Current Week'!E:E,'Player Stats - Current Week'!C:C,B7,'Player Stats - Current Week'!D:D,"WR")=0,"BYE, GAME NOT STARTED, OR NO STATS YET",iferror(MAXIFS('Player Stats - Current Week'!E:E,'Player Stats - Current Week'!C:C,B7,'Player Stats - Current Week'!D:D,"WR"),"")),"BYE, GAME NOT STARTED, OR NO STATS YET")</f>
        <v>BYE, GAME NOT STARTED, OR NO STATS YET</v>
      </c>
      <c r="AL7" s="90" t="s">
        <v>175</v>
      </c>
      <c r="AM7" s="90" t="str">
        <f>if(today()&gt;='Week Date Mapping'!$A$19,if(MAXIFS('Player Stats - Current Week'!Q:Q,'Player Stats - Current Week'!C:C,B7,'Player Stats - Current Week'!D:D,"RB")=0,"BYE, GAME NOT STARTED, OR NO STATS YET",iferror(MAXIFS('Player Stats - Current Week'!Q:Q,'Player Stats - Current Week'!C:C,B7,'Player Stats - Current Week'!D:D,"RB"),"")),"BYE, GAME NOT STARTED, OR NO STATS YET")</f>
        <v>BYE, GAME NOT STARTED, OR NO STATS YET</v>
      </c>
      <c r="AN7" s="102" t="str">
        <f t="shared" si="1"/>
        <v>Steve|Sutter</v>
      </c>
    </row>
    <row r="8">
      <c r="A8" s="86" t="s">
        <v>93</v>
      </c>
      <c r="B8" s="87" t="s">
        <v>93</v>
      </c>
      <c r="C8" s="87" t="str">
        <f>vlookup(A8,'Wins by Team'!A:C,3,false)</f>
        <v>Wyatt</v>
      </c>
      <c r="D8" s="94" t="str">
        <f t="shared" si="2"/>
        <v>BYE, GAME NOT STARTED, OR NO STATS YET6</v>
      </c>
      <c r="E8" s="87" t="str">
        <f>if(MAXIFS('Player Stats - Current Week'!I:I,'Player Stats - Current Week'!C:C,B8,'Player Stats - Current Week'!D:D,"QB")=0,"BYE, GAME NOT STARTED, OR NO STATS YET",iferror(MAXIFS('Player Stats - Current Week'!I:I,'Player Stats - Current Week'!C:C,B8,'Player Stats - Current Week'!D:D,"QB"),""))</f>
        <v>BYE, GAME NOT STARTED, OR NO STATS YET</v>
      </c>
      <c r="F8" s="94" t="str">
        <f t="shared" si="3"/>
        <v>BYE OR GAME NOT STARTED6</v>
      </c>
      <c r="G8" s="87" t="str">
        <f>if(iferror(vlookup(CONCATENATE("Week 2",B8),'Raw With Formulas'!J:N,4,false),iferror(vlookup(CONCATENATE("Week 2",B8),'Raw With Formulas'!L:N,3,false),"BYE OR GAME NOT STARTED")) = "", "BYE OR GAME NOT STARTED", iferror(vlookup(CONCATENATE("Week 2",B8),'Raw With Formulas'!J:N,4,false),iferror(vlookup(CONCATENATE("Week 2",B8),'Raw With Formulas'!L:N,3,false),"BYE OR GAME NOT STARTED")))</f>
        <v>BYE OR GAME NOT STARTED</v>
      </c>
      <c r="H8" s="94" t="str">
        <f t="shared" si="4"/>
        <v>BYE, GAME NOT STARTED, OR NO STATS YET6</v>
      </c>
      <c r="I8" s="87" t="str">
        <f>if(today()&gt;='Week Date Mapping'!$A$4,iferror(
if(
sumifs(
'Player Stats - Current Week'!T:T,
'Player Stats - Current Week'!C:C,
iferror(
vlookup(
CONCATENATE("Week 3",B8), 
'Raw With Formulas'!J:O,
2,false
),
vlookup(CONCATENATE("Week 3",B8), 'Raw With Formulas'!L:O,4,false))) 
= 0,
"BYE, GAME NOT STARTED, OR NO STATS YET",
iferror(
sumifs(
'Player Stats - Current Week'!T:T,
'Player Stats - Current Week'!C:C,
iferror(
vlookup(
CONCATENATE("Week 3",B8), 
'Raw With Formulas'!J:O,
2,false
),
vlookup(CONCATENATE("Week 3",B8), 'Raw With Formulas'!L:O,4,false))),
""
)
),
"BYE, GAME NOT STARTED, OR NO STATS YET"
),"BYE, GAME NOT STARTED, OR NO STATS YET")</f>
        <v>BYE, GAME NOT STARTED, OR NO STATS YET</v>
      </c>
      <c r="J8" s="87" t="s">
        <v>175</v>
      </c>
      <c r="K8" s="87" t="str">
        <f>if(today()&gt;='Week Date Mapping'!$A$5,if(MAXIFS('Player Stats - Current Week'!E:E,'Player Stats - Current Week'!C:C,B8,'Player Stats - Current Week'!D:D,"TE")=0,"BYE, GAME NOT STARTED, OR NO STATS YET",iferror(MAXIFS('Player Stats - Current Week'!E:E,'Player Stats - Current Week'!C:C,B8,'Player Stats - Current Week'!D:D,"TE"),"")),"BYE, GAME NOT STARTED, OR NO STATS YET")</f>
        <v>BYE, GAME NOT STARTED, OR NO STATS YET</v>
      </c>
      <c r="L8" s="87" t="s">
        <v>175</v>
      </c>
      <c r="M8" s="87" t="str">
        <f>if(today()&gt;='Week Date Mapping'!$A$6,if(MAXIFS('Player Stats - Current Week'!Q:Q,'Player Stats - Current Week'!C:C,B8,'Player Stats - Current Week'!D:D,"WR")=0,"BYE, GAME NOT STARTED, OR NO STATS YET",iferror(MAXIFS('Player Stats - Current Week'!Q:Q,'Player Stats - Current Week'!C:C,B8,'Player Stats - Current Week'!D:D,"WR"),"")),"BYE, GAME NOT STARTED, OR NO STATS YET")</f>
        <v>BYE, GAME NOT STARTED, OR NO STATS YET</v>
      </c>
      <c r="N8" s="87" t="s">
        <v>175</v>
      </c>
      <c r="O8" s="87" t="str">
        <f>if(today()&gt;='Week Date Mapping'!$A$7,if((SUMIFS('Player Stats - Current Week'!L:L,'Player Stats - Current Week'!C:C,B8)+SUMIFS('Player Stats - Current Week'!R:R,'Player Stats - Current Week'!C:C,B8))=0,"BYE, GAME NOT STARTED, OR NO STATS YET",((SUMIFS('Player Stats - Current Week'!R:R,'Player Stats - Current Week'!C:C,B8)*6)+SUMIFS('Player Stats - Current Week'!L:L,'Player Stats - Current Week'!C:C,B8))),"BYE, GAME NOT STARTED, OR NO STATS YET")</f>
        <v>BYE, GAME NOT STARTED, OR NO STATS YET</v>
      </c>
      <c r="P8" s="87" t="s">
        <v>175</v>
      </c>
      <c r="Q8" s="87" t="str">
        <f>if(today()&gt;='Week Date Mapping'!$A$8,if((SUMIFS('Player Stats - Current Week'!G:G,'Player Stats - Current Week'!C:C,B8,'Player Stats - Current Week'!D:D,"RB")+SUMIFS('Player Stats - Current Week'!E:E,'Player Stats - Current Week'!C:C,B8,'Player Stats - Current Week'!D:D,"RB"))=0,"BYE, GAME NOT STARTED, OR NO STATS YET",((SUMIFS('Player Stats - Current Week'!G:G,'Player Stats - Current Week'!C:C,B8,'Player Stats - Current Week'!D:D,"RB"))+SUMIFS('Player Stats - Current Week'!E:E,'Player Stats - Current Week'!C:C,B8,'Player Stats - Current Week'!D:D,"RB"))),"BYE, GAME NOT STARTED, OR NO STATS YET")</f>
        <v>BYE, GAME NOT STARTED, OR NO STATS YET</v>
      </c>
      <c r="R8" s="87" t="s">
        <v>175</v>
      </c>
      <c r="S8" s="87" t="str">
        <f>if(today()&gt;='Week Date Mapping'!$A$9,if(MAXIFS('Player Stats - Current Week'!L:L,'Player Stats - Current Week'!C:C,B8,'Player Stats - Current Week'!D:D,"PK")=0,"BYE, GAME NOT STARTED, OR NO STATS YET",iferror(MAXIFS('Player Stats - Current Week'!L:L,'Player Stats - Current Week'!C:C,B8,'Player Stats - Current Week'!D:D,"PK"),"")),"BYE, GAME NOT STARTED, OR NO STATS YET")</f>
        <v>BYE, GAME NOT STARTED, OR NO STATS YET</v>
      </c>
      <c r="T8" s="87" t="s">
        <v>175</v>
      </c>
      <c r="U8" s="87" t="str">
        <f>if(today()&gt;='Week Date Mapping'!$A$10,if(MAXIFS('Player Stats - Current Week'!N:N,'Player Stats - Current Week'!C:C,B8,'Player Stats - Current Week'!D:D,"QB")=0,"BYE, GAME NOT STARTED, OR NO STATS YET",iferror(MAXIFS('Player Stats - Current Week'!N:N,'Player Stats - Current Week'!C:C,B8,'Player Stats - Current Week'!D:D,"QB"),"")),"BYE, GAME NOT STARTED, OR NO STATS YET")</f>
        <v>BYE, GAME NOT STARTED, OR NO STATS YET</v>
      </c>
      <c r="V8" s="87" t="s">
        <v>175</v>
      </c>
      <c r="W8" s="87" t="str">
        <f>if(today()&gt;='Week Date Mapping'!$A$11,if(SUMIFS('Player Stats - Current Week'!O:O,'Player Stats - Current Week'!C:C,B8)=0,"BYE, GAME NOT STARTED, OR NO STATS YET",iferror(SUMIFS('Player Stats - Current Week'!O:O,'Player Stats - Current Week'!C:C,B8),"")),"BYE, GAME NOT STARTED, OR NO STATS YET")</f>
        <v>BYE, GAME NOT STARTED, OR NO STATS YET</v>
      </c>
      <c r="X8" s="87" t="s">
        <v>175</v>
      </c>
      <c r="Y8" s="87" t="str">
        <f>if(today()&gt;='Week Date Mapping'!$A$12,if(MAXIFS('Player Stats - Current Week'!Q:Q,'Player Stats - Current Week'!C:C,B8,'Player Stats - Current Week'!D:D,"TE")=0,"BYE, GAME NOT STARTED, OR NO STATS YET",iferror(MAXIFS('Player Stats - Current Week'!Q:Q,'Player Stats - Current Week'!C:C,B8,'Player Stats - Current Week'!D:D,"TE"),"")),"BYE, GAME NOT STARTED, OR NO STATS YET")</f>
        <v>BYE, GAME NOT STARTED, OR NO STATS YET</v>
      </c>
      <c r="Z8" s="87" t="s">
        <v>175</v>
      </c>
      <c r="AA8" s="87" t="str">
        <f>if(today()&gt;='Week Date Mapping'!$A$13,if(MAXIFS('Player Stats - Current Week'!S:S,'Player Stats - Current Week'!C:C,B8)=0,"BYE, GAME NOT STARTED, OR NO STATS YET",iferror(MAXIFS('Player Stats - Current Week'!S:S,'Player Stats - Current Week'!C:C,B8),"")),"BYE, GAME NOT STARTED, OR NO STATS YET")</f>
        <v>BYE, GAME NOT STARTED, OR NO STATS YET</v>
      </c>
      <c r="AB8" s="87" t="s">
        <v>175</v>
      </c>
      <c r="AC8" s="87" t="str">
        <f>if(today()&gt;='Week Date Mapping'!$A$14,if(MAXIFS('Player Stats - Current Week'!G:G,'Player Stats - Current Week'!C:C,B8,'Player Stats - Current Week'!D:D,"QB")=0,"BYE, GAME NOT STARTED, OR NO STATS YET",iferror(MAXIFS('Player Stats - Current Week'!G:G,'Player Stats - Current Week'!C:C,B8,'Player Stats - Current Week'!D:D,"QB"),"")),"BYE, GAME NOT STARTED, OR NO STATS YET")</f>
        <v>BYE, GAME NOT STARTED, OR NO STATS YET</v>
      </c>
      <c r="AD8" s="94" t="str">
        <f t="shared" si="5"/>
        <v>BYE OR GAME NOT STARTED6</v>
      </c>
      <c r="AE8" s="100" t="str">
        <f>if(today()&gt;='Week Date Mapping'!$A$15,if(iferror(vlookup(CONCATENATE("Week 14",B8),'Raw With Formulas'!J:N,5,false),iferror(vlookup(CONCATENATE("Week 14",B8),'Raw With Formulas'!L:N,2,false),"BYE OR GAME NOT STARTED"))="","BYE OR GAME NOT STARTED",iferror(vlookup(CONCATENATE("Week 14",B8),'Raw With Formulas'!J:N,5,false),iferror(vlookup(CONCATENATE("Week 14",B8),'Raw With Formulas'!L:N,2,false),"BYE OR GAME NOT STARTED"))),"BYE OR GAME NOT STARTED")</f>
        <v>BYE OR GAME NOT STARTED</v>
      </c>
      <c r="AF8" s="94" t="str">
        <f t="shared" si="6"/>
        <v>BYE, GAME NOT STARTED, OR NO STATS YET6</v>
      </c>
      <c r="AG8" s="87" t="str">
        <f>if(today()&gt;='Week Date Mapping'!$A$16,if(MAXIFS('Player Stats - Current Week'!Q:Q,'Player Stats - Current Week'!C:C,B8,'Player Stats - Current Week'!D:D,"QB")=0,"BYE, GAME NOT STARTED, OR NO STATS YET",iferror(MAXIFS('Player Stats - Current Week'!Q:Q,'Player Stats - Current Week'!C:C,B8,'Player Stats - Current Week'!D:D,"QB"),"")),"BYE, GAME NOT STARTED, OR NO STATS YET")</f>
        <v>BYE, GAME NOT STARTED, OR NO STATS YET</v>
      </c>
      <c r="AH8" s="94" t="str">
        <f t="shared" si="7"/>
        <v>BYE OR GAME NOT STARTED6</v>
      </c>
      <c r="AI8" s="87" t="str">
        <f>if(today()&gt;='Week Date Mapping'!$A$17,if(iferror(vlookup(CONCATENATE("Week 16",B8),'Raw With Formulas'!J:N,4,false),iferror(vlookup(CONCATENATE("Week 16",B8),'Raw With Formulas'!L:N,3,false),"BYE OR GAME NOT STARTED"))="","BYE OR GAME NOT STARTED",iferror(vlookup(CONCATENATE("Week 16",B8),'Raw With Formulas'!J:N,4,false),iferror(vlookup(CONCATENATE("Week 16",B8),'Raw With Formulas'!L:N,3,false),"BYE OR GAME NOT STARTED"))),"BYE OR GAME NOT STARTED")</f>
        <v>BYE OR GAME NOT STARTED</v>
      </c>
      <c r="AJ8" s="94" t="str">
        <f t="shared" si="8"/>
        <v>BYE, GAME NOT STARTED, OR NO STATS YET6</v>
      </c>
      <c r="AK8" s="87" t="str">
        <f>if(today()&gt;='Week Date Mapping'!$A$18,if(MAXIFS('Player Stats - Current Week'!E:E,'Player Stats - Current Week'!C:C,B8,'Player Stats - Current Week'!D:D,"WR")=0,"BYE, GAME NOT STARTED, OR NO STATS YET",iferror(MAXIFS('Player Stats - Current Week'!E:E,'Player Stats - Current Week'!C:C,B8,'Player Stats - Current Week'!D:D,"WR"),"")),"BYE, GAME NOT STARTED, OR NO STATS YET")</f>
        <v>BYE, GAME NOT STARTED, OR NO STATS YET</v>
      </c>
      <c r="AL8" s="87" t="s">
        <v>175</v>
      </c>
      <c r="AM8" s="87" t="str">
        <f>if(today()&gt;='Week Date Mapping'!$A$19,if(MAXIFS('Player Stats - Current Week'!Q:Q,'Player Stats - Current Week'!C:C,B8,'Player Stats - Current Week'!D:D,"RB")=0,"BYE, GAME NOT STARTED, OR NO STATS YET",iferror(MAXIFS('Player Stats - Current Week'!Q:Q,'Player Stats - Current Week'!C:C,B8,'Player Stats - Current Week'!D:D,"RB"),"")),"BYE, GAME NOT STARTED, OR NO STATS YET")</f>
        <v>BYE, GAME NOT STARTED, OR NO STATS YET</v>
      </c>
      <c r="AN8" s="88" t="str">
        <f t="shared" si="1"/>
        <v>Wyatt</v>
      </c>
    </row>
    <row r="9">
      <c r="A9" s="89" t="s">
        <v>94</v>
      </c>
      <c r="B9" s="90" t="s">
        <v>95</v>
      </c>
      <c r="C9" s="90" t="str">
        <f>vlookup(A9,'Wins by Team'!A:C,3,false)</f>
        <v>Budde</v>
      </c>
      <c r="D9" s="103" t="str">
        <f t="shared" si="2"/>
        <v>BYE, GAME NOT STARTED, OR NO STATS YET7</v>
      </c>
      <c r="E9" s="90" t="str">
        <f>if(MAXIFS('Player Stats - Current Week'!I:I,'Player Stats - Current Week'!C:C,B9,'Player Stats - Current Week'!D:D,"QB")=0,"BYE, GAME NOT STARTED, OR NO STATS YET",iferror(MAXIFS('Player Stats - Current Week'!I:I,'Player Stats - Current Week'!C:C,B9,'Player Stats - Current Week'!D:D,"QB"),""))</f>
        <v>BYE, GAME NOT STARTED, OR NO STATS YET</v>
      </c>
      <c r="F9" s="103" t="str">
        <f t="shared" si="3"/>
        <v>BYE OR GAME NOT STARTED7</v>
      </c>
      <c r="G9" s="90" t="str">
        <f>if(iferror(vlookup(CONCATENATE("Week 2",B9),'Raw With Formulas'!J:N,4,false),iferror(vlookup(CONCATENATE("Week 2",B9),'Raw With Formulas'!L:N,3,false),"BYE OR GAME NOT STARTED")) = "", "BYE OR GAME NOT STARTED", iferror(vlookup(CONCATENATE("Week 2",B9),'Raw With Formulas'!J:N,4,false),iferror(vlookup(CONCATENATE("Week 2",B9),'Raw With Formulas'!L:N,3,false),"BYE OR GAME NOT STARTED")))</f>
        <v>BYE OR GAME NOT STARTED</v>
      </c>
      <c r="H9" s="103" t="str">
        <f t="shared" si="4"/>
        <v>BYE, GAME NOT STARTED, OR NO STATS YET7</v>
      </c>
      <c r="I9" s="90" t="str">
        <f>if(today()&gt;='Week Date Mapping'!$A$4,iferror(
if(
sumifs(
'Player Stats - Current Week'!T:T,
'Player Stats - Current Week'!C:C,
iferror(
vlookup(
CONCATENATE("Week 3",B9), 
'Raw With Formulas'!J:O,
2,false
),
vlookup(CONCATENATE("Week 3",B9), 'Raw With Formulas'!L:O,4,false))) 
= 0,
"BYE, GAME NOT STARTED, OR NO STATS YET",
iferror(
sumifs(
'Player Stats - Current Week'!T:T,
'Player Stats - Current Week'!C:C,
iferror(
vlookup(
CONCATENATE("Week 3",B9), 
'Raw With Formulas'!J:O,
2,false
),
vlookup(CONCATENATE("Week 3",B9), 'Raw With Formulas'!L:O,4,false))),
""
)
),
"BYE, GAME NOT STARTED, OR NO STATS YET"
),"BYE, GAME NOT STARTED, OR NO STATS YET")</f>
        <v>BYE, GAME NOT STARTED, OR NO STATS YET</v>
      </c>
      <c r="J9" s="90" t="s">
        <v>175</v>
      </c>
      <c r="K9" s="90" t="str">
        <f>if(today()&gt;='Week Date Mapping'!$A$5,if(MAXIFS('Player Stats - Current Week'!E:E,'Player Stats - Current Week'!C:C,B9,'Player Stats - Current Week'!D:D,"TE")=0,"BYE, GAME NOT STARTED, OR NO STATS YET",iferror(MAXIFS('Player Stats - Current Week'!E:E,'Player Stats - Current Week'!C:C,B9,'Player Stats - Current Week'!D:D,"TE"),"")),"BYE, GAME NOT STARTED, OR NO STATS YET")</f>
        <v>BYE, GAME NOT STARTED, OR NO STATS YET</v>
      </c>
      <c r="L9" s="90" t="s">
        <v>175</v>
      </c>
      <c r="M9" s="90" t="str">
        <f>if(today()&gt;='Week Date Mapping'!$A$6,if(MAXIFS('Player Stats - Current Week'!Q:Q,'Player Stats - Current Week'!C:C,B9,'Player Stats - Current Week'!D:D,"WR")=0,"BYE, GAME NOT STARTED, OR NO STATS YET",iferror(MAXIFS('Player Stats - Current Week'!Q:Q,'Player Stats - Current Week'!C:C,B9,'Player Stats - Current Week'!D:D,"WR"),"")),"BYE, GAME NOT STARTED, OR NO STATS YET")</f>
        <v>BYE, GAME NOT STARTED, OR NO STATS YET</v>
      </c>
      <c r="N9" s="90" t="s">
        <v>175</v>
      </c>
      <c r="O9" s="90" t="str">
        <f>if(today()&gt;='Week Date Mapping'!$A$7,if((SUMIFS('Player Stats - Current Week'!L:L,'Player Stats - Current Week'!C:C,B9)+SUMIFS('Player Stats - Current Week'!R:R,'Player Stats - Current Week'!C:C,B9))=0,"BYE, GAME NOT STARTED, OR NO STATS YET",((SUMIFS('Player Stats - Current Week'!R:R,'Player Stats - Current Week'!C:C,B9)*6)+SUMIFS('Player Stats - Current Week'!L:L,'Player Stats - Current Week'!C:C,B9))),"BYE, GAME NOT STARTED, OR NO STATS YET")</f>
        <v>BYE, GAME NOT STARTED, OR NO STATS YET</v>
      </c>
      <c r="P9" s="90" t="s">
        <v>175</v>
      </c>
      <c r="Q9" s="90" t="str">
        <f>if(today()&gt;='Week Date Mapping'!$A$8,if((SUMIFS('Player Stats - Current Week'!G:G,'Player Stats - Current Week'!C:C,B9,'Player Stats - Current Week'!D:D,"RB")+SUMIFS('Player Stats - Current Week'!E:E,'Player Stats - Current Week'!C:C,B9,'Player Stats - Current Week'!D:D,"RB"))=0,"BYE, GAME NOT STARTED, OR NO STATS YET",((SUMIFS('Player Stats - Current Week'!G:G,'Player Stats - Current Week'!C:C,B9,'Player Stats - Current Week'!D:D,"RB"))+SUMIFS('Player Stats - Current Week'!E:E,'Player Stats - Current Week'!C:C,B9,'Player Stats - Current Week'!D:D,"RB"))),"BYE, GAME NOT STARTED, OR NO STATS YET")</f>
        <v>BYE, GAME NOT STARTED, OR NO STATS YET</v>
      </c>
      <c r="R9" s="90" t="s">
        <v>175</v>
      </c>
      <c r="S9" s="90" t="str">
        <f>if(today()&gt;='Week Date Mapping'!$A$9,if(MAXIFS('Player Stats - Current Week'!L:L,'Player Stats - Current Week'!C:C,B9,'Player Stats - Current Week'!D:D,"PK")=0,"BYE, GAME NOT STARTED, OR NO STATS YET",iferror(MAXIFS('Player Stats - Current Week'!L:L,'Player Stats - Current Week'!C:C,B9,'Player Stats - Current Week'!D:D,"PK"),"")),"BYE, GAME NOT STARTED, OR NO STATS YET")</f>
        <v>BYE, GAME NOT STARTED, OR NO STATS YET</v>
      </c>
      <c r="T9" s="90" t="s">
        <v>175</v>
      </c>
      <c r="U9" s="90" t="str">
        <f>if(today()&gt;='Week Date Mapping'!$A$10,if(MAXIFS('Player Stats - Current Week'!N:N,'Player Stats - Current Week'!C:C,B9,'Player Stats - Current Week'!D:D,"QB")=0,"BYE, GAME NOT STARTED, OR NO STATS YET",iferror(MAXIFS('Player Stats - Current Week'!N:N,'Player Stats - Current Week'!C:C,B9,'Player Stats - Current Week'!D:D,"QB"),"")),"BYE, GAME NOT STARTED, OR NO STATS YET")</f>
        <v>BYE, GAME NOT STARTED, OR NO STATS YET</v>
      </c>
      <c r="V9" s="90" t="s">
        <v>175</v>
      </c>
      <c r="W9" s="90" t="str">
        <f>if(today()&gt;='Week Date Mapping'!$A$11,if(SUMIFS('Player Stats - Current Week'!O:O,'Player Stats - Current Week'!C:C,B9)=0,"BYE, GAME NOT STARTED, OR NO STATS YET",iferror(SUMIFS('Player Stats - Current Week'!O:O,'Player Stats - Current Week'!C:C,B9),"")),"BYE, GAME NOT STARTED, OR NO STATS YET")</f>
        <v>BYE, GAME NOT STARTED, OR NO STATS YET</v>
      </c>
      <c r="X9" s="90" t="s">
        <v>175</v>
      </c>
      <c r="Y9" s="90" t="str">
        <f>if(today()&gt;='Week Date Mapping'!$A$12,if(MAXIFS('Player Stats - Current Week'!Q:Q,'Player Stats - Current Week'!C:C,B9,'Player Stats - Current Week'!D:D,"TE")=0,"BYE, GAME NOT STARTED, OR NO STATS YET",iferror(MAXIFS('Player Stats - Current Week'!Q:Q,'Player Stats - Current Week'!C:C,B9,'Player Stats - Current Week'!D:D,"TE"),"")),"BYE, GAME NOT STARTED, OR NO STATS YET")</f>
        <v>BYE, GAME NOT STARTED, OR NO STATS YET</v>
      </c>
      <c r="Z9" s="90" t="s">
        <v>175</v>
      </c>
      <c r="AA9" s="90" t="str">
        <f>if(today()&gt;='Week Date Mapping'!$A$13,if(MAXIFS('Player Stats - Current Week'!S:S,'Player Stats - Current Week'!C:C,B9)=0,"BYE, GAME NOT STARTED, OR NO STATS YET",iferror(MAXIFS('Player Stats - Current Week'!S:S,'Player Stats - Current Week'!C:C,B9),"")),"BYE, GAME NOT STARTED, OR NO STATS YET")</f>
        <v>BYE, GAME NOT STARTED, OR NO STATS YET</v>
      </c>
      <c r="AB9" s="90" t="s">
        <v>175</v>
      </c>
      <c r="AC9" s="90" t="str">
        <f>if(today()&gt;='Week Date Mapping'!$A$14,if(MAXIFS('Player Stats - Current Week'!G:G,'Player Stats - Current Week'!C:C,B9,'Player Stats - Current Week'!D:D,"QB")=0,"BYE, GAME NOT STARTED, OR NO STATS YET",iferror(MAXIFS('Player Stats - Current Week'!G:G,'Player Stats - Current Week'!C:C,B9,'Player Stats - Current Week'!D:D,"QB"),"")),"BYE, GAME NOT STARTED, OR NO STATS YET")</f>
        <v>BYE, GAME NOT STARTED, OR NO STATS YET</v>
      </c>
      <c r="AD9" s="103" t="str">
        <f t="shared" si="5"/>
        <v>BYE OR GAME NOT STARTED7</v>
      </c>
      <c r="AE9" s="101" t="str">
        <f>if(today()&gt;='Week Date Mapping'!$A$15,if(iferror(vlookup(CONCATENATE("Week 14",B9),'Raw With Formulas'!J:N,5,false),iferror(vlookup(CONCATENATE("Week 14",B9),'Raw With Formulas'!L:N,2,false),"BYE OR GAME NOT STARTED"))="","BYE OR GAME NOT STARTED",iferror(vlookup(CONCATENATE("Week 14",B9),'Raw With Formulas'!J:N,5,false),iferror(vlookup(CONCATENATE("Week 14",B9),'Raw With Formulas'!L:N,2,false),"BYE OR GAME NOT STARTED"))),"BYE OR GAME NOT STARTED")</f>
        <v>BYE OR GAME NOT STARTED</v>
      </c>
      <c r="AF9" s="103" t="str">
        <f t="shared" si="6"/>
        <v>BYE, GAME NOT STARTED, OR NO STATS YET7</v>
      </c>
      <c r="AG9" s="90" t="str">
        <f>if(today()&gt;='Week Date Mapping'!$A$16,if(MAXIFS('Player Stats - Current Week'!Q:Q,'Player Stats - Current Week'!C:C,B9,'Player Stats - Current Week'!D:D,"QB")=0,"BYE, GAME NOT STARTED, OR NO STATS YET",iferror(MAXIFS('Player Stats - Current Week'!Q:Q,'Player Stats - Current Week'!C:C,B9,'Player Stats - Current Week'!D:D,"QB"),"")),"BYE, GAME NOT STARTED, OR NO STATS YET")</f>
        <v>BYE, GAME NOT STARTED, OR NO STATS YET</v>
      </c>
      <c r="AH9" s="103" t="str">
        <f t="shared" si="7"/>
        <v>BYE OR GAME NOT STARTED7</v>
      </c>
      <c r="AI9" s="90" t="str">
        <f>if(today()&gt;='Week Date Mapping'!$A$17,if(iferror(vlookup(CONCATENATE("Week 16",B9),'Raw With Formulas'!J:N,4,false),iferror(vlookup(CONCATENATE("Week 16",B9),'Raw With Formulas'!L:N,3,false),"BYE OR GAME NOT STARTED"))="","BYE OR GAME NOT STARTED",iferror(vlookup(CONCATENATE("Week 16",B9),'Raw With Formulas'!J:N,4,false),iferror(vlookup(CONCATENATE("Week 16",B9),'Raw With Formulas'!L:N,3,false),"BYE OR GAME NOT STARTED"))),"BYE OR GAME NOT STARTED")</f>
        <v>BYE OR GAME NOT STARTED</v>
      </c>
      <c r="AJ9" s="103" t="str">
        <f t="shared" si="8"/>
        <v>BYE, GAME NOT STARTED, OR NO STATS YET7</v>
      </c>
      <c r="AK9" s="90" t="str">
        <f>if(today()&gt;='Week Date Mapping'!$A$18,if(MAXIFS('Player Stats - Current Week'!E:E,'Player Stats - Current Week'!C:C,B9,'Player Stats - Current Week'!D:D,"WR")=0,"BYE, GAME NOT STARTED, OR NO STATS YET",iferror(MAXIFS('Player Stats - Current Week'!E:E,'Player Stats - Current Week'!C:C,B9,'Player Stats - Current Week'!D:D,"WR"),"")),"BYE, GAME NOT STARTED, OR NO STATS YET")</f>
        <v>BYE, GAME NOT STARTED, OR NO STATS YET</v>
      </c>
      <c r="AL9" s="90" t="s">
        <v>175</v>
      </c>
      <c r="AM9" s="90" t="str">
        <f>if(today()&gt;='Week Date Mapping'!$A$19,if(MAXIFS('Player Stats - Current Week'!Q:Q,'Player Stats - Current Week'!C:C,B9,'Player Stats - Current Week'!D:D,"RB")=0,"BYE, GAME NOT STARTED, OR NO STATS YET",iferror(MAXIFS('Player Stats - Current Week'!Q:Q,'Player Stats - Current Week'!C:C,B9,'Player Stats - Current Week'!D:D,"RB"),"")),"BYE, GAME NOT STARTED, OR NO STATS YET")</f>
        <v>BYE, GAME NOT STARTED, OR NO STATS YET</v>
      </c>
      <c r="AN9" s="104" t="str">
        <f t="shared" si="1"/>
        <v>Budde</v>
      </c>
    </row>
    <row r="10">
      <c r="A10" s="86" t="s">
        <v>96</v>
      </c>
      <c r="B10" s="87" t="s">
        <v>96</v>
      </c>
      <c r="C10" s="87" t="str">
        <f>vlookup(A10,'Wins by Team'!A:C,3,false)</f>
        <v>Rob</v>
      </c>
      <c r="D10" s="94" t="str">
        <f t="shared" si="2"/>
        <v>BYE, GAME NOT STARTED, OR NO STATS YET8</v>
      </c>
      <c r="E10" s="87" t="str">
        <f>if(MAXIFS('Player Stats - Current Week'!I:I,'Player Stats - Current Week'!C:C,B10,'Player Stats - Current Week'!D:D,"QB")=0,"BYE, GAME NOT STARTED, OR NO STATS YET",iferror(MAXIFS('Player Stats - Current Week'!I:I,'Player Stats - Current Week'!C:C,B10,'Player Stats - Current Week'!D:D,"QB"),""))</f>
        <v>BYE, GAME NOT STARTED, OR NO STATS YET</v>
      </c>
      <c r="F10" s="94" t="str">
        <f t="shared" si="3"/>
        <v>BYE OR GAME NOT STARTED8</v>
      </c>
      <c r="G10" s="87" t="str">
        <f>if(iferror(vlookup(CONCATENATE("Week 2",B10),'Raw With Formulas'!J:N,4,false),iferror(vlookup(CONCATENATE("Week 2",B10),'Raw With Formulas'!L:N,3,false),"BYE OR GAME NOT STARTED")) = "", "BYE OR GAME NOT STARTED", iferror(vlookup(CONCATENATE("Week 2",B10),'Raw With Formulas'!J:N,4,false),iferror(vlookup(CONCATENATE("Week 2",B10),'Raw With Formulas'!L:N,3,false),"BYE OR GAME NOT STARTED")))</f>
        <v>BYE OR GAME NOT STARTED</v>
      </c>
      <c r="H10" s="94" t="str">
        <f t="shared" si="4"/>
        <v>BYE, GAME NOT STARTED, OR NO STATS YET8</v>
      </c>
      <c r="I10" s="87" t="str">
        <f>if(today()&gt;='Week Date Mapping'!$A$4,iferror(
if(
sumifs(
'Player Stats - Current Week'!T:T,
'Player Stats - Current Week'!C:C,
iferror(
vlookup(
CONCATENATE("Week 3",B10), 
'Raw With Formulas'!J:O,
2,false
),
vlookup(CONCATENATE("Week 3",B10), 'Raw With Formulas'!L:O,4,false))) 
= 0,
"BYE, GAME NOT STARTED, OR NO STATS YET",
iferror(
sumifs(
'Player Stats - Current Week'!T:T,
'Player Stats - Current Week'!C:C,
iferror(
vlookup(
CONCATENATE("Week 3",B10), 
'Raw With Formulas'!J:O,
2,false
),
vlookup(CONCATENATE("Week 3",B10), 'Raw With Formulas'!L:O,4,false))),
""
)
),
"BYE, GAME NOT STARTED, OR NO STATS YET"
),"BYE, GAME NOT STARTED, OR NO STATS YET")</f>
        <v>BYE, GAME NOT STARTED, OR NO STATS YET</v>
      </c>
      <c r="J10" s="87" t="s">
        <v>175</v>
      </c>
      <c r="K10" s="87" t="str">
        <f>if(today()&gt;='Week Date Mapping'!$A$5,if(MAXIFS('Player Stats - Current Week'!E:E,'Player Stats - Current Week'!C:C,B10,'Player Stats - Current Week'!D:D,"TE")=0,"BYE, GAME NOT STARTED, OR NO STATS YET",iferror(MAXIFS('Player Stats - Current Week'!E:E,'Player Stats - Current Week'!C:C,B10,'Player Stats - Current Week'!D:D,"TE"),"")),"BYE, GAME NOT STARTED, OR NO STATS YET")</f>
        <v>BYE, GAME NOT STARTED, OR NO STATS YET</v>
      </c>
      <c r="L10" s="87" t="s">
        <v>175</v>
      </c>
      <c r="M10" s="87" t="str">
        <f>if(today()&gt;='Week Date Mapping'!$A$6,if(MAXIFS('Player Stats - Current Week'!Q:Q,'Player Stats - Current Week'!C:C,B10,'Player Stats - Current Week'!D:D,"WR")=0,"BYE, GAME NOT STARTED, OR NO STATS YET",iferror(MAXIFS('Player Stats - Current Week'!Q:Q,'Player Stats - Current Week'!C:C,B10,'Player Stats - Current Week'!D:D,"WR"),"")),"BYE, GAME NOT STARTED, OR NO STATS YET")</f>
        <v>BYE, GAME NOT STARTED, OR NO STATS YET</v>
      </c>
      <c r="N10" s="87" t="s">
        <v>175</v>
      </c>
      <c r="O10" s="87" t="str">
        <f>if(today()&gt;='Week Date Mapping'!$A$7,if((SUMIFS('Player Stats - Current Week'!L:L,'Player Stats - Current Week'!C:C,B10)+SUMIFS('Player Stats - Current Week'!R:R,'Player Stats - Current Week'!C:C,B10))=0,"BYE, GAME NOT STARTED, OR NO STATS YET",((SUMIFS('Player Stats - Current Week'!R:R,'Player Stats - Current Week'!C:C,B10)*6)+SUMIFS('Player Stats - Current Week'!L:L,'Player Stats - Current Week'!C:C,B10))),"BYE, GAME NOT STARTED, OR NO STATS YET")</f>
        <v>BYE, GAME NOT STARTED, OR NO STATS YET</v>
      </c>
      <c r="P10" s="87" t="s">
        <v>175</v>
      </c>
      <c r="Q10" s="87" t="str">
        <f>if(today()&gt;='Week Date Mapping'!$A$8,if((SUMIFS('Player Stats - Current Week'!G:G,'Player Stats - Current Week'!C:C,B10,'Player Stats - Current Week'!D:D,"RB")+SUMIFS('Player Stats - Current Week'!E:E,'Player Stats - Current Week'!C:C,B10,'Player Stats - Current Week'!D:D,"RB"))=0,"BYE, GAME NOT STARTED, OR NO STATS YET",((SUMIFS('Player Stats - Current Week'!G:G,'Player Stats - Current Week'!C:C,B10,'Player Stats - Current Week'!D:D,"RB"))+SUMIFS('Player Stats - Current Week'!E:E,'Player Stats - Current Week'!C:C,B10,'Player Stats - Current Week'!D:D,"RB"))),"BYE, GAME NOT STARTED, OR NO STATS YET")</f>
        <v>BYE, GAME NOT STARTED, OR NO STATS YET</v>
      </c>
      <c r="R10" s="87" t="s">
        <v>175</v>
      </c>
      <c r="S10" s="87" t="str">
        <f>if(today()&gt;='Week Date Mapping'!$A$9,if(MAXIFS('Player Stats - Current Week'!L:L,'Player Stats - Current Week'!C:C,B10,'Player Stats - Current Week'!D:D,"PK")=0,"BYE, GAME NOT STARTED, OR NO STATS YET",iferror(MAXIFS('Player Stats - Current Week'!L:L,'Player Stats - Current Week'!C:C,B10,'Player Stats - Current Week'!D:D,"PK"),"")),"BYE, GAME NOT STARTED, OR NO STATS YET")</f>
        <v>BYE, GAME NOT STARTED, OR NO STATS YET</v>
      </c>
      <c r="T10" s="87" t="s">
        <v>175</v>
      </c>
      <c r="U10" s="87" t="str">
        <f>if(today()&gt;='Week Date Mapping'!$A$10,if(MAXIFS('Player Stats - Current Week'!N:N,'Player Stats - Current Week'!C:C,B10,'Player Stats - Current Week'!D:D,"QB")=0,"BYE, GAME NOT STARTED, OR NO STATS YET",iferror(MAXIFS('Player Stats - Current Week'!N:N,'Player Stats - Current Week'!C:C,B10,'Player Stats - Current Week'!D:D,"QB"),"")),"BYE, GAME NOT STARTED, OR NO STATS YET")</f>
        <v>BYE, GAME NOT STARTED, OR NO STATS YET</v>
      </c>
      <c r="V10" s="87" t="s">
        <v>175</v>
      </c>
      <c r="W10" s="87" t="str">
        <f>if(today()&gt;='Week Date Mapping'!$A$11,if(SUMIFS('Player Stats - Current Week'!O:O,'Player Stats - Current Week'!C:C,B10)=0,"BYE, GAME NOT STARTED, OR NO STATS YET",iferror(SUMIFS('Player Stats - Current Week'!O:O,'Player Stats - Current Week'!C:C,B10),"")),"BYE, GAME NOT STARTED, OR NO STATS YET")</f>
        <v>BYE, GAME NOT STARTED, OR NO STATS YET</v>
      </c>
      <c r="X10" s="87" t="s">
        <v>175</v>
      </c>
      <c r="Y10" s="87" t="str">
        <f>if(today()&gt;='Week Date Mapping'!$A$12,if(MAXIFS('Player Stats - Current Week'!Q:Q,'Player Stats - Current Week'!C:C,B10,'Player Stats - Current Week'!D:D,"TE")=0,"BYE, GAME NOT STARTED, OR NO STATS YET",iferror(MAXIFS('Player Stats - Current Week'!Q:Q,'Player Stats - Current Week'!C:C,B10,'Player Stats - Current Week'!D:D,"TE"),"")),"BYE, GAME NOT STARTED, OR NO STATS YET")</f>
        <v>BYE, GAME NOT STARTED, OR NO STATS YET</v>
      </c>
      <c r="Z10" s="87" t="s">
        <v>175</v>
      </c>
      <c r="AA10" s="87" t="str">
        <f>if(today()&gt;='Week Date Mapping'!$A$13,if(MAXIFS('Player Stats - Current Week'!S:S,'Player Stats - Current Week'!C:C,B10)=0,"BYE, GAME NOT STARTED, OR NO STATS YET",iferror(MAXIFS('Player Stats - Current Week'!S:S,'Player Stats - Current Week'!C:C,B10),"")),"BYE, GAME NOT STARTED, OR NO STATS YET")</f>
        <v>BYE, GAME NOT STARTED, OR NO STATS YET</v>
      </c>
      <c r="AB10" s="87" t="s">
        <v>175</v>
      </c>
      <c r="AC10" s="87" t="str">
        <f>if(today()&gt;='Week Date Mapping'!$A$14,if(MAXIFS('Player Stats - Current Week'!G:G,'Player Stats - Current Week'!C:C,B10,'Player Stats - Current Week'!D:D,"QB")=0,"BYE, GAME NOT STARTED, OR NO STATS YET",iferror(MAXIFS('Player Stats - Current Week'!G:G,'Player Stats - Current Week'!C:C,B10,'Player Stats - Current Week'!D:D,"QB"),"")),"BYE, GAME NOT STARTED, OR NO STATS YET")</f>
        <v>BYE, GAME NOT STARTED, OR NO STATS YET</v>
      </c>
      <c r="AD10" s="94" t="str">
        <f t="shared" si="5"/>
        <v>BYE OR GAME NOT STARTED8</v>
      </c>
      <c r="AE10" s="100" t="str">
        <f>if(today()&gt;='Week Date Mapping'!$A$15,if(iferror(vlookup(CONCATENATE("Week 14",B10),'Raw With Formulas'!J:N,5,false),iferror(vlookup(CONCATENATE("Week 14",B10),'Raw With Formulas'!L:N,2,false),"BYE OR GAME NOT STARTED"))="","BYE OR GAME NOT STARTED",iferror(vlookup(CONCATENATE("Week 14",B10),'Raw With Formulas'!J:N,5,false),iferror(vlookup(CONCATENATE("Week 14",B10),'Raw With Formulas'!L:N,2,false),"BYE OR GAME NOT STARTED"))),"BYE OR GAME NOT STARTED")</f>
        <v>BYE OR GAME NOT STARTED</v>
      </c>
      <c r="AF10" s="94" t="str">
        <f t="shared" si="6"/>
        <v>BYE, GAME NOT STARTED, OR NO STATS YET8</v>
      </c>
      <c r="AG10" s="87" t="str">
        <f>if(today()&gt;='Week Date Mapping'!$A$16,if(MAXIFS('Player Stats - Current Week'!Q:Q,'Player Stats - Current Week'!C:C,B10,'Player Stats - Current Week'!D:D,"QB")=0,"BYE, GAME NOT STARTED, OR NO STATS YET",iferror(MAXIFS('Player Stats - Current Week'!Q:Q,'Player Stats - Current Week'!C:C,B10,'Player Stats - Current Week'!D:D,"QB"),"")),"BYE, GAME NOT STARTED, OR NO STATS YET")</f>
        <v>BYE, GAME NOT STARTED, OR NO STATS YET</v>
      </c>
      <c r="AH10" s="94" t="str">
        <f t="shared" si="7"/>
        <v>BYE OR GAME NOT STARTED8</v>
      </c>
      <c r="AI10" s="87" t="str">
        <f>if(today()&gt;='Week Date Mapping'!$A$17,if(iferror(vlookup(CONCATENATE("Week 16",B10),'Raw With Formulas'!J:N,4,false),iferror(vlookup(CONCATENATE("Week 16",B10),'Raw With Formulas'!L:N,3,false),"BYE OR GAME NOT STARTED"))="","BYE OR GAME NOT STARTED",iferror(vlookup(CONCATENATE("Week 16",B10),'Raw With Formulas'!J:N,4,false),iferror(vlookup(CONCATENATE("Week 16",B10),'Raw With Formulas'!L:N,3,false),"BYE OR GAME NOT STARTED"))),"BYE OR GAME NOT STARTED")</f>
        <v>BYE OR GAME NOT STARTED</v>
      </c>
      <c r="AJ10" s="94" t="str">
        <f t="shared" si="8"/>
        <v>BYE, GAME NOT STARTED, OR NO STATS YET8</v>
      </c>
      <c r="AK10" s="87" t="str">
        <f>if(today()&gt;='Week Date Mapping'!$A$18,if(MAXIFS('Player Stats - Current Week'!E:E,'Player Stats - Current Week'!C:C,B10,'Player Stats - Current Week'!D:D,"WR")=0,"BYE, GAME NOT STARTED, OR NO STATS YET",iferror(MAXIFS('Player Stats - Current Week'!E:E,'Player Stats - Current Week'!C:C,B10,'Player Stats - Current Week'!D:D,"WR"),"")),"BYE, GAME NOT STARTED, OR NO STATS YET")</f>
        <v>BYE, GAME NOT STARTED, OR NO STATS YET</v>
      </c>
      <c r="AL10" s="87" t="s">
        <v>175</v>
      </c>
      <c r="AM10" s="87" t="str">
        <f>if(today()&gt;='Week Date Mapping'!$A$19,if(MAXIFS('Player Stats - Current Week'!Q:Q,'Player Stats - Current Week'!C:C,B10,'Player Stats - Current Week'!D:D,"RB")=0,"BYE, GAME NOT STARTED, OR NO STATS YET",iferror(MAXIFS('Player Stats - Current Week'!Q:Q,'Player Stats - Current Week'!C:C,B10,'Player Stats - Current Week'!D:D,"RB"),"")),"BYE, GAME NOT STARTED, OR NO STATS YET")</f>
        <v>BYE, GAME NOT STARTED, OR NO STATS YET</v>
      </c>
      <c r="AN10" s="92" t="str">
        <f t="shared" si="1"/>
        <v>Rob</v>
      </c>
    </row>
    <row r="11">
      <c r="A11" s="89" t="s">
        <v>97</v>
      </c>
      <c r="B11" s="90" t="s">
        <v>97</v>
      </c>
      <c r="C11" s="90" t="str">
        <f>vlookup(A11,'Wins by Team'!A:C,3,false)</f>
        <v>Kyle</v>
      </c>
      <c r="D11" s="103" t="str">
        <f t="shared" si="2"/>
        <v>BYE, GAME NOT STARTED, OR NO STATS YET9</v>
      </c>
      <c r="E11" s="90" t="str">
        <f>if(MAXIFS('Player Stats - Current Week'!I:I,'Player Stats - Current Week'!C:C,B11,'Player Stats - Current Week'!D:D,"QB")=0,"BYE, GAME NOT STARTED, OR NO STATS YET",iferror(MAXIFS('Player Stats - Current Week'!I:I,'Player Stats - Current Week'!C:C,B11,'Player Stats - Current Week'!D:D,"QB"),""))</f>
        <v>BYE, GAME NOT STARTED, OR NO STATS YET</v>
      </c>
      <c r="F11" s="103" t="str">
        <f t="shared" si="3"/>
        <v>BYE OR GAME NOT STARTED9</v>
      </c>
      <c r="G11" s="90" t="str">
        <f>if(iferror(vlookup(CONCATENATE("Week 2",B11),'Raw With Formulas'!J:N,4,false),iferror(vlookup(CONCATENATE("Week 2",B11),'Raw With Formulas'!L:N,3,false),"BYE OR GAME NOT STARTED")) = "", "BYE OR GAME NOT STARTED", iferror(vlookup(CONCATENATE("Week 2",B11),'Raw With Formulas'!J:N,4,false),iferror(vlookup(CONCATENATE("Week 2",B11),'Raw With Formulas'!L:N,3,false),"BYE OR GAME NOT STARTED")))</f>
        <v>BYE OR GAME NOT STARTED</v>
      </c>
      <c r="H11" s="103" t="str">
        <f t="shared" si="4"/>
        <v>BYE, GAME NOT STARTED, OR NO STATS YET9</v>
      </c>
      <c r="I11" s="90" t="str">
        <f>if(today()&gt;='Week Date Mapping'!$A$4,iferror(
if(
sumifs(
'Player Stats - Current Week'!T:T,
'Player Stats - Current Week'!C:C,
iferror(
vlookup(
CONCATENATE("Week 3",B11), 
'Raw With Formulas'!J:O,
2,false
),
vlookup(CONCATENATE("Week 3",B11), 'Raw With Formulas'!L:O,4,false))) 
= 0,
"BYE, GAME NOT STARTED, OR NO STATS YET",
iferror(
sumifs(
'Player Stats - Current Week'!T:T,
'Player Stats - Current Week'!C:C,
iferror(
vlookup(
CONCATENATE("Week 3",B11), 
'Raw With Formulas'!J:O,
2,false
),
vlookup(CONCATENATE("Week 3",B11), 'Raw With Formulas'!L:O,4,false))),
""
)
),
"BYE, GAME NOT STARTED, OR NO STATS YET"
),"BYE, GAME NOT STARTED, OR NO STATS YET")</f>
        <v>BYE, GAME NOT STARTED, OR NO STATS YET</v>
      </c>
      <c r="J11" s="90" t="s">
        <v>175</v>
      </c>
      <c r="K11" s="90" t="str">
        <f>if(today()&gt;='Week Date Mapping'!$A$5,if(MAXIFS('Player Stats - Current Week'!E:E,'Player Stats - Current Week'!C:C,B11,'Player Stats - Current Week'!D:D,"TE")=0,"BYE, GAME NOT STARTED, OR NO STATS YET",iferror(MAXIFS('Player Stats - Current Week'!E:E,'Player Stats - Current Week'!C:C,B11,'Player Stats - Current Week'!D:D,"TE"),"")),"BYE, GAME NOT STARTED, OR NO STATS YET")</f>
        <v>BYE, GAME NOT STARTED, OR NO STATS YET</v>
      </c>
      <c r="L11" s="90" t="s">
        <v>175</v>
      </c>
      <c r="M11" s="90" t="str">
        <f>if(today()&gt;='Week Date Mapping'!$A$6,if(MAXIFS('Player Stats - Current Week'!Q:Q,'Player Stats - Current Week'!C:C,B11,'Player Stats - Current Week'!D:D,"WR")=0,"BYE, GAME NOT STARTED, OR NO STATS YET",iferror(MAXIFS('Player Stats - Current Week'!Q:Q,'Player Stats - Current Week'!C:C,B11,'Player Stats - Current Week'!D:D,"WR"),"")),"BYE, GAME NOT STARTED, OR NO STATS YET")</f>
        <v>BYE, GAME NOT STARTED, OR NO STATS YET</v>
      </c>
      <c r="N11" s="90" t="s">
        <v>175</v>
      </c>
      <c r="O11" s="90" t="str">
        <f>if(today()&gt;='Week Date Mapping'!$A$7,if((SUMIFS('Player Stats - Current Week'!L:L,'Player Stats - Current Week'!C:C,B11)+SUMIFS('Player Stats - Current Week'!R:R,'Player Stats - Current Week'!C:C,B11))=0,"BYE, GAME NOT STARTED, OR NO STATS YET",((SUMIFS('Player Stats - Current Week'!R:R,'Player Stats - Current Week'!C:C,B11)*6)+SUMIFS('Player Stats - Current Week'!L:L,'Player Stats - Current Week'!C:C,B11))),"BYE, GAME NOT STARTED, OR NO STATS YET")</f>
        <v>BYE, GAME NOT STARTED, OR NO STATS YET</v>
      </c>
      <c r="P11" s="90" t="s">
        <v>175</v>
      </c>
      <c r="Q11" s="90" t="str">
        <f>if(today()&gt;='Week Date Mapping'!$A$8,if((SUMIFS('Player Stats - Current Week'!G:G,'Player Stats - Current Week'!C:C,B11,'Player Stats - Current Week'!D:D,"RB")+SUMIFS('Player Stats - Current Week'!E:E,'Player Stats - Current Week'!C:C,B11,'Player Stats - Current Week'!D:D,"RB"))=0,"BYE, GAME NOT STARTED, OR NO STATS YET",((SUMIFS('Player Stats - Current Week'!G:G,'Player Stats - Current Week'!C:C,B11,'Player Stats - Current Week'!D:D,"RB"))+SUMIFS('Player Stats - Current Week'!E:E,'Player Stats - Current Week'!C:C,B11,'Player Stats - Current Week'!D:D,"RB"))),"BYE, GAME NOT STARTED, OR NO STATS YET")</f>
        <v>BYE, GAME NOT STARTED, OR NO STATS YET</v>
      </c>
      <c r="R11" s="90" t="s">
        <v>175</v>
      </c>
      <c r="S11" s="90" t="str">
        <f>if(today()&gt;='Week Date Mapping'!$A$9,if(MAXIFS('Player Stats - Current Week'!L:L,'Player Stats - Current Week'!C:C,B11,'Player Stats - Current Week'!D:D,"PK")=0,"BYE, GAME NOT STARTED, OR NO STATS YET",iferror(MAXIFS('Player Stats - Current Week'!L:L,'Player Stats - Current Week'!C:C,B11,'Player Stats - Current Week'!D:D,"PK"),"")),"BYE, GAME NOT STARTED, OR NO STATS YET")</f>
        <v>BYE, GAME NOT STARTED, OR NO STATS YET</v>
      </c>
      <c r="T11" s="90" t="s">
        <v>175</v>
      </c>
      <c r="U11" s="90" t="str">
        <f>if(today()&gt;='Week Date Mapping'!$A$10,if(MAXIFS('Player Stats - Current Week'!N:N,'Player Stats - Current Week'!C:C,B11,'Player Stats - Current Week'!D:D,"QB")=0,"BYE, GAME NOT STARTED, OR NO STATS YET",iferror(MAXIFS('Player Stats - Current Week'!N:N,'Player Stats - Current Week'!C:C,B11,'Player Stats - Current Week'!D:D,"QB"),"")),"BYE, GAME NOT STARTED, OR NO STATS YET")</f>
        <v>BYE, GAME NOT STARTED, OR NO STATS YET</v>
      </c>
      <c r="V11" s="90" t="s">
        <v>175</v>
      </c>
      <c r="W11" s="90" t="str">
        <f>if(today()&gt;='Week Date Mapping'!$A$11,if(SUMIFS('Player Stats - Current Week'!O:O,'Player Stats - Current Week'!C:C,B11)=0,"BYE, GAME NOT STARTED, OR NO STATS YET",iferror(SUMIFS('Player Stats - Current Week'!O:O,'Player Stats - Current Week'!C:C,B11),"")),"BYE, GAME NOT STARTED, OR NO STATS YET")</f>
        <v>BYE, GAME NOT STARTED, OR NO STATS YET</v>
      </c>
      <c r="X11" s="90" t="s">
        <v>175</v>
      </c>
      <c r="Y11" s="90" t="str">
        <f>if(today()&gt;='Week Date Mapping'!$A$12,if(MAXIFS('Player Stats - Current Week'!Q:Q,'Player Stats - Current Week'!C:C,B11,'Player Stats - Current Week'!D:D,"TE")=0,"BYE, GAME NOT STARTED, OR NO STATS YET",iferror(MAXIFS('Player Stats - Current Week'!Q:Q,'Player Stats - Current Week'!C:C,B11,'Player Stats - Current Week'!D:D,"TE"),"")),"BYE, GAME NOT STARTED, OR NO STATS YET")</f>
        <v>BYE, GAME NOT STARTED, OR NO STATS YET</v>
      </c>
      <c r="Z11" s="90" t="s">
        <v>175</v>
      </c>
      <c r="AA11" s="90" t="str">
        <f>if(today()&gt;='Week Date Mapping'!$A$13,if(MAXIFS('Player Stats - Current Week'!S:S,'Player Stats - Current Week'!C:C,B11)=0,"BYE, GAME NOT STARTED, OR NO STATS YET",iferror(MAXIFS('Player Stats - Current Week'!S:S,'Player Stats - Current Week'!C:C,B11),"")),"BYE, GAME NOT STARTED, OR NO STATS YET")</f>
        <v>BYE, GAME NOT STARTED, OR NO STATS YET</v>
      </c>
      <c r="AB11" s="90" t="s">
        <v>175</v>
      </c>
      <c r="AC11" s="90" t="str">
        <f>if(today()&gt;='Week Date Mapping'!$A$14,if(MAXIFS('Player Stats - Current Week'!G:G,'Player Stats - Current Week'!C:C,B11,'Player Stats - Current Week'!D:D,"QB")=0,"BYE, GAME NOT STARTED, OR NO STATS YET",iferror(MAXIFS('Player Stats - Current Week'!G:G,'Player Stats - Current Week'!C:C,B11,'Player Stats - Current Week'!D:D,"QB"),"")),"BYE, GAME NOT STARTED, OR NO STATS YET")</f>
        <v>BYE, GAME NOT STARTED, OR NO STATS YET</v>
      </c>
      <c r="AD11" s="103" t="str">
        <f t="shared" si="5"/>
        <v>BYE OR GAME NOT STARTED9</v>
      </c>
      <c r="AE11" s="101" t="str">
        <f>if(today()&gt;='Week Date Mapping'!$A$15,if(iferror(vlookup(CONCATENATE("Week 14",B11),'Raw With Formulas'!J:N,5,false),iferror(vlookup(CONCATENATE("Week 14",B11),'Raw With Formulas'!L:N,2,false),"BYE OR GAME NOT STARTED"))="","BYE OR GAME NOT STARTED",iferror(vlookup(CONCATENATE("Week 14",B11),'Raw With Formulas'!J:N,5,false),iferror(vlookup(CONCATENATE("Week 14",B11),'Raw With Formulas'!L:N,2,false),"BYE OR GAME NOT STARTED"))),"BYE OR GAME NOT STARTED")</f>
        <v>BYE OR GAME NOT STARTED</v>
      </c>
      <c r="AF11" s="103" t="str">
        <f t="shared" si="6"/>
        <v>BYE, GAME NOT STARTED, OR NO STATS YET9</v>
      </c>
      <c r="AG11" s="90" t="str">
        <f>if(today()&gt;='Week Date Mapping'!$A$16,if(MAXIFS('Player Stats - Current Week'!Q:Q,'Player Stats - Current Week'!C:C,B11,'Player Stats - Current Week'!D:D,"QB")=0,"BYE, GAME NOT STARTED, OR NO STATS YET",iferror(MAXIFS('Player Stats - Current Week'!Q:Q,'Player Stats - Current Week'!C:C,B11,'Player Stats - Current Week'!D:D,"QB"),"")),"BYE, GAME NOT STARTED, OR NO STATS YET")</f>
        <v>BYE, GAME NOT STARTED, OR NO STATS YET</v>
      </c>
      <c r="AH11" s="103" t="str">
        <f t="shared" si="7"/>
        <v>BYE OR GAME NOT STARTED9</v>
      </c>
      <c r="AI11" s="90" t="str">
        <f>if(today()&gt;='Week Date Mapping'!$A$17,if(iferror(vlookup(CONCATENATE("Week 16",B11),'Raw With Formulas'!J:N,4,false),iferror(vlookup(CONCATENATE("Week 16",B11),'Raw With Formulas'!L:N,3,false),"BYE OR GAME NOT STARTED"))="","BYE OR GAME NOT STARTED",iferror(vlookup(CONCATENATE("Week 16",B11),'Raw With Formulas'!J:N,4,false),iferror(vlookup(CONCATENATE("Week 16",B11),'Raw With Formulas'!L:N,3,false),"BYE OR GAME NOT STARTED"))),"BYE OR GAME NOT STARTED")</f>
        <v>BYE OR GAME NOT STARTED</v>
      </c>
      <c r="AJ11" s="103" t="str">
        <f t="shared" si="8"/>
        <v>BYE, GAME NOT STARTED, OR NO STATS YET9</v>
      </c>
      <c r="AK11" s="90" t="str">
        <f>if(today()&gt;='Week Date Mapping'!$A$18,if(MAXIFS('Player Stats - Current Week'!E:E,'Player Stats - Current Week'!C:C,B11,'Player Stats - Current Week'!D:D,"WR")=0,"BYE, GAME NOT STARTED, OR NO STATS YET",iferror(MAXIFS('Player Stats - Current Week'!E:E,'Player Stats - Current Week'!C:C,B11,'Player Stats - Current Week'!D:D,"WR"),"")),"BYE, GAME NOT STARTED, OR NO STATS YET")</f>
        <v>BYE, GAME NOT STARTED, OR NO STATS YET</v>
      </c>
      <c r="AL11" s="90" t="s">
        <v>175</v>
      </c>
      <c r="AM11" s="90" t="str">
        <f>if(today()&gt;='Week Date Mapping'!$A$19,if(MAXIFS('Player Stats - Current Week'!Q:Q,'Player Stats - Current Week'!C:C,B11,'Player Stats - Current Week'!D:D,"RB")=0,"BYE, GAME NOT STARTED, OR NO STATS YET",iferror(MAXIFS('Player Stats - Current Week'!Q:Q,'Player Stats - Current Week'!C:C,B11,'Player Stats - Current Week'!D:D,"RB"),"")),"BYE, GAME NOT STARTED, OR NO STATS YET")</f>
        <v>BYE, GAME NOT STARTED, OR NO STATS YET</v>
      </c>
      <c r="AN11" s="104" t="str">
        <f t="shared" si="1"/>
        <v>Kyle</v>
      </c>
    </row>
    <row r="12">
      <c r="A12" s="86" t="s">
        <v>98</v>
      </c>
      <c r="B12" s="87" t="s">
        <v>98</v>
      </c>
      <c r="C12" s="87" t="str">
        <f>vlookup(A12,'Wins by Team'!A:C,3,false)</f>
        <v>Sagar</v>
      </c>
      <c r="D12" s="94" t="str">
        <f t="shared" si="2"/>
        <v>BYE, GAME NOT STARTED, OR NO STATS YET10</v>
      </c>
      <c r="E12" s="87" t="str">
        <f>if(MAXIFS('Player Stats - Current Week'!I:I,'Player Stats - Current Week'!C:C,B12,'Player Stats - Current Week'!D:D,"QB")=0,"BYE, GAME NOT STARTED, OR NO STATS YET",iferror(MAXIFS('Player Stats - Current Week'!I:I,'Player Stats - Current Week'!C:C,B12,'Player Stats - Current Week'!D:D,"QB"),""))</f>
        <v>BYE, GAME NOT STARTED, OR NO STATS YET</v>
      </c>
      <c r="F12" s="94" t="str">
        <f t="shared" si="3"/>
        <v>BYE OR GAME NOT STARTED10</v>
      </c>
      <c r="G12" s="87" t="str">
        <f>if(iferror(vlookup(CONCATENATE("Week 2",B12),'Raw With Formulas'!J:N,4,false),iferror(vlookup(CONCATENATE("Week 2",B12),'Raw With Formulas'!L:N,3,false),"BYE OR GAME NOT STARTED")) = "", "BYE OR GAME NOT STARTED", iferror(vlookup(CONCATENATE("Week 2",B12),'Raw With Formulas'!J:N,4,false),iferror(vlookup(CONCATENATE("Week 2",B12),'Raw With Formulas'!L:N,3,false),"BYE OR GAME NOT STARTED")))</f>
        <v>BYE OR GAME NOT STARTED</v>
      </c>
      <c r="H12" s="94" t="str">
        <f t="shared" si="4"/>
        <v>BYE, GAME NOT STARTED, OR NO STATS YET10</v>
      </c>
      <c r="I12" s="87" t="str">
        <f>if(today()&gt;='Week Date Mapping'!$A$4,iferror(
if(
sumifs(
'Player Stats - Current Week'!T:T,
'Player Stats - Current Week'!C:C,
iferror(
vlookup(
CONCATENATE("Week 3",B12), 
'Raw With Formulas'!J:O,
2,false
),
vlookup(CONCATENATE("Week 3",B12), 'Raw With Formulas'!L:O,4,false))) 
= 0,
"BYE, GAME NOT STARTED, OR NO STATS YET",
iferror(
sumifs(
'Player Stats - Current Week'!T:T,
'Player Stats - Current Week'!C:C,
iferror(
vlookup(
CONCATENATE("Week 3",B12), 
'Raw With Formulas'!J:O,
2,false
),
vlookup(CONCATENATE("Week 3",B12), 'Raw With Formulas'!L:O,4,false))),
""
)
),
"BYE, GAME NOT STARTED, OR NO STATS YET"
),"BYE, GAME NOT STARTED, OR NO STATS YET")</f>
        <v>BYE, GAME NOT STARTED, OR NO STATS YET</v>
      </c>
      <c r="J12" s="87" t="s">
        <v>175</v>
      </c>
      <c r="K12" s="87" t="str">
        <f>if(today()&gt;='Week Date Mapping'!$A$5,if(MAXIFS('Player Stats - Current Week'!E:E,'Player Stats - Current Week'!C:C,B12,'Player Stats - Current Week'!D:D,"TE")=0,"BYE, GAME NOT STARTED, OR NO STATS YET",iferror(MAXIFS('Player Stats - Current Week'!E:E,'Player Stats - Current Week'!C:C,B12,'Player Stats - Current Week'!D:D,"TE"),"")),"BYE, GAME NOT STARTED, OR NO STATS YET")</f>
        <v>BYE, GAME NOT STARTED, OR NO STATS YET</v>
      </c>
      <c r="L12" s="87" t="s">
        <v>175</v>
      </c>
      <c r="M12" s="87" t="str">
        <f>if(today()&gt;='Week Date Mapping'!$A$6,if(MAXIFS('Player Stats - Current Week'!Q:Q,'Player Stats - Current Week'!C:C,B12,'Player Stats - Current Week'!D:D,"WR")=0,"BYE, GAME NOT STARTED, OR NO STATS YET",iferror(MAXIFS('Player Stats - Current Week'!Q:Q,'Player Stats - Current Week'!C:C,B12,'Player Stats - Current Week'!D:D,"WR"),"")),"BYE, GAME NOT STARTED, OR NO STATS YET")</f>
        <v>BYE, GAME NOT STARTED, OR NO STATS YET</v>
      </c>
      <c r="N12" s="87" t="s">
        <v>175</v>
      </c>
      <c r="O12" s="87" t="str">
        <f>if(today()&gt;='Week Date Mapping'!$A$7,if((SUMIFS('Player Stats - Current Week'!L:L,'Player Stats - Current Week'!C:C,B12)+SUMIFS('Player Stats - Current Week'!R:R,'Player Stats - Current Week'!C:C,B12))=0,"BYE, GAME NOT STARTED, OR NO STATS YET",((SUMIFS('Player Stats - Current Week'!R:R,'Player Stats - Current Week'!C:C,B12)*6)+SUMIFS('Player Stats - Current Week'!L:L,'Player Stats - Current Week'!C:C,B12))),"BYE, GAME NOT STARTED, OR NO STATS YET")</f>
        <v>BYE, GAME NOT STARTED, OR NO STATS YET</v>
      </c>
      <c r="P12" s="87" t="s">
        <v>175</v>
      </c>
      <c r="Q12" s="87" t="str">
        <f>if(today()&gt;='Week Date Mapping'!$A$8,if((SUMIFS('Player Stats - Current Week'!G:G,'Player Stats - Current Week'!C:C,B12,'Player Stats - Current Week'!D:D,"RB")+SUMIFS('Player Stats - Current Week'!E:E,'Player Stats - Current Week'!C:C,B12,'Player Stats - Current Week'!D:D,"RB"))=0,"BYE, GAME NOT STARTED, OR NO STATS YET",((SUMIFS('Player Stats - Current Week'!G:G,'Player Stats - Current Week'!C:C,B12,'Player Stats - Current Week'!D:D,"RB"))+SUMIFS('Player Stats - Current Week'!E:E,'Player Stats - Current Week'!C:C,B12,'Player Stats - Current Week'!D:D,"RB"))),"BYE, GAME NOT STARTED, OR NO STATS YET")</f>
        <v>BYE, GAME NOT STARTED, OR NO STATS YET</v>
      </c>
      <c r="R12" s="87" t="s">
        <v>175</v>
      </c>
      <c r="S12" s="87" t="str">
        <f>if(today()&gt;='Week Date Mapping'!$A$9,if(MAXIFS('Player Stats - Current Week'!L:L,'Player Stats - Current Week'!C:C,B12,'Player Stats - Current Week'!D:D,"PK")=0,"BYE, GAME NOT STARTED, OR NO STATS YET",iferror(MAXIFS('Player Stats - Current Week'!L:L,'Player Stats - Current Week'!C:C,B12,'Player Stats - Current Week'!D:D,"PK"),"")),"BYE, GAME NOT STARTED, OR NO STATS YET")</f>
        <v>BYE, GAME NOT STARTED, OR NO STATS YET</v>
      </c>
      <c r="T12" s="87" t="s">
        <v>175</v>
      </c>
      <c r="U12" s="87" t="str">
        <f>if(today()&gt;='Week Date Mapping'!$A$10,if(MAXIFS('Player Stats - Current Week'!N:N,'Player Stats - Current Week'!C:C,B12,'Player Stats - Current Week'!D:D,"QB")=0,"BYE, GAME NOT STARTED, OR NO STATS YET",iferror(MAXIFS('Player Stats - Current Week'!N:N,'Player Stats - Current Week'!C:C,B12,'Player Stats - Current Week'!D:D,"QB"),"")),"BYE, GAME NOT STARTED, OR NO STATS YET")</f>
        <v>BYE, GAME NOT STARTED, OR NO STATS YET</v>
      </c>
      <c r="V12" s="87" t="s">
        <v>175</v>
      </c>
      <c r="W12" s="87" t="str">
        <f>if(today()&gt;='Week Date Mapping'!$A$11,if(SUMIFS('Player Stats - Current Week'!O:O,'Player Stats - Current Week'!C:C,B12)=0,"BYE, GAME NOT STARTED, OR NO STATS YET",iferror(SUMIFS('Player Stats - Current Week'!O:O,'Player Stats - Current Week'!C:C,B12),"")),"BYE, GAME NOT STARTED, OR NO STATS YET")</f>
        <v>BYE, GAME NOT STARTED, OR NO STATS YET</v>
      </c>
      <c r="X12" s="87" t="s">
        <v>175</v>
      </c>
      <c r="Y12" s="87" t="str">
        <f>if(today()&gt;='Week Date Mapping'!$A$12,if(MAXIFS('Player Stats - Current Week'!Q:Q,'Player Stats - Current Week'!C:C,B12,'Player Stats - Current Week'!D:D,"TE")=0,"BYE, GAME NOT STARTED, OR NO STATS YET",iferror(MAXIFS('Player Stats - Current Week'!Q:Q,'Player Stats - Current Week'!C:C,B12,'Player Stats - Current Week'!D:D,"TE"),"")),"BYE, GAME NOT STARTED, OR NO STATS YET")</f>
        <v>BYE, GAME NOT STARTED, OR NO STATS YET</v>
      </c>
      <c r="Z12" s="87" t="s">
        <v>175</v>
      </c>
      <c r="AA12" s="87" t="str">
        <f>if(today()&gt;='Week Date Mapping'!$A$13,if(MAXIFS('Player Stats - Current Week'!S:S,'Player Stats - Current Week'!C:C,B12)=0,"BYE, GAME NOT STARTED, OR NO STATS YET",iferror(MAXIFS('Player Stats - Current Week'!S:S,'Player Stats - Current Week'!C:C,B12),"")),"BYE, GAME NOT STARTED, OR NO STATS YET")</f>
        <v>BYE, GAME NOT STARTED, OR NO STATS YET</v>
      </c>
      <c r="AB12" s="87" t="s">
        <v>175</v>
      </c>
      <c r="AC12" s="87" t="str">
        <f>if(today()&gt;='Week Date Mapping'!$A$14,if(MAXIFS('Player Stats - Current Week'!G:G,'Player Stats - Current Week'!C:C,B12,'Player Stats - Current Week'!D:D,"QB")=0,"BYE, GAME NOT STARTED, OR NO STATS YET",iferror(MAXIFS('Player Stats - Current Week'!G:G,'Player Stats - Current Week'!C:C,B12,'Player Stats - Current Week'!D:D,"QB"),"")),"BYE, GAME NOT STARTED, OR NO STATS YET")</f>
        <v>BYE, GAME NOT STARTED, OR NO STATS YET</v>
      </c>
      <c r="AD12" s="94" t="str">
        <f t="shared" si="5"/>
        <v>BYE OR GAME NOT STARTED10</v>
      </c>
      <c r="AE12" s="100" t="str">
        <f>if(today()&gt;='Week Date Mapping'!$A$15,if(iferror(vlookup(CONCATENATE("Week 14",B12),'Raw With Formulas'!J:N,5,false),iferror(vlookup(CONCATENATE("Week 14",B12),'Raw With Formulas'!L:N,2,false),"BYE OR GAME NOT STARTED"))="","BYE OR GAME NOT STARTED",iferror(vlookup(CONCATENATE("Week 14",B12),'Raw With Formulas'!J:N,5,false),iferror(vlookup(CONCATENATE("Week 14",B12),'Raw With Formulas'!L:N,2,false),"BYE OR GAME NOT STARTED"))),"BYE OR GAME NOT STARTED")</f>
        <v>BYE OR GAME NOT STARTED</v>
      </c>
      <c r="AF12" s="94" t="str">
        <f t="shared" si="6"/>
        <v>BYE, GAME NOT STARTED, OR NO STATS YET10</v>
      </c>
      <c r="AG12" s="87" t="str">
        <f>if(today()&gt;='Week Date Mapping'!$A$16,if(MAXIFS('Player Stats - Current Week'!Q:Q,'Player Stats - Current Week'!C:C,B12,'Player Stats - Current Week'!D:D,"QB")=0,"BYE, GAME NOT STARTED, OR NO STATS YET",iferror(MAXIFS('Player Stats - Current Week'!Q:Q,'Player Stats - Current Week'!C:C,B12,'Player Stats - Current Week'!D:D,"QB"),"")),"BYE, GAME NOT STARTED, OR NO STATS YET")</f>
        <v>BYE, GAME NOT STARTED, OR NO STATS YET</v>
      </c>
      <c r="AH12" s="94" t="str">
        <f t="shared" si="7"/>
        <v>BYE OR GAME NOT STARTED10</v>
      </c>
      <c r="AI12" s="87" t="str">
        <f>if(today()&gt;='Week Date Mapping'!$A$17,if(iferror(vlookup(CONCATENATE("Week 16",B12),'Raw With Formulas'!J:N,4,false),iferror(vlookup(CONCATENATE("Week 16",B12),'Raw With Formulas'!L:N,3,false),"BYE OR GAME NOT STARTED"))="","BYE OR GAME NOT STARTED",iferror(vlookup(CONCATENATE("Week 16",B12),'Raw With Formulas'!J:N,4,false),iferror(vlookup(CONCATENATE("Week 16",B12),'Raw With Formulas'!L:N,3,false),"BYE OR GAME NOT STARTED"))),"BYE OR GAME NOT STARTED")</f>
        <v>BYE OR GAME NOT STARTED</v>
      </c>
      <c r="AJ12" s="94" t="str">
        <f t="shared" si="8"/>
        <v>BYE, GAME NOT STARTED, OR NO STATS YET10</v>
      </c>
      <c r="AK12" s="87" t="str">
        <f>if(today()&gt;='Week Date Mapping'!$A$18,if(MAXIFS('Player Stats - Current Week'!E:E,'Player Stats - Current Week'!C:C,B12,'Player Stats - Current Week'!D:D,"WR")=0,"BYE, GAME NOT STARTED, OR NO STATS YET",iferror(MAXIFS('Player Stats - Current Week'!E:E,'Player Stats - Current Week'!C:C,B12,'Player Stats - Current Week'!D:D,"WR"),"")),"BYE, GAME NOT STARTED, OR NO STATS YET")</f>
        <v>BYE, GAME NOT STARTED, OR NO STATS YET</v>
      </c>
      <c r="AL12" s="87" t="s">
        <v>175</v>
      </c>
      <c r="AM12" s="87" t="str">
        <f>if(today()&gt;='Week Date Mapping'!$A$19,if(MAXIFS('Player Stats - Current Week'!Q:Q,'Player Stats - Current Week'!C:C,B12,'Player Stats - Current Week'!D:D,"RB")=0,"BYE, GAME NOT STARTED, OR NO STATS YET",iferror(MAXIFS('Player Stats - Current Week'!Q:Q,'Player Stats - Current Week'!C:C,B12,'Player Stats - Current Week'!D:D,"RB"),"")),"BYE, GAME NOT STARTED, OR NO STATS YET")</f>
        <v>BYE, GAME NOT STARTED, OR NO STATS YET</v>
      </c>
      <c r="AN12" s="92" t="str">
        <f t="shared" si="1"/>
        <v>Sagar</v>
      </c>
    </row>
    <row r="13">
      <c r="A13" s="89" t="s">
        <v>99</v>
      </c>
      <c r="B13" s="90" t="s">
        <v>100</v>
      </c>
      <c r="C13" s="90" t="str">
        <f>vlookup(A13,'Wins by Team'!A:C,3,false)</f>
        <v>Max</v>
      </c>
      <c r="D13" s="103" t="str">
        <f t="shared" si="2"/>
        <v>BYE, GAME NOT STARTED, OR NO STATS YET11</v>
      </c>
      <c r="E13" s="90" t="str">
        <f>if(MAXIFS('Player Stats - Current Week'!I:I,'Player Stats - Current Week'!C:C,B13,'Player Stats - Current Week'!D:D,"QB")=0,"BYE, GAME NOT STARTED, OR NO STATS YET",iferror(MAXIFS('Player Stats - Current Week'!I:I,'Player Stats - Current Week'!C:C,B13,'Player Stats - Current Week'!D:D,"QB"),""))</f>
        <v>BYE, GAME NOT STARTED, OR NO STATS YET</v>
      </c>
      <c r="F13" s="103" t="str">
        <f t="shared" si="3"/>
        <v>BYE OR GAME NOT STARTED11</v>
      </c>
      <c r="G13" s="90" t="str">
        <f>if(iferror(vlookup(CONCATENATE("Week 2",B13),'Raw With Formulas'!J:N,4,false),iferror(vlookup(CONCATENATE("Week 2",B13),'Raw With Formulas'!L:N,3,false),"BYE OR GAME NOT STARTED")) = "", "BYE OR GAME NOT STARTED", iferror(vlookup(CONCATENATE("Week 2",B13),'Raw With Formulas'!J:N,4,false),iferror(vlookup(CONCATENATE("Week 2",B13),'Raw With Formulas'!L:N,3,false),"BYE OR GAME NOT STARTED")))</f>
        <v>BYE OR GAME NOT STARTED</v>
      </c>
      <c r="H13" s="103" t="str">
        <f t="shared" si="4"/>
        <v>BYE, GAME NOT STARTED, OR NO STATS YET11</v>
      </c>
      <c r="I13" s="90" t="str">
        <f>if(today()&gt;='Week Date Mapping'!$A$4,iferror(
if(
sumifs(
'Player Stats - Current Week'!T:T,
'Player Stats - Current Week'!C:C,
iferror(
vlookup(
CONCATENATE("Week 3",B13), 
'Raw With Formulas'!J:O,
2,false
),
vlookup(CONCATENATE("Week 3",B13), 'Raw With Formulas'!L:O,4,false))) 
= 0,
"BYE, GAME NOT STARTED, OR NO STATS YET",
iferror(
sumifs(
'Player Stats - Current Week'!T:T,
'Player Stats - Current Week'!C:C,
iferror(
vlookup(
CONCATENATE("Week 3",B13), 
'Raw With Formulas'!J:O,
2,false
),
vlookup(CONCATENATE("Week 3",B13), 'Raw With Formulas'!L:O,4,false))),
""
)
),
"BYE, GAME NOT STARTED, OR NO STATS YET"
),"BYE, GAME NOT STARTED, OR NO STATS YET")</f>
        <v>BYE, GAME NOT STARTED, OR NO STATS YET</v>
      </c>
      <c r="J13" s="90" t="s">
        <v>175</v>
      </c>
      <c r="K13" s="90" t="str">
        <f>if(today()&gt;='Week Date Mapping'!$A$5,if(MAXIFS('Player Stats - Current Week'!E:E,'Player Stats - Current Week'!C:C,B13,'Player Stats - Current Week'!D:D,"TE")=0,"BYE, GAME NOT STARTED, OR NO STATS YET",iferror(MAXIFS('Player Stats - Current Week'!E:E,'Player Stats - Current Week'!C:C,B13,'Player Stats - Current Week'!D:D,"TE"),"")),"BYE, GAME NOT STARTED, OR NO STATS YET")</f>
        <v>BYE, GAME NOT STARTED, OR NO STATS YET</v>
      </c>
      <c r="L13" s="90" t="s">
        <v>175</v>
      </c>
      <c r="M13" s="90" t="str">
        <f>if(today()&gt;='Week Date Mapping'!$A$6,if(MAXIFS('Player Stats - Current Week'!Q:Q,'Player Stats - Current Week'!C:C,B13,'Player Stats - Current Week'!D:D,"WR")=0,"BYE, GAME NOT STARTED, OR NO STATS YET",iferror(MAXIFS('Player Stats - Current Week'!Q:Q,'Player Stats - Current Week'!C:C,B13,'Player Stats - Current Week'!D:D,"WR"),"")),"BYE, GAME NOT STARTED, OR NO STATS YET")</f>
        <v>BYE, GAME NOT STARTED, OR NO STATS YET</v>
      </c>
      <c r="N13" s="90" t="s">
        <v>175</v>
      </c>
      <c r="O13" s="90" t="str">
        <f>if(today()&gt;='Week Date Mapping'!$A$7,if((SUMIFS('Player Stats - Current Week'!L:L,'Player Stats - Current Week'!C:C,B13)+SUMIFS('Player Stats - Current Week'!R:R,'Player Stats - Current Week'!C:C,B13))=0,"BYE, GAME NOT STARTED, OR NO STATS YET",((SUMIFS('Player Stats - Current Week'!R:R,'Player Stats - Current Week'!C:C,B13)*6)+SUMIFS('Player Stats - Current Week'!L:L,'Player Stats - Current Week'!C:C,B13))),"BYE, GAME NOT STARTED, OR NO STATS YET")</f>
        <v>BYE, GAME NOT STARTED, OR NO STATS YET</v>
      </c>
      <c r="P13" s="90" t="s">
        <v>175</v>
      </c>
      <c r="Q13" s="90" t="str">
        <f>if(today()&gt;='Week Date Mapping'!$A$8,if((SUMIFS('Player Stats - Current Week'!G:G,'Player Stats - Current Week'!C:C,B13,'Player Stats - Current Week'!D:D,"RB")+SUMIFS('Player Stats - Current Week'!E:E,'Player Stats - Current Week'!C:C,B13,'Player Stats - Current Week'!D:D,"RB"))=0,"BYE, GAME NOT STARTED, OR NO STATS YET",((SUMIFS('Player Stats - Current Week'!G:G,'Player Stats - Current Week'!C:C,B13,'Player Stats - Current Week'!D:D,"RB"))+SUMIFS('Player Stats - Current Week'!E:E,'Player Stats - Current Week'!C:C,B13,'Player Stats - Current Week'!D:D,"RB"))),"BYE, GAME NOT STARTED, OR NO STATS YET")</f>
        <v>BYE, GAME NOT STARTED, OR NO STATS YET</v>
      </c>
      <c r="R13" s="90" t="s">
        <v>175</v>
      </c>
      <c r="S13" s="90" t="str">
        <f>if(today()&gt;='Week Date Mapping'!$A$9,if(MAXIFS('Player Stats - Current Week'!L:L,'Player Stats - Current Week'!C:C,B13,'Player Stats - Current Week'!D:D,"PK")=0,"BYE, GAME NOT STARTED, OR NO STATS YET",iferror(MAXIFS('Player Stats - Current Week'!L:L,'Player Stats - Current Week'!C:C,B13,'Player Stats - Current Week'!D:D,"PK"),"")),"BYE, GAME NOT STARTED, OR NO STATS YET")</f>
        <v>BYE, GAME NOT STARTED, OR NO STATS YET</v>
      </c>
      <c r="T13" s="90" t="s">
        <v>175</v>
      </c>
      <c r="U13" s="90" t="str">
        <f>if(today()&gt;='Week Date Mapping'!$A$10,if(MAXIFS('Player Stats - Current Week'!N:N,'Player Stats - Current Week'!C:C,B13,'Player Stats - Current Week'!D:D,"QB")=0,"BYE, GAME NOT STARTED, OR NO STATS YET",iferror(MAXIFS('Player Stats - Current Week'!N:N,'Player Stats - Current Week'!C:C,B13,'Player Stats - Current Week'!D:D,"QB"),"")),"BYE, GAME NOT STARTED, OR NO STATS YET")</f>
        <v>BYE, GAME NOT STARTED, OR NO STATS YET</v>
      </c>
      <c r="V13" s="90" t="s">
        <v>175</v>
      </c>
      <c r="W13" s="90" t="str">
        <f>if(today()&gt;='Week Date Mapping'!$A$11,if(SUMIFS('Player Stats - Current Week'!O:O,'Player Stats - Current Week'!C:C,B13)=0,"BYE, GAME NOT STARTED, OR NO STATS YET",iferror(SUMIFS('Player Stats - Current Week'!O:O,'Player Stats - Current Week'!C:C,B13),"")),"BYE, GAME NOT STARTED, OR NO STATS YET")</f>
        <v>BYE, GAME NOT STARTED, OR NO STATS YET</v>
      </c>
      <c r="X13" s="90" t="s">
        <v>175</v>
      </c>
      <c r="Y13" s="90" t="str">
        <f>if(today()&gt;='Week Date Mapping'!$A$12,if(MAXIFS('Player Stats - Current Week'!Q:Q,'Player Stats - Current Week'!C:C,B13,'Player Stats - Current Week'!D:D,"TE")=0,"BYE, GAME NOT STARTED, OR NO STATS YET",iferror(MAXIFS('Player Stats - Current Week'!Q:Q,'Player Stats - Current Week'!C:C,B13,'Player Stats - Current Week'!D:D,"TE"),"")),"BYE, GAME NOT STARTED, OR NO STATS YET")</f>
        <v>BYE, GAME NOT STARTED, OR NO STATS YET</v>
      </c>
      <c r="Z13" s="90" t="s">
        <v>175</v>
      </c>
      <c r="AA13" s="90" t="str">
        <f>if(today()&gt;='Week Date Mapping'!$A$13,if(MAXIFS('Player Stats - Current Week'!S:S,'Player Stats - Current Week'!C:C,B13)=0,"BYE, GAME NOT STARTED, OR NO STATS YET",iferror(MAXIFS('Player Stats - Current Week'!S:S,'Player Stats - Current Week'!C:C,B13),"")),"BYE, GAME NOT STARTED, OR NO STATS YET")</f>
        <v>BYE, GAME NOT STARTED, OR NO STATS YET</v>
      </c>
      <c r="AB13" s="90" t="s">
        <v>175</v>
      </c>
      <c r="AC13" s="90" t="str">
        <f>if(today()&gt;='Week Date Mapping'!$A$14,if(MAXIFS('Player Stats - Current Week'!G:G,'Player Stats - Current Week'!C:C,B13,'Player Stats - Current Week'!D:D,"QB")=0,"BYE, GAME NOT STARTED, OR NO STATS YET",iferror(MAXIFS('Player Stats - Current Week'!G:G,'Player Stats - Current Week'!C:C,B13,'Player Stats - Current Week'!D:D,"QB"),"")),"BYE, GAME NOT STARTED, OR NO STATS YET")</f>
        <v>BYE, GAME NOT STARTED, OR NO STATS YET</v>
      </c>
      <c r="AD13" s="103" t="str">
        <f t="shared" si="5"/>
        <v>BYE OR GAME NOT STARTED11</v>
      </c>
      <c r="AE13" s="101" t="str">
        <f>if(today()&gt;='Week Date Mapping'!$A$15,if(iferror(vlookup(CONCATENATE("Week 14",B13),'Raw With Formulas'!J:N,5,false),iferror(vlookup(CONCATENATE("Week 14",B13),'Raw With Formulas'!L:N,2,false),"BYE OR GAME NOT STARTED"))="","BYE OR GAME NOT STARTED",iferror(vlookup(CONCATENATE("Week 14",B13),'Raw With Formulas'!J:N,5,false),iferror(vlookup(CONCATENATE("Week 14",B13),'Raw With Formulas'!L:N,2,false),"BYE OR GAME NOT STARTED"))),"BYE OR GAME NOT STARTED")</f>
        <v>BYE OR GAME NOT STARTED</v>
      </c>
      <c r="AF13" s="103" t="str">
        <f t="shared" si="6"/>
        <v>BYE, GAME NOT STARTED, OR NO STATS YET11</v>
      </c>
      <c r="AG13" s="90" t="str">
        <f>if(today()&gt;='Week Date Mapping'!$A$16,if(MAXIFS('Player Stats - Current Week'!Q:Q,'Player Stats - Current Week'!C:C,B13,'Player Stats - Current Week'!D:D,"QB")=0,"BYE, GAME NOT STARTED, OR NO STATS YET",iferror(MAXIFS('Player Stats - Current Week'!Q:Q,'Player Stats - Current Week'!C:C,B13,'Player Stats - Current Week'!D:D,"QB"),"")),"BYE, GAME NOT STARTED, OR NO STATS YET")</f>
        <v>BYE, GAME NOT STARTED, OR NO STATS YET</v>
      </c>
      <c r="AH13" s="103" t="str">
        <f t="shared" si="7"/>
        <v>BYE OR GAME NOT STARTED11</v>
      </c>
      <c r="AI13" s="90" t="str">
        <f>if(today()&gt;='Week Date Mapping'!$A$17,if(iferror(vlookup(CONCATENATE("Week 16",B13),'Raw With Formulas'!J:N,4,false),iferror(vlookup(CONCATENATE("Week 16",B13),'Raw With Formulas'!L:N,3,false),"BYE OR GAME NOT STARTED"))="","BYE OR GAME NOT STARTED",iferror(vlookup(CONCATENATE("Week 16",B13),'Raw With Formulas'!J:N,4,false),iferror(vlookup(CONCATENATE("Week 16",B13),'Raw With Formulas'!L:N,3,false),"BYE OR GAME NOT STARTED"))),"BYE OR GAME NOT STARTED")</f>
        <v>BYE OR GAME NOT STARTED</v>
      </c>
      <c r="AJ13" s="103" t="str">
        <f t="shared" si="8"/>
        <v>BYE, GAME NOT STARTED, OR NO STATS YET11</v>
      </c>
      <c r="AK13" s="90" t="str">
        <f>if(today()&gt;='Week Date Mapping'!$A$18,if(MAXIFS('Player Stats - Current Week'!E:E,'Player Stats - Current Week'!C:C,B13,'Player Stats - Current Week'!D:D,"WR")=0,"BYE, GAME NOT STARTED, OR NO STATS YET",iferror(MAXIFS('Player Stats - Current Week'!E:E,'Player Stats - Current Week'!C:C,B13,'Player Stats - Current Week'!D:D,"WR"),"")),"BYE, GAME NOT STARTED, OR NO STATS YET")</f>
        <v>BYE, GAME NOT STARTED, OR NO STATS YET</v>
      </c>
      <c r="AL13" s="90" t="s">
        <v>175</v>
      </c>
      <c r="AM13" s="90" t="str">
        <f>if(today()&gt;='Week Date Mapping'!$A$19,if(MAXIFS('Player Stats - Current Week'!Q:Q,'Player Stats - Current Week'!C:C,B13,'Player Stats - Current Week'!D:D,"RB")=0,"BYE, GAME NOT STARTED, OR NO STATS YET",iferror(MAXIFS('Player Stats - Current Week'!Q:Q,'Player Stats - Current Week'!C:C,B13,'Player Stats - Current Week'!D:D,"RB"),"")),"BYE, GAME NOT STARTED, OR NO STATS YET")</f>
        <v>BYE, GAME NOT STARTED, OR NO STATS YET</v>
      </c>
      <c r="AN13" s="104" t="str">
        <f t="shared" si="1"/>
        <v>Max</v>
      </c>
    </row>
    <row r="14">
      <c r="A14" s="86" t="s">
        <v>101</v>
      </c>
      <c r="B14" s="87" t="s">
        <v>101</v>
      </c>
      <c r="C14" s="87" t="str">
        <f>vlookup(A14,'Wins by Team'!A:C,3,false)</f>
        <v>Grant|Rusty</v>
      </c>
      <c r="D14" s="94" t="str">
        <f t="shared" si="2"/>
        <v>BYE, GAME NOT STARTED, OR NO STATS YET12</v>
      </c>
      <c r="E14" s="87" t="str">
        <f>if(MAXIFS('Player Stats - Current Week'!I:I,'Player Stats - Current Week'!C:C,B14,'Player Stats - Current Week'!D:D,"QB")=0,"BYE, GAME NOT STARTED, OR NO STATS YET",iferror(MAXIFS('Player Stats - Current Week'!I:I,'Player Stats - Current Week'!C:C,B14,'Player Stats - Current Week'!D:D,"QB"),""))</f>
        <v>BYE, GAME NOT STARTED, OR NO STATS YET</v>
      </c>
      <c r="F14" s="94" t="str">
        <f t="shared" si="3"/>
        <v>BYE OR GAME NOT STARTED12</v>
      </c>
      <c r="G14" s="87" t="str">
        <f>if(iferror(vlookup(CONCATENATE("Week 2",B14),'Raw With Formulas'!J:N,4,false),iferror(vlookup(CONCATENATE("Week 2",B14),'Raw With Formulas'!L:N,3,false),"BYE OR GAME NOT STARTED")) = "", "BYE OR GAME NOT STARTED", iferror(vlookup(CONCATENATE("Week 2",B14),'Raw With Formulas'!J:N,4,false),iferror(vlookup(CONCATENATE("Week 2",B14),'Raw With Formulas'!L:N,3,false),"BYE OR GAME NOT STARTED")))</f>
        <v>BYE OR GAME NOT STARTED</v>
      </c>
      <c r="H14" s="94" t="str">
        <f t="shared" si="4"/>
        <v>BYE, GAME NOT STARTED, OR NO STATS YET12</v>
      </c>
      <c r="I14" s="87" t="str">
        <f>if(today()&gt;='Week Date Mapping'!$A$4,iferror(
if(
sumifs(
'Player Stats - Current Week'!T:T,
'Player Stats - Current Week'!C:C,
iferror(
vlookup(
CONCATENATE("Week 3",B14), 
'Raw With Formulas'!J:O,
2,false
),
vlookup(CONCATENATE("Week 3",B14), 'Raw With Formulas'!L:O,4,false))) 
= 0,
"BYE, GAME NOT STARTED, OR NO STATS YET",
iferror(
sumifs(
'Player Stats - Current Week'!T:T,
'Player Stats - Current Week'!C:C,
iferror(
vlookup(
CONCATENATE("Week 3",B14), 
'Raw With Formulas'!J:O,
2,false
),
vlookup(CONCATENATE("Week 3",B14), 'Raw With Formulas'!L:O,4,false))),
""
)
),
"BYE, GAME NOT STARTED, OR NO STATS YET"
),"BYE, GAME NOT STARTED, OR NO STATS YET")</f>
        <v>BYE, GAME NOT STARTED, OR NO STATS YET</v>
      </c>
      <c r="J14" s="87" t="s">
        <v>175</v>
      </c>
      <c r="K14" s="87" t="str">
        <f>if(today()&gt;='Week Date Mapping'!$A$5,if(MAXIFS('Player Stats - Current Week'!E:E,'Player Stats - Current Week'!C:C,B14,'Player Stats - Current Week'!D:D,"TE")=0,"BYE, GAME NOT STARTED, OR NO STATS YET",iferror(MAXIFS('Player Stats - Current Week'!E:E,'Player Stats - Current Week'!C:C,B14,'Player Stats - Current Week'!D:D,"TE"),"")),"BYE, GAME NOT STARTED, OR NO STATS YET")</f>
        <v>BYE, GAME NOT STARTED, OR NO STATS YET</v>
      </c>
      <c r="L14" s="87" t="s">
        <v>175</v>
      </c>
      <c r="M14" s="87" t="str">
        <f>if(today()&gt;='Week Date Mapping'!$A$6,if(MAXIFS('Player Stats - Current Week'!Q:Q,'Player Stats - Current Week'!C:C,B14,'Player Stats - Current Week'!D:D,"WR")=0,"BYE, GAME NOT STARTED, OR NO STATS YET",iferror(MAXIFS('Player Stats - Current Week'!Q:Q,'Player Stats - Current Week'!C:C,B14,'Player Stats - Current Week'!D:D,"WR"),"")),"BYE, GAME NOT STARTED, OR NO STATS YET")</f>
        <v>BYE, GAME NOT STARTED, OR NO STATS YET</v>
      </c>
      <c r="N14" s="87" t="s">
        <v>175</v>
      </c>
      <c r="O14" s="87" t="str">
        <f>if(today()&gt;='Week Date Mapping'!$A$7,if((SUMIFS('Player Stats - Current Week'!L:L,'Player Stats - Current Week'!C:C,B14)+SUMIFS('Player Stats - Current Week'!R:R,'Player Stats - Current Week'!C:C,B14))=0,"BYE, GAME NOT STARTED, OR NO STATS YET",((SUMIFS('Player Stats - Current Week'!R:R,'Player Stats - Current Week'!C:C,B14)*6)+SUMIFS('Player Stats - Current Week'!L:L,'Player Stats - Current Week'!C:C,B14))),"BYE, GAME NOT STARTED, OR NO STATS YET")</f>
        <v>BYE, GAME NOT STARTED, OR NO STATS YET</v>
      </c>
      <c r="P14" s="87" t="s">
        <v>175</v>
      </c>
      <c r="Q14" s="87" t="str">
        <f>if(today()&gt;='Week Date Mapping'!$A$8,if((SUMIFS('Player Stats - Current Week'!G:G,'Player Stats - Current Week'!C:C,B14,'Player Stats - Current Week'!D:D,"RB")+SUMIFS('Player Stats - Current Week'!E:E,'Player Stats - Current Week'!C:C,B14,'Player Stats - Current Week'!D:D,"RB"))=0,"BYE, GAME NOT STARTED, OR NO STATS YET",((SUMIFS('Player Stats - Current Week'!G:G,'Player Stats - Current Week'!C:C,B14,'Player Stats - Current Week'!D:D,"RB"))+SUMIFS('Player Stats - Current Week'!E:E,'Player Stats - Current Week'!C:C,B14,'Player Stats - Current Week'!D:D,"RB"))),"BYE, GAME NOT STARTED, OR NO STATS YET")</f>
        <v>BYE, GAME NOT STARTED, OR NO STATS YET</v>
      </c>
      <c r="R14" s="87" t="s">
        <v>175</v>
      </c>
      <c r="S14" s="87" t="str">
        <f>if(today()&gt;='Week Date Mapping'!$A$9,if(MAXIFS('Player Stats - Current Week'!L:L,'Player Stats - Current Week'!C:C,B14,'Player Stats - Current Week'!D:D,"PK")=0,"BYE, GAME NOT STARTED, OR NO STATS YET",iferror(MAXIFS('Player Stats - Current Week'!L:L,'Player Stats - Current Week'!C:C,B14,'Player Stats - Current Week'!D:D,"PK"),"")),"BYE, GAME NOT STARTED, OR NO STATS YET")</f>
        <v>BYE, GAME NOT STARTED, OR NO STATS YET</v>
      </c>
      <c r="T14" s="87" t="s">
        <v>175</v>
      </c>
      <c r="U14" s="87" t="str">
        <f>if(today()&gt;='Week Date Mapping'!$A$10,if(MAXIFS('Player Stats - Current Week'!N:N,'Player Stats - Current Week'!C:C,B14,'Player Stats - Current Week'!D:D,"QB")=0,"BYE, GAME NOT STARTED, OR NO STATS YET",iferror(MAXIFS('Player Stats - Current Week'!N:N,'Player Stats - Current Week'!C:C,B14,'Player Stats - Current Week'!D:D,"QB"),"")),"BYE, GAME NOT STARTED, OR NO STATS YET")</f>
        <v>BYE, GAME NOT STARTED, OR NO STATS YET</v>
      </c>
      <c r="V14" s="87" t="s">
        <v>175</v>
      </c>
      <c r="W14" s="87" t="str">
        <f>if(today()&gt;='Week Date Mapping'!$A$11,if(SUMIFS('Player Stats - Current Week'!O:O,'Player Stats - Current Week'!C:C,B14)=0,"BYE, GAME NOT STARTED, OR NO STATS YET",iferror(SUMIFS('Player Stats - Current Week'!O:O,'Player Stats - Current Week'!C:C,B14),"")),"BYE, GAME NOT STARTED, OR NO STATS YET")</f>
        <v>BYE, GAME NOT STARTED, OR NO STATS YET</v>
      </c>
      <c r="X14" s="87" t="s">
        <v>175</v>
      </c>
      <c r="Y14" s="87" t="str">
        <f>if(today()&gt;='Week Date Mapping'!$A$12,if(MAXIFS('Player Stats - Current Week'!Q:Q,'Player Stats - Current Week'!C:C,B14,'Player Stats - Current Week'!D:D,"TE")=0,"BYE, GAME NOT STARTED, OR NO STATS YET",iferror(MAXIFS('Player Stats - Current Week'!Q:Q,'Player Stats - Current Week'!C:C,B14,'Player Stats - Current Week'!D:D,"TE"),"")),"BYE, GAME NOT STARTED, OR NO STATS YET")</f>
        <v>BYE, GAME NOT STARTED, OR NO STATS YET</v>
      </c>
      <c r="Z14" s="87" t="s">
        <v>175</v>
      </c>
      <c r="AA14" s="87" t="str">
        <f>if(today()&gt;='Week Date Mapping'!$A$13,if(MAXIFS('Player Stats - Current Week'!S:S,'Player Stats - Current Week'!C:C,B14)=0,"BYE, GAME NOT STARTED, OR NO STATS YET",iferror(MAXIFS('Player Stats - Current Week'!S:S,'Player Stats - Current Week'!C:C,B14),"")),"BYE, GAME NOT STARTED, OR NO STATS YET")</f>
        <v>BYE, GAME NOT STARTED, OR NO STATS YET</v>
      </c>
      <c r="AB14" s="87" t="s">
        <v>175</v>
      </c>
      <c r="AC14" s="87" t="str">
        <f>if(today()&gt;='Week Date Mapping'!$A$14,if(MAXIFS('Player Stats - Current Week'!G:G,'Player Stats - Current Week'!C:C,B14,'Player Stats - Current Week'!D:D,"QB")=0,"BYE, GAME NOT STARTED, OR NO STATS YET",iferror(MAXIFS('Player Stats - Current Week'!G:G,'Player Stats - Current Week'!C:C,B14,'Player Stats - Current Week'!D:D,"QB"),"")),"BYE, GAME NOT STARTED, OR NO STATS YET")</f>
        <v>BYE, GAME NOT STARTED, OR NO STATS YET</v>
      </c>
      <c r="AD14" s="94" t="str">
        <f t="shared" si="5"/>
        <v>BYE OR GAME NOT STARTED12</v>
      </c>
      <c r="AE14" s="100" t="str">
        <f>if(today()&gt;='Week Date Mapping'!$A$15,if(iferror(vlookup(CONCATENATE("Week 14",B14),'Raw With Formulas'!J:N,5,false),iferror(vlookup(CONCATENATE("Week 14",B14),'Raw With Formulas'!L:N,2,false),"BYE OR GAME NOT STARTED"))="","BYE OR GAME NOT STARTED",iferror(vlookup(CONCATENATE("Week 14",B14),'Raw With Formulas'!J:N,5,false),iferror(vlookup(CONCATENATE("Week 14",B14),'Raw With Formulas'!L:N,2,false),"BYE OR GAME NOT STARTED"))),"BYE OR GAME NOT STARTED")</f>
        <v>BYE OR GAME NOT STARTED</v>
      </c>
      <c r="AF14" s="94" t="str">
        <f t="shared" si="6"/>
        <v>BYE, GAME NOT STARTED, OR NO STATS YET12</v>
      </c>
      <c r="AG14" s="87" t="str">
        <f>if(today()&gt;='Week Date Mapping'!$A$16,if(MAXIFS('Player Stats - Current Week'!Q:Q,'Player Stats - Current Week'!C:C,B14,'Player Stats - Current Week'!D:D,"QB")=0,"BYE, GAME NOT STARTED, OR NO STATS YET",iferror(MAXIFS('Player Stats - Current Week'!Q:Q,'Player Stats - Current Week'!C:C,B14,'Player Stats - Current Week'!D:D,"QB"),"")),"BYE, GAME NOT STARTED, OR NO STATS YET")</f>
        <v>BYE, GAME NOT STARTED, OR NO STATS YET</v>
      </c>
      <c r="AH14" s="94" t="str">
        <f t="shared" si="7"/>
        <v>BYE OR GAME NOT STARTED12</v>
      </c>
      <c r="AI14" s="87" t="str">
        <f>if(today()&gt;='Week Date Mapping'!$A$17,if(iferror(vlookup(CONCATENATE("Week 16",B14),'Raw With Formulas'!J:N,4,false),iferror(vlookup(CONCATENATE("Week 16",B14),'Raw With Formulas'!L:N,3,false),"BYE OR GAME NOT STARTED"))="","BYE OR GAME NOT STARTED",iferror(vlookup(CONCATENATE("Week 16",B14),'Raw With Formulas'!J:N,4,false),iferror(vlookup(CONCATENATE("Week 16",B14),'Raw With Formulas'!L:N,3,false),"BYE OR GAME NOT STARTED"))),"BYE OR GAME NOT STARTED")</f>
        <v>BYE OR GAME NOT STARTED</v>
      </c>
      <c r="AJ14" s="94" t="str">
        <f t="shared" si="8"/>
        <v>BYE, GAME NOT STARTED, OR NO STATS YET12</v>
      </c>
      <c r="AK14" s="87" t="str">
        <f>if(today()&gt;='Week Date Mapping'!$A$18,if(MAXIFS('Player Stats - Current Week'!E:E,'Player Stats - Current Week'!C:C,B14,'Player Stats - Current Week'!D:D,"WR")=0,"BYE, GAME NOT STARTED, OR NO STATS YET",iferror(MAXIFS('Player Stats - Current Week'!E:E,'Player Stats - Current Week'!C:C,B14,'Player Stats - Current Week'!D:D,"WR"),"")),"BYE, GAME NOT STARTED, OR NO STATS YET")</f>
        <v>BYE, GAME NOT STARTED, OR NO STATS YET</v>
      </c>
      <c r="AL14" s="87" t="s">
        <v>175</v>
      </c>
      <c r="AM14" s="87" t="str">
        <f>if(today()&gt;='Week Date Mapping'!$A$19,if(MAXIFS('Player Stats - Current Week'!Q:Q,'Player Stats - Current Week'!C:C,B14,'Player Stats - Current Week'!D:D,"RB")=0,"BYE, GAME NOT STARTED, OR NO STATS YET",iferror(MAXIFS('Player Stats - Current Week'!Q:Q,'Player Stats - Current Week'!C:C,B14,'Player Stats - Current Week'!D:D,"RB"),"")),"BYE, GAME NOT STARTED, OR NO STATS YET")</f>
        <v>BYE, GAME NOT STARTED, OR NO STATS YET</v>
      </c>
      <c r="AN14" s="92" t="str">
        <f t="shared" si="1"/>
        <v>Grant|Rusty</v>
      </c>
    </row>
    <row r="15">
      <c r="A15" s="89" t="s">
        <v>102</v>
      </c>
      <c r="B15" s="90" t="s">
        <v>102</v>
      </c>
      <c r="C15" s="90" t="str">
        <f>vlookup(A15,'Wins by Team'!A:C,3,false)</f>
        <v>Steve|Sutter</v>
      </c>
      <c r="D15" s="103" t="str">
        <f t="shared" si="2"/>
        <v>BYE, GAME NOT STARTED, OR NO STATS YET13</v>
      </c>
      <c r="E15" s="90" t="str">
        <f>if(MAXIFS('Player Stats - Current Week'!I:I,'Player Stats - Current Week'!C:C,B15,'Player Stats - Current Week'!D:D,"QB")=0,"BYE, GAME NOT STARTED, OR NO STATS YET",iferror(MAXIFS('Player Stats - Current Week'!I:I,'Player Stats - Current Week'!C:C,B15,'Player Stats - Current Week'!D:D,"QB"),""))</f>
        <v>BYE, GAME NOT STARTED, OR NO STATS YET</v>
      </c>
      <c r="F15" s="103" t="str">
        <f t="shared" si="3"/>
        <v>BYE OR GAME NOT STARTED13</v>
      </c>
      <c r="G15" s="90" t="str">
        <f>if(iferror(vlookup(CONCATENATE("Week 2",B15),'Raw With Formulas'!J:N,4,false),iferror(vlookup(CONCATENATE("Week 2",B15),'Raw With Formulas'!L:N,3,false),"BYE OR GAME NOT STARTED")) = "", "BYE OR GAME NOT STARTED", iferror(vlookup(CONCATENATE("Week 2",B15),'Raw With Formulas'!J:N,4,false),iferror(vlookup(CONCATENATE("Week 2",B15),'Raw With Formulas'!L:N,3,false),"BYE OR GAME NOT STARTED")))</f>
        <v>BYE OR GAME NOT STARTED</v>
      </c>
      <c r="H15" s="103" t="str">
        <f t="shared" si="4"/>
        <v>BYE, GAME NOT STARTED, OR NO STATS YET13</v>
      </c>
      <c r="I15" s="90" t="str">
        <f>if(today()&gt;='Week Date Mapping'!$A$4,iferror(
if(
sumifs(
'Player Stats - Current Week'!T:T,
'Player Stats - Current Week'!C:C,
iferror(
vlookup(
CONCATENATE("Week 3",B15), 
'Raw With Formulas'!J:O,
2,false
),
vlookup(CONCATENATE("Week 3",B15), 'Raw With Formulas'!L:O,4,false))) 
= 0,
"BYE, GAME NOT STARTED, OR NO STATS YET",
iferror(
sumifs(
'Player Stats - Current Week'!T:T,
'Player Stats - Current Week'!C:C,
iferror(
vlookup(
CONCATENATE("Week 3",B15), 
'Raw With Formulas'!J:O,
2,false
),
vlookup(CONCATENATE("Week 3",B15), 'Raw With Formulas'!L:O,4,false))),
""
)
),
"BYE, GAME NOT STARTED, OR NO STATS YET"
),"BYE, GAME NOT STARTED, OR NO STATS YET")</f>
        <v>BYE, GAME NOT STARTED, OR NO STATS YET</v>
      </c>
      <c r="J15" s="90" t="s">
        <v>175</v>
      </c>
      <c r="K15" s="90" t="str">
        <f>if(today()&gt;='Week Date Mapping'!$A$5,if(MAXIFS('Player Stats - Current Week'!E:E,'Player Stats - Current Week'!C:C,B15,'Player Stats - Current Week'!D:D,"TE")=0,"BYE, GAME NOT STARTED, OR NO STATS YET",iferror(MAXIFS('Player Stats - Current Week'!E:E,'Player Stats - Current Week'!C:C,B15,'Player Stats - Current Week'!D:D,"TE"),"")),"BYE, GAME NOT STARTED, OR NO STATS YET")</f>
        <v>BYE, GAME NOT STARTED, OR NO STATS YET</v>
      </c>
      <c r="L15" s="90" t="s">
        <v>175</v>
      </c>
      <c r="M15" s="90" t="str">
        <f>if(today()&gt;='Week Date Mapping'!$A$6,if(MAXIFS('Player Stats - Current Week'!Q:Q,'Player Stats - Current Week'!C:C,B15,'Player Stats - Current Week'!D:D,"WR")=0,"BYE, GAME NOT STARTED, OR NO STATS YET",iferror(MAXIFS('Player Stats - Current Week'!Q:Q,'Player Stats - Current Week'!C:C,B15,'Player Stats - Current Week'!D:D,"WR"),"")),"BYE, GAME NOT STARTED, OR NO STATS YET")</f>
        <v>BYE, GAME NOT STARTED, OR NO STATS YET</v>
      </c>
      <c r="N15" s="90" t="s">
        <v>175</v>
      </c>
      <c r="O15" s="90" t="str">
        <f>if(today()&gt;='Week Date Mapping'!$A$7,if((SUMIFS('Player Stats - Current Week'!L:L,'Player Stats - Current Week'!C:C,B15)+SUMIFS('Player Stats - Current Week'!R:R,'Player Stats - Current Week'!C:C,B15))=0,"BYE, GAME NOT STARTED, OR NO STATS YET",((SUMIFS('Player Stats - Current Week'!R:R,'Player Stats - Current Week'!C:C,B15)*6)+SUMIFS('Player Stats - Current Week'!L:L,'Player Stats - Current Week'!C:C,B15))),"BYE, GAME NOT STARTED, OR NO STATS YET")</f>
        <v>BYE, GAME NOT STARTED, OR NO STATS YET</v>
      </c>
      <c r="P15" s="90" t="s">
        <v>175</v>
      </c>
      <c r="Q15" s="90" t="str">
        <f>if(today()&gt;='Week Date Mapping'!$A$8,if((SUMIFS('Player Stats - Current Week'!G:G,'Player Stats - Current Week'!C:C,B15,'Player Stats - Current Week'!D:D,"RB")+SUMIFS('Player Stats - Current Week'!E:E,'Player Stats - Current Week'!C:C,B15,'Player Stats - Current Week'!D:D,"RB"))=0,"BYE, GAME NOT STARTED, OR NO STATS YET",((SUMIFS('Player Stats - Current Week'!G:G,'Player Stats - Current Week'!C:C,B15,'Player Stats - Current Week'!D:D,"RB"))+SUMIFS('Player Stats - Current Week'!E:E,'Player Stats - Current Week'!C:C,B15,'Player Stats - Current Week'!D:D,"RB"))),"BYE, GAME NOT STARTED, OR NO STATS YET")</f>
        <v>BYE, GAME NOT STARTED, OR NO STATS YET</v>
      </c>
      <c r="R15" s="90" t="s">
        <v>175</v>
      </c>
      <c r="S15" s="90" t="str">
        <f>if(today()&gt;='Week Date Mapping'!$A$9,if(MAXIFS('Player Stats - Current Week'!L:L,'Player Stats - Current Week'!C:C,B15,'Player Stats - Current Week'!D:D,"PK")=0,"BYE, GAME NOT STARTED, OR NO STATS YET",iferror(MAXIFS('Player Stats - Current Week'!L:L,'Player Stats - Current Week'!C:C,B15,'Player Stats - Current Week'!D:D,"PK"),"")),"BYE, GAME NOT STARTED, OR NO STATS YET")</f>
        <v>BYE, GAME NOT STARTED, OR NO STATS YET</v>
      </c>
      <c r="T15" s="90" t="s">
        <v>175</v>
      </c>
      <c r="U15" s="90" t="str">
        <f>if(today()&gt;='Week Date Mapping'!$A$10,if(MAXIFS('Player Stats - Current Week'!N:N,'Player Stats - Current Week'!C:C,B15,'Player Stats - Current Week'!D:D,"QB")=0,"BYE, GAME NOT STARTED, OR NO STATS YET",iferror(MAXIFS('Player Stats - Current Week'!N:N,'Player Stats - Current Week'!C:C,B15,'Player Stats - Current Week'!D:D,"QB"),"")),"BYE, GAME NOT STARTED, OR NO STATS YET")</f>
        <v>BYE, GAME NOT STARTED, OR NO STATS YET</v>
      </c>
      <c r="V15" s="90" t="s">
        <v>175</v>
      </c>
      <c r="W15" s="90" t="str">
        <f>if(today()&gt;='Week Date Mapping'!$A$11,if(SUMIFS('Player Stats - Current Week'!O:O,'Player Stats - Current Week'!C:C,B15)=0,"BYE, GAME NOT STARTED, OR NO STATS YET",iferror(SUMIFS('Player Stats - Current Week'!O:O,'Player Stats - Current Week'!C:C,B15),"")),"BYE, GAME NOT STARTED, OR NO STATS YET")</f>
        <v>BYE, GAME NOT STARTED, OR NO STATS YET</v>
      </c>
      <c r="X15" s="90" t="s">
        <v>175</v>
      </c>
      <c r="Y15" s="90" t="str">
        <f>if(today()&gt;='Week Date Mapping'!$A$12,if(MAXIFS('Player Stats - Current Week'!Q:Q,'Player Stats - Current Week'!C:C,B15,'Player Stats - Current Week'!D:D,"TE")=0,"BYE, GAME NOT STARTED, OR NO STATS YET",iferror(MAXIFS('Player Stats - Current Week'!Q:Q,'Player Stats - Current Week'!C:C,B15,'Player Stats - Current Week'!D:D,"TE"),"")),"BYE, GAME NOT STARTED, OR NO STATS YET")</f>
        <v>BYE, GAME NOT STARTED, OR NO STATS YET</v>
      </c>
      <c r="Z15" s="90" t="s">
        <v>175</v>
      </c>
      <c r="AA15" s="90" t="str">
        <f>if(today()&gt;='Week Date Mapping'!$A$13,if(MAXIFS('Player Stats - Current Week'!S:S,'Player Stats - Current Week'!C:C,B15)=0,"BYE, GAME NOT STARTED, OR NO STATS YET",iferror(MAXIFS('Player Stats - Current Week'!S:S,'Player Stats - Current Week'!C:C,B15),"")),"BYE, GAME NOT STARTED, OR NO STATS YET")</f>
        <v>BYE, GAME NOT STARTED, OR NO STATS YET</v>
      </c>
      <c r="AB15" s="90" t="s">
        <v>175</v>
      </c>
      <c r="AC15" s="90" t="str">
        <f>if(today()&gt;='Week Date Mapping'!$A$14,if(MAXIFS('Player Stats - Current Week'!G:G,'Player Stats - Current Week'!C:C,B15,'Player Stats - Current Week'!D:D,"QB")=0,"BYE, GAME NOT STARTED, OR NO STATS YET",iferror(MAXIFS('Player Stats - Current Week'!G:G,'Player Stats - Current Week'!C:C,B15,'Player Stats - Current Week'!D:D,"QB"),"")),"BYE, GAME NOT STARTED, OR NO STATS YET")</f>
        <v>BYE, GAME NOT STARTED, OR NO STATS YET</v>
      </c>
      <c r="AD15" s="103" t="str">
        <f t="shared" si="5"/>
        <v>BYE OR GAME NOT STARTED13</v>
      </c>
      <c r="AE15" s="101" t="str">
        <f>if(today()&gt;='Week Date Mapping'!$A$15,if(iferror(vlookup(CONCATENATE("Week 14",B15),'Raw With Formulas'!J:N,5,false),iferror(vlookup(CONCATENATE("Week 14",B15),'Raw With Formulas'!L:N,2,false),"BYE OR GAME NOT STARTED"))="","BYE OR GAME NOT STARTED",iferror(vlookup(CONCATENATE("Week 14",B15),'Raw With Formulas'!J:N,5,false),iferror(vlookup(CONCATENATE("Week 14",B15),'Raw With Formulas'!L:N,2,false),"BYE OR GAME NOT STARTED"))),"BYE OR GAME NOT STARTED")</f>
        <v>BYE OR GAME NOT STARTED</v>
      </c>
      <c r="AF15" s="103" t="str">
        <f t="shared" si="6"/>
        <v>BYE, GAME NOT STARTED, OR NO STATS YET13</v>
      </c>
      <c r="AG15" s="90" t="str">
        <f>if(today()&gt;='Week Date Mapping'!$A$16,if(MAXIFS('Player Stats - Current Week'!Q:Q,'Player Stats - Current Week'!C:C,B15,'Player Stats - Current Week'!D:D,"QB")=0,"BYE, GAME NOT STARTED, OR NO STATS YET",iferror(MAXIFS('Player Stats - Current Week'!Q:Q,'Player Stats - Current Week'!C:C,B15,'Player Stats - Current Week'!D:D,"QB"),"")),"BYE, GAME NOT STARTED, OR NO STATS YET")</f>
        <v>BYE, GAME NOT STARTED, OR NO STATS YET</v>
      </c>
      <c r="AH15" s="103" t="str">
        <f t="shared" si="7"/>
        <v>BYE OR GAME NOT STARTED13</v>
      </c>
      <c r="AI15" s="90" t="str">
        <f>if(today()&gt;='Week Date Mapping'!$A$17,if(iferror(vlookup(CONCATENATE("Week 16",B15),'Raw With Formulas'!J:N,4,false),iferror(vlookup(CONCATENATE("Week 16",B15),'Raw With Formulas'!L:N,3,false),"BYE OR GAME NOT STARTED"))="","BYE OR GAME NOT STARTED",iferror(vlookup(CONCATENATE("Week 16",B15),'Raw With Formulas'!J:N,4,false),iferror(vlookup(CONCATENATE("Week 16",B15),'Raw With Formulas'!L:N,3,false),"BYE OR GAME NOT STARTED"))),"BYE OR GAME NOT STARTED")</f>
        <v>BYE OR GAME NOT STARTED</v>
      </c>
      <c r="AJ15" s="103" t="str">
        <f t="shared" si="8"/>
        <v>BYE, GAME NOT STARTED, OR NO STATS YET13</v>
      </c>
      <c r="AK15" s="90" t="str">
        <f>if(today()&gt;='Week Date Mapping'!$A$18,if(MAXIFS('Player Stats - Current Week'!E:E,'Player Stats - Current Week'!C:C,B15,'Player Stats - Current Week'!D:D,"WR")=0,"BYE, GAME NOT STARTED, OR NO STATS YET",iferror(MAXIFS('Player Stats - Current Week'!E:E,'Player Stats - Current Week'!C:C,B15,'Player Stats - Current Week'!D:D,"WR"),"")),"BYE, GAME NOT STARTED, OR NO STATS YET")</f>
        <v>BYE, GAME NOT STARTED, OR NO STATS YET</v>
      </c>
      <c r="AL15" s="90" t="s">
        <v>175</v>
      </c>
      <c r="AM15" s="90" t="str">
        <f>if(today()&gt;='Week Date Mapping'!$A$19,if(MAXIFS('Player Stats - Current Week'!Q:Q,'Player Stats - Current Week'!C:C,B15,'Player Stats - Current Week'!D:D,"RB")=0,"BYE, GAME NOT STARTED, OR NO STATS YET",iferror(MAXIFS('Player Stats - Current Week'!Q:Q,'Player Stats - Current Week'!C:C,B15,'Player Stats - Current Week'!D:D,"RB"),"")),"BYE, GAME NOT STARTED, OR NO STATS YET")</f>
        <v>BYE, GAME NOT STARTED, OR NO STATS YET</v>
      </c>
      <c r="AN15" s="104" t="str">
        <f t="shared" si="1"/>
        <v>Steve|Sutter</v>
      </c>
    </row>
    <row r="16">
      <c r="A16" s="86" t="s">
        <v>103</v>
      </c>
      <c r="B16" s="87" t="s">
        <v>104</v>
      </c>
      <c r="C16" s="87" t="str">
        <f>vlookup(A16,'Wins by Team'!A:C,3,false)</f>
        <v>Budde</v>
      </c>
      <c r="D16" s="94" t="str">
        <f t="shared" si="2"/>
        <v>BYE, GAME NOT STARTED, OR NO STATS YET14</v>
      </c>
      <c r="E16" s="87" t="str">
        <f>if(MAXIFS('Player Stats - Current Week'!I:I,'Player Stats - Current Week'!C:C,B16,'Player Stats - Current Week'!D:D,"QB")=0,"BYE, GAME NOT STARTED, OR NO STATS YET",iferror(MAXIFS('Player Stats - Current Week'!I:I,'Player Stats - Current Week'!C:C,B16,'Player Stats - Current Week'!D:D,"QB"),""))</f>
        <v>BYE, GAME NOT STARTED, OR NO STATS YET</v>
      </c>
      <c r="F16" s="94" t="str">
        <f t="shared" si="3"/>
        <v>BYE OR GAME NOT STARTED14</v>
      </c>
      <c r="G16" s="87" t="str">
        <f>if(iferror(vlookup(CONCATENATE("Week 2",B16),'Raw With Formulas'!J:N,4,false),iferror(vlookup(CONCATENATE("Week 2",B16),'Raw With Formulas'!L:N,3,false),"BYE OR GAME NOT STARTED")) = "", "BYE OR GAME NOT STARTED", iferror(vlookup(CONCATENATE("Week 2",B16),'Raw With Formulas'!J:N,4,false),iferror(vlookup(CONCATENATE("Week 2",B16),'Raw With Formulas'!L:N,3,false),"BYE OR GAME NOT STARTED")))</f>
        <v>BYE OR GAME NOT STARTED</v>
      </c>
      <c r="H16" s="94" t="str">
        <f t="shared" si="4"/>
        <v>BYE, GAME NOT STARTED, OR NO STATS YET14</v>
      </c>
      <c r="I16" s="87" t="str">
        <f>if(today()&gt;='Week Date Mapping'!$A$4,iferror(
if(
sumifs(
'Player Stats - Current Week'!T:T,
'Player Stats - Current Week'!C:C,
iferror(
vlookup(
CONCATENATE("Week 3",B16), 
'Raw With Formulas'!J:O,
2,false
),
vlookup(CONCATENATE("Week 3",B16), 'Raw With Formulas'!L:O,4,false))) 
= 0,
"BYE, GAME NOT STARTED, OR NO STATS YET",
iferror(
sumifs(
'Player Stats - Current Week'!T:T,
'Player Stats - Current Week'!C:C,
iferror(
vlookup(
CONCATENATE("Week 3",B16), 
'Raw With Formulas'!J:O,
2,false
),
vlookup(CONCATENATE("Week 3",B16), 'Raw With Formulas'!L:O,4,false))),
""
)
),
"BYE, GAME NOT STARTED, OR NO STATS YET"
),"BYE, GAME NOT STARTED, OR NO STATS YET")</f>
        <v>BYE, GAME NOT STARTED, OR NO STATS YET</v>
      </c>
      <c r="J16" s="87" t="s">
        <v>175</v>
      </c>
      <c r="K16" s="87" t="str">
        <f>if(today()&gt;='Week Date Mapping'!$A$5,if(MAXIFS('Player Stats - Current Week'!E:E,'Player Stats - Current Week'!C:C,B16,'Player Stats - Current Week'!D:D,"TE")=0,"BYE, GAME NOT STARTED, OR NO STATS YET",iferror(MAXIFS('Player Stats - Current Week'!E:E,'Player Stats - Current Week'!C:C,B16,'Player Stats - Current Week'!D:D,"TE"),"")),"BYE, GAME NOT STARTED, OR NO STATS YET")</f>
        <v>BYE, GAME NOT STARTED, OR NO STATS YET</v>
      </c>
      <c r="L16" s="87" t="s">
        <v>175</v>
      </c>
      <c r="M16" s="87" t="str">
        <f>if(today()&gt;='Week Date Mapping'!$A$6,if(MAXIFS('Player Stats - Current Week'!Q:Q,'Player Stats - Current Week'!C:C,B16,'Player Stats - Current Week'!D:D,"WR")=0,"BYE, GAME NOT STARTED, OR NO STATS YET",iferror(MAXIFS('Player Stats - Current Week'!Q:Q,'Player Stats - Current Week'!C:C,B16,'Player Stats - Current Week'!D:D,"WR"),"")),"BYE, GAME NOT STARTED, OR NO STATS YET")</f>
        <v>BYE, GAME NOT STARTED, OR NO STATS YET</v>
      </c>
      <c r="N16" s="87" t="s">
        <v>175</v>
      </c>
      <c r="O16" s="87" t="str">
        <f>if(today()&gt;='Week Date Mapping'!$A$7,if((SUMIFS('Player Stats - Current Week'!L:L,'Player Stats - Current Week'!C:C,B16)+SUMIFS('Player Stats - Current Week'!R:R,'Player Stats - Current Week'!C:C,B16))=0,"BYE, GAME NOT STARTED, OR NO STATS YET",((SUMIFS('Player Stats - Current Week'!R:R,'Player Stats - Current Week'!C:C,B16)*6)+SUMIFS('Player Stats - Current Week'!L:L,'Player Stats - Current Week'!C:C,B16))),"BYE, GAME NOT STARTED, OR NO STATS YET")</f>
        <v>BYE, GAME NOT STARTED, OR NO STATS YET</v>
      </c>
      <c r="P16" s="87" t="s">
        <v>175</v>
      </c>
      <c r="Q16" s="87" t="str">
        <f>if(today()&gt;='Week Date Mapping'!$A$8,if((SUMIFS('Player Stats - Current Week'!G:G,'Player Stats - Current Week'!C:C,B16,'Player Stats - Current Week'!D:D,"RB")+SUMIFS('Player Stats - Current Week'!E:E,'Player Stats - Current Week'!C:C,B16,'Player Stats - Current Week'!D:D,"RB"))=0,"BYE, GAME NOT STARTED, OR NO STATS YET",((SUMIFS('Player Stats - Current Week'!G:G,'Player Stats - Current Week'!C:C,B16,'Player Stats - Current Week'!D:D,"RB"))+SUMIFS('Player Stats - Current Week'!E:E,'Player Stats - Current Week'!C:C,B16,'Player Stats - Current Week'!D:D,"RB"))),"BYE, GAME NOT STARTED, OR NO STATS YET")</f>
        <v>BYE, GAME NOT STARTED, OR NO STATS YET</v>
      </c>
      <c r="R16" s="87" t="s">
        <v>175</v>
      </c>
      <c r="S16" s="87" t="str">
        <f>if(today()&gt;='Week Date Mapping'!$A$9,if(MAXIFS('Player Stats - Current Week'!L:L,'Player Stats - Current Week'!C:C,B16,'Player Stats - Current Week'!D:D,"PK")=0,"BYE, GAME NOT STARTED, OR NO STATS YET",iferror(MAXIFS('Player Stats - Current Week'!L:L,'Player Stats - Current Week'!C:C,B16,'Player Stats - Current Week'!D:D,"PK"),"")),"BYE, GAME NOT STARTED, OR NO STATS YET")</f>
        <v>BYE, GAME NOT STARTED, OR NO STATS YET</v>
      </c>
      <c r="T16" s="87" t="s">
        <v>175</v>
      </c>
      <c r="U16" s="87" t="str">
        <f>if(today()&gt;='Week Date Mapping'!$A$10,if(MAXIFS('Player Stats - Current Week'!N:N,'Player Stats - Current Week'!C:C,B16,'Player Stats - Current Week'!D:D,"QB")=0,"BYE, GAME NOT STARTED, OR NO STATS YET",iferror(MAXIFS('Player Stats - Current Week'!N:N,'Player Stats - Current Week'!C:C,B16,'Player Stats - Current Week'!D:D,"QB"),"")),"BYE, GAME NOT STARTED, OR NO STATS YET")</f>
        <v>BYE, GAME NOT STARTED, OR NO STATS YET</v>
      </c>
      <c r="V16" s="87" t="s">
        <v>175</v>
      </c>
      <c r="W16" s="87" t="str">
        <f>if(today()&gt;='Week Date Mapping'!$A$11,if(SUMIFS('Player Stats - Current Week'!O:O,'Player Stats - Current Week'!C:C,B16)=0,"BYE, GAME NOT STARTED, OR NO STATS YET",iferror(SUMIFS('Player Stats - Current Week'!O:O,'Player Stats - Current Week'!C:C,B16),"")),"BYE, GAME NOT STARTED, OR NO STATS YET")</f>
        <v>BYE, GAME NOT STARTED, OR NO STATS YET</v>
      </c>
      <c r="X16" s="87" t="s">
        <v>175</v>
      </c>
      <c r="Y16" s="87" t="str">
        <f>if(today()&gt;='Week Date Mapping'!$A$12,if(MAXIFS('Player Stats - Current Week'!Q:Q,'Player Stats - Current Week'!C:C,B16,'Player Stats - Current Week'!D:D,"TE")=0,"BYE, GAME NOT STARTED, OR NO STATS YET",iferror(MAXIFS('Player Stats - Current Week'!Q:Q,'Player Stats - Current Week'!C:C,B16,'Player Stats - Current Week'!D:D,"TE"),"")),"BYE, GAME NOT STARTED, OR NO STATS YET")</f>
        <v>BYE, GAME NOT STARTED, OR NO STATS YET</v>
      </c>
      <c r="Z16" s="87" t="s">
        <v>175</v>
      </c>
      <c r="AA16" s="87" t="str">
        <f>if(today()&gt;='Week Date Mapping'!$A$13,if(MAXIFS('Player Stats - Current Week'!S:S,'Player Stats - Current Week'!C:C,B16)=0,"BYE, GAME NOT STARTED, OR NO STATS YET",iferror(MAXIFS('Player Stats - Current Week'!S:S,'Player Stats - Current Week'!C:C,B16),"")),"BYE, GAME NOT STARTED, OR NO STATS YET")</f>
        <v>BYE, GAME NOT STARTED, OR NO STATS YET</v>
      </c>
      <c r="AB16" s="87" t="s">
        <v>175</v>
      </c>
      <c r="AC16" s="87" t="str">
        <f>if(today()&gt;='Week Date Mapping'!$A$14,if(MAXIFS('Player Stats - Current Week'!G:G,'Player Stats - Current Week'!C:C,B16,'Player Stats - Current Week'!D:D,"QB")=0,"BYE, GAME NOT STARTED, OR NO STATS YET",iferror(MAXIFS('Player Stats - Current Week'!G:G,'Player Stats - Current Week'!C:C,B16,'Player Stats - Current Week'!D:D,"QB"),"")),"BYE, GAME NOT STARTED, OR NO STATS YET")</f>
        <v>BYE, GAME NOT STARTED, OR NO STATS YET</v>
      </c>
      <c r="AD16" s="94" t="str">
        <f t="shared" si="5"/>
        <v>BYE OR GAME NOT STARTED14</v>
      </c>
      <c r="AE16" s="100" t="str">
        <f>if(today()&gt;='Week Date Mapping'!$A$15,if(iferror(vlookup(CONCATENATE("Week 14",B16),'Raw With Formulas'!J:N,5,false),iferror(vlookup(CONCATENATE("Week 14",B16),'Raw With Formulas'!L:N,2,false),"BYE OR GAME NOT STARTED"))="","BYE OR GAME NOT STARTED",iferror(vlookup(CONCATENATE("Week 14",B16),'Raw With Formulas'!J:N,5,false),iferror(vlookup(CONCATENATE("Week 14",B16),'Raw With Formulas'!L:N,2,false),"BYE OR GAME NOT STARTED"))),"BYE OR GAME NOT STARTED")</f>
        <v>BYE OR GAME NOT STARTED</v>
      </c>
      <c r="AF16" s="94" t="str">
        <f t="shared" si="6"/>
        <v>BYE, GAME NOT STARTED, OR NO STATS YET14</v>
      </c>
      <c r="AG16" s="87" t="str">
        <f>if(today()&gt;='Week Date Mapping'!$A$16,if(MAXIFS('Player Stats - Current Week'!Q:Q,'Player Stats - Current Week'!C:C,B16,'Player Stats - Current Week'!D:D,"QB")=0,"BYE, GAME NOT STARTED, OR NO STATS YET",iferror(MAXIFS('Player Stats - Current Week'!Q:Q,'Player Stats - Current Week'!C:C,B16,'Player Stats - Current Week'!D:D,"QB"),"")),"BYE, GAME NOT STARTED, OR NO STATS YET")</f>
        <v>BYE, GAME NOT STARTED, OR NO STATS YET</v>
      </c>
      <c r="AH16" s="94" t="str">
        <f t="shared" si="7"/>
        <v>BYE OR GAME NOT STARTED14</v>
      </c>
      <c r="AI16" s="87" t="str">
        <f>if(today()&gt;='Week Date Mapping'!$A$17,if(iferror(vlookup(CONCATENATE("Week 16",B16),'Raw With Formulas'!J:N,4,false),iferror(vlookup(CONCATENATE("Week 16",B16),'Raw With Formulas'!L:N,3,false),"BYE OR GAME NOT STARTED"))="","BYE OR GAME NOT STARTED",iferror(vlookup(CONCATENATE("Week 16",B16),'Raw With Formulas'!J:N,4,false),iferror(vlookup(CONCATENATE("Week 16",B16),'Raw With Formulas'!L:N,3,false),"BYE OR GAME NOT STARTED"))),"BYE OR GAME NOT STARTED")</f>
        <v>BYE OR GAME NOT STARTED</v>
      </c>
      <c r="AJ16" s="94" t="str">
        <f t="shared" si="8"/>
        <v>BYE, GAME NOT STARTED, OR NO STATS YET14</v>
      </c>
      <c r="AK16" s="87" t="str">
        <f>if(today()&gt;='Week Date Mapping'!$A$18,if(MAXIFS('Player Stats - Current Week'!E:E,'Player Stats - Current Week'!C:C,B16,'Player Stats - Current Week'!D:D,"WR")=0,"BYE, GAME NOT STARTED, OR NO STATS YET",iferror(MAXIFS('Player Stats - Current Week'!E:E,'Player Stats - Current Week'!C:C,B16,'Player Stats - Current Week'!D:D,"WR"),"")),"BYE, GAME NOT STARTED, OR NO STATS YET")</f>
        <v>BYE, GAME NOT STARTED, OR NO STATS YET</v>
      </c>
      <c r="AL16" s="87" t="s">
        <v>175</v>
      </c>
      <c r="AM16" s="87" t="str">
        <f>if(today()&gt;='Week Date Mapping'!$A$19,if(MAXIFS('Player Stats - Current Week'!Q:Q,'Player Stats - Current Week'!C:C,B16,'Player Stats - Current Week'!D:D,"RB")=0,"BYE, GAME NOT STARTED, OR NO STATS YET",iferror(MAXIFS('Player Stats - Current Week'!Q:Q,'Player Stats - Current Week'!C:C,B16,'Player Stats - Current Week'!D:D,"RB"),"")),"BYE, GAME NOT STARTED, OR NO STATS YET")</f>
        <v>BYE, GAME NOT STARTED, OR NO STATS YET</v>
      </c>
      <c r="AN16" s="92" t="str">
        <f t="shared" si="1"/>
        <v>Budde</v>
      </c>
    </row>
    <row r="17">
      <c r="A17" s="89" t="s">
        <v>105</v>
      </c>
      <c r="B17" s="90" t="s">
        <v>105</v>
      </c>
      <c r="C17" s="90" t="str">
        <f>vlookup(A17,'Wins by Team'!A:C,3,false)</f>
        <v>Max</v>
      </c>
      <c r="D17" s="103" t="str">
        <f t="shared" si="2"/>
        <v>BYE, GAME NOT STARTED, OR NO STATS YET15</v>
      </c>
      <c r="E17" s="90" t="str">
        <f>if(MAXIFS('Player Stats - Current Week'!I:I,'Player Stats - Current Week'!C:C,B17,'Player Stats - Current Week'!D:D,"QB")=0,"BYE, GAME NOT STARTED, OR NO STATS YET",iferror(MAXIFS('Player Stats - Current Week'!I:I,'Player Stats - Current Week'!C:C,B17,'Player Stats - Current Week'!D:D,"QB"),""))</f>
        <v>BYE, GAME NOT STARTED, OR NO STATS YET</v>
      </c>
      <c r="F17" s="103" t="str">
        <f t="shared" si="3"/>
        <v>BYE OR GAME NOT STARTED15</v>
      </c>
      <c r="G17" s="90" t="str">
        <f>if(iferror(vlookup(CONCATENATE("Week 2",B17),'Raw With Formulas'!J:N,4,false),iferror(vlookup(CONCATENATE("Week 2",B17),'Raw With Formulas'!L:N,3,false),"BYE OR GAME NOT STARTED")) = "", "BYE OR GAME NOT STARTED", iferror(vlookup(CONCATENATE("Week 2",B17),'Raw With Formulas'!J:N,4,false),iferror(vlookup(CONCATENATE("Week 2",B17),'Raw With Formulas'!L:N,3,false),"BYE OR GAME NOT STARTED")))</f>
        <v>BYE OR GAME NOT STARTED</v>
      </c>
      <c r="H17" s="103" t="str">
        <f t="shared" si="4"/>
        <v>BYE, GAME NOT STARTED, OR NO STATS YET15</v>
      </c>
      <c r="I17" s="90" t="str">
        <f>if(today()&gt;='Week Date Mapping'!$A$4,iferror(
if(
sumifs(
'Player Stats - Current Week'!T:T,
'Player Stats - Current Week'!C:C,
iferror(
vlookup(
CONCATENATE("Week 3",B17), 
'Raw With Formulas'!J:O,
2,false
),
vlookup(CONCATENATE("Week 3",B17), 'Raw With Formulas'!L:O,4,false))) 
= 0,
"BYE, GAME NOT STARTED, OR NO STATS YET",
iferror(
sumifs(
'Player Stats - Current Week'!T:T,
'Player Stats - Current Week'!C:C,
iferror(
vlookup(
CONCATENATE("Week 3",B17), 
'Raw With Formulas'!J:O,
2,false
),
vlookup(CONCATENATE("Week 3",B17), 'Raw With Formulas'!L:O,4,false))),
""
)
),
"BYE, GAME NOT STARTED, OR NO STATS YET"
),"BYE, GAME NOT STARTED, OR NO STATS YET")</f>
        <v>BYE, GAME NOT STARTED, OR NO STATS YET</v>
      </c>
      <c r="J17" s="90" t="s">
        <v>175</v>
      </c>
      <c r="K17" s="90" t="str">
        <f>if(today()&gt;='Week Date Mapping'!$A$5,if(MAXIFS('Player Stats - Current Week'!E:E,'Player Stats - Current Week'!C:C,B17,'Player Stats - Current Week'!D:D,"TE")=0,"BYE, GAME NOT STARTED, OR NO STATS YET",iferror(MAXIFS('Player Stats - Current Week'!E:E,'Player Stats - Current Week'!C:C,B17,'Player Stats - Current Week'!D:D,"TE"),"")),"BYE, GAME NOT STARTED, OR NO STATS YET")</f>
        <v>BYE, GAME NOT STARTED, OR NO STATS YET</v>
      </c>
      <c r="L17" s="90" t="s">
        <v>175</v>
      </c>
      <c r="M17" s="90" t="str">
        <f>if(today()&gt;='Week Date Mapping'!$A$6,if(MAXIFS('Player Stats - Current Week'!Q:Q,'Player Stats - Current Week'!C:C,B17,'Player Stats - Current Week'!D:D,"WR")=0,"BYE, GAME NOT STARTED, OR NO STATS YET",iferror(MAXIFS('Player Stats - Current Week'!Q:Q,'Player Stats - Current Week'!C:C,B17,'Player Stats - Current Week'!D:D,"WR"),"")),"BYE, GAME NOT STARTED, OR NO STATS YET")</f>
        <v>BYE, GAME NOT STARTED, OR NO STATS YET</v>
      </c>
      <c r="N17" s="90" t="s">
        <v>175</v>
      </c>
      <c r="O17" s="90" t="str">
        <f>if(today()&gt;='Week Date Mapping'!$A$7,if((SUMIFS('Player Stats - Current Week'!L:L,'Player Stats - Current Week'!C:C,B17)+SUMIFS('Player Stats - Current Week'!R:R,'Player Stats - Current Week'!C:C,B17))=0,"BYE, GAME NOT STARTED, OR NO STATS YET",((SUMIFS('Player Stats - Current Week'!R:R,'Player Stats - Current Week'!C:C,B17)*6)+SUMIFS('Player Stats - Current Week'!L:L,'Player Stats - Current Week'!C:C,B17))),"BYE, GAME NOT STARTED, OR NO STATS YET")</f>
        <v>BYE, GAME NOT STARTED, OR NO STATS YET</v>
      </c>
      <c r="P17" s="90" t="s">
        <v>175</v>
      </c>
      <c r="Q17" s="90" t="str">
        <f>if(today()&gt;='Week Date Mapping'!$A$8,if((SUMIFS('Player Stats - Current Week'!G:G,'Player Stats - Current Week'!C:C,B17,'Player Stats - Current Week'!D:D,"RB")+SUMIFS('Player Stats - Current Week'!E:E,'Player Stats - Current Week'!C:C,B17,'Player Stats - Current Week'!D:D,"RB"))=0,"BYE, GAME NOT STARTED, OR NO STATS YET",((SUMIFS('Player Stats - Current Week'!G:G,'Player Stats - Current Week'!C:C,B17,'Player Stats - Current Week'!D:D,"RB"))+SUMIFS('Player Stats - Current Week'!E:E,'Player Stats - Current Week'!C:C,B17,'Player Stats - Current Week'!D:D,"RB"))),"BYE, GAME NOT STARTED, OR NO STATS YET")</f>
        <v>BYE, GAME NOT STARTED, OR NO STATS YET</v>
      </c>
      <c r="R17" s="90" t="s">
        <v>175</v>
      </c>
      <c r="S17" s="90" t="str">
        <f>if(today()&gt;='Week Date Mapping'!$A$9,if(MAXIFS('Player Stats - Current Week'!L:L,'Player Stats - Current Week'!C:C,B17,'Player Stats - Current Week'!D:D,"PK")=0,"BYE, GAME NOT STARTED, OR NO STATS YET",iferror(MAXIFS('Player Stats - Current Week'!L:L,'Player Stats - Current Week'!C:C,B17,'Player Stats - Current Week'!D:D,"PK"),"")),"BYE, GAME NOT STARTED, OR NO STATS YET")</f>
        <v>BYE, GAME NOT STARTED, OR NO STATS YET</v>
      </c>
      <c r="T17" s="90" t="s">
        <v>175</v>
      </c>
      <c r="U17" s="90" t="str">
        <f>if(today()&gt;='Week Date Mapping'!$A$10,if(MAXIFS('Player Stats - Current Week'!N:N,'Player Stats - Current Week'!C:C,B17,'Player Stats - Current Week'!D:D,"QB")=0,"BYE, GAME NOT STARTED, OR NO STATS YET",iferror(MAXIFS('Player Stats - Current Week'!N:N,'Player Stats - Current Week'!C:C,B17,'Player Stats - Current Week'!D:D,"QB"),"")),"BYE, GAME NOT STARTED, OR NO STATS YET")</f>
        <v>BYE, GAME NOT STARTED, OR NO STATS YET</v>
      </c>
      <c r="V17" s="90" t="s">
        <v>175</v>
      </c>
      <c r="W17" s="90" t="str">
        <f>if(today()&gt;='Week Date Mapping'!$A$11,if(SUMIFS('Player Stats - Current Week'!O:O,'Player Stats - Current Week'!C:C,B17)=0,"BYE, GAME NOT STARTED, OR NO STATS YET",iferror(SUMIFS('Player Stats - Current Week'!O:O,'Player Stats - Current Week'!C:C,B17),"")),"BYE, GAME NOT STARTED, OR NO STATS YET")</f>
        <v>BYE, GAME NOT STARTED, OR NO STATS YET</v>
      </c>
      <c r="X17" s="90" t="s">
        <v>175</v>
      </c>
      <c r="Y17" s="90" t="str">
        <f>if(today()&gt;='Week Date Mapping'!$A$12,if(MAXIFS('Player Stats - Current Week'!Q:Q,'Player Stats - Current Week'!C:C,B17,'Player Stats - Current Week'!D:D,"TE")=0,"BYE, GAME NOT STARTED, OR NO STATS YET",iferror(MAXIFS('Player Stats - Current Week'!Q:Q,'Player Stats - Current Week'!C:C,B17,'Player Stats - Current Week'!D:D,"TE"),"")),"BYE, GAME NOT STARTED, OR NO STATS YET")</f>
        <v>BYE, GAME NOT STARTED, OR NO STATS YET</v>
      </c>
      <c r="Z17" s="90" t="s">
        <v>175</v>
      </c>
      <c r="AA17" s="90" t="str">
        <f>if(today()&gt;='Week Date Mapping'!$A$13,if(MAXIFS('Player Stats - Current Week'!S:S,'Player Stats - Current Week'!C:C,B17)=0,"BYE, GAME NOT STARTED, OR NO STATS YET",iferror(MAXIFS('Player Stats - Current Week'!S:S,'Player Stats - Current Week'!C:C,B17),"")),"BYE, GAME NOT STARTED, OR NO STATS YET")</f>
        <v>BYE, GAME NOT STARTED, OR NO STATS YET</v>
      </c>
      <c r="AB17" s="90" t="s">
        <v>175</v>
      </c>
      <c r="AC17" s="90" t="str">
        <f>if(today()&gt;='Week Date Mapping'!$A$14,if(MAXIFS('Player Stats - Current Week'!G:G,'Player Stats - Current Week'!C:C,B17,'Player Stats - Current Week'!D:D,"QB")=0,"BYE, GAME NOT STARTED, OR NO STATS YET",iferror(MAXIFS('Player Stats - Current Week'!G:G,'Player Stats - Current Week'!C:C,B17,'Player Stats - Current Week'!D:D,"QB"),"")),"BYE, GAME NOT STARTED, OR NO STATS YET")</f>
        <v>BYE, GAME NOT STARTED, OR NO STATS YET</v>
      </c>
      <c r="AD17" s="103" t="str">
        <f t="shared" si="5"/>
        <v>BYE OR GAME NOT STARTED15</v>
      </c>
      <c r="AE17" s="101" t="str">
        <f>if(today()&gt;='Week Date Mapping'!$A$15,if(iferror(vlookup(CONCATENATE("Week 14",B17),'Raw With Formulas'!J:N,5,false),iferror(vlookup(CONCATENATE("Week 14",B17),'Raw With Formulas'!L:N,2,false),"BYE OR GAME NOT STARTED"))="","BYE OR GAME NOT STARTED",iferror(vlookup(CONCATENATE("Week 14",B17),'Raw With Formulas'!J:N,5,false),iferror(vlookup(CONCATENATE("Week 14",B17),'Raw With Formulas'!L:N,2,false),"BYE OR GAME NOT STARTED"))),"BYE OR GAME NOT STARTED")</f>
        <v>BYE OR GAME NOT STARTED</v>
      </c>
      <c r="AF17" s="103" t="str">
        <f t="shared" si="6"/>
        <v>BYE, GAME NOT STARTED, OR NO STATS YET15</v>
      </c>
      <c r="AG17" s="90" t="str">
        <f>if(today()&gt;='Week Date Mapping'!$A$16,if(MAXIFS('Player Stats - Current Week'!Q:Q,'Player Stats - Current Week'!C:C,B17,'Player Stats - Current Week'!D:D,"QB")=0,"BYE, GAME NOT STARTED, OR NO STATS YET",iferror(MAXIFS('Player Stats - Current Week'!Q:Q,'Player Stats - Current Week'!C:C,B17,'Player Stats - Current Week'!D:D,"QB"),"")),"BYE, GAME NOT STARTED, OR NO STATS YET")</f>
        <v>BYE, GAME NOT STARTED, OR NO STATS YET</v>
      </c>
      <c r="AH17" s="103" t="str">
        <f t="shared" si="7"/>
        <v>BYE OR GAME NOT STARTED15</v>
      </c>
      <c r="AI17" s="90" t="str">
        <f>if(today()&gt;='Week Date Mapping'!$A$17,if(iferror(vlookup(CONCATENATE("Week 16",B17),'Raw With Formulas'!J:N,4,false),iferror(vlookup(CONCATENATE("Week 16",B17),'Raw With Formulas'!L:N,3,false),"BYE OR GAME NOT STARTED"))="","BYE OR GAME NOT STARTED",iferror(vlookup(CONCATENATE("Week 16",B17),'Raw With Formulas'!J:N,4,false),iferror(vlookup(CONCATENATE("Week 16",B17),'Raw With Formulas'!L:N,3,false),"BYE OR GAME NOT STARTED"))),"BYE OR GAME NOT STARTED")</f>
        <v>BYE OR GAME NOT STARTED</v>
      </c>
      <c r="AJ17" s="103" t="str">
        <f t="shared" si="8"/>
        <v>BYE, GAME NOT STARTED, OR NO STATS YET15</v>
      </c>
      <c r="AK17" s="90" t="str">
        <f>if(today()&gt;='Week Date Mapping'!$A$18,if(MAXIFS('Player Stats - Current Week'!E:E,'Player Stats - Current Week'!C:C,B17,'Player Stats - Current Week'!D:D,"WR")=0,"BYE, GAME NOT STARTED, OR NO STATS YET",iferror(MAXIFS('Player Stats - Current Week'!E:E,'Player Stats - Current Week'!C:C,B17,'Player Stats - Current Week'!D:D,"WR"),"")),"BYE, GAME NOT STARTED, OR NO STATS YET")</f>
        <v>BYE, GAME NOT STARTED, OR NO STATS YET</v>
      </c>
      <c r="AL17" s="90" t="s">
        <v>175</v>
      </c>
      <c r="AM17" s="90" t="str">
        <f>if(today()&gt;='Week Date Mapping'!$A$19,if(MAXIFS('Player Stats - Current Week'!Q:Q,'Player Stats - Current Week'!C:C,B17,'Player Stats - Current Week'!D:D,"RB")=0,"BYE, GAME NOT STARTED, OR NO STATS YET",iferror(MAXIFS('Player Stats - Current Week'!Q:Q,'Player Stats - Current Week'!C:C,B17,'Player Stats - Current Week'!D:D,"RB"),"")),"BYE, GAME NOT STARTED, OR NO STATS YET")</f>
        <v>BYE, GAME NOT STARTED, OR NO STATS YET</v>
      </c>
      <c r="AN17" s="104" t="str">
        <f t="shared" si="1"/>
        <v>Max</v>
      </c>
    </row>
    <row r="18">
      <c r="A18" s="86" t="s">
        <v>106</v>
      </c>
      <c r="B18" s="87" t="s">
        <v>106</v>
      </c>
      <c r="C18" s="87" t="str">
        <f>vlookup(A18,'Wins by Team'!A:C,3,false)</f>
        <v/>
      </c>
      <c r="D18" s="94" t="str">
        <f t="shared" si="2"/>
        <v>BYE, GAME NOT STARTED, OR NO STATS YET16</v>
      </c>
      <c r="E18" s="87" t="str">
        <f>if(MAXIFS('Player Stats - Current Week'!I:I,'Player Stats - Current Week'!C:C,B18,'Player Stats - Current Week'!D:D,"QB")=0,"BYE, GAME NOT STARTED, OR NO STATS YET",iferror(MAXIFS('Player Stats - Current Week'!I:I,'Player Stats - Current Week'!C:C,B18,'Player Stats - Current Week'!D:D,"QB"),""))</f>
        <v>BYE, GAME NOT STARTED, OR NO STATS YET</v>
      </c>
      <c r="F18" s="87" t="s">
        <v>176</v>
      </c>
      <c r="G18" s="87" t="str">
        <f>if(iferror(vlookup(CONCATENATE("Week 2",B18),'Raw With Formulas'!J:N,4,false),iferror(vlookup(CONCATENATE("Week 2",B18),'Raw With Formulas'!L:N,3,false),"BYE OR GAME NOT STARTED")) = "", "BYE OR GAME NOT STARTED", iferror(vlookup(CONCATENATE("Week 2",B18),'Raw With Formulas'!J:N,4,false),iferror(vlookup(CONCATENATE("Week 2",B18),'Raw With Formulas'!L:N,3,false),"BYE OR GAME NOT STARTED")))</f>
        <v>BYE OR GAME NOT STARTED</v>
      </c>
      <c r="H18" s="87" t="s">
        <v>176</v>
      </c>
      <c r="I18" s="87" t="s">
        <v>176</v>
      </c>
      <c r="J18" s="87" t="s">
        <v>176</v>
      </c>
      <c r="K18" s="87" t="s">
        <v>176</v>
      </c>
      <c r="L18" s="87" t="s">
        <v>176</v>
      </c>
      <c r="M18" s="87" t="s">
        <v>176</v>
      </c>
      <c r="N18" s="87" t="s">
        <v>176</v>
      </c>
      <c r="O18" s="87" t="s">
        <v>176</v>
      </c>
      <c r="P18" s="87" t="s">
        <v>176</v>
      </c>
      <c r="Q18" s="87" t="s">
        <v>176</v>
      </c>
      <c r="R18" s="87" t="s">
        <v>176</v>
      </c>
      <c r="S18" s="87" t="s">
        <v>176</v>
      </c>
      <c r="T18" s="87" t="s">
        <v>176</v>
      </c>
      <c r="U18" s="87" t="s">
        <v>176</v>
      </c>
      <c r="V18" s="87" t="s">
        <v>176</v>
      </c>
      <c r="W18" s="87" t="s">
        <v>176</v>
      </c>
      <c r="X18" s="87" t="s">
        <v>176</v>
      </c>
      <c r="Y18" s="87" t="s">
        <v>176</v>
      </c>
      <c r="Z18" s="87" t="s">
        <v>176</v>
      </c>
      <c r="AA18" s="87" t="s">
        <v>176</v>
      </c>
      <c r="AB18" s="87" t="s">
        <v>176</v>
      </c>
      <c r="AC18" s="87" t="s">
        <v>176</v>
      </c>
      <c r="AD18" s="87" t="s">
        <v>176</v>
      </c>
      <c r="AE18" s="87" t="s">
        <v>176</v>
      </c>
      <c r="AF18" s="87" t="s">
        <v>176</v>
      </c>
      <c r="AG18" s="87" t="s">
        <v>176</v>
      </c>
      <c r="AH18" s="87" t="s">
        <v>176</v>
      </c>
      <c r="AI18" s="87" t="s">
        <v>176</v>
      </c>
      <c r="AJ18" s="87" t="s">
        <v>176</v>
      </c>
      <c r="AK18" s="87" t="s">
        <v>176</v>
      </c>
      <c r="AL18" s="87" t="s">
        <v>176</v>
      </c>
      <c r="AM18" s="87" t="s">
        <v>176</v>
      </c>
      <c r="AN18" s="92" t="str">
        <f t="shared" si="1"/>
        <v/>
      </c>
    </row>
    <row r="19">
      <c r="A19" s="89" t="s">
        <v>107</v>
      </c>
      <c r="B19" s="90" t="s">
        <v>108</v>
      </c>
      <c r="C19" s="90" t="str">
        <f>vlookup(A19,'Wins by Team'!A:C,3,false)</f>
        <v>Chris</v>
      </c>
      <c r="D19" s="103" t="str">
        <f t="shared" si="2"/>
        <v>BYE, GAME NOT STARTED, OR NO STATS YET17</v>
      </c>
      <c r="E19" s="90" t="str">
        <f>if(MAXIFS('Player Stats - Current Week'!I:I,'Player Stats - Current Week'!C:C,B19,'Player Stats - Current Week'!D:D,"QB")=0,"BYE, GAME NOT STARTED, OR NO STATS YET",iferror(MAXIFS('Player Stats - Current Week'!I:I,'Player Stats - Current Week'!C:C,B19,'Player Stats - Current Week'!D:D,"QB"),""))</f>
        <v>BYE, GAME NOT STARTED, OR NO STATS YET</v>
      </c>
      <c r="F19" s="103" t="str">
        <f>G19&amp;COUNTIF($G$3:G19, G19)</f>
        <v>BYE OR GAME NOT STARTED17</v>
      </c>
      <c r="G19" s="90" t="str">
        <f>if(iferror(vlookup(CONCATENATE("Week 2",B19),'Raw With Formulas'!J:N,4,false),iferror(vlookup(CONCATENATE("Week 2",B19),'Raw With Formulas'!L:N,3,false),"BYE OR GAME NOT STARTED")) = "", "BYE OR GAME NOT STARTED", iferror(vlookup(CONCATENATE("Week 2",B19),'Raw With Formulas'!J:N,4,false),iferror(vlookup(CONCATENATE("Week 2",B19),'Raw With Formulas'!L:N,3,false),"BYE OR GAME NOT STARTED")))</f>
        <v>BYE OR GAME NOT STARTED</v>
      </c>
      <c r="H19" s="103" t="str">
        <f>I19&amp;COUNTIF($I$3:I19, I19)</f>
        <v>BYE, GAME NOT STARTED, OR NO STATS YET16</v>
      </c>
      <c r="I19" s="90" t="str">
        <f>if(today()&gt;='Week Date Mapping'!$A$4,iferror(
if(
sumifs(
'Player Stats - Current Week'!T:T,
'Player Stats - Current Week'!C:C,
iferror(
vlookup(
CONCATENATE("Week 3",B19), 
'Raw With Formulas'!J:O,
2,false
),
vlookup(CONCATENATE("Week 3",B19), 'Raw With Formulas'!L:O,4,false))) 
= 0,
"BYE, GAME NOT STARTED, OR NO STATS YET",
iferror(
sumifs(
'Player Stats - Current Week'!T:T,
'Player Stats - Current Week'!C:C,
iferror(
vlookup(
CONCATENATE("Week 3",B19), 
'Raw With Formulas'!J:O,
2,false
),
vlookup(CONCATENATE("Week 3",B19), 'Raw With Formulas'!L:O,4,false))),
""
)
),
"BYE, GAME NOT STARTED, OR NO STATS YET"
),"BYE, GAME NOT STARTED, OR NO STATS YET")</f>
        <v>BYE, GAME NOT STARTED, OR NO STATS YET</v>
      </c>
      <c r="J19" s="90" t="s">
        <v>175</v>
      </c>
      <c r="K19" s="90" t="str">
        <f>if(today()&gt;='Week Date Mapping'!$A$5,if(MAXIFS('Player Stats - Current Week'!E:E,'Player Stats - Current Week'!C:C,B19,'Player Stats - Current Week'!D:D,"TE")=0,"BYE, GAME NOT STARTED, OR NO STATS YET",iferror(MAXIFS('Player Stats - Current Week'!E:E,'Player Stats - Current Week'!C:C,B19,'Player Stats - Current Week'!D:D,"TE"),"")),"BYE, GAME NOT STARTED, OR NO STATS YET")</f>
        <v>BYE, GAME NOT STARTED, OR NO STATS YET</v>
      </c>
      <c r="L19" s="90" t="s">
        <v>175</v>
      </c>
      <c r="M19" s="90" t="str">
        <f>if(today()&gt;='Week Date Mapping'!$A$6,if(MAXIFS('Player Stats - Current Week'!Q:Q,'Player Stats - Current Week'!C:C,B19,'Player Stats - Current Week'!D:D,"WR")=0,"BYE, GAME NOT STARTED, OR NO STATS YET",iferror(MAXIFS('Player Stats - Current Week'!Q:Q,'Player Stats - Current Week'!C:C,B19,'Player Stats - Current Week'!D:D,"WR"),"")),"BYE, GAME NOT STARTED, OR NO STATS YET")</f>
        <v>BYE, GAME NOT STARTED, OR NO STATS YET</v>
      </c>
      <c r="N19" s="90" t="s">
        <v>175</v>
      </c>
      <c r="O19" s="90" t="str">
        <f>if(today()&gt;='Week Date Mapping'!$A$7,if((SUMIFS('Player Stats - Current Week'!L:L,'Player Stats - Current Week'!C:C,B19)+SUMIFS('Player Stats - Current Week'!R:R,'Player Stats - Current Week'!C:C,B19))=0,"BYE, GAME NOT STARTED, OR NO STATS YET",((SUMIFS('Player Stats - Current Week'!R:R,'Player Stats - Current Week'!C:C,B19)*6)+SUMIFS('Player Stats - Current Week'!L:L,'Player Stats - Current Week'!C:C,B19))),"BYE, GAME NOT STARTED, OR NO STATS YET")</f>
        <v>BYE, GAME NOT STARTED, OR NO STATS YET</v>
      </c>
      <c r="P19" s="90" t="s">
        <v>175</v>
      </c>
      <c r="Q19" s="90" t="str">
        <f>if(today()&gt;='Week Date Mapping'!$A$8,if((SUMIFS('Player Stats - Current Week'!G:G,'Player Stats - Current Week'!C:C,B19,'Player Stats - Current Week'!D:D,"RB")+SUMIFS('Player Stats - Current Week'!E:E,'Player Stats - Current Week'!C:C,B19,'Player Stats - Current Week'!D:D,"RB"))=0,"BYE, GAME NOT STARTED, OR NO STATS YET",((SUMIFS('Player Stats - Current Week'!G:G,'Player Stats - Current Week'!C:C,B19,'Player Stats - Current Week'!D:D,"RB"))+SUMIFS('Player Stats - Current Week'!E:E,'Player Stats - Current Week'!C:C,B19,'Player Stats - Current Week'!D:D,"RB"))),"BYE, GAME NOT STARTED, OR NO STATS YET")</f>
        <v>BYE, GAME NOT STARTED, OR NO STATS YET</v>
      </c>
      <c r="R19" s="90" t="s">
        <v>175</v>
      </c>
      <c r="S19" s="90" t="str">
        <f>if(today()&gt;='Week Date Mapping'!$A$9,if(MAXIFS('Player Stats - Current Week'!L:L,'Player Stats - Current Week'!C:C,B19,'Player Stats - Current Week'!D:D,"PK")=0,"BYE, GAME NOT STARTED, OR NO STATS YET",iferror(MAXIFS('Player Stats - Current Week'!L:L,'Player Stats - Current Week'!C:C,B19,'Player Stats - Current Week'!D:D,"PK"),"")),"BYE, GAME NOT STARTED, OR NO STATS YET")</f>
        <v>BYE, GAME NOT STARTED, OR NO STATS YET</v>
      </c>
      <c r="T19" s="90" t="s">
        <v>175</v>
      </c>
      <c r="U19" s="90" t="str">
        <f>if(today()&gt;='Week Date Mapping'!$A$10,if(MAXIFS('Player Stats - Current Week'!N:N,'Player Stats - Current Week'!C:C,B19,'Player Stats - Current Week'!D:D,"QB")=0,"BYE, GAME NOT STARTED, OR NO STATS YET",iferror(MAXIFS('Player Stats - Current Week'!N:N,'Player Stats - Current Week'!C:C,B19,'Player Stats - Current Week'!D:D,"QB"),"")),"BYE, GAME NOT STARTED, OR NO STATS YET")</f>
        <v>BYE, GAME NOT STARTED, OR NO STATS YET</v>
      </c>
      <c r="V19" s="90" t="s">
        <v>175</v>
      </c>
      <c r="W19" s="90" t="str">
        <f>if(today()&gt;='Week Date Mapping'!$A$11,if(SUMIFS('Player Stats - Current Week'!O:O,'Player Stats - Current Week'!C:C,B19)=0,"BYE, GAME NOT STARTED, OR NO STATS YET",iferror(SUMIFS('Player Stats - Current Week'!O:O,'Player Stats - Current Week'!C:C,B19),"")),"BYE, GAME NOT STARTED, OR NO STATS YET")</f>
        <v>BYE, GAME NOT STARTED, OR NO STATS YET</v>
      </c>
      <c r="X19" s="90" t="s">
        <v>175</v>
      </c>
      <c r="Y19" s="90" t="str">
        <f>if(today()&gt;='Week Date Mapping'!$A$12,if(MAXIFS('Player Stats - Current Week'!Q:Q,'Player Stats - Current Week'!C:C,B19,'Player Stats - Current Week'!D:D,"TE")=0,"BYE, GAME NOT STARTED, OR NO STATS YET",iferror(MAXIFS('Player Stats - Current Week'!Q:Q,'Player Stats - Current Week'!C:C,B19,'Player Stats - Current Week'!D:D,"TE"),"")),"BYE, GAME NOT STARTED, OR NO STATS YET")</f>
        <v>BYE, GAME NOT STARTED, OR NO STATS YET</v>
      </c>
      <c r="Z19" s="90" t="s">
        <v>175</v>
      </c>
      <c r="AA19" s="90" t="str">
        <f>if(today()&gt;='Week Date Mapping'!$A$13,if(MAXIFS('Player Stats - Current Week'!S:S,'Player Stats - Current Week'!C:C,B19)=0,"BYE, GAME NOT STARTED, OR NO STATS YET",iferror(MAXIFS('Player Stats - Current Week'!S:S,'Player Stats - Current Week'!C:C,B19),"")),"BYE, GAME NOT STARTED, OR NO STATS YET")</f>
        <v>BYE, GAME NOT STARTED, OR NO STATS YET</v>
      </c>
      <c r="AB19" s="90" t="s">
        <v>175</v>
      </c>
      <c r="AC19" s="90" t="str">
        <f>if(today()&gt;='Week Date Mapping'!$A$14,if(MAXIFS('Player Stats - Current Week'!G:G,'Player Stats - Current Week'!C:C,B19,'Player Stats - Current Week'!D:D,"QB")=0,"BYE, GAME NOT STARTED, OR NO STATS YET",iferror(MAXIFS('Player Stats - Current Week'!G:G,'Player Stats - Current Week'!C:C,B19,'Player Stats - Current Week'!D:D,"QB"),"")),"BYE, GAME NOT STARTED, OR NO STATS YET")</f>
        <v>BYE, GAME NOT STARTED, OR NO STATS YET</v>
      </c>
      <c r="AD19" s="103" t="str">
        <f>AE19&amp;COUNTIF($AE$3:AE19, AE19)</f>
        <v>BYE OR GAME NOT STARTED16</v>
      </c>
      <c r="AE19" s="101" t="str">
        <f>if(today()&gt;='Week Date Mapping'!$A$15,if(iferror(vlookup(CONCATENATE("Week 14",B19),'Raw With Formulas'!J:N,5,false),iferror(vlookup(CONCATENATE("Week 14",B19),'Raw With Formulas'!L:N,2,false),"BYE OR GAME NOT STARTED"))="","BYE OR GAME NOT STARTED",iferror(vlookup(CONCATENATE("Week 14",B19),'Raw With Formulas'!J:N,5,false),iferror(vlookup(CONCATENATE("Week 14",B19),'Raw With Formulas'!L:N,2,false),"BYE OR GAME NOT STARTED"))),"BYE OR GAME NOT STARTED")</f>
        <v>BYE OR GAME NOT STARTED</v>
      </c>
      <c r="AF19" s="103" t="str">
        <f>AG19&amp;COUNTIF($AG$3:AG19, AG19)</f>
        <v>BYE, GAME NOT STARTED, OR NO STATS YET16</v>
      </c>
      <c r="AG19" s="90" t="str">
        <f>if(today()&gt;='Week Date Mapping'!$A$16,if(MAXIFS('Player Stats - Current Week'!Q:Q,'Player Stats - Current Week'!C:C,B19,'Player Stats - Current Week'!D:D,"QB")=0,"BYE, GAME NOT STARTED, OR NO STATS YET",iferror(MAXIFS('Player Stats - Current Week'!Q:Q,'Player Stats - Current Week'!C:C,B19,'Player Stats - Current Week'!D:D,"QB"),"")),"BYE, GAME NOT STARTED, OR NO STATS YET")</f>
        <v>BYE, GAME NOT STARTED, OR NO STATS YET</v>
      </c>
      <c r="AH19" s="103" t="str">
        <f>AI19&amp;COUNTIF($AI$3:AI19, AI19)</f>
        <v>BYE OR GAME NOT STARTED16</v>
      </c>
      <c r="AI19" s="90" t="str">
        <f>if(today()&gt;='Week Date Mapping'!$A$17,if(iferror(vlookup(CONCATENATE("Week 16",B19),'Raw With Formulas'!J:N,4,false),iferror(vlookup(CONCATENATE("Week 16",B19),'Raw With Formulas'!L:N,3,false),"BYE OR GAME NOT STARTED"))="","BYE OR GAME NOT STARTED",iferror(vlookup(CONCATENATE("Week 16",B19),'Raw With Formulas'!J:N,4,false),iferror(vlookup(CONCATENATE("Week 16",B19),'Raw With Formulas'!L:N,3,false),"BYE OR GAME NOT STARTED"))),"BYE OR GAME NOT STARTED")</f>
        <v>BYE OR GAME NOT STARTED</v>
      </c>
      <c r="AJ19" s="103" t="str">
        <f>AK19&amp;COUNTIF($AK$3:AK19, AK19)</f>
        <v>BYE, GAME NOT STARTED, OR NO STATS YET16</v>
      </c>
      <c r="AK19" s="90" t="str">
        <f>if(today()&gt;='Week Date Mapping'!$A$18,if(MAXIFS('Player Stats - Current Week'!E:E,'Player Stats - Current Week'!C:C,B19,'Player Stats - Current Week'!D:D,"WR")=0,"BYE, GAME NOT STARTED, OR NO STATS YET",iferror(MAXIFS('Player Stats - Current Week'!E:E,'Player Stats - Current Week'!C:C,B19,'Player Stats - Current Week'!D:D,"WR"),"")),"BYE, GAME NOT STARTED, OR NO STATS YET")</f>
        <v>BYE, GAME NOT STARTED, OR NO STATS YET</v>
      </c>
      <c r="AL19" s="90" t="s">
        <v>175</v>
      </c>
      <c r="AM19" s="90" t="str">
        <f>if(today()&gt;='Week Date Mapping'!$A$19,if(MAXIFS('Player Stats - Current Week'!Q:Q,'Player Stats - Current Week'!C:C,B19,'Player Stats - Current Week'!D:D,"RB")=0,"BYE, GAME NOT STARTED, OR NO STATS YET",iferror(MAXIFS('Player Stats - Current Week'!Q:Q,'Player Stats - Current Week'!C:C,B19,'Player Stats - Current Week'!D:D,"RB"),"")),"BYE, GAME NOT STARTED, OR NO STATS YET")</f>
        <v>BYE, GAME NOT STARTED, OR NO STATS YET</v>
      </c>
      <c r="AN19" s="104" t="str">
        <f t="shared" si="1"/>
        <v>Chris</v>
      </c>
    </row>
    <row r="20">
      <c r="A20" s="86" t="s">
        <v>109</v>
      </c>
      <c r="B20" s="87" t="s">
        <v>110</v>
      </c>
      <c r="C20" s="87" t="str">
        <f>vlookup(A20,'Wins by Team'!A:C,3,false)</f>
        <v/>
      </c>
      <c r="D20" s="94" t="str">
        <f t="shared" si="2"/>
        <v>BYE, GAME NOT STARTED, OR NO STATS YET18</v>
      </c>
      <c r="E20" s="87" t="str">
        <f>if(MAXIFS('Player Stats - Current Week'!I:I,'Player Stats - Current Week'!C:C,B20,'Player Stats - Current Week'!D:D,"QB")=0,"BYE, GAME NOT STARTED, OR NO STATS YET",iferror(MAXIFS('Player Stats - Current Week'!I:I,'Player Stats - Current Week'!C:C,B20,'Player Stats - Current Week'!D:D,"QB"),""))</f>
        <v>BYE, GAME NOT STARTED, OR NO STATS YET</v>
      </c>
      <c r="F20" s="87" t="s">
        <v>176</v>
      </c>
      <c r="G20" s="87" t="str">
        <f>if(iferror(vlookup(CONCATENATE("Week 2",B20),'Raw With Formulas'!J:N,4,false),iferror(vlookup(CONCATENATE("Week 2",B20),'Raw With Formulas'!L:N,3,false),"BYE OR GAME NOT STARTED")) = "", "BYE OR GAME NOT STARTED", iferror(vlookup(CONCATENATE("Week 2",B20),'Raw With Formulas'!J:N,4,false),iferror(vlookup(CONCATENATE("Week 2",B20),'Raw With Formulas'!L:N,3,false),"BYE OR GAME NOT STARTED")))</f>
        <v>BYE OR GAME NOT STARTED</v>
      </c>
      <c r="H20" s="87" t="s">
        <v>176</v>
      </c>
      <c r="I20" s="87" t="s">
        <v>176</v>
      </c>
      <c r="J20" s="87" t="s">
        <v>176</v>
      </c>
      <c r="K20" s="87" t="s">
        <v>176</v>
      </c>
      <c r="L20" s="87" t="s">
        <v>176</v>
      </c>
      <c r="M20" s="87" t="s">
        <v>176</v>
      </c>
      <c r="N20" s="87" t="s">
        <v>176</v>
      </c>
      <c r="O20" s="87" t="s">
        <v>176</v>
      </c>
      <c r="P20" s="87" t="s">
        <v>176</v>
      </c>
      <c r="Q20" s="87" t="s">
        <v>176</v>
      </c>
      <c r="R20" s="87" t="s">
        <v>176</v>
      </c>
      <c r="S20" s="87" t="s">
        <v>176</v>
      </c>
      <c r="T20" s="87" t="s">
        <v>176</v>
      </c>
      <c r="U20" s="87" t="s">
        <v>176</v>
      </c>
      <c r="V20" s="87" t="s">
        <v>176</v>
      </c>
      <c r="W20" s="87" t="s">
        <v>176</v>
      </c>
      <c r="X20" s="87" t="s">
        <v>176</v>
      </c>
      <c r="Y20" s="87" t="s">
        <v>176</v>
      </c>
      <c r="Z20" s="87" t="s">
        <v>176</v>
      </c>
      <c r="AA20" s="87" t="s">
        <v>176</v>
      </c>
      <c r="AB20" s="87" t="s">
        <v>176</v>
      </c>
      <c r="AC20" s="87" t="s">
        <v>176</v>
      </c>
      <c r="AD20" s="87" t="s">
        <v>176</v>
      </c>
      <c r="AE20" s="87" t="s">
        <v>176</v>
      </c>
      <c r="AF20" s="87" t="s">
        <v>176</v>
      </c>
      <c r="AG20" s="87" t="s">
        <v>176</v>
      </c>
      <c r="AH20" s="87" t="s">
        <v>176</v>
      </c>
      <c r="AI20" s="87" t="s">
        <v>176</v>
      </c>
      <c r="AJ20" s="87" t="s">
        <v>176</v>
      </c>
      <c r="AK20" s="87" t="s">
        <v>176</v>
      </c>
      <c r="AL20" s="87" t="s">
        <v>176</v>
      </c>
      <c r="AM20" s="87" t="s">
        <v>176</v>
      </c>
      <c r="AN20" s="92" t="str">
        <f t="shared" si="1"/>
        <v/>
      </c>
    </row>
    <row r="21">
      <c r="A21" s="89" t="s">
        <v>111</v>
      </c>
      <c r="B21" s="90" t="s">
        <v>111</v>
      </c>
      <c r="C21" s="90" t="str">
        <f>vlookup(A21,'Wins by Team'!A:C,3,false)</f>
        <v>Jim</v>
      </c>
      <c r="D21" s="103" t="str">
        <f t="shared" si="2"/>
        <v>BYE, GAME NOT STARTED, OR NO STATS YET19</v>
      </c>
      <c r="E21" s="90" t="str">
        <f>if(MAXIFS('Player Stats - Current Week'!I:I,'Player Stats - Current Week'!C:C,B21,'Player Stats - Current Week'!D:D,"QB")=0,"BYE, GAME NOT STARTED, OR NO STATS YET",iferror(MAXIFS('Player Stats - Current Week'!I:I,'Player Stats - Current Week'!C:C,B21,'Player Stats - Current Week'!D:D,"QB"),""))</f>
        <v>BYE, GAME NOT STARTED, OR NO STATS YET</v>
      </c>
      <c r="F21" s="103" t="str">
        <f t="shared" ref="F21:F33" si="9">G21&amp;COUNTIF($G$3:G21, G21)</f>
        <v>BYE OR GAME NOT STARTED19</v>
      </c>
      <c r="G21" s="90" t="str">
        <f>if(iferror(vlookup(CONCATENATE("Week 2",B21),'Raw With Formulas'!J:N,4,false),iferror(vlookup(CONCATENATE("Week 2",B21),'Raw With Formulas'!L:N,3,false),"BYE OR GAME NOT STARTED")) = "", "BYE OR GAME NOT STARTED", iferror(vlookup(CONCATENATE("Week 2",B21),'Raw With Formulas'!J:N,4,false),iferror(vlookup(CONCATENATE("Week 2",B21),'Raw With Formulas'!L:N,3,false),"BYE OR GAME NOT STARTED")))</f>
        <v>BYE OR GAME NOT STARTED</v>
      </c>
      <c r="H21" s="103" t="str">
        <f t="shared" ref="H21:H33" si="10">I21&amp;COUNTIF($I$3:I21, I21)</f>
        <v>BYE, GAME NOT STARTED, OR NO STATS YET17</v>
      </c>
      <c r="I21" s="90" t="str">
        <f>if(today()&gt;='Week Date Mapping'!$A$4,iferror(
if(
sumifs(
'Player Stats - Current Week'!T:T,
'Player Stats - Current Week'!C:C,
iferror(
vlookup(
CONCATENATE("Week 3",B21), 
'Raw With Formulas'!J:O,
2,false
),
vlookup(CONCATENATE("Week 3",B21), 'Raw With Formulas'!L:O,4,false))) 
= 0,
"BYE, GAME NOT STARTED, OR NO STATS YET",
iferror(
sumifs(
'Player Stats - Current Week'!T:T,
'Player Stats - Current Week'!C:C,
iferror(
vlookup(
CONCATENATE("Week 3",B21), 
'Raw With Formulas'!J:O,
2,false
),
vlookup(CONCATENATE("Week 3",B21), 'Raw With Formulas'!L:O,4,false))),
""
)
),
"BYE, GAME NOT STARTED, OR NO STATS YET"
),"BYE, GAME NOT STARTED, OR NO STATS YET")</f>
        <v>BYE, GAME NOT STARTED, OR NO STATS YET</v>
      </c>
      <c r="J21" s="90" t="s">
        <v>175</v>
      </c>
      <c r="K21" s="90" t="str">
        <f>if(today()&gt;='Week Date Mapping'!$A$5,if(MAXIFS('Player Stats - Current Week'!E:E,'Player Stats - Current Week'!C:C,B21,'Player Stats - Current Week'!D:D,"TE")=0,"BYE, GAME NOT STARTED, OR NO STATS YET",iferror(MAXIFS('Player Stats - Current Week'!E:E,'Player Stats - Current Week'!C:C,B21,'Player Stats - Current Week'!D:D,"TE"),"")),"BYE, GAME NOT STARTED, OR NO STATS YET")</f>
        <v>BYE, GAME NOT STARTED, OR NO STATS YET</v>
      </c>
      <c r="L21" s="90" t="s">
        <v>175</v>
      </c>
      <c r="M21" s="90" t="str">
        <f>if(today()&gt;='Week Date Mapping'!$A$6,if(MAXIFS('Player Stats - Current Week'!Q:Q,'Player Stats - Current Week'!C:C,B21,'Player Stats - Current Week'!D:D,"WR")=0,"BYE, GAME NOT STARTED, OR NO STATS YET",iferror(MAXIFS('Player Stats - Current Week'!Q:Q,'Player Stats - Current Week'!C:C,B21,'Player Stats - Current Week'!D:D,"WR"),"")),"BYE, GAME NOT STARTED, OR NO STATS YET")</f>
        <v>BYE, GAME NOT STARTED, OR NO STATS YET</v>
      </c>
      <c r="N21" s="90" t="s">
        <v>175</v>
      </c>
      <c r="O21" s="90" t="str">
        <f>if(today()&gt;='Week Date Mapping'!$A$7,if((SUMIFS('Player Stats - Current Week'!L:L,'Player Stats - Current Week'!C:C,B21)+SUMIFS('Player Stats - Current Week'!R:R,'Player Stats - Current Week'!C:C,B21))=0,"BYE, GAME NOT STARTED, OR NO STATS YET",((SUMIFS('Player Stats - Current Week'!R:R,'Player Stats - Current Week'!C:C,B21)*6)+SUMIFS('Player Stats - Current Week'!L:L,'Player Stats - Current Week'!C:C,B21))),"BYE, GAME NOT STARTED, OR NO STATS YET")</f>
        <v>BYE, GAME NOT STARTED, OR NO STATS YET</v>
      </c>
      <c r="P21" s="90" t="s">
        <v>175</v>
      </c>
      <c r="Q21" s="90" t="str">
        <f>if(today()&gt;='Week Date Mapping'!$A$8,if((SUMIFS('Player Stats - Current Week'!G:G,'Player Stats - Current Week'!C:C,B21,'Player Stats - Current Week'!D:D,"RB")+SUMIFS('Player Stats - Current Week'!E:E,'Player Stats - Current Week'!C:C,B21,'Player Stats - Current Week'!D:D,"RB"))=0,"BYE, GAME NOT STARTED, OR NO STATS YET",((SUMIFS('Player Stats - Current Week'!G:G,'Player Stats - Current Week'!C:C,B21,'Player Stats - Current Week'!D:D,"RB"))+SUMIFS('Player Stats - Current Week'!E:E,'Player Stats - Current Week'!C:C,B21,'Player Stats - Current Week'!D:D,"RB"))),"BYE, GAME NOT STARTED, OR NO STATS YET")</f>
        <v>BYE, GAME NOT STARTED, OR NO STATS YET</v>
      </c>
      <c r="R21" s="90" t="s">
        <v>175</v>
      </c>
      <c r="S21" s="90" t="str">
        <f>if(today()&gt;='Week Date Mapping'!$A$9,if(MAXIFS('Player Stats - Current Week'!L:L,'Player Stats - Current Week'!C:C,B21,'Player Stats - Current Week'!D:D,"PK")=0,"BYE, GAME NOT STARTED, OR NO STATS YET",iferror(MAXIFS('Player Stats - Current Week'!L:L,'Player Stats - Current Week'!C:C,B21,'Player Stats - Current Week'!D:D,"PK"),"")),"BYE, GAME NOT STARTED, OR NO STATS YET")</f>
        <v>BYE, GAME NOT STARTED, OR NO STATS YET</v>
      </c>
      <c r="T21" s="90" t="s">
        <v>175</v>
      </c>
      <c r="U21" s="90" t="str">
        <f>if(today()&gt;='Week Date Mapping'!$A$10,if(MAXIFS('Player Stats - Current Week'!N:N,'Player Stats - Current Week'!C:C,B21,'Player Stats - Current Week'!D:D,"QB")=0,"BYE, GAME NOT STARTED, OR NO STATS YET",iferror(MAXIFS('Player Stats - Current Week'!N:N,'Player Stats - Current Week'!C:C,B21,'Player Stats - Current Week'!D:D,"QB"),"")),"BYE, GAME NOT STARTED, OR NO STATS YET")</f>
        <v>BYE, GAME NOT STARTED, OR NO STATS YET</v>
      </c>
      <c r="V21" s="90" t="s">
        <v>175</v>
      </c>
      <c r="W21" s="90" t="str">
        <f>if(today()&gt;='Week Date Mapping'!$A$11,if(SUMIFS('Player Stats - Current Week'!O:O,'Player Stats - Current Week'!C:C,B21)=0,"BYE, GAME NOT STARTED, OR NO STATS YET",iferror(SUMIFS('Player Stats - Current Week'!O:O,'Player Stats - Current Week'!C:C,B21),"")),"BYE, GAME NOT STARTED, OR NO STATS YET")</f>
        <v>BYE, GAME NOT STARTED, OR NO STATS YET</v>
      </c>
      <c r="X21" s="90" t="s">
        <v>175</v>
      </c>
      <c r="Y21" s="90" t="str">
        <f>if(today()&gt;='Week Date Mapping'!$A$12,if(MAXIFS('Player Stats - Current Week'!Q:Q,'Player Stats - Current Week'!C:C,B21,'Player Stats - Current Week'!D:D,"TE")=0,"BYE, GAME NOT STARTED, OR NO STATS YET",iferror(MAXIFS('Player Stats - Current Week'!Q:Q,'Player Stats - Current Week'!C:C,B21,'Player Stats - Current Week'!D:D,"TE"),"")),"BYE, GAME NOT STARTED, OR NO STATS YET")</f>
        <v>BYE, GAME NOT STARTED, OR NO STATS YET</v>
      </c>
      <c r="Z21" s="90" t="s">
        <v>175</v>
      </c>
      <c r="AA21" s="90" t="str">
        <f>if(today()&gt;='Week Date Mapping'!$A$13,if(MAXIFS('Player Stats - Current Week'!S:S,'Player Stats - Current Week'!C:C,B21)=0,"BYE, GAME NOT STARTED, OR NO STATS YET",iferror(MAXIFS('Player Stats - Current Week'!S:S,'Player Stats - Current Week'!C:C,B21),"")),"BYE, GAME NOT STARTED, OR NO STATS YET")</f>
        <v>BYE, GAME NOT STARTED, OR NO STATS YET</v>
      </c>
      <c r="AB21" s="90" t="s">
        <v>175</v>
      </c>
      <c r="AC21" s="90" t="str">
        <f>if(today()&gt;='Week Date Mapping'!$A$14,if(MAXIFS('Player Stats - Current Week'!G:G,'Player Stats - Current Week'!C:C,B21,'Player Stats - Current Week'!D:D,"QB")=0,"BYE, GAME NOT STARTED, OR NO STATS YET",iferror(MAXIFS('Player Stats - Current Week'!G:G,'Player Stats - Current Week'!C:C,B21,'Player Stats - Current Week'!D:D,"QB"),"")),"BYE, GAME NOT STARTED, OR NO STATS YET")</f>
        <v>BYE, GAME NOT STARTED, OR NO STATS YET</v>
      </c>
      <c r="AD21" s="103" t="str">
        <f t="shared" ref="AD21:AD33" si="11">AE21&amp;COUNTIF($AE$3:AE21, AE21)</f>
        <v>BYE OR GAME NOT STARTED17</v>
      </c>
      <c r="AE21" s="101" t="str">
        <f>if(today()&gt;='Week Date Mapping'!$A$15,if(iferror(vlookup(CONCATENATE("Week 14",B21),'Raw With Formulas'!J:N,5,false),iferror(vlookup(CONCATENATE("Week 14",B21),'Raw With Formulas'!L:N,2,false),"BYE OR GAME NOT STARTED"))="","BYE OR GAME NOT STARTED",iferror(vlookup(CONCATENATE("Week 14",B21),'Raw With Formulas'!J:N,5,false),iferror(vlookup(CONCATENATE("Week 14",B21),'Raw With Formulas'!L:N,2,false),"BYE OR GAME NOT STARTED"))),"BYE OR GAME NOT STARTED")</f>
        <v>BYE OR GAME NOT STARTED</v>
      </c>
      <c r="AF21" s="103" t="str">
        <f t="shared" ref="AF21:AF33" si="12">AG21&amp;COUNTIF($AG$3:AG21, AG21)</f>
        <v>BYE, GAME NOT STARTED, OR NO STATS YET17</v>
      </c>
      <c r="AG21" s="90" t="str">
        <f>if(today()&gt;='Week Date Mapping'!$A$16,if(MAXIFS('Player Stats - Current Week'!Q:Q,'Player Stats - Current Week'!C:C,B21,'Player Stats - Current Week'!D:D,"QB")=0,"BYE, GAME NOT STARTED, OR NO STATS YET",iferror(MAXIFS('Player Stats - Current Week'!Q:Q,'Player Stats - Current Week'!C:C,B21,'Player Stats - Current Week'!D:D,"QB"),"")),"BYE, GAME NOT STARTED, OR NO STATS YET")</f>
        <v>BYE, GAME NOT STARTED, OR NO STATS YET</v>
      </c>
      <c r="AH21" s="103" t="str">
        <f t="shared" ref="AH21:AH33" si="13">AI21&amp;COUNTIF($AI$3:AI21, AI21)</f>
        <v>BYE OR GAME NOT STARTED17</v>
      </c>
      <c r="AI21" s="90" t="str">
        <f>if(today()&gt;='Week Date Mapping'!$A$17,if(iferror(vlookup(CONCATENATE("Week 16",B21),'Raw With Formulas'!J:N,4,false),iferror(vlookup(CONCATENATE("Week 16",B21),'Raw With Formulas'!L:N,3,false),"BYE OR GAME NOT STARTED"))="","BYE OR GAME NOT STARTED",iferror(vlookup(CONCATENATE("Week 16",B21),'Raw With Formulas'!J:N,4,false),iferror(vlookup(CONCATENATE("Week 16",B21),'Raw With Formulas'!L:N,3,false),"BYE OR GAME NOT STARTED"))),"BYE OR GAME NOT STARTED")</f>
        <v>BYE OR GAME NOT STARTED</v>
      </c>
      <c r="AJ21" s="103" t="str">
        <f t="shared" ref="AJ21:AJ33" si="14">AK21&amp;COUNTIF($AK$3:AK21, AK21)</f>
        <v>BYE, GAME NOT STARTED, OR NO STATS YET17</v>
      </c>
      <c r="AK21" s="90" t="str">
        <f>if(today()&gt;='Week Date Mapping'!$A$18,if(MAXIFS('Player Stats - Current Week'!E:E,'Player Stats - Current Week'!C:C,B21,'Player Stats - Current Week'!D:D,"WR")=0,"BYE, GAME NOT STARTED, OR NO STATS YET",iferror(MAXIFS('Player Stats - Current Week'!E:E,'Player Stats - Current Week'!C:C,B21,'Player Stats - Current Week'!D:D,"WR"),"")),"BYE, GAME NOT STARTED, OR NO STATS YET")</f>
        <v>BYE, GAME NOT STARTED, OR NO STATS YET</v>
      </c>
      <c r="AL21" s="90" t="s">
        <v>175</v>
      </c>
      <c r="AM21" s="90" t="str">
        <f>if(today()&gt;='Week Date Mapping'!$A$19,if(MAXIFS('Player Stats - Current Week'!Q:Q,'Player Stats - Current Week'!C:C,B21,'Player Stats - Current Week'!D:D,"RB")=0,"BYE, GAME NOT STARTED, OR NO STATS YET",iferror(MAXIFS('Player Stats - Current Week'!Q:Q,'Player Stats - Current Week'!C:C,B21,'Player Stats - Current Week'!D:D,"RB"),"")),"BYE, GAME NOT STARTED, OR NO STATS YET")</f>
        <v>BYE, GAME NOT STARTED, OR NO STATS YET</v>
      </c>
      <c r="AN21" s="104" t="str">
        <f t="shared" si="1"/>
        <v>Jim</v>
      </c>
    </row>
    <row r="22">
      <c r="A22" s="86" t="s">
        <v>112</v>
      </c>
      <c r="B22" s="87" t="s">
        <v>112</v>
      </c>
      <c r="C22" s="87" t="str">
        <f>vlookup(A22,'Wins by Team'!A:C,3,false)</f>
        <v>Kyle</v>
      </c>
      <c r="D22" s="94" t="str">
        <f t="shared" si="2"/>
        <v>BYE, GAME NOT STARTED, OR NO STATS YET20</v>
      </c>
      <c r="E22" s="87" t="str">
        <f>if(MAXIFS('Player Stats - Current Week'!I:I,'Player Stats - Current Week'!C:C,B22,'Player Stats - Current Week'!D:D,"QB")=0,"BYE, GAME NOT STARTED, OR NO STATS YET",iferror(MAXIFS('Player Stats - Current Week'!I:I,'Player Stats - Current Week'!C:C,B22,'Player Stats - Current Week'!D:D,"QB"),""))</f>
        <v>BYE, GAME NOT STARTED, OR NO STATS YET</v>
      </c>
      <c r="F22" s="94" t="str">
        <f t="shared" si="9"/>
        <v>BYE OR GAME NOT STARTED20</v>
      </c>
      <c r="G22" s="87" t="str">
        <f>if(iferror(vlookup(CONCATENATE("Week 2",B22),'Raw With Formulas'!J:N,4,false),iferror(vlookup(CONCATENATE("Week 2",B22),'Raw With Formulas'!L:N,3,false),"BYE OR GAME NOT STARTED")) = "", "BYE OR GAME NOT STARTED", iferror(vlookup(CONCATENATE("Week 2",B22),'Raw With Formulas'!J:N,4,false),iferror(vlookup(CONCATENATE("Week 2",B22),'Raw With Formulas'!L:N,3,false),"BYE OR GAME NOT STARTED")))</f>
        <v>BYE OR GAME NOT STARTED</v>
      </c>
      <c r="H22" s="94" t="str">
        <f t="shared" si="10"/>
        <v>BYE, GAME NOT STARTED, OR NO STATS YET18</v>
      </c>
      <c r="I22" s="87" t="str">
        <f>if(today()&gt;='Week Date Mapping'!$A$4,iferror(
if(
sumifs(
'Player Stats - Current Week'!T:T,
'Player Stats - Current Week'!C:C,
iferror(
vlookup(
CONCATENATE("Week 3",B22), 
'Raw With Formulas'!J:O,
2,false
),
vlookup(CONCATENATE("Week 3",B22), 'Raw With Formulas'!L:O,4,false))) 
= 0,
"BYE, GAME NOT STARTED, OR NO STATS YET",
iferror(
sumifs(
'Player Stats - Current Week'!T:T,
'Player Stats - Current Week'!C:C,
iferror(
vlookup(
CONCATENATE("Week 3",B22), 
'Raw With Formulas'!J:O,
2,false
),
vlookup(CONCATENATE("Week 3",B22), 'Raw With Formulas'!L:O,4,false))),
""
)
),
"BYE, GAME NOT STARTED, OR NO STATS YET"
),"BYE, GAME NOT STARTED, OR NO STATS YET")</f>
        <v>BYE, GAME NOT STARTED, OR NO STATS YET</v>
      </c>
      <c r="J22" s="87" t="s">
        <v>175</v>
      </c>
      <c r="K22" s="87" t="str">
        <f>if(today()&gt;='Week Date Mapping'!$A$5,if(MAXIFS('Player Stats - Current Week'!E:E,'Player Stats - Current Week'!C:C,B22,'Player Stats - Current Week'!D:D,"TE")=0,"BYE, GAME NOT STARTED, OR NO STATS YET",iferror(MAXIFS('Player Stats - Current Week'!E:E,'Player Stats - Current Week'!C:C,B22,'Player Stats - Current Week'!D:D,"TE"),"")),"BYE, GAME NOT STARTED, OR NO STATS YET")</f>
        <v>BYE, GAME NOT STARTED, OR NO STATS YET</v>
      </c>
      <c r="L22" s="87" t="s">
        <v>175</v>
      </c>
      <c r="M22" s="87" t="str">
        <f>if(today()&gt;='Week Date Mapping'!$A$6,if(MAXIFS('Player Stats - Current Week'!Q:Q,'Player Stats - Current Week'!C:C,B22,'Player Stats - Current Week'!D:D,"WR")=0,"BYE, GAME NOT STARTED, OR NO STATS YET",iferror(MAXIFS('Player Stats - Current Week'!Q:Q,'Player Stats - Current Week'!C:C,B22,'Player Stats - Current Week'!D:D,"WR"),"")),"BYE, GAME NOT STARTED, OR NO STATS YET")</f>
        <v>BYE, GAME NOT STARTED, OR NO STATS YET</v>
      </c>
      <c r="N22" s="87" t="s">
        <v>175</v>
      </c>
      <c r="O22" s="87" t="str">
        <f>if(today()&gt;='Week Date Mapping'!$A$7,if((SUMIFS('Player Stats - Current Week'!L:L,'Player Stats - Current Week'!C:C,B22)+SUMIFS('Player Stats - Current Week'!R:R,'Player Stats - Current Week'!C:C,B22))=0,"BYE, GAME NOT STARTED, OR NO STATS YET",((SUMIFS('Player Stats - Current Week'!R:R,'Player Stats - Current Week'!C:C,B22)*6)+SUMIFS('Player Stats - Current Week'!L:L,'Player Stats - Current Week'!C:C,B22))),"BYE, GAME NOT STARTED, OR NO STATS YET")</f>
        <v>BYE, GAME NOT STARTED, OR NO STATS YET</v>
      </c>
      <c r="P22" s="87" t="s">
        <v>175</v>
      </c>
      <c r="Q22" s="87" t="str">
        <f>if(today()&gt;='Week Date Mapping'!$A$8,if((SUMIFS('Player Stats - Current Week'!G:G,'Player Stats - Current Week'!C:C,B22,'Player Stats - Current Week'!D:D,"RB")+SUMIFS('Player Stats - Current Week'!E:E,'Player Stats - Current Week'!C:C,B22,'Player Stats - Current Week'!D:D,"RB"))=0,"BYE, GAME NOT STARTED, OR NO STATS YET",((SUMIFS('Player Stats - Current Week'!G:G,'Player Stats - Current Week'!C:C,B22,'Player Stats - Current Week'!D:D,"RB"))+SUMIFS('Player Stats - Current Week'!E:E,'Player Stats - Current Week'!C:C,B22,'Player Stats - Current Week'!D:D,"RB"))),"BYE, GAME NOT STARTED, OR NO STATS YET")</f>
        <v>BYE, GAME NOT STARTED, OR NO STATS YET</v>
      </c>
      <c r="R22" s="87" t="s">
        <v>175</v>
      </c>
      <c r="S22" s="87" t="str">
        <f>if(today()&gt;='Week Date Mapping'!$A$9,if(MAXIFS('Player Stats - Current Week'!L:L,'Player Stats - Current Week'!C:C,B22,'Player Stats - Current Week'!D:D,"PK")=0,"BYE, GAME NOT STARTED, OR NO STATS YET",iferror(MAXIFS('Player Stats - Current Week'!L:L,'Player Stats - Current Week'!C:C,B22,'Player Stats - Current Week'!D:D,"PK"),"")),"BYE, GAME NOT STARTED, OR NO STATS YET")</f>
        <v>BYE, GAME NOT STARTED, OR NO STATS YET</v>
      </c>
      <c r="T22" s="87" t="s">
        <v>175</v>
      </c>
      <c r="U22" s="87" t="str">
        <f>if(today()&gt;='Week Date Mapping'!$A$10,if(MAXIFS('Player Stats - Current Week'!N:N,'Player Stats - Current Week'!C:C,B22,'Player Stats - Current Week'!D:D,"QB")=0,"BYE, GAME NOT STARTED, OR NO STATS YET",iferror(MAXIFS('Player Stats - Current Week'!N:N,'Player Stats - Current Week'!C:C,B22,'Player Stats - Current Week'!D:D,"QB"),"")),"BYE, GAME NOT STARTED, OR NO STATS YET")</f>
        <v>BYE, GAME NOT STARTED, OR NO STATS YET</v>
      </c>
      <c r="V22" s="87" t="s">
        <v>175</v>
      </c>
      <c r="W22" s="87" t="str">
        <f>if(today()&gt;='Week Date Mapping'!$A$11,if(SUMIFS('Player Stats - Current Week'!O:O,'Player Stats - Current Week'!C:C,B22)=0,"BYE, GAME NOT STARTED, OR NO STATS YET",iferror(SUMIFS('Player Stats - Current Week'!O:O,'Player Stats - Current Week'!C:C,B22),"")),"BYE, GAME NOT STARTED, OR NO STATS YET")</f>
        <v>BYE, GAME NOT STARTED, OR NO STATS YET</v>
      </c>
      <c r="X22" s="87" t="s">
        <v>175</v>
      </c>
      <c r="Y22" s="87" t="str">
        <f>if(today()&gt;='Week Date Mapping'!$A$12,if(MAXIFS('Player Stats - Current Week'!Q:Q,'Player Stats - Current Week'!C:C,B22,'Player Stats - Current Week'!D:D,"TE")=0,"BYE, GAME NOT STARTED, OR NO STATS YET",iferror(MAXIFS('Player Stats - Current Week'!Q:Q,'Player Stats - Current Week'!C:C,B22,'Player Stats - Current Week'!D:D,"TE"),"")),"BYE, GAME NOT STARTED, OR NO STATS YET")</f>
        <v>BYE, GAME NOT STARTED, OR NO STATS YET</v>
      </c>
      <c r="Z22" s="87" t="s">
        <v>175</v>
      </c>
      <c r="AA22" s="87" t="str">
        <f>if(today()&gt;='Week Date Mapping'!$A$13,if(MAXIFS('Player Stats - Current Week'!S:S,'Player Stats - Current Week'!C:C,B22)=0,"BYE, GAME NOT STARTED, OR NO STATS YET",iferror(MAXIFS('Player Stats - Current Week'!S:S,'Player Stats - Current Week'!C:C,B22),"")),"BYE, GAME NOT STARTED, OR NO STATS YET")</f>
        <v>BYE, GAME NOT STARTED, OR NO STATS YET</v>
      </c>
      <c r="AB22" s="87" t="s">
        <v>175</v>
      </c>
      <c r="AC22" s="87" t="str">
        <f>if(today()&gt;='Week Date Mapping'!$A$14,if(MAXIFS('Player Stats - Current Week'!G:G,'Player Stats - Current Week'!C:C,B22,'Player Stats - Current Week'!D:D,"QB")=0,"BYE, GAME NOT STARTED, OR NO STATS YET",iferror(MAXIFS('Player Stats - Current Week'!G:G,'Player Stats - Current Week'!C:C,B22,'Player Stats - Current Week'!D:D,"QB"),"")),"BYE, GAME NOT STARTED, OR NO STATS YET")</f>
        <v>BYE, GAME NOT STARTED, OR NO STATS YET</v>
      </c>
      <c r="AD22" s="94" t="str">
        <f t="shared" si="11"/>
        <v>BYE OR GAME NOT STARTED18</v>
      </c>
      <c r="AE22" s="100" t="str">
        <f>if(today()&gt;='Week Date Mapping'!$A$15,if(iferror(vlookup(CONCATENATE("Week 14",B22),'Raw With Formulas'!J:N,5,false),iferror(vlookup(CONCATENATE("Week 14",B22),'Raw With Formulas'!L:N,2,false),"BYE OR GAME NOT STARTED"))="","BYE OR GAME NOT STARTED",iferror(vlookup(CONCATENATE("Week 14",B22),'Raw With Formulas'!J:N,5,false),iferror(vlookup(CONCATENATE("Week 14",B22),'Raw With Formulas'!L:N,2,false),"BYE OR GAME NOT STARTED"))),"BYE OR GAME NOT STARTED")</f>
        <v>BYE OR GAME NOT STARTED</v>
      </c>
      <c r="AF22" s="94" t="str">
        <f t="shared" si="12"/>
        <v>BYE, GAME NOT STARTED, OR NO STATS YET18</v>
      </c>
      <c r="AG22" s="87" t="str">
        <f>if(today()&gt;='Week Date Mapping'!$A$16,if(MAXIFS('Player Stats - Current Week'!Q:Q,'Player Stats - Current Week'!C:C,B22,'Player Stats - Current Week'!D:D,"QB")=0,"BYE, GAME NOT STARTED, OR NO STATS YET",iferror(MAXIFS('Player Stats - Current Week'!Q:Q,'Player Stats - Current Week'!C:C,B22,'Player Stats - Current Week'!D:D,"QB"),"")),"BYE, GAME NOT STARTED, OR NO STATS YET")</f>
        <v>BYE, GAME NOT STARTED, OR NO STATS YET</v>
      </c>
      <c r="AH22" s="94" t="str">
        <f t="shared" si="13"/>
        <v>BYE OR GAME NOT STARTED18</v>
      </c>
      <c r="AI22" s="87" t="str">
        <f>if(today()&gt;='Week Date Mapping'!$A$17,if(iferror(vlookup(CONCATENATE("Week 16",B22),'Raw With Formulas'!J:N,4,false),iferror(vlookup(CONCATENATE("Week 16",B22),'Raw With Formulas'!L:N,3,false),"BYE OR GAME NOT STARTED"))="","BYE OR GAME NOT STARTED",iferror(vlookup(CONCATENATE("Week 16",B22),'Raw With Formulas'!J:N,4,false),iferror(vlookup(CONCATENATE("Week 16",B22),'Raw With Formulas'!L:N,3,false),"BYE OR GAME NOT STARTED"))),"BYE OR GAME NOT STARTED")</f>
        <v>BYE OR GAME NOT STARTED</v>
      </c>
      <c r="AJ22" s="94" t="str">
        <f t="shared" si="14"/>
        <v>BYE, GAME NOT STARTED, OR NO STATS YET18</v>
      </c>
      <c r="AK22" s="87" t="str">
        <f>if(today()&gt;='Week Date Mapping'!$A$18,if(MAXIFS('Player Stats - Current Week'!E:E,'Player Stats - Current Week'!C:C,B22,'Player Stats - Current Week'!D:D,"WR")=0,"BYE, GAME NOT STARTED, OR NO STATS YET",iferror(MAXIFS('Player Stats - Current Week'!E:E,'Player Stats - Current Week'!C:C,B22,'Player Stats - Current Week'!D:D,"WR"),"")),"BYE, GAME NOT STARTED, OR NO STATS YET")</f>
        <v>BYE, GAME NOT STARTED, OR NO STATS YET</v>
      </c>
      <c r="AL22" s="87" t="s">
        <v>175</v>
      </c>
      <c r="AM22" s="87" t="str">
        <f>if(today()&gt;='Week Date Mapping'!$A$19,if(MAXIFS('Player Stats - Current Week'!Q:Q,'Player Stats - Current Week'!C:C,B22,'Player Stats - Current Week'!D:D,"RB")=0,"BYE, GAME NOT STARTED, OR NO STATS YET",iferror(MAXIFS('Player Stats - Current Week'!Q:Q,'Player Stats - Current Week'!C:C,B22,'Player Stats - Current Week'!D:D,"RB"),"")),"BYE, GAME NOT STARTED, OR NO STATS YET")</f>
        <v>BYE, GAME NOT STARTED, OR NO STATS YET</v>
      </c>
      <c r="AN22" s="92" t="str">
        <f t="shared" si="1"/>
        <v>Kyle</v>
      </c>
    </row>
    <row r="23">
      <c r="A23" s="89" t="s">
        <v>113</v>
      </c>
      <c r="B23" s="90" t="s">
        <v>114</v>
      </c>
      <c r="C23" s="90" t="str">
        <f>vlookup(A23,'Wins by Team'!A:C,3,false)</f>
        <v>Budde</v>
      </c>
      <c r="D23" s="103" t="str">
        <f t="shared" si="2"/>
        <v>BYE, GAME NOT STARTED, OR NO STATS YET21</v>
      </c>
      <c r="E23" s="90" t="str">
        <f>if(MAXIFS('Player Stats - Current Week'!I:I,'Player Stats - Current Week'!C:C,B23,'Player Stats - Current Week'!D:D,"QB")=0,"BYE, GAME NOT STARTED, OR NO STATS YET",iferror(MAXIFS('Player Stats - Current Week'!I:I,'Player Stats - Current Week'!C:C,B23,'Player Stats - Current Week'!D:D,"QB"),""))</f>
        <v>BYE, GAME NOT STARTED, OR NO STATS YET</v>
      </c>
      <c r="F23" s="103" t="str">
        <f t="shared" si="9"/>
        <v>BYE OR GAME NOT STARTED21</v>
      </c>
      <c r="G23" s="90" t="str">
        <f>if(iferror(vlookup(CONCATENATE("Week 2",B23),'Raw With Formulas'!J:N,4,false),iferror(vlookup(CONCATENATE("Week 2",B23),'Raw With Formulas'!L:N,3,false),"BYE OR GAME NOT STARTED")) = "", "BYE OR GAME NOT STARTED", iferror(vlookup(CONCATENATE("Week 2",B23),'Raw With Formulas'!J:N,4,false),iferror(vlookup(CONCATENATE("Week 2",B23),'Raw With Formulas'!L:N,3,false),"BYE OR GAME NOT STARTED")))</f>
        <v>BYE OR GAME NOT STARTED</v>
      </c>
      <c r="H23" s="103" t="str">
        <f t="shared" si="10"/>
        <v>BYE, GAME NOT STARTED, OR NO STATS YET19</v>
      </c>
      <c r="I23" s="90" t="str">
        <f>if(today()&gt;='Week Date Mapping'!$A$4,iferror(
if(
sumifs(
'Player Stats - Current Week'!T:T,
'Player Stats - Current Week'!C:C,
iferror(
vlookup(
CONCATENATE("Week 3",B23), 
'Raw With Formulas'!J:O,
2,false
),
vlookup(CONCATENATE("Week 3",B23), 'Raw With Formulas'!L:O,4,false))) 
= 0,
"BYE, GAME NOT STARTED, OR NO STATS YET",
iferror(
sumifs(
'Player Stats - Current Week'!T:T,
'Player Stats - Current Week'!C:C,
iferror(
vlookup(
CONCATENATE("Week 3",B23), 
'Raw With Formulas'!J:O,
2,false
),
vlookup(CONCATENATE("Week 3",B23), 'Raw With Formulas'!L:O,4,false))),
""
)
),
"BYE, GAME NOT STARTED, OR NO STATS YET"
),"BYE, GAME NOT STARTED, OR NO STATS YET")</f>
        <v>BYE, GAME NOT STARTED, OR NO STATS YET</v>
      </c>
      <c r="J23" s="90" t="s">
        <v>175</v>
      </c>
      <c r="K23" s="90" t="str">
        <f>if(today()&gt;='Week Date Mapping'!$A$5,if(MAXIFS('Player Stats - Current Week'!E:E,'Player Stats - Current Week'!C:C,B23,'Player Stats - Current Week'!D:D,"TE")=0,"BYE, GAME NOT STARTED, OR NO STATS YET",iferror(MAXIFS('Player Stats - Current Week'!E:E,'Player Stats - Current Week'!C:C,B23,'Player Stats - Current Week'!D:D,"TE"),"")),"BYE, GAME NOT STARTED, OR NO STATS YET")</f>
        <v>BYE, GAME NOT STARTED, OR NO STATS YET</v>
      </c>
      <c r="L23" s="90" t="s">
        <v>175</v>
      </c>
      <c r="M23" s="90" t="str">
        <f>if(today()&gt;='Week Date Mapping'!$A$6,if(MAXIFS('Player Stats - Current Week'!Q:Q,'Player Stats - Current Week'!C:C,B23,'Player Stats - Current Week'!D:D,"WR")=0,"BYE, GAME NOT STARTED, OR NO STATS YET",iferror(MAXIFS('Player Stats - Current Week'!Q:Q,'Player Stats - Current Week'!C:C,B23,'Player Stats - Current Week'!D:D,"WR"),"")),"BYE, GAME NOT STARTED, OR NO STATS YET")</f>
        <v>BYE, GAME NOT STARTED, OR NO STATS YET</v>
      </c>
      <c r="N23" s="90" t="s">
        <v>175</v>
      </c>
      <c r="O23" s="90" t="str">
        <f>if(today()&gt;='Week Date Mapping'!$A$7,if((SUMIFS('Player Stats - Current Week'!L:L,'Player Stats - Current Week'!C:C,B23)+SUMIFS('Player Stats - Current Week'!R:R,'Player Stats - Current Week'!C:C,B23))=0,"BYE, GAME NOT STARTED, OR NO STATS YET",((SUMIFS('Player Stats - Current Week'!R:R,'Player Stats - Current Week'!C:C,B23)*6)+SUMIFS('Player Stats - Current Week'!L:L,'Player Stats - Current Week'!C:C,B23))),"BYE, GAME NOT STARTED, OR NO STATS YET")</f>
        <v>BYE, GAME NOT STARTED, OR NO STATS YET</v>
      </c>
      <c r="P23" s="90" t="s">
        <v>175</v>
      </c>
      <c r="Q23" s="90" t="str">
        <f>if(today()&gt;='Week Date Mapping'!$A$8,if((SUMIFS('Player Stats - Current Week'!G:G,'Player Stats - Current Week'!C:C,B23,'Player Stats - Current Week'!D:D,"RB")+SUMIFS('Player Stats - Current Week'!E:E,'Player Stats - Current Week'!C:C,B23,'Player Stats - Current Week'!D:D,"RB"))=0,"BYE, GAME NOT STARTED, OR NO STATS YET",((SUMIFS('Player Stats - Current Week'!G:G,'Player Stats - Current Week'!C:C,B23,'Player Stats - Current Week'!D:D,"RB"))+SUMIFS('Player Stats - Current Week'!E:E,'Player Stats - Current Week'!C:C,B23,'Player Stats - Current Week'!D:D,"RB"))),"BYE, GAME NOT STARTED, OR NO STATS YET")</f>
        <v>BYE, GAME NOT STARTED, OR NO STATS YET</v>
      </c>
      <c r="R23" s="90" t="s">
        <v>175</v>
      </c>
      <c r="S23" s="90" t="str">
        <f>if(today()&gt;='Week Date Mapping'!$A$9,if(MAXIFS('Player Stats - Current Week'!L:L,'Player Stats - Current Week'!C:C,B23,'Player Stats - Current Week'!D:D,"PK")=0,"BYE, GAME NOT STARTED, OR NO STATS YET",iferror(MAXIFS('Player Stats - Current Week'!L:L,'Player Stats - Current Week'!C:C,B23,'Player Stats - Current Week'!D:D,"PK"),"")),"BYE, GAME NOT STARTED, OR NO STATS YET")</f>
        <v>BYE, GAME NOT STARTED, OR NO STATS YET</v>
      </c>
      <c r="T23" s="90" t="s">
        <v>175</v>
      </c>
      <c r="U23" s="90" t="str">
        <f>if(today()&gt;='Week Date Mapping'!$A$10,if(MAXIFS('Player Stats - Current Week'!N:N,'Player Stats - Current Week'!C:C,B23,'Player Stats - Current Week'!D:D,"QB")=0,"BYE, GAME NOT STARTED, OR NO STATS YET",iferror(MAXIFS('Player Stats - Current Week'!N:N,'Player Stats - Current Week'!C:C,B23,'Player Stats - Current Week'!D:D,"QB"),"")),"BYE, GAME NOT STARTED, OR NO STATS YET")</f>
        <v>BYE, GAME NOT STARTED, OR NO STATS YET</v>
      </c>
      <c r="V23" s="90" t="s">
        <v>175</v>
      </c>
      <c r="W23" s="90" t="str">
        <f>if(today()&gt;='Week Date Mapping'!$A$11,if(SUMIFS('Player Stats - Current Week'!O:O,'Player Stats - Current Week'!C:C,B23)=0,"BYE, GAME NOT STARTED, OR NO STATS YET",iferror(SUMIFS('Player Stats - Current Week'!O:O,'Player Stats - Current Week'!C:C,B23),"")),"BYE, GAME NOT STARTED, OR NO STATS YET")</f>
        <v>BYE, GAME NOT STARTED, OR NO STATS YET</v>
      </c>
      <c r="X23" s="90" t="s">
        <v>175</v>
      </c>
      <c r="Y23" s="90" t="str">
        <f>if(today()&gt;='Week Date Mapping'!$A$12,if(MAXIFS('Player Stats - Current Week'!Q:Q,'Player Stats - Current Week'!C:C,B23,'Player Stats - Current Week'!D:D,"TE")=0,"BYE, GAME NOT STARTED, OR NO STATS YET",iferror(MAXIFS('Player Stats - Current Week'!Q:Q,'Player Stats - Current Week'!C:C,B23,'Player Stats - Current Week'!D:D,"TE"),"")),"BYE, GAME NOT STARTED, OR NO STATS YET")</f>
        <v>BYE, GAME NOT STARTED, OR NO STATS YET</v>
      </c>
      <c r="Z23" s="90" t="s">
        <v>175</v>
      </c>
      <c r="AA23" s="90" t="str">
        <f>if(today()&gt;='Week Date Mapping'!$A$13,if(MAXIFS('Player Stats - Current Week'!S:S,'Player Stats - Current Week'!C:C,B23)=0,"BYE, GAME NOT STARTED, OR NO STATS YET",iferror(MAXIFS('Player Stats - Current Week'!S:S,'Player Stats - Current Week'!C:C,B23),"")),"BYE, GAME NOT STARTED, OR NO STATS YET")</f>
        <v>BYE, GAME NOT STARTED, OR NO STATS YET</v>
      </c>
      <c r="AB23" s="90" t="s">
        <v>175</v>
      </c>
      <c r="AC23" s="90" t="str">
        <f>if(today()&gt;='Week Date Mapping'!$A$14,if(MAXIFS('Player Stats - Current Week'!G:G,'Player Stats - Current Week'!C:C,B23,'Player Stats - Current Week'!D:D,"QB")=0,"BYE, GAME NOT STARTED, OR NO STATS YET",iferror(MAXIFS('Player Stats - Current Week'!G:G,'Player Stats - Current Week'!C:C,B23,'Player Stats - Current Week'!D:D,"QB"),"")),"BYE, GAME NOT STARTED, OR NO STATS YET")</f>
        <v>BYE, GAME NOT STARTED, OR NO STATS YET</v>
      </c>
      <c r="AD23" s="103" t="str">
        <f t="shared" si="11"/>
        <v>BYE OR GAME NOT STARTED19</v>
      </c>
      <c r="AE23" s="101" t="str">
        <f>if(today()&gt;='Week Date Mapping'!$A$15,if(iferror(vlookup(CONCATENATE("Week 14",B23),'Raw With Formulas'!J:N,5,false),iferror(vlookup(CONCATENATE("Week 14",B23),'Raw With Formulas'!L:N,2,false),"BYE OR GAME NOT STARTED"))="","BYE OR GAME NOT STARTED",iferror(vlookup(CONCATENATE("Week 14",B23),'Raw With Formulas'!J:N,5,false),iferror(vlookup(CONCATENATE("Week 14",B23),'Raw With Formulas'!L:N,2,false),"BYE OR GAME NOT STARTED"))),"BYE OR GAME NOT STARTED")</f>
        <v>BYE OR GAME NOT STARTED</v>
      </c>
      <c r="AF23" s="103" t="str">
        <f t="shared" si="12"/>
        <v>BYE, GAME NOT STARTED, OR NO STATS YET19</v>
      </c>
      <c r="AG23" s="90" t="str">
        <f>if(today()&gt;='Week Date Mapping'!$A$16,if(MAXIFS('Player Stats - Current Week'!Q:Q,'Player Stats - Current Week'!C:C,B23,'Player Stats - Current Week'!D:D,"QB")=0,"BYE, GAME NOT STARTED, OR NO STATS YET",iferror(MAXIFS('Player Stats - Current Week'!Q:Q,'Player Stats - Current Week'!C:C,B23,'Player Stats - Current Week'!D:D,"QB"),"")),"BYE, GAME NOT STARTED, OR NO STATS YET")</f>
        <v>BYE, GAME NOT STARTED, OR NO STATS YET</v>
      </c>
      <c r="AH23" s="103" t="str">
        <f t="shared" si="13"/>
        <v>BYE OR GAME NOT STARTED19</v>
      </c>
      <c r="AI23" s="90" t="str">
        <f>if(today()&gt;='Week Date Mapping'!$A$17,if(iferror(vlookup(CONCATENATE("Week 16",B23),'Raw With Formulas'!J:N,4,false),iferror(vlookup(CONCATENATE("Week 16",B23),'Raw With Formulas'!L:N,3,false),"BYE OR GAME NOT STARTED"))="","BYE OR GAME NOT STARTED",iferror(vlookup(CONCATENATE("Week 16",B23),'Raw With Formulas'!J:N,4,false),iferror(vlookup(CONCATENATE("Week 16",B23),'Raw With Formulas'!L:N,3,false),"BYE OR GAME NOT STARTED"))),"BYE OR GAME NOT STARTED")</f>
        <v>BYE OR GAME NOT STARTED</v>
      </c>
      <c r="AJ23" s="103" t="str">
        <f t="shared" si="14"/>
        <v>BYE, GAME NOT STARTED, OR NO STATS YET19</v>
      </c>
      <c r="AK23" s="90" t="str">
        <f>if(today()&gt;='Week Date Mapping'!$A$18,if(MAXIFS('Player Stats - Current Week'!E:E,'Player Stats - Current Week'!C:C,B23,'Player Stats - Current Week'!D:D,"WR")=0,"BYE, GAME NOT STARTED, OR NO STATS YET",iferror(MAXIFS('Player Stats - Current Week'!E:E,'Player Stats - Current Week'!C:C,B23,'Player Stats - Current Week'!D:D,"WR"),"")),"BYE, GAME NOT STARTED, OR NO STATS YET")</f>
        <v>BYE, GAME NOT STARTED, OR NO STATS YET</v>
      </c>
      <c r="AL23" s="90" t="s">
        <v>175</v>
      </c>
      <c r="AM23" s="90" t="str">
        <f>if(today()&gt;='Week Date Mapping'!$A$19,if(MAXIFS('Player Stats - Current Week'!Q:Q,'Player Stats - Current Week'!C:C,B23,'Player Stats - Current Week'!D:D,"RB")=0,"BYE, GAME NOT STARTED, OR NO STATS YET",iferror(MAXIFS('Player Stats - Current Week'!Q:Q,'Player Stats - Current Week'!C:C,B23,'Player Stats - Current Week'!D:D,"RB"),"")),"BYE, GAME NOT STARTED, OR NO STATS YET")</f>
        <v>BYE, GAME NOT STARTED, OR NO STATS YET</v>
      </c>
      <c r="AN23" s="104" t="str">
        <f t="shared" si="1"/>
        <v>Budde</v>
      </c>
    </row>
    <row r="24">
      <c r="A24" s="86" t="s">
        <v>115</v>
      </c>
      <c r="B24" s="87" t="s">
        <v>115</v>
      </c>
      <c r="C24" s="87" t="str">
        <f>vlookup(A24,'Wins by Team'!A:C,3,false)</f>
        <v>Chris</v>
      </c>
      <c r="D24" s="94" t="str">
        <f t="shared" si="2"/>
        <v>BYE, GAME NOT STARTED, OR NO STATS YET22</v>
      </c>
      <c r="E24" s="87" t="str">
        <f>if(MAXIFS('Player Stats - Current Week'!I:I,'Player Stats - Current Week'!C:C,B24,'Player Stats - Current Week'!D:D,"QB")=0,"BYE, GAME NOT STARTED, OR NO STATS YET",iferror(MAXIFS('Player Stats - Current Week'!I:I,'Player Stats - Current Week'!C:C,B24,'Player Stats - Current Week'!D:D,"QB"),""))</f>
        <v>BYE, GAME NOT STARTED, OR NO STATS YET</v>
      </c>
      <c r="F24" s="94" t="str">
        <f t="shared" si="9"/>
        <v>BYE OR GAME NOT STARTED22</v>
      </c>
      <c r="G24" s="87" t="str">
        <f>if(iferror(vlookup(CONCATENATE("Week 2",B24),'Raw With Formulas'!J:N,4,false),iferror(vlookup(CONCATENATE("Week 2",B24),'Raw With Formulas'!L:N,3,false),"BYE OR GAME NOT STARTED")) = "", "BYE OR GAME NOT STARTED", iferror(vlookup(CONCATENATE("Week 2",B24),'Raw With Formulas'!J:N,4,false),iferror(vlookup(CONCATENATE("Week 2",B24),'Raw With Formulas'!L:N,3,false),"BYE OR GAME NOT STARTED")))</f>
        <v>BYE OR GAME NOT STARTED</v>
      </c>
      <c r="H24" s="94" t="str">
        <f t="shared" si="10"/>
        <v>BYE, GAME NOT STARTED, OR NO STATS YET20</v>
      </c>
      <c r="I24" s="87" t="str">
        <f>if(today()&gt;='Week Date Mapping'!$A$4,iferror(
if(
sumifs(
'Player Stats - Current Week'!T:T,
'Player Stats - Current Week'!C:C,
iferror(
vlookup(
CONCATENATE("Week 3",B24), 
'Raw With Formulas'!J:O,
2,false
),
vlookup(CONCATENATE("Week 3",B24), 'Raw With Formulas'!L:O,4,false))) 
= 0,
"BYE, GAME NOT STARTED, OR NO STATS YET",
iferror(
sumifs(
'Player Stats - Current Week'!T:T,
'Player Stats - Current Week'!C:C,
iferror(
vlookup(
CONCATENATE("Week 3",B24), 
'Raw With Formulas'!J:O,
2,false
),
vlookup(CONCATENATE("Week 3",B24), 'Raw With Formulas'!L:O,4,false))),
""
)
),
"BYE, GAME NOT STARTED, OR NO STATS YET"
),"BYE, GAME NOT STARTED, OR NO STATS YET")</f>
        <v>BYE, GAME NOT STARTED, OR NO STATS YET</v>
      </c>
      <c r="J24" s="87" t="s">
        <v>175</v>
      </c>
      <c r="K24" s="87" t="str">
        <f>if(today()&gt;='Week Date Mapping'!$A$5,if(MAXIFS('Player Stats - Current Week'!E:E,'Player Stats - Current Week'!C:C,B24,'Player Stats - Current Week'!D:D,"TE")=0,"BYE, GAME NOT STARTED, OR NO STATS YET",iferror(MAXIFS('Player Stats - Current Week'!E:E,'Player Stats - Current Week'!C:C,B24,'Player Stats - Current Week'!D:D,"TE"),"")),"BYE, GAME NOT STARTED, OR NO STATS YET")</f>
        <v>BYE, GAME NOT STARTED, OR NO STATS YET</v>
      </c>
      <c r="L24" s="87" t="s">
        <v>175</v>
      </c>
      <c r="M24" s="87" t="str">
        <f>if(today()&gt;='Week Date Mapping'!$A$6,if(MAXIFS('Player Stats - Current Week'!Q:Q,'Player Stats - Current Week'!C:C,B24,'Player Stats - Current Week'!D:D,"WR")=0,"BYE, GAME NOT STARTED, OR NO STATS YET",iferror(MAXIFS('Player Stats - Current Week'!Q:Q,'Player Stats - Current Week'!C:C,B24,'Player Stats - Current Week'!D:D,"WR"),"")),"BYE, GAME NOT STARTED, OR NO STATS YET")</f>
        <v>BYE, GAME NOT STARTED, OR NO STATS YET</v>
      </c>
      <c r="N24" s="87" t="s">
        <v>175</v>
      </c>
      <c r="O24" s="87" t="str">
        <f>if(today()&gt;='Week Date Mapping'!$A$7,if((SUMIFS('Player Stats - Current Week'!L:L,'Player Stats - Current Week'!C:C,B24)+SUMIFS('Player Stats - Current Week'!R:R,'Player Stats - Current Week'!C:C,B24))=0,"BYE, GAME NOT STARTED, OR NO STATS YET",((SUMIFS('Player Stats - Current Week'!R:R,'Player Stats - Current Week'!C:C,B24)*6)+SUMIFS('Player Stats - Current Week'!L:L,'Player Stats - Current Week'!C:C,B24))),"BYE, GAME NOT STARTED, OR NO STATS YET")</f>
        <v>BYE, GAME NOT STARTED, OR NO STATS YET</v>
      </c>
      <c r="P24" s="87" t="s">
        <v>175</v>
      </c>
      <c r="Q24" s="87" t="str">
        <f>if(today()&gt;='Week Date Mapping'!$A$8,if((SUMIFS('Player Stats - Current Week'!G:G,'Player Stats - Current Week'!C:C,B24,'Player Stats - Current Week'!D:D,"RB")+SUMIFS('Player Stats - Current Week'!E:E,'Player Stats - Current Week'!C:C,B24,'Player Stats - Current Week'!D:D,"RB"))=0,"BYE, GAME NOT STARTED, OR NO STATS YET",((SUMIFS('Player Stats - Current Week'!G:G,'Player Stats - Current Week'!C:C,B24,'Player Stats - Current Week'!D:D,"RB"))+SUMIFS('Player Stats - Current Week'!E:E,'Player Stats - Current Week'!C:C,B24,'Player Stats - Current Week'!D:D,"RB"))),"BYE, GAME NOT STARTED, OR NO STATS YET")</f>
        <v>BYE, GAME NOT STARTED, OR NO STATS YET</v>
      </c>
      <c r="R24" s="87" t="s">
        <v>175</v>
      </c>
      <c r="S24" s="87" t="str">
        <f>if(today()&gt;='Week Date Mapping'!$A$9,if(MAXIFS('Player Stats - Current Week'!L:L,'Player Stats - Current Week'!C:C,B24,'Player Stats - Current Week'!D:D,"PK")=0,"BYE, GAME NOT STARTED, OR NO STATS YET",iferror(MAXIFS('Player Stats - Current Week'!L:L,'Player Stats - Current Week'!C:C,B24,'Player Stats - Current Week'!D:D,"PK"),"")),"BYE, GAME NOT STARTED, OR NO STATS YET")</f>
        <v>BYE, GAME NOT STARTED, OR NO STATS YET</v>
      </c>
      <c r="T24" s="87" t="s">
        <v>175</v>
      </c>
      <c r="U24" s="87" t="str">
        <f>if(today()&gt;='Week Date Mapping'!$A$10,if(MAXIFS('Player Stats - Current Week'!N:N,'Player Stats - Current Week'!C:C,B24,'Player Stats - Current Week'!D:D,"QB")=0,"BYE, GAME NOT STARTED, OR NO STATS YET",iferror(MAXIFS('Player Stats - Current Week'!N:N,'Player Stats - Current Week'!C:C,B24,'Player Stats - Current Week'!D:D,"QB"),"")),"BYE, GAME NOT STARTED, OR NO STATS YET")</f>
        <v>BYE, GAME NOT STARTED, OR NO STATS YET</v>
      </c>
      <c r="V24" s="87" t="s">
        <v>175</v>
      </c>
      <c r="W24" s="87" t="str">
        <f>if(today()&gt;='Week Date Mapping'!$A$11,if(SUMIFS('Player Stats - Current Week'!O:O,'Player Stats - Current Week'!C:C,B24)=0,"BYE, GAME NOT STARTED, OR NO STATS YET",iferror(SUMIFS('Player Stats - Current Week'!O:O,'Player Stats - Current Week'!C:C,B24),"")),"BYE, GAME NOT STARTED, OR NO STATS YET")</f>
        <v>BYE, GAME NOT STARTED, OR NO STATS YET</v>
      </c>
      <c r="X24" s="87" t="s">
        <v>175</v>
      </c>
      <c r="Y24" s="87" t="str">
        <f>if(today()&gt;='Week Date Mapping'!$A$12,if(MAXIFS('Player Stats - Current Week'!Q:Q,'Player Stats - Current Week'!C:C,B24,'Player Stats - Current Week'!D:D,"TE")=0,"BYE, GAME NOT STARTED, OR NO STATS YET",iferror(MAXIFS('Player Stats - Current Week'!Q:Q,'Player Stats - Current Week'!C:C,B24,'Player Stats - Current Week'!D:D,"TE"),"")),"BYE, GAME NOT STARTED, OR NO STATS YET")</f>
        <v>BYE, GAME NOT STARTED, OR NO STATS YET</v>
      </c>
      <c r="Z24" s="87" t="s">
        <v>175</v>
      </c>
      <c r="AA24" s="87" t="str">
        <f>if(today()&gt;='Week Date Mapping'!$A$13,if(MAXIFS('Player Stats - Current Week'!S:S,'Player Stats - Current Week'!C:C,B24)=0,"BYE, GAME NOT STARTED, OR NO STATS YET",iferror(MAXIFS('Player Stats - Current Week'!S:S,'Player Stats - Current Week'!C:C,B24),"")),"BYE, GAME NOT STARTED, OR NO STATS YET")</f>
        <v>BYE, GAME NOT STARTED, OR NO STATS YET</v>
      </c>
      <c r="AB24" s="87" t="s">
        <v>175</v>
      </c>
      <c r="AC24" s="87" t="str">
        <f>if(today()&gt;='Week Date Mapping'!$A$14,if(MAXIFS('Player Stats - Current Week'!G:G,'Player Stats - Current Week'!C:C,B24,'Player Stats - Current Week'!D:D,"QB")=0,"BYE, GAME NOT STARTED, OR NO STATS YET",iferror(MAXIFS('Player Stats - Current Week'!G:G,'Player Stats - Current Week'!C:C,B24,'Player Stats - Current Week'!D:D,"QB"),"")),"BYE, GAME NOT STARTED, OR NO STATS YET")</f>
        <v>BYE, GAME NOT STARTED, OR NO STATS YET</v>
      </c>
      <c r="AD24" s="94" t="str">
        <f t="shared" si="11"/>
        <v>BYE OR GAME NOT STARTED20</v>
      </c>
      <c r="AE24" s="100" t="str">
        <f>if(today()&gt;='Week Date Mapping'!$A$15,if(iferror(vlookup(CONCATENATE("Week 14",B24),'Raw With Formulas'!J:N,5,false),iferror(vlookup(CONCATENATE("Week 14",B24),'Raw With Formulas'!L:N,2,false),"BYE OR GAME NOT STARTED"))="","BYE OR GAME NOT STARTED",iferror(vlookup(CONCATENATE("Week 14",B24),'Raw With Formulas'!J:N,5,false),iferror(vlookup(CONCATENATE("Week 14",B24),'Raw With Formulas'!L:N,2,false),"BYE OR GAME NOT STARTED"))),"BYE OR GAME NOT STARTED")</f>
        <v>BYE OR GAME NOT STARTED</v>
      </c>
      <c r="AF24" s="94" t="str">
        <f t="shared" si="12"/>
        <v>BYE, GAME NOT STARTED, OR NO STATS YET20</v>
      </c>
      <c r="AG24" s="87" t="str">
        <f>if(today()&gt;='Week Date Mapping'!$A$16,if(MAXIFS('Player Stats - Current Week'!Q:Q,'Player Stats - Current Week'!C:C,B24,'Player Stats - Current Week'!D:D,"QB")=0,"BYE, GAME NOT STARTED, OR NO STATS YET",iferror(MAXIFS('Player Stats - Current Week'!Q:Q,'Player Stats - Current Week'!C:C,B24,'Player Stats - Current Week'!D:D,"QB"),"")),"BYE, GAME NOT STARTED, OR NO STATS YET")</f>
        <v>BYE, GAME NOT STARTED, OR NO STATS YET</v>
      </c>
      <c r="AH24" s="94" t="str">
        <f t="shared" si="13"/>
        <v>BYE OR GAME NOT STARTED20</v>
      </c>
      <c r="AI24" s="87" t="str">
        <f>if(today()&gt;='Week Date Mapping'!$A$17,if(iferror(vlookup(CONCATENATE("Week 16",B24),'Raw With Formulas'!J:N,4,false),iferror(vlookup(CONCATENATE("Week 16",B24),'Raw With Formulas'!L:N,3,false),"BYE OR GAME NOT STARTED"))="","BYE OR GAME NOT STARTED",iferror(vlookup(CONCATENATE("Week 16",B24),'Raw With Formulas'!J:N,4,false),iferror(vlookup(CONCATENATE("Week 16",B24),'Raw With Formulas'!L:N,3,false),"BYE OR GAME NOT STARTED"))),"BYE OR GAME NOT STARTED")</f>
        <v>BYE OR GAME NOT STARTED</v>
      </c>
      <c r="AJ24" s="94" t="str">
        <f t="shared" si="14"/>
        <v>BYE, GAME NOT STARTED, OR NO STATS YET20</v>
      </c>
      <c r="AK24" s="87" t="str">
        <f>if(today()&gt;='Week Date Mapping'!$A$18,if(MAXIFS('Player Stats - Current Week'!E:E,'Player Stats - Current Week'!C:C,B24,'Player Stats - Current Week'!D:D,"WR")=0,"BYE, GAME NOT STARTED, OR NO STATS YET",iferror(MAXIFS('Player Stats - Current Week'!E:E,'Player Stats - Current Week'!C:C,B24,'Player Stats - Current Week'!D:D,"WR"),"")),"BYE, GAME NOT STARTED, OR NO STATS YET")</f>
        <v>BYE, GAME NOT STARTED, OR NO STATS YET</v>
      </c>
      <c r="AL24" s="87" t="s">
        <v>175</v>
      </c>
      <c r="AM24" s="87" t="str">
        <f>if(today()&gt;='Week Date Mapping'!$A$19,if(MAXIFS('Player Stats - Current Week'!Q:Q,'Player Stats - Current Week'!C:C,B24,'Player Stats - Current Week'!D:D,"RB")=0,"BYE, GAME NOT STARTED, OR NO STATS YET",iferror(MAXIFS('Player Stats - Current Week'!Q:Q,'Player Stats - Current Week'!C:C,B24,'Player Stats - Current Week'!D:D,"RB"),"")),"BYE, GAME NOT STARTED, OR NO STATS YET")</f>
        <v>BYE, GAME NOT STARTED, OR NO STATS YET</v>
      </c>
      <c r="AN24" s="92" t="str">
        <f t="shared" si="1"/>
        <v>Chris</v>
      </c>
    </row>
    <row r="25">
      <c r="A25" s="89" t="s">
        <v>116</v>
      </c>
      <c r="B25" s="90" t="s">
        <v>116</v>
      </c>
      <c r="C25" s="90" t="str">
        <f>vlookup(A25,'Wins by Team'!A:C,3,false)</f>
        <v>Sagar</v>
      </c>
      <c r="D25" s="103" t="str">
        <f t="shared" si="2"/>
        <v>BYE, GAME NOT STARTED, OR NO STATS YET23</v>
      </c>
      <c r="E25" s="90" t="str">
        <f>if(MAXIFS('Player Stats - Current Week'!I:I,'Player Stats - Current Week'!C:C,B25,'Player Stats - Current Week'!D:D,"QB")=0,"BYE, GAME NOT STARTED, OR NO STATS YET",iferror(MAXIFS('Player Stats - Current Week'!I:I,'Player Stats - Current Week'!C:C,B25,'Player Stats - Current Week'!D:D,"QB"),""))</f>
        <v>BYE, GAME NOT STARTED, OR NO STATS YET</v>
      </c>
      <c r="F25" s="103" t="str">
        <f t="shared" si="9"/>
        <v>BYE OR GAME NOT STARTED23</v>
      </c>
      <c r="G25" s="90" t="str">
        <f>if(iferror(vlookup(CONCATENATE("Week 2",B25),'Raw With Formulas'!J:N,4,false),iferror(vlookup(CONCATENATE("Week 2",B25),'Raw With Formulas'!L:N,3,false),"BYE OR GAME NOT STARTED")) = "", "BYE OR GAME NOT STARTED", iferror(vlookup(CONCATENATE("Week 2",B25),'Raw With Formulas'!J:N,4,false),iferror(vlookup(CONCATENATE("Week 2",B25),'Raw With Formulas'!L:N,3,false),"BYE OR GAME NOT STARTED")))</f>
        <v>BYE OR GAME NOT STARTED</v>
      </c>
      <c r="H25" s="103" t="str">
        <f t="shared" si="10"/>
        <v>BYE, GAME NOT STARTED, OR NO STATS YET21</v>
      </c>
      <c r="I25" s="90" t="str">
        <f>if(today()&gt;='Week Date Mapping'!$A$4,iferror(
if(
sumifs(
'Player Stats - Current Week'!T:T,
'Player Stats - Current Week'!C:C,
iferror(
vlookup(
CONCATENATE("Week 3",B25), 
'Raw With Formulas'!J:O,
2,false
),
vlookup(CONCATENATE("Week 3",B25), 'Raw With Formulas'!L:O,4,false))) 
= 0,
"BYE, GAME NOT STARTED, OR NO STATS YET",
iferror(
sumifs(
'Player Stats - Current Week'!T:T,
'Player Stats - Current Week'!C:C,
iferror(
vlookup(
CONCATENATE("Week 3",B25), 
'Raw With Formulas'!J:O,
2,false
),
vlookup(CONCATENATE("Week 3",B25), 'Raw With Formulas'!L:O,4,false))),
""
)
),
"BYE, GAME NOT STARTED, OR NO STATS YET"
),"BYE, GAME NOT STARTED, OR NO STATS YET")</f>
        <v>BYE, GAME NOT STARTED, OR NO STATS YET</v>
      </c>
      <c r="J25" s="90" t="s">
        <v>175</v>
      </c>
      <c r="K25" s="90" t="str">
        <f>if(today()&gt;='Week Date Mapping'!$A$5,if(MAXIFS('Player Stats - Current Week'!E:E,'Player Stats - Current Week'!C:C,B25,'Player Stats - Current Week'!D:D,"TE")=0,"BYE, GAME NOT STARTED, OR NO STATS YET",iferror(MAXIFS('Player Stats - Current Week'!E:E,'Player Stats - Current Week'!C:C,B25,'Player Stats - Current Week'!D:D,"TE"),"")),"BYE, GAME NOT STARTED, OR NO STATS YET")</f>
        <v>BYE, GAME NOT STARTED, OR NO STATS YET</v>
      </c>
      <c r="L25" s="90" t="s">
        <v>175</v>
      </c>
      <c r="M25" s="90" t="str">
        <f>if(today()&gt;='Week Date Mapping'!$A$6,if(MAXIFS('Player Stats - Current Week'!Q:Q,'Player Stats - Current Week'!C:C,B25,'Player Stats - Current Week'!D:D,"WR")=0,"BYE, GAME NOT STARTED, OR NO STATS YET",iferror(MAXIFS('Player Stats - Current Week'!Q:Q,'Player Stats - Current Week'!C:C,B25,'Player Stats - Current Week'!D:D,"WR"),"")),"BYE, GAME NOT STARTED, OR NO STATS YET")</f>
        <v>BYE, GAME NOT STARTED, OR NO STATS YET</v>
      </c>
      <c r="N25" s="90" t="s">
        <v>175</v>
      </c>
      <c r="O25" s="90" t="str">
        <f>if(today()&gt;='Week Date Mapping'!$A$7,if((SUMIFS('Player Stats - Current Week'!L:L,'Player Stats - Current Week'!C:C,B25)+SUMIFS('Player Stats - Current Week'!R:R,'Player Stats - Current Week'!C:C,B25))=0,"BYE, GAME NOT STARTED, OR NO STATS YET",((SUMIFS('Player Stats - Current Week'!R:R,'Player Stats - Current Week'!C:C,B25)*6)+SUMIFS('Player Stats - Current Week'!L:L,'Player Stats - Current Week'!C:C,B25))),"BYE, GAME NOT STARTED, OR NO STATS YET")</f>
        <v>BYE, GAME NOT STARTED, OR NO STATS YET</v>
      </c>
      <c r="P25" s="90" t="s">
        <v>175</v>
      </c>
      <c r="Q25" s="90" t="str">
        <f>if(today()&gt;='Week Date Mapping'!$A$8,if((SUMIFS('Player Stats - Current Week'!G:G,'Player Stats - Current Week'!C:C,B25,'Player Stats - Current Week'!D:D,"RB")+SUMIFS('Player Stats - Current Week'!E:E,'Player Stats - Current Week'!C:C,B25,'Player Stats - Current Week'!D:D,"RB"))=0,"BYE, GAME NOT STARTED, OR NO STATS YET",((SUMIFS('Player Stats - Current Week'!G:G,'Player Stats - Current Week'!C:C,B25,'Player Stats - Current Week'!D:D,"RB"))+SUMIFS('Player Stats - Current Week'!E:E,'Player Stats - Current Week'!C:C,B25,'Player Stats - Current Week'!D:D,"RB"))),"BYE, GAME NOT STARTED, OR NO STATS YET")</f>
        <v>BYE, GAME NOT STARTED, OR NO STATS YET</v>
      </c>
      <c r="R25" s="90" t="s">
        <v>175</v>
      </c>
      <c r="S25" s="90" t="str">
        <f>if(today()&gt;='Week Date Mapping'!$A$9,if(MAXIFS('Player Stats - Current Week'!L:L,'Player Stats - Current Week'!C:C,B25,'Player Stats - Current Week'!D:D,"PK")=0,"BYE, GAME NOT STARTED, OR NO STATS YET",iferror(MAXIFS('Player Stats - Current Week'!L:L,'Player Stats - Current Week'!C:C,B25,'Player Stats - Current Week'!D:D,"PK"),"")),"BYE, GAME NOT STARTED, OR NO STATS YET")</f>
        <v>BYE, GAME NOT STARTED, OR NO STATS YET</v>
      </c>
      <c r="T25" s="90" t="s">
        <v>175</v>
      </c>
      <c r="U25" s="90" t="str">
        <f>if(today()&gt;='Week Date Mapping'!$A$10,if(MAXIFS('Player Stats - Current Week'!N:N,'Player Stats - Current Week'!C:C,B25,'Player Stats - Current Week'!D:D,"QB")=0,"BYE, GAME NOT STARTED, OR NO STATS YET",iferror(MAXIFS('Player Stats - Current Week'!N:N,'Player Stats - Current Week'!C:C,B25,'Player Stats - Current Week'!D:D,"QB"),"")),"BYE, GAME NOT STARTED, OR NO STATS YET")</f>
        <v>BYE, GAME NOT STARTED, OR NO STATS YET</v>
      </c>
      <c r="V25" s="90" t="s">
        <v>175</v>
      </c>
      <c r="W25" s="90" t="str">
        <f>if(today()&gt;='Week Date Mapping'!$A$11,if(SUMIFS('Player Stats - Current Week'!O:O,'Player Stats - Current Week'!C:C,B25)=0,"BYE, GAME NOT STARTED, OR NO STATS YET",iferror(SUMIFS('Player Stats - Current Week'!O:O,'Player Stats - Current Week'!C:C,B25),"")),"BYE, GAME NOT STARTED, OR NO STATS YET")</f>
        <v>BYE, GAME NOT STARTED, OR NO STATS YET</v>
      </c>
      <c r="X25" s="90" t="s">
        <v>175</v>
      </c>
      <c r="Y25" s="90" t="str">
        <f>if(today()&gt;='Week Date Mapping'!$A$12,if(MAXIFS('Player Stats - Current Week'!Q:Q,'Player Stats - Current Week'!C:C,B25,'Player Stats - Current Week'!D:D,"TE")=0,"BYE, GAME NOT STARTED, OR NO STATS YET",iferror(MAXIFS('Player Stats - Current Week'!Q:Q,'Player Stats - Current Week'!C:C,B25,'Player Stats - Current Week'!D:D,"TE"),"")),"BYE, GAME NOT STARTED, OR NO STATS YET")</f>
        <v>BYE, GAME NOT STARTED, OR NO STATS YET</v>
      </c>
      <c r="Z25" s="90" t="s">
        <v>175</v>
      </c>
      <c r="AA25" s="90" t="str">
        <f>if(today()&gt;='Week Date Mapping'!$A$13,if(MAXIFS('Player Stats - Current Week'!S:S,'Player Stats - Current Week'!C:C,B25)=0,"BYE, GAME NOT STARTED, OR NO STATS YET",iferror(MAXIFS('Player Stats - Current Week'!S:S,'Player Stats - Current Week'!C:C,B25),"")),"BYE, GAME NOT STARTED, OR NO STATS YET")</f>
        <v>BYE, GAME NOT STARTED, OR NO STATS YET</v>
      </c>
      <c r="AB25" s="90" t="s">
        <v>175</v>
      </c>
      <c r="AC25" s="90" t="str">
        <f>if(today()&gt;='Week Date Mapping'!$A$14,if(MAXIFS('Player Stats - Current Week'!G:G,'Player Stats - Current Week'!C:C,B25,'Player Stats - Current Week'!D:D,"QB")=0,"BYE, GAME NOT STARTED, OR NO STATS YET",iferror(MAXIFS('Player Stats - Current Week'!G:G,'Player Stats - Current Week'!C:C,B25,'Player Stats - Current Week'!D:D,"QB"),"")),"BYE, GAME NOT STARTED, OR NO STATS YET")</f>
        <v>BYE, GAME NOT STARTED, OR NO STATS YET</v>
      </c>
      <c r="AD25" s="103" t="str">
        <f t="shared" si="11"/>
        <v>BYE OR GAME NOT STARTED21</v>
      </c>
      <c r="AE25" s="101" t="str">
        <f>if(today()&gt;='Week Date Mapping'!$A$15,if(iferror(vlookup(CONCATENATE("Week 14",B25),'Raw With Formulas'!J:N,5,false),iferror(vlookup(CONCATENATE("Week 14",B25),'Raw With Formulas'!L:N,2,false),"BYE OR GAME NOT STARTED"))="","BYE OR GAME NOT STARTED",iferror(vlookup(CONCATENATE("Week 14",B25),'Raw With Formulas'!J:N,5,false),iferror(vlookup(CONCATENATE("Week 14",B25),'Raw With Formulas'!L:N,2,false),"BYE OR GAME NOT STARTED"))),"BYE OR GAME NOT STARTED")</f>
        <v>BYE OR GAME NOT STARTED</v>
      </c>
      <c r="AF25" s="103" t="str">
        <f t="shared" si="12"/>
        <v>BYE, GAME NOT STARTED, OR NO STATS YET21</v>
      </c>
      <c r="AG25" s="90" t="str">
        <f>if(today()&gt;='Week Date Mapping'!$A$16,if(MAXIFS('Player Stats - Current Week'!Q:Q,'Player Stats - Current Week'!C:C,B25,'Player Stats - Current Week'!D:D,"QB")=0,"BYE, GAME NOT STARTED, OR NO STATS YET",iferror(MAXIFS('Player Stats - Current Week'!Q:Q,'Player Stats - Current Week'!C:C,B25,'Player Stats - Current Week'!D:D,"QB"),"")),"BYE, GAME NOT STARTED, OR NO STATS YET")</f>
        <v>BYE, GAME NOT STARTED, OR NO STATS YET</v>
      </c>
      <c r="AH25" s="103" t="str">
        <f t="shared" si="13"/>
        <v>BYE OR GAME NOT STARTED21</v>
      </c>
      <c r="AI25" s="90" t="str">
        <f>if(today()&gt;='Week Date Mapping'!$A$17,if(iferror(vlookup(CONCATENATE("Week 16",B25),'Raw With Formulas'!J:N,4,false),iferror(vlookup(CONCATENATE("Week 16",B25),'Raw With Formulas'!L:N,3,false),"BYE OR GAME NOT STARTED"))="","BYE OR GAME NOT STARTED",iferror(vlookup(CONCATENATE("Week 16",B25),'Raw With Formulas'!J:N,4,false),iferror(vlookup(CONCATENATE("Week 16",B25),'Raw With Formulas'!L:N,3,false),"BYE OR GAME NOT STARTED"))),"BYE OR GAME NOT STARTED")</f>
        <v>BYE OR GAME NOT STARTED</v>
      </c>
      <c r="AJ25" s="103" t="str">
        <f t="shared" si="14"/>
        <v>BYE, GAME NOT STARTED, OR NO STATS YET21</v>
      </c>
      <c r="AK25" s="90" t="str">
        <f>if(today()&gt;='Week Date Mapping'!$A$18,if(MAXIFS('Player Stats - Current Week'!E:E,'Player Stats - Current Week'!C:C,B25,'Player Stats - Current Week'!D:D,"WR")=0,"BYE, GAME NOT STARTED, OR NO STATS YET",iferror(MAXIFS('Player Stats - Current Week'!E:E,'Player Stats - Current Week'!C:C,B25,'Player Stats - Current Week'!D:D,"WR"),"")),"BYE, GAME NOT STARTED, OR NO STATS YET")</f>
        <v>BYE, GAME NOT STARTED, OR NO STATS YET</v>
      </c>
      <c r="AL25" s="90" t="s">
        <v>175</v>
      </c>
      <c r="AM25" s="90" t="str">
        <f>if(today()&gt;='Week Date Mapping'!$A$19,if(MAXIFS('Player Stats - Current Week'!Q:Q,'Player Stats - Current Week'!C:C,B25,'Player Stats - Current Week'!D:D,"RB")=0,"BYE, GAME NOT STARTED, OR NO STATS YET",iferror(MAXIFS('Player Stats - Current Week'!Q:Q,'Player Stats - Current Week'!C:C,B25,'Player Stats - Current Week'!D:D,"RB"),"")),"BYE, GAME NOT STARTED, OR NO STATS YET")</f>
        <v>BYE, GAME NOT STARTED, OR NO STATS YET</v>
      </c>
      <c r="AN25" s="104" t="str">
        <f t="shared" si="1"/>
        <v>Sagar</v>
      </c>
    </row>
    <row r="26">
      <c r="A26" s="86" t="s">
        <v>117</v>
      </c>
      <c r="B26" s="87" t="s">
        <v>118</v>
      </c>
      <c r="C26" s="87" t="str">
        <f>vlookup(A26,'Wins by Team'!A:C,3,false)</f>
        <v>Wyatt</v>
      </c>
      <c r="D26" s="94" t="str">
        <f t="shared" si="2"/>
        <v>BYE, GAME NOT STARTED, OR NO STATS YET24</v>
      </c>
      <c r="E26" s="87" t="str">
        <f>if(MAXIFS('Player Stats - Current Week'!I:I,'Player Stats - Current Week'!C:C,B26,'Player Stats - Current Week'!D:D,"QB")=0,"BYE, GAME NOT STARTED, OR NO STATS YET",iferror(MAXIFS('Player Stats - Current Week'!I:I,'Player Stats - Current Week'!C:C,B26,'Player Stats - Current Week'!D:D,"QB"),""))</f>
        <v>BYE, GAME NOT STARTED, OR NO STATS YET</v>
      </c>
      <c r="F26" s="94" t="str">
        <f t="shared" si="9"/>
        <v>BYE OR GAME NOT STARTED24</v>
      </c>
      <c r="G26" s="87" t="str">
        <f>if(iferror(vlookup(CONCATENATE("Week 2",B26),'Raw With Formulas'!J:N,4,false),iferror(vlookup(CONCATENATE("Week 2",B26),'Raw With Formulas'!L:N,3,false),"BYE OR GAME NOT STARTED")) = "", "BYE OR GAME NOT STARTED", iferror(vlookup(CONCATENATE("Week 2",B26),'Raw With Formulas'!J:N,4,false),iferror(vlookup(CONCATENATE("Week 2",B26),'Raw With Formulas'!L:N,3,false),"BYE OR GAME NOT STARTED")))</f>
        <v>BYE OR GAME NOT STARTED</v>
      </c>
      <c r="H26" s="94" t="str">
        <f t="shared" si="10"/>
        <v>BYE, GAME NOT STARTED, OR NO STATS YET22</v>
      </c>
      <c r="I26" s="87" t="str">
        <f>if(today()&gt;='Week Date Mapping'!$A$4,iferror(
if(
sumifs(
'Player Stats - Current Week'!T:T,
'Player Stats - Current Week'!C:C,
iferror(
vlookup(
CONCATENATE("Week 3",B26), 
'Raw With Formulas'!J:O,
2,false
),
vlookup(CONCATENATE("Week 3",B26), 'Raw With Formulas'!L:O,4,false))) 
= 0,
"BYE, GAME NOT STARTED, OR NO STATS YET",
iferror(
sumifs(
'Player Stats - Current Week'!T:T,
'Player Stats - Current Week'!C:C,
iferror(
vlookup(
CONCATENATE("Week 3",B26), 
'Raw With Formulas'!J:O,
2,false
),
vlookup(CONCATENATE("Week 3",B26), 'Raw With Formulas'!L:O,4,false))),
""
)
),
"BYE, GAME NOT STARTED, OR NO STATS YET"
),"BYE, GAME NOT STARTED, OR NO STATS YET")</f>
        <v>BYE, GAME NOT STARTED, OR NO STATS YET</v>
      </c>
      <c r="J26" s="87" t="s">
        <v>175</v>
      </c>
      <c r="K26" s="87" t="str">
        <f>if(today()&gt;='Week Date Mapping'!$A$5,if(MAXIFS('Player Stats - Current Week'!E:E,'Player Stats - Current Week'!C:C,B26,'Player Stats - Current Week'!D:D,"TE")=0,"BYE, GAME NOT STARTED, OR NO STATS YET",iferror(MAXIFS('Player Stats - Current Week'!E:E,'Player Stats - Current Week'!C:C,B26,'Player Stats - Current Week'!D:D,"TE"),"")),"BYE, GAME NOT STARTED, OR NO STATS YET")</f>
        <v>BYE, GAME NOT STARTED, OR NO STATS YET</v>
      </c>
      <c r="L26" s="87" t="s">
        <v>175</v>
      </c>
      <c r="M26" s="87" t="str">
        <f>if(today()&gt;='Week Date Mapping'!$A$6,if(MAXIFS('Player Stats - Current Week'!Q:Q,'Player Stats - Current Week'!C:C,B26,'Player Stats - Current Week'!D:D,"WR")=0,"BYE, GAME NOT STARTED, OR NO STATS YET",iferror(MAXIFS('Player Stats - Current Week'!Q:Q,'Player Stats - Current Week'!C:C,B26,'Player Stats - Current Week'!D:D,"WR"),"")),"BYE, GAME NOT STARTED, OR NO STATS YET")</f>
        <v>BYE, GAME NOT STARTED, OR NO STATS YET</v>
      </c>
      <c r="N26" s="87" t="s">
        <v>175</v>
      </c>
      <c r="O26" s="87" t="str">
        <f>if(today()&gt;='Week Date Mapping'!$A$7,if((SUMIFS('Player Stats - Current Week'!L:L,'Player Stats - Current Week'!C:C,B26)+SUMIFS('Player Stats - Current Week'!R:R,'Player Stats - Current Week'!C:C,B26))=0,"BYE, GAME NOT STARTED, OR NO STATS YET",((SUMIFS('Player Stats - Current Week'!R:R,'Player Stats - Current Week'!C:C,B26)*6)+SUMIFS('Player Stats - Current Week'!L:L,'Player Stats - Current Week'!C:C,B26))),"BYE, GAME NOT STARTED, OR NO STATS YET")</f>
        <v>BYE, GAME NOT STARTED, OR NO STATS YET</v>
      </c>
      <c r="P26" s="87" t="s">
        <v>175</v>
      </c>
      <c r="Q26" s="87" t="str">
        <f>if(today()&gt;='Week Date Mapping'!$A$8,if((SUMIFS('Player Stats - Current Week'!G:G,'Player Stats - Current Week'!C:C,B26,'Player Stats - Current Week'!D:D,"RB")+SUMIFS('Player Stats - Current Week'!E:E,'Player Stats - Current Week'!C:C,B26,'Player Stats - Current Week'!D:D,"RB"))=0,"BYE, GAME NOT STARTED, OR NO STATS YET",((SUMIFS('Player Stats - Current Week'!G:G,'Player Stats - Current Week'!C:C,B26,'Player Stats - Current Week'!D:D,"RB"))+SUMIFS('Player Stats - Current Week'!E:E,'Player Stats - Current Week'!C:C,B26,'Player Stats - Current Week'!D:D,"RB"))),"BYE, GAME NOT STARTED, OR NO STATS YET")</f>
        <v>BYE, GAME NOT STARTED, OR NO STATS YET</v>
      </c>
      <c r="R26" s="87" t="s">
        <v>175</v>
      </c>
      <c r="S26" s="87" t="str">
        <f>if(today()&gt;='Week Date Mapping'!$A$9,if(MAXIFS('Player Stats - Current Week'!L:L,'Player Stats - Current Week'!C:C,B26,'Player Stats - Current Week'!D:D,"PK")=0,"BYE, GAME NOT STARTED, OR NO STATS YET",iferror(MAXIFS('Player Stats - Current Week'!L:L,'Player Stats - Current Week'!C:C,B26,'Player Stats - Current Week'!D:D,"PK"),"")),"BYE, GAME NOT STARTED, OR NO STATS YET")</f>
        <v>BYE, GAME NOT STARTED, OR NO STATS YET</v>
      </c>
      <c r="T26" s="87" t="s">
        <v>175</v>
      </c>
      <c r="U26" s="87" t="str">
        <f>if(today()&gt;='Week Date Mapping'!$A$10,if(MAXIFS('Player Stats - Current Week'!N:N,'Player Stats - Current Week'!C:C,B26,'Player Stats - Current Week'!D:D,"QB")=0,"BYE, GAME NOT STARTED, OR NO STATS YET",iferror(MAXIFS('Player Stats - Current Week'!N:N,'Player Stats - Current Week'!C:C,B26,'Player Stats - Current Week'!D:D,"QB"),"")),"BYE, GAME NOT STARTED, OR NO STATS YET")</f>
        <v>BYE, GAME NOT STARTED, OR NO STATS YET</v>
      </c>
      <c r="V26" s="87" t="s">
        <v>175</v>
      </c>
      <c r="W26" s="87" t="str">
        <f>if(today()&gt;='Week Date Mapping'!$A$11,if(SUMIFS('Player Stats - Current Week'!O:O,'Player Stats - Current Week'!C:C,B26)=0,"BYE, GAME NOT STARTED, OR NO STATS YET",iferror(SUMIFS('Player Stats - Current Week'!O:O,'Player Stats - Current Week'!C:C,B26),"")),"BYE, GAME NOT STARTED, OR NO STATS YET")</f>
        <v>BYE, GAME NOT STARTED, OR NO STATS YET</v>
      </c>
      <c r="X26" s="87" t="s">
        <v>175</v>
      </c>
      <c r="Y26" s="87" t="str">
        <f>if(today()&gt;='Week Date Mapping'!$A$12,if(MAXIFS('Player Stats - Current Week'!Q:Q,'Player Stats - Current Week'!C:C,B26,'Player Stats - Current Week'!D:D,"TE")=0,"BYE, GAME NOT STARTED, OR NO STATS YET",iferror(MAXIFS('Player Stats - Current Week'!Q:Q,'Player Stats - Current Week'!C:C,B26,'Player Stats - Current Week'!D:D,"TE"),"")),"BYE, GAME NOT STARTED, OR NO STATS YET")</f>
        <v>BYE, GAME NOT STARTED, OR NO STATS YET</v>
      </c>
      <c r="Z26" s="87" t="s">
        <v>175</v>
      </c>
      <c r="AA26" s="87" t="str">
        <f>if(today()&gt;='Week Date Mapping'!$A$13,if(MAXIFS('Player Stats - Current Week'!S:S,'Player Stats - Current Week'!C:C,B26)=0,"BYE, GAME NOT STARTED, OR NO STATS YET",iferror(MAXIFS('Player Stats - Current Week'!S:S,'Player Stats - Current Week'!C:C,B26),"")),"BYE, GAME NOT STARTED, OR NO STATS YET")</f>
        <v>BYE, GAME NOT STARTED, OR NO STATS YET</v>
      </c>
      <c r="AB26" s="87" t="s">
        <v>175</v>
      </c>
      <c r="AC26" s="87" t="str">
        <f>if(today()&gt;='Week Date Mapping'!$A$14,if(MAXIFS('Player Stats - Current Week'!G:G,'Player Stats - Current Week'!C:C,B26,'Player Stats - Current Week'!D:D,"QB")=0,"BYE, GAME NOT STARTED, OR NO STATS YET",iferror(MAXIFS('Player Stats - Current Week'!G:G,'Player Stats - Current Week'!C:C,B26,'Player Stats - Current Week'!D:D,"QB"),"")),"BYE, GAME NOT STARTED, OR NO STATS YET")</f>
        <v>BYE, GAME NOT STARTED, OR NO STATS YET</v>
      </c>
      <c r="AD26" s="94" t="str">
        <f t="shared" si="11"/>
        <v>BYE OR GAME NOT STARTED22</v>
      </c>
      <c r="AE26" s="100" t="str">
        <f>if(today()&gt;='Week Date Mapping'!$A$15,if(iferror(vlookup(CONCATENATE("Week 14",B26),'Raw With Formulas'!J:N,5,false),iferror(vlookup(CONCATENATE("Week 14",B26),'Raw With Formulas'!L:N,2,false),"BYE OR GAME NOT STARTED"))="","BYE OR GAME NOT STARTED",iferror(vlookup(CONCATENATE("Week 14",B26),'Raw With Formulas'!J:N,5,false),iferror(vlookup(CONCATENATE("Week 14",B26),'Raw With Formulas'!L:N,2,false),"BYE OR GAME NOT STARTED"))),"BYE OR GAME NOT STARTED")</f>
        <v>BYE OR GAME NOT STARTED</v>
      </c>
      <c r="AF26" s="94" t="str">
        <f t="shared" si="12"/>
        <v>BYE, GAME NOT STARTED, OR NO STATS YET22</v>
      </c>
      <c r="AG26" s="87" t="str">
        <f>if(today()&gt;='Week Date Mapping'!$A$16,if(MAXIFS('Player Stats - Current Week'!Q:Q,'Player Stats - Current Week'!C:C,B26,'Player Stats - Current Week'!D:D,"QB")=0,"BYE, GAME NOT STARTED, OR NO STATS YET",iferror(MAXIFS('Player Stats - Current Week'!Q:Q,'Player Stats - Current Week'!C:C,B26,'Player Stats - Current Week'!D:D,"QB"),"")),"BYE, GAME NOT STARTED, OR NO STATS YET")</f>
        <v>BYE, GAME NOT STARTED, OR NO STATS YET</v>
      </c>
      <c r="AH26" s="94" t="str">
        <f t="shared" si="13"/>
        <v>BYE OR GAME NOT STARTED22</v>
      </c>
      <c r="AI26" s="87" t="str">
        <f>if(today()&gt;='Week Date Mapping'!$A$17,if(iferror(vlookup(CONCATENATE("Week 16",B26),'Raw With Formulas'!J:N,4,false),iferror(vlookup(CONCATENATE("Week 16",B26),'Raw With Formulas'!L:N,3,false),"BYE OR GAME NOT STARTED"))="","BYE OR GAME NOT STARTED",iferror(vlookup(CONCATENATE("Week 16",B26),'Raw With Formulas'!J:N,4,false),iferror(vlookup(CONCATENATE("Week 16",B26),'Raw With Formulas'!L:N,3,false),"BYE OR GAME NOT STARTED"))),"BYE OR GAME NOT STARTED")</f>
        <v>BYE OR GAME NOT STARTED</v>
      </c>
      <c r="AJ26" s="94" t="str">
        <f t="shared" si="14"/>
        <v>BYE, GAME NOT STARTED, OR NO STATS YET22</v>
      </c>
      <c r="AK26" s="87" t="str">
        <f>if(today()&gt;='Week Date Mapping'!$A$18,if(MAXIFS('Player Stats - Current Week'!E:E,'Player Stats - Current Week'!C:C,B26,'Player Stats - Current Week'!D:D,"WR")=0,"BYE, GAME NOT STARTED, OR NO STATS YET",iferror(MAXIFS('Player Stats - Current Week'!E:E,'Player Stats - Current Week'!C:C,B26,'Player Stats - Current Week'!D:D,"WR"),"")),"BYE, GAME NOT STARTED, OR NO STATS YET")</f>
        <v>BYE, GAME NOT STARTED, OR NO STATS YET</v>
      </c>
      <c r="AL26" s="87" t="s">
        <v>175</v>
      </c>
      <c r="AM26" s="87" t="str">
        <f>if(today()&gt;='Week Date Mapping'!$A$19,if(MAXIFS('Player Stats - Current Week'!Q:Q,'Player Stats - Current Week'!C:C,B26,'Player Stats - Current Week'!D:D,"RB")=0,"BYE, GAME NOT STARTED, OR NO STATS YET",iferror(MAXIFS('Player Stats - Current Week'!Q:Q,'Player Stats - Current Week'!C:C,B26,'Player Stats - Current Week'!D:D,"RB"),"")),"BYE, GAME NOT STARTED, OR NO STATS YET")</f>
        <v>BYE, GAME NOT STARTED, OR NO STATS YET</v>
      </c>
      <c r="AN26" s="92" t="str">
        <f t="shared" si="1"/>
        <v>Wyatt</v>
      </c>
    </row>
    <row r="27">
      <c r="A27" s="89" t="s">
        <v>119</v>
      </c>
      <c r="B27" s="90" t="s">
        <v>120</v>
      </c>
      <c r="C27" s="90" t="str">
        <f>vlookup(A27,'Wins by Team'!A:C,3,false)</f>
        <v>Chris</v>
      </c>
      <c r="D27" s="103" t="str">
        <f t="shared" si="2"/>
        <v>BYE, GAME NOT STARTED, OR NO STATS YET25</v>
      </c>
      <c r="E27" s="90" t="str">
        <f>if(MAXIFS('Player Stats - Current Week'!I:I,'Player Stats - Current Week'!C:C,B27,'Player Stats - Current Week'!D:D,"QB")=0,"BYE, GAME NOT STARTED, OR NO STATS YET",iferror(MAXIFS('Player Stats - Current Week'!I:I,'Player Stats - Current Week'!C:C,B27,'Player Stats - Current Week'!D:D,"QB"),""))</f>
        <v>BYE, GAME NOT STARTED, OR NO STATS YET</v>
      </c>
      <c r="F27" s="103" t="str">
        <f t="shared" si="9"/>
        <v>BYE OR GAME NOT STARTED25</v>
      </c>
      <c r="G27" s="90" t="str">
        <f>if(iferror(vlookup(CONCATENATE("Week 2",B27),'Raw With Formulas'!J:N,4,false),iferror(vlookup(CONCATENATE("Week 2",B27),'Raw With Formulas'!L:N,3,false),"BYE OR GAME NOT STARTED")) = "", "BYE OR GAME NOT STARTED", iferror(vlookup(CONCATENATE("Week 2",B27),'Raw With Formulas'!J:N,4,false),iferror(vlookup(CONCATENATE("Week 2",B27),'Raw With Formulas'!L:N,3,false),"BYE OR GAME NOT STARTED")))</f>
        <v>BYE OR GAME NOT STARTED</v>
      </c>
      <c r="H27" s="103" t="str">
        <f t="shared" si="10"/>
        <v>BYE, GAME NOT STARTED, OR NO STATS YET23</v>
      </c>
      <c r="I27" s="90" t="str">
        <f>if(today()&gt;='Week Date Mapping'!$A$4,iferror(
if(
sumifs(
'Player Stats - Current Week'!T:T,
'Player Stats - Current Week'!C:C,
iferror(
vlookup(
CONCATENATE("Week 3",B27), 
'Raw With Formulas'!J:O,
2,false
),
vlookup(CONCATENATE("Week 3",B27), 'Raw With Formulas'!L:O,4,false))) 
= 0,
"BYE, GAME NOT STARTED, OR NO STATS YET",
iferror(
sumifs(
'Player Stats - Current Week'!T:T,
'Player Stats - Current Week'!C:C,
iferror(
vlookup(
CONCATENATE("Week 3",B27), 
'Raw With Formulas'!J:O,
2,false
),
vlookup(CONCATENATE("Week 3",B27), 'Raw With Formulas'!L:O,4,false))),
""
)
),
"BYE, GAME NOT STARTED, OR NO STATS YET"
),"BYE, GAME NOT STARTED, OR NO STATS YET")</f>
        <v>BYE, GAME NOT STARTED, OR NO STATS YET</v>
      </c>
      <c r="J27" s="90" t="s">
        <v>175</v>
      </c>
      <c r="K27" s="90" t="str">
        <f>if(today()&gt;='Week Date Mapping'!$A$5,if(MAXIFS('Player Stats - Current Week'!E:E,'Player Stats - Current Week'!C:C,B27,'Player Stats - Current Week'!D:D,"TE")=0,"BYE, GAME NOT STARTED, OR NO STATS YET",iferror(MAXIFS('Player Stats - Current Week'!E:E,'Player Stats - Current Week'!C:C,B27,'Player Stats - Current Week'!D:D,"TE"),"")),"BYE, GAME NOT STARTED, OR NO STATS YET")</f>
        <v>BYE, GAME NOT STARTED, OR NO STATS YET</v>
      </c>
      <c r="L27" s="90" t="s">
        <v>175</v>
      </c>
      <c r="M27" s="90" t="str">
        <f>if(today()&gt;='Week Date Mapping'!$A$6,if(MAXIFS('Player Stats - Current Week'!Q:Q,'Player Stats - Current Week'!C:C,B27,'Player Stats - Current Week'!D:D,"WR")=0,"BYE, GAME NOT STARTED, OR NO STATS YET",iferror(MAXIFS('Player Stats - Current Week'!Q:Q,'Player Stats - Current Week'!C:C,B27,'Player Stats - Current Week'!D:D,"WR"),"")),"BYE, GAME NOT STARTED, OR NO STATS YET")</f>
        <v>BYE, GAME NOT STARTED, OR NO STATS YET</v>
      </c>
      <c r="N27" s="90" t="s">
        <v>175</v>
      </c>
      <c r="O27" s="90" t="str">
        <f>if(today()&gt;='Week Date Mapping'!$A$7,if((SUMIFS('Player Stats - Current Week'!L:L,'Player Stats - Current Week'!C:C,B27)+SUMIFS('Player Stats - Current Week'!R:R,'Player Stats - Current Week'!C:C,B27))=0,"BYE, GAME NOT STARTED, OR NO STATS YET",((SUMIFS('Player Stats - Current Week'!R:R,'Player Stats - Current Week'!C:C,B27)*6)+SUMIFS('Player Stats - Current Week'!L:L,'Player Stats - Current Week'!C:C,B27))),"BYE, GAME NOT STARTED, OR NO STATS YET")</f>
        <v>BYE, GAME NOT STARTED, OR NO STATS YET</v>
      </c>
      <c r="P27" s="90" t="s">
        <v>175</v>
      </c>
      <c r="Q27" s="90" t="str">
        <f>if(today()&gt;='Week Date Mapping'!$A$8,if((SUMIFS('Player Stats - Current Week'!G:G,'Player Stats - Current Week'!C:C,B27,'Player Stats - Current Week'!D:D,"RB")+SUMIFS('Player Stats - Current Week'!E:E,'Player Stats - Current Week'!C:C,B27,'Player Stats - Current Week'!D:D,"RB"))=0,"BYE, GAME NOT STARTED, OR NO STATS YET",((SUMIFS('Player Stats - Current Week'!G:G,'Player Stats - Current Week'!C:C,B27,'Player Stats - Current Week'!D:D,"RB"))+SUMIFS('Player Stats - Current Week'!E:E,'Player Stats - Current Week'!C:C,B27,'Player Stats - Current Week'!D:D,"RB"))),"BYE, GAME NOT STARTED, OR NO STATS YET")</f>
        <v>BYE, GAME NOT STARTED, OR NO STATS YET</v>
      </c>
      <c r="R27" s="90" t="s">
        <v>175</v>
      </c>
      <c r="S27" s="90" t="str">
        <f>if(today()&gt;='Week Date Mapping'!$A$9,if(MAXIFS('Player Stats - Current Week'!L:L,'Player Stats - Current Week'!C:C,B27,'Player Stats - Current Week'!D:D,"PK")=0,"BYE, GAME NOT STARTED, OR NO STATS YET",iferror(MAXIFS('Player Stats - Current Week'!L:L,'Player Stats - Current Week'!C:C,B27,'Player Stats - Current Week'!D:D,"PK"),"")),"BYE, GAME NOT STARTED, OR NO STATS YET")</f>
        <v>BYE, GAME NOT STARTED, OR NO STATS YET</v>
      </c>
      <c r="T27" s="90" t="s">
        <v>175</v>
      </c>
      <c r="U27" s="90" t="str">
        <f>if(today()&gt;='Week Date Mapping'!$A$10,if(MAXIFS('Player Stats - Current Week'!N:N,'Player Stats - Current Week'!C:C,B27,'Player Stats - Current Week'!D:D,"QB")=0,"BYE, GAME NOT STARTED, OR NO STATS YET",iferror(MAXIFS('Player Stats - Current Week'!N:N,'Player Stats - Current Week'!C:C,B27,'Player Stats - Current Week'!D:D,"QB"),"")),"BYE, GAME NOT STARTED, OR NO STATS YET")</f>
        <v>BYE, GAME NOT STARTED, OR NO STATS YET</v>
      </c>
      <c r="V27" s="90" t="s">
        <v>175</v>
      </c>
      <c r="W27" s="90" t="str">
        <f>if(today()&gt;='Week Date Mapping'!$A$11,if(SUMIFS('Player Stats - Current Week'!O:O,'Player Stats - Current Week'!C:C,B27)=0,"BYE, GAME NOT STARTED, OR NO STATS YET",iferror(SUMIFS('Player Stats - Current Week'!O:O,'Player Stats - Current Week'!C:C,B27),"")),"BYE, GAME NOT STARTED, OR NO STATS YET")</f>
        <v>BYE, GAME NOT STARTED, OR NO STATS YET</v>
      </c>
      <c r="X27" s="90" t="s">
        <v>175</v>
      </c>
      <c r="Y27" s="90" t="str">
        <f>if(today()&gt;='Week Date Mapping'!$A$12,if(MAXIFS('Player Stats - Current Week'!Q:Q,'Player Stats - Current Week'!C:C,B27,'Player Stats - Current Week'!D:D,"TE")=0,"BYE, GAME NOT STARTED, OR NO STATS YET",iferror(MAXIFS('Player Stats - Current Week'!Q:Q,'Player Stats - Current Week'!C:C,B27,'Player Stats - Current Week'!D:D,"TE"),"")),"BYE, GAME NOT STARTED, OR NO STATS YET")</f>
        <v>BYE, GAME NOT STARTED, OR NO STATS YET</v>
      </c>
      <c r="Z27" s="90" t="s">
        <v>175</v>
      </c>
      <c r="AA27" s="90" t="str">
        <f>if(today()&gt;='Week Date Mapping'!$A$13,if(MAXIFS('Player Stats - Current Week'!S:S,'Player Stats - Current Week'!C:C,B27)=0,"BYE, GAME NOT STARTED, OR NO STATS YET",iferror(MAXIFS('Player Stats - Current Week'!S:S,'Player Stats - Current Week'!C:C,B27),"")),"BYE, GAME NOT STARTED, OR NO STATS YET")</f>
        <v>BYE, GAME NOT STARTED, OR NO STATS YET</v>
      </c>
      <c r="AB27" s="90" t="s">
        <v>175</v>
      </c>
      <c r="AC27" s="90" t="str">
        <f>if(today()&gt;='Week Date Mapping'!$A$14,if(MAXIFS('Player Stats - Current Week'!G:G,'Player Stats - Current Week'!C:C,B27,'Player Stats - Current Week'!D:D,"QB")=0,"BYE, GAME NOT STARTED, OR NO STATS YET",iferror(MAXIFS('Player Stats - Current Week'!G:G,'Player Stats - Current Week'!C:C,B27,'Player Stats - Current Week'!D:D,"QB"),"")),"BYE, GAME NOT STARTED, OR NO STATS YET")</f>
        <v>BYE, GAME NOT STARTED, OR NO STATS YET</v>
      </c>
      <c r="AD27" s="103" t="str">
        <f t="shared" si="11"/>
        <v>BYE OR GAME NOT STARTED23</v>
      </c>
      <c r="AE27" s="101" t="str">
        <f>if(today()&gt;='Week Date Mapping'!$A$15,if(iferror(vlookup(CONCATENATE("Week 14",B27),'Raw With Formulas'!J:N,5,false),iferror(vlookup(CONCATENATE("Week 14",B27),'Raw With Formulas'!L:N,2,false),"BYE OR GAME NOT STARTED"))="","BYE OR GAME NOT STARTED",iferror(vlookup(CONCATENATE("Week 14",B27),'Raw With Formulas'!J:N,5,false),iferror(vlookup(CONCATENATE("Week 14",B27),'Raw With Formulas'!L:N,2,false),"BYE OR GAME NOT STARTED"))),"BYE OR GAME NOT STARTED")</f>
        <v>BYE OR GAME NOT STARTED</v>
      </c>
      <c r="AF27" s="103" t="str">
        <f t="shared" si="12"/>
        <v>BYE, GAME NOT STARTED, OR NO STATS YET23</v>
      </c>
      <c r="AG27" s="90" t="str">
        <f>if(today()&gt;='Week Date Mapping'!$A$16,if(MAXIFS('Player Stats - Current Week'!Q:Q,'Player Stats - Current Week'!C:C,B27,'Player Stats - Current Week'!D:D,"QB")=0,"BYE, GAME NOT STARTED, OR NO STATS YET",iferror(MAXIFS('Player Stats - Current Week'!Q:Q,'Player Stats - Current Week'!C:C,B27,'Player Stats - Current Week'!D:D,"QB"),"")),"BYE, GAME NOT STARTED, OR NO STATS YET")</f>
        <v>BYE, GAME NOT STARTED, OR NO STATS YET</v>
      </c>
      <c r="AH27" s="103" t="str">
        <f t="shared" si="13"/>
        <v>BYE OR GAME NOT STARTED23</v>
      </c>
      <c r="AI27" s="90" t="str">
        <f>if(today()&gt;='Week Date Mapping'!$A$17,if(iferror(vlookup(CONCATENATE("Week 16",B27),'Raw With Formulas'!J:N,4,false),iferror(vlookup(CONCATENATE("Week 16",B27),'Raw With Formulas'!L:N,3,false),"BYE OR GAME NOT STARTED"))="","BYE OR GAME NOT STARTED",iferror(vlookup(CONCATENATE("Week 16",B27),'Raw With Formulas'!J:N,4,false),iferror(vlookup(CONCATENATE("Week 16",B27),'Raw With Formulas'!L:N,3,false),"BYE OR GAME NOT STARTED"))),"BYE OR GAME NOT STARTED")</f>
        <v>BYE OR GAME NOT STARTED</v>
      </c>
      <c r="AJ27" s="103" t="str">
        <f t="shared" si="14"/>
        <v>BYE, GAME NOT STARTED, OR NO STATS YET23</v>
      </c>
      <c r="AK27" s="90" t="str">
        <f>if(today()&gt;='Week Date Mapping'!$A$18,if(MAXIFS('Player Stats - Current Week'!E:E,'Player Stats - Current Week'!C:C,B27,'Player Stats - Current Week'!D:D,"WR")=0,"BYE, GAME NOT STARTED, OR NO STATS YET",iferror(MAXIFS('Player Stats - Current Week'!E:E,'Player Stats - Current Week'!C:C,B27,'Player Stats - Current Week'!D:D,"WR"),"")),"BYE, GAME NOT STARTED, OR NO STATS YET")</f>
        <v>BYE, GAME NOT STARTED, OR NO STATS YET</v>
      </c>
      <c r="AL27" s="90" t="s">
        <v>175</v>
      </c>
      <c r="AM27" s="90" t="str">
        <f>if(today()&gt;='Week Date Mapping'!$A$19,if(MAXIFS('Player Stats - Current Week'!Q:Q,'Player Stats - Current Week'!C:C,B27,'Player Stats - Current Week'!D:D,"RB")=0,"BYE, GAME NOT STARTED, OR NO STATS YET",iferror(MAXIFS('Player Stats - Current Week'!Q:Q,'Player Stats - Current Week'!C:C,B27,'Player Stats - Current Week'!D:D,"RB"),"")),"BYE, GAME NOT STARTED, OR NO STATS YET")</f>
        <v>BYE, GAME NOT STARTED, OR NO STATS YET</v>
      </c>
      <c r="AN27" s="104" t="str">
        <f t="shared" si="1"/>
        <v>Chris</v>
      </c>
    </row>
    <row r="28">
      <c r="A28" s="86" t="s">
        <v>121</v>
      </c>
      <c r="B28" s="87" t="s">
        <v>122</v>
      </c>
      <c r="C28" s="87" t="str">
        <f>vlookup(A28,'Wins by Team'!A:C,3,false)</f>
        <v>Kyle</v>
      </c>
      <c r="D28" s="94" t="str">
        <f t="shared" si="2"/>
        <v>BYE, GAME NOT STARTED, OR NO STATS YET26</v>
      </c>
      <c r="E28" s="87" t="str">
        <f>if(MAXIFS('Player Stats - Current Week'!I:I,'Player Stats - Current Week'!C:C,B28,'Player Stats - Current Week'!D:D,"QB")=0,"BYE, GAME NOT STARTED, OR NO STATS YET",iferror(MAXIFS('Player Stats - Current Week'!I:I,'Player Stats - Current Week'!C:C,B28,'Player Stats - Current Week'!D:D,"QB"),""))</f>
        <v>BYE, GAME NOT STARTED, OR NO STATS YET</v>
      </c>
      <c r="F28" s="94" t="str">
        <f t="shared" si="9"/>
        <v>BYE OR GAME NOT STARTED26</v>
      </c>
      <c r="G28" s="87" t="str">
        <f>if(iferror(vlookup(CONCATENATE("Week 2",B28),'Raw With Formulas'!J:N,4,false),iferror(vlookup(CONCATENATE("Week 2",B28),'Raw With Formulas'!L:N,3,false),"BYE OR GAME NOT STARTED")) = "", "BYE OR GAME NOT STARTED", iferror(vlookup(CONCATENATE("Week 2",B28),'Raw With Formulas'!J:N,4,false),iferror(vlookup(CONCATENATE("Week 2",B28),'Raw With Formulas'!L:N,3,false),"BYE OR GAME NOT STARTED")))</f>
        <v>BYE OR GAME NOT STARTED</v>
      </c>
      <c r="H28" s="94" t="str">
        <f t="shared" si="10"/>
        <v>BYE, GAME NOT STARTED, OR NO STATS YET24</v>
      </c>
      <c r="I28" s="87" t="str">
        <f>if(today()&gt;='Week Date Mapping'!$A$4,iferror(
if(
sumifs(
'Player Stats - Current Week'!T:T,
'Player Stats - Current Week'!C:C,
iferror(
vlookup(
CONCATENATE("Week 3",B28), 
'Raw With Formulas'!J:O,
2,false
),
vlookup(CONCATENATE("Week 3",B28), 'Raw With Formulas'!L:O,4,false))) 
= 0,
"BYE, GAME NOT STARTED, OR NO STATS YET",
iferror(
sumifs(
'Player Stats - Current Week'!T:T,
'Player Stats - Current Week'!C:C,
iferror(
vlookup(
CONCATENATE("Week 3",B28), 
'Raw With Formulas'!J:O,
2,false
),
vlookup(CONCATENATE("Week 3",B28), 'Raw With Formulas'!L:O,4,false))),
""
)
),
"BYE, GAME NOT STARTED, OR NO STATS YET"
),"BYE, GAME NOT STARTED, OR NO STATS YET")</f>
        <v>BYE, GAME NOT STARTED, OR NO STATS YET</v>
      </c>
      <c r="J28" s="87" t="s">
        <v>175</v>
      </c>
      <c r="K28" s="87" t="str">
        <f>if(today()&gt;='Week Date Mapping'!$A$5,if(MAXIFS('Player Stats - Current Week'!E:E,'Player Stats - Current Week'!C:C,B28,'Player Stats - Current Week'!D:D,"TE")=0,"BYE, GAME NOT STARTED, OR NO STATS YET",iferror(MAXIFS('Player Stats - Current Week'!E:E,'Player Stats - Current Week'!C:C,B28,'Player Stats - Current Week'!D:D,"TE"),"")),"BYE, GAME NOT STARTED, OR NO STATS YET")</f>
        <v>BYE, GAME NOT STARTED, OR NO STATS YET</v>
      </c>
      <c r="L28" s="87" t="s">
        <v>175</v>
      </c>
      <c r="M28" s="87" t="str">
        <f>if(today()&gt;='Week Date Mapping'!$A$6,if(MAXIFS('Player Stats - Current Week'!Q:Q,'Player Stats - Current Week'!C:C,B28,'Player Stats - Current Week'!D:D,"WR")=0,"BYE, GAME NOT STARTED, OR NO STATS YET",iferror(MAXIFS('Player Stats - Current Week'!Q:Q,'Player Stats - Current Week'!C:C,B28,'Player Stats - Current Week'!D:D,"WR"),"")),"BYE, GAME NOT STARTED, OR NO STATS YET")</f>
        <v>BYE, GAME NOT STARTED, OR NO STATS YET</v>
      </c>
      <c r="N28" s="87" t="s">
        <v>175</v>
      </c>
      <c r="O28" s="87" t="str">
        <f>if(today()&gt;='Week Date Mapping'!$A$7,if((SUMIFS('Player Stats - Current Week'!L:L,'Player Stats - Current Week'!C:C,B28)+SUMIFS('Player Stats - Current Week'!R:R,'Player Stats - Current Week'!C:C,B28))=0,"BYE, GAME NOT STARTED, OR NO STATS YET",((SUMIFS('Player Stats - Current Week'!R:R,'Player Stats - Current Week'!C:C,B28)*6)+SUMIFS('Player Stats - Current Week'!L:L,'Player Stats - Current Week'!C:C,B28))),"BYE, GAME NOT STARTED, OR NO STATS YET")</f>
        <v>BYE, GAME NOT STARTED, OR NO STATS YET</v>
      </c>
      <c r="P28" s="87" t="s">
        <v>175</v>
      </c>
      <c r="Q28" s="87" t="str">
        <f>if(today()&gt;='Week Date Mapping'!$A$8,if((SUMIFS('Player Stats - Current Week'!G:G,'Player Stats - Current Week'!C:C,B28,'Player Stats - Current Week'!D:D,"RB")+SUMIFS('Player Stats - Current Week'!E:E,'Player Stats - Current Week'!C:C,B28,'Player Stats - Current Week'!D:D,"RB"))=0,"BYE, GAME NOT STARTED, OR NO STATS YET",((SUMIFS('Player Stats - Current Week'!G:G,'Player Stats - Current Week'!C:C,B28,'Player Stats - Current Week'!D:D,"RB"))+SUMIFS('Player Stats - Current Week'!E:E,'Player Stats - Current Week'!C:C,B28,'Player Stats - Current Week'!D:D,"RB"))),"BYE, GAME NOT STARTED, OR NO STATS YET")</f>
        <v>BYE, GAME NOT STARTED, OR NO STATS YET</v>
      </c>
      <c r="R28" s="87" t="s">
        <v>175</v>
      </c>
      <c r="S28" s="87" t="str">
        <f>if(today()&gt;='Week Date Mapping'!$A$9,if(MAXIFS('Player Stats - Current Week'!L:L,'Player Stats - Current Week'!C:C,B28,'Player Stats - Current Week'!D:D,"PK")=0,"BYE, GAME NOT STARTED, OR NO STATS YET",iferror(MAXIFS('Player Stats - Current Week'!L:L,'Player Stats - Current Week'!C:C,B28,'Player Stats - Current Week'!D:D,"PK"),"")),"BYE, GAME NOT STARTED, OR NO STATS YET")</f>
        <v>BYE, GAME NOT STARTED, OR NO STATS YET</v>
      </c>
      <c r="T28" s="87" t="s">
        <v>175</v>
      </c>
      <c r="U28" s="87" t="str">
        <f>if(today()&gt;='Week Date Mapping'!$A$10,if(MAXIFS('Player Stats - Current Week'!N:N,'Player Stats - Current Week'!C:C,B28,'Player Stats - Current Week'!D:D,"QB")=0,"BYE, GAME NOT STARTED, OR NO STATS YET",iferror(MAXIFS('Player Stats - Current Week'!N:N,'Player Stats - Current Week'!C:C,B28,'Player Stats - Current Week'!D:D,"QB"),"")),"BYE, GAME NOT STARTED, OR NO STATS YET")</f>
        <v>BYE, GAME NOT STARTED, OR NO STATS YET</v>
      </c>
      <c r="V28" s="87" t="s">
        <v>175</v>
      </c>
      <c r="W28" s="87" t="str">
        <f>if(today()&gt;='Week Date Mapping'!$A$11,if(SUMIFS('Player Stats - Current Week'!O:O,'Player Stats - Current Week'!C:C,B28)=0,"BYE, GAME NOT STARTED, OR NO STATS YET",iferror(SUMIFS('Player Stats - Current Week'!O:O,'Player Stats - Current Week'!C:C,B28),"")),"BYE, GAME NOT STARTED, OR NO STATS YET")</f>
        <v>BYE, GAME NOT STARTED, OR NO STATS YET</v>
      </c>
      <c r="X28" s="87" t="s">
        <v>175</v>
      </c>
      <c r="Y28" s="87" t="str">
        <f>if(today()&gt;='Week Date Mapping'!$A$12,if(MAXIFS('Player Stats - Current Week'!Q:Q,'Player Stats - Current Week'!C:C,B28,'Player Stats - Current Week'!D:D,"TE")=0,"BYE, GAME NOT STARTED, OR NO STATS YET",iferror(MAXIFS('Player Stats - Current Week'!Q:Q,'Player Stats - Current Week'!C:C,B28,'Player Stats - Current Week'!D:D,"TE"),"")),"BYE, GAME NOT STARTED, OR NO STATS YET")</f>
        <v>BYE, GAME NOT STARTED, OR NO STATS YET</v>
      </c>
      <c r="Z28" s="87" t="s">
        <v>175</v>
      </c>
      <c r="AA28" s="87" t="str">
        <f>if(today()&gt;='Week Date Mapping'!$A$13,if(MAXIFS('Player Stats - Current Week'!S:S,'Player Stats - Current Week'!C:C,B28)=0,"BYE, GAME NOT STARTED, OR NO STATS YET",iferror(MAXIFS('Player Stats - Current Week'!S:S,'Player Stats - Current Week'!C:C,B28),"")),"BYE, GAME NOT STARTED, OR NO STATS YET")</f>
        <v>BYE, GAME NOT STARTED, OR NO STATS YET</v>
      </c>
      <c r="AB28" s="87" t="s">
        <v>175</v>
      </c>
      <c r="AC28" s="87" t="str">
        <f>if(today()&gt;='Week Date Mapping'!$A$14,if(MAXIFS('Player Stats - Current Week'!G:G,'Player Stats - Current Week'!C:C,B28,'Player Stats - Current Week'!D:D,"QB")=0,"BYE, GAME NOT STARTED, OR NO STATS YET",iferror(MAXIFS('Player Stats - Current Week'!G:G,'Player Stats - Current Week'!C:C,B28,'Player Stats - Current Week'!D:D,"QB"),"")),"BYE, GAME NOT STARTED, OR NO STATS YET")</f>
        <v>BYE, GAME NOT STARTED, OR NO STATS YET</v>
      </c>
      <c r="AD28" s="94" t="str">
        <f t="shared" si="11"/>
        <v>BYE OR GAME NOT STARTED24</v>
      </c>
      <c r="AE28" s="100" t="str">
        <f>if(today()&gt;='Week Date Mapping'!$A$15,if(iferror(vlookup(CONCATENATE("Week 14",B28),'Raw With Formulas'!J:N,5,false),iferror(vlookup(CONCATENATE("Week 14",B28),'Raw With Formulas'!L:N,2,false),"BYE OR GAME NOT STARTED"))="","BYE OR GAME NOT STARTED",iferror(vlookup(CONCATENATE("Week 14",B28),'Raw With Formulas'!J:N,5,false),iferror(vlookup(CONCATENATE("Week 14",B28),'Raw With Formulas'!L:N,2,false),"BYE OR GAME NOT STARTED"))),"BYE OR GAME NOT STARTED")</f>
        <v>BYE OR GAME NOT STARTED</v>
      </c>
      <c r="AF28" s="94" t="str">
        <f t="shared" si="12"/>
        <v>BYE, GAME NOT STARTED, OR NO STATS YET24</v>
      </c>
      <c r="AG28" s="87" t="str">
        <f>if(today()&gt;='Week Date Mapping'!$A$16,if(MAXIFS('Player Stats - Current Week'!Q:Q,'Player Stats - Current Week'!C:C,B28,'Player Stats - Current Week'!D:D,"QB")=0,"BYE, GAME NOT STARTED, OR NO STATS YET",iferror(MAXIFS('Player Stats - Current Week'!Q:Q,'Player Stats - Current Week'!C:C,B28,'Player Stats - Current Week'!D:D,"QB"),"")),"BYE, GAME NOT STARTED, OR NO STATS YET")</f>
        <v>BYE, GAME NOT STARTED, OR NO STATS YET</v>
      </c>
      <c r="AH28" s="94" t="str">
        <f t="shared" si="13"/>
        <v>BYE OR GAME NOT STARTED24</v>
      </c>
      <c r="AI28" s="87" t="str">
        <f>if(today()&gt;='Week Date Mapping'!$A$17,if(iferror(vlookup(CONCATENATE("Week 16",B28),'Raw With Formulas'!J:N,4,false),iferror(vlookup(CONCATENATE("Week 16",B28),'Raw With Formulas'!L:N,3,false),"BYE OR GAME NOT STARTED"))="","BYE OR GAME NOT STARTED",iferror(vlookup(CONCATENATE("Week 16",B28),'Raw With Formulas'!J:N,4,false),iferror(vlookup(CONCATENATE("Week 16",B28),'Raw With Formulas'!L:N,3,false),"BYE OR GAME NOT STARTED"))),"BYE OR GAME NOT STARTED")</f>
        <v>BYE OR GAME NOT STARTED</v>
      </c>
      <c r="AJ28" s="94" t="str">
        <f t="shared" si="14"/>
        <v>BYE, GAME NOT STARTED, OR NO STATS YET24</v>
      </c>
      <c r="AK28" s="87" t="str">
        <f>if(today()&gt;='Week Date Mapping'!$A$18,if(MAXIFS('Player Stats - Current Week'!E:E,'Player Stats - Current Week'!C:C,B28,'Player Stats - Current Week'!D:D,"WR")=0,"BYE, GAME NOT STARTED, OR NO STATS YET",iferror(MAXIFS('Player Stats - Current Week'!E:E,'Player Stats - Current Week'!C:C,B28,'Player Stats - Current Week'!D:D,"WR"),"")),"BYE, GAME NOT STARTED, OR NO STATS YET")</f>
        <v>BYE, GAME NOT STARTED, OR NO STATS YET</v>
      </c>
      <c r="AL28" s="87" t="s">
        <v>175</v>
      </c>
      <c r="AM28" s="87" t="str">
        <f>if(today()&gt;='Week Date Mapping'!$A$19,if(MAXIFS('Player Stats - Current Week'!Q:Q,'Player Stats - Current Week'!C:C,B28,'Player Stats - Current Week'!D:D,"RB")=0,"BYE, GAME NOT STARTED, OR NO STATS YET",iferror(MAXIFS('Player Stats - Current Week'!Q:Q,'Player Stats - Current Week'!C:C,B28,'Player Stats - Current Week'!D:D,"RB"),"")),"BYE, GAME NOT STARTED, OR NO STATS YET")</f>
        <v>BYE, GAME NOT STARTED, OR NO STATS YET</v>
      </c>
      <c r="AN28" s="92" t="str">
        <f t="shared" si="1"/>
        <v>Kyle</v>
      </c>
    </row>
    <row r="29">
      <c r="A29" s="89" t="s">
        <v>123</v>
      </c>
      <c r="B29" s="90" t="s">
        <v>124</v>
      </c>
      <c r="C29" s="90" t="str">
        <f>vlookup(A29,'Wins by Team'!A:C,3,false)</f>
        <v>Jim</v>
      </c>
      <c r="D29" s="103" t="str">
        <f t="shared" si="2"/>
        <v>BYE, GAME NOT STARTED, OR NO STATS YET27</v>
      </c>
      <c r="E29" s="90" t="str">
        <f>if(MAXIFS('Player Stats - Current Week'!I:I,'Player Stats - Current Week'!C:C,B29,'Player Stats - Current Week'!D:D,"QB")=0,"BYE, GAME NOT STARTED, OR NO STATS YET",iferror(MAXIFS('Player Stats - Current Week'!I:I,'Player Stats - Current Week'!C:C,B29,'Player Stats - Current Week'!D:D,"QB"),""))</f>
        <v>BYE, GAME NOT STARTED, OR NO STATS YET</v>
      </c>
      <c r="F29" s="103" t="str">
        <f t="shared" si="9"/>
        <v>BYE OR GAME NOT STARTED27</v>
      </c>
      <c r="G29" s="90" t="str">
        <f>if(iferror(vlookup(CONCATENATE("Week 2",B29),'Raw With Formulas'!J:N,4,false),iferror(vlookup(CONCATENATE("Week 2",B29),'Raw With Formulas'!L:N,3,false),"BYE OR GAME NOT STARTED")) = "", "BYE OR GAME NOT STARTED", iferror(vlookup(CONCATENATE("Week 2",B29),'Raw With Formulas'!J:N,4,false),iferror(vlookup(CONCATENATE("Week 2",B29),'Raw With Formulas'!L:N,3,false),"BYE OR GAME NOT STARTED")))</f>
        <v>BYE OR GAME NOT STARTED</v>
      </c>
      <c r="H29" s="103" t="str">
        <f t="shared" si="10"/>
        <v>BYE, GAME NOT STARTED, OR NO STATS YET25</v>
      </c>
      <c r="I29" s="90" t="str">
        <f>if(today()&gt;='Week Date Mapping'!$A$4,iferror(
if(
sumifs(
'Player Stats - Current Week'!T:T,
'Player Stats - Current Week'!C:C,
iferror(
vlookup(
CONCATENATE("Week 3",B29), 
'Raw With Formulas'!J:O,
2,false
),
vlookup(CONCATENATE("Week 3",B29), 'Raw With Formulas'!L:O,4,false))) 
= 0,
"BYE, GAME NOT STARTED, OR NO STATS YET",
iferror(
sumifs(
'Player Stats - Current Week'!T:T,
'Player Stats - Current Week'!C:C,
iferror(
vlookup(
CONCATENATE("Week 3",B29), 
'Raw With Formulas'!J:O,
2,false
),
vlookup(CONCATENATE("Week 3",B29), 'Raw With Formulas'!L:O,4,false))),
""
)
),
"BYE, GAME NOT STARTED, OR NO STATS YET"
),"BYE, GAME NOT STARTED, OR NO STATS YET")</f>
        <v>BYE, GAME NOT STARTED, OR NO STATS YET</v>
      </c>
      <c r="J29" s="90" t="s">
        <v>175</v>
      </c>
      <c r="K29" s="90" t="str">
        <f>if(today()&gt;='Week Date Mapping'!$A$5,if(MAXIFS('Player Stats - Current Week'!E:E,'Player Stats - Current Week'!C:C,B29,'Player Stats - Current Week'!D:D,"TE")=0,"BYE, GAME NOT STARTED, OR NO STATS YET",iferror(MAXIFS('Player Stats - Current Week'!E:E,'Player Stats - Current Week'!C:C,B29,'Player Stats - Current Week'!D:D,"TE"),"")),"BYE, GAME NOT STARTED, OR NO STATS YET")</f>
        <v>BYE, GAME NOT STARTED, OR NO STATS YET</v>
      </c>
      <c r="L29" s="90" t="s">
        <v>175</v>
      </c>
      <c r="M29" s="90" t="str">
        <f>if(today()&gt;='Week Date Mapping'!$A$6,if(MAXIFS('Player Stats - Current Week'!Q:Q,'Player Stats - Current Week'!C:C,B29,'Player Stats - Current Week'!D:D,"WR")=0,"BYE, GAME NOT STARTED, OR NO STATS YET",iferror(MAXIFS('Player Stats - Current Week'!Q:Q,'Player Stats - Current Week'!C:C,B29,'Player Stats - Current Week'!D:D,"WR"),"")),"BYE, GAME NOT STARTED, OR NO STATS YET")</f>
        <v>BYE, GAME NOT STARTED, OR NO STATS YET</v>
      </c>
      <c r="N29" s="90" t="s">
        <v>175</v>
      </c>
      <c r="O29" s="90" t="str">
        <f>if(today()&gt;='Week Date Mapping'!$A$7,if((SUMIFS('Player Stats - Current Week'!L:L,'Player Stats - Current Week'!C:C,B29)+SUMIFS('Player Stats - Current Week'!R:R,'Player Stats - Current Week'!C:C,B29))=0,"BYE, GAME NOT STARTED, OR NO STATS YET",((SUMIFS('Player Stats - Current Week'!R:R,'Player Stats - Current Week'!C:C,B29)*6)+SUMIFS('Player Stats - Current Week'!L:L,'Player Stats - Current Week'!C:C,B29))),"BYE, GAME NOT STARTED, OR NO STATS YET")</f>
        <v>BYE, GAME NOT STARTED, OR NO STATS YET</v>
      </c>
      <c r="P29" s="90" t="s">
        <v>175</v>
      </c>
      <c r="Q29" s="90" t="str">
        <f>if(today()&gt;='Week Date Mapping'!$A$8,if((SUMIFS('Player Stats - Current Week'!G:G,'Player Stats - Current Week'!C:C,B29,'Player Stats - Current Week'!D:D,"RB")+SUMIFS('Player Stats - Current Week'!E:E,'Player Stats - Current Week'!C:C,B29,'Player Stats - Current Week'!D:D,"RB"))=0,"BYE, GAME NOT STARTED, OR NO STATS YET",((SUMIFS('Player Stats - Current Week'!G:G,'Player Stats - Current Week'!C:C,B29,'Player Stats - Current Week'!D:D,"RB"))+SUMIFS('Player Stats - Current Week'!E:E,'Player Stats - Current Week'!C:C,B29,'Player Stats - Current Week'!D:D,"RB"))),"BYE, GAME NOT STARTED, OR NO STATS YET")</f>
        <v>BYE, GAME NOT STARTED, OR NO STATS YET</v>
      </c>
      <c r="R29" s="90" t="s">
        <v>175</v>
      </c>
      <c r="S29" s="90" t="str">
        <f>if(today()&gt;='Week Date Mapping'!$A$9,if(MAXIFS('Player Stats - Current Week'!L:L,'Player Stats - Current Week'!C:C,B29,'Player Stats - Current Week'!D:D,"PK")=0,"BYE, GAME NOT STARTED, OR NO STATS YET",iferror(MAXIFS('Player Stats - Current Week'!L:L,'Player Stats - Current Week'!C:C,B29,'Player Stats - Current Week'!D:D,"PK"),"")),"BYE, GAME NOT STARTED, OR NO STATS YET")</f>
        <v>BYE, GAME NOT STARTED, OR NO STATS YET</v>
      </c>
      <c r="T29" s="90" t="s">
        <v>175</v>
      </c>
      <c r="U29" s="90" t="str">
        <f>if(today()&gt;='Week Date Mapping'!$A$10,if(MAXIFS('Player Stats - Current Week'!N:N,'Player Stats - Current Week'!C:C,B29,'Player Stats - Current Week'!D:D,"QB")=0,"BYE, GAME NOT STARTED, OR NO STATS YET",iferror(MAXIFS('Player Stats - Current Week'!N:N,'Player Stats - Current Week'!C:C,B29,'Player Stats - Current Week'!D:D,"QB"),"")),"BYE, GAME NOT STARTED, OR NO STATS YET")</f>
        <v>BYE, GAME NOT STARTED, OR NO STATS YET</v>
      </c>
      <c r="V29" s="90" t="s">
        <v>175</v>
      </c>
      <c r="W29" s="90" t="str">
        <f>if(today()&gt;='Week Date Mapping'!$A$11,if(SUMIFS('Player Stats - Current Week'!O:O,'Player Stats - Current Week'!C:C,B29)=0,"BYE, GAME NOT STARTED, OR NO STATS YET",iferror(SUMIFS('Player Stats - Current Week'!O:O,'Player Stats - Current Week'!C:C,B29),"")),"BYE, GAME NOT STARTED, OR NO STATS YET")</f>
        <v>BYE, GAME NOT STARTED, OR NO STATS YET</v>
      </c>
      <c r="X29" s="90" t="s">
        <v>175</v>
      </c>
      <c r="Y29" s="90" t="str">
        <f>if(today()&gt;='Week Date Mapping'!$A$12,if(MAXIFS('Player Stats - Current Week'!Q:Q,'Player Stats - Current Week'!C:C,B29,'Player Stats - Current Week'!D:D,"TE")=0,"BYE, GAME NOT STARTED, OR NO STATS YET",iferror(MAXIFS('Player Stats - Current Week'!Q:Q,'Player Stats - Current Week'!C:C,B29,'Player Stats - Current Week'!D:D,"TE"),"")),"BYE, GAME NOT STARTED, OR NO STATS YET")</f>
        <v>BYE, GAME NOT STARTED, OR NO STATS YET</v>
      </c>
      <c r="Z29" s="90" t="s">
        <v>175</v>
      </c>
      <c r="AA29" s="90" t="str">
        <f>if(today()&gt;='Week Date Mapping'!$A$13,if(MAXIFS('Player Stats - Current Week'!S:S,'Player Stats - Current Week'!C:C,B29)=0,"BYE, GAME NOT STARTED, OR NO STATS YET",iferror(MAXIFS('Player Stats - Current Week'!S:S,'Player Stats - Current Week'!C:C,B29),"")),"BYE, GAME NOT STARTED, OR NO STATS YET")</f>
        <v>BYE, GAME NOT STARTED, OR NO STATS YET</v>
      </c>
      <c r="AB29" s="90" t="s">
        <v>175</v>
      </c>
      <c r="AC29" s="90" t="str">
        <f>if(today()&gt;='Week Date Mapping'!$A$14,if(MAXIFS('Player Stats - Current Week'!G:G,'Player Stats - Current Week'!C:C,B29,'Player Stats - Current Week'!D:D,"QB")=0,"BYE, GAME NOT STARTED, OR NO STATS YET",iferror(MAXIFS('Player Stats - Current Week'!G:G,'Player Stats - Current Week'!C:C,B29,'Player Stats - Current Week'!D:D,"QB"),"")),"BYE, GAME NOT STARTED, OR NO STATS YET")</f>
        <v>BYE, GAME NOT STARTED, OR NO STATS YET</v>
      </c>
      <c r="AD29" s="103" t="str">
        <f t="shared" si="11"/>
        <v>BYE OR GAME NOT STARTED25</v>
      </c>
      <c r="AE29" s="101" t="str">
        <f>if(today()&gt;='Week Date Mapping'!$A$15,if(iferror(vlookup(CONCATENATE("Week 14",B29),'Raw With Formulas'!J:N,5,false),iferror(vlookup(CONCATENATE("Week 14",B29),'Raw With Formulas'!L:N,2,false),"BYE OR GAME NOT STARTED"))="","BYE OR GAME NOT STARTED",iferror(vlookup(CONCATENATE("Week 14",B29),'Raw With Formulas'!J:N,5,false),iferror(vlookup(CONCATENATE("Week 14",B29),'Raw With Formulas'!L:N,2,false),"BYE OR GAME NOT STARTED"))),"BYE OR GAME NOT STARTED")</f>
        <v>BYE OR GAME NOT STARTED</v>
      </c>
      <c r="AF29" s="103" t="str">
        <f t="shared" si="12"/>
        <v>BYE, GAME NOT STARTED, OR NO STATS YET25</v>
      </c>
      <c r="AG29" s="90" t="str">
        <f>if(today()&gt;='Week Date Mapping'!$A$16,if(MAXIFS('Player Stats - Current Week'!Q:Q,'Player Stats - Current Week'!C:C,B29,'Player Stats - Current Week'!D:D,"QB")=0,"BYE, GAME NOT STARTED, OR NO STATS YET",iferror(MAXIFS('Player Stats - Current Week'!Q:Q,'Player Stats - Current Week'!C:C,B29,'Player Stats - Current Week'!D:D,"QB"),"")),"BYE, GAME NOT STARTED, OR NO STATS YET")</f>
        <v>BYE, GAME NOT STARTED, OR NO STATS YET</v>
      </c>
      <c r="AH29" s="103" t="str">
        <f t="shared" si="13"/>
        <v>BYE OR GAME NOT STARTED25</v>
      </c>
      <c r="AI29" s="90" t="str">
        <f>if(today()&gt;='Week Date Mapping'!$A$17,if(iferror(vlookup(CONCATENATE("Week 16",B29),'Raw With Formulas'!J:N,4,false),iferror(vlookup(CONCATENATE("Week 16",B29),'Raw With Formulas'!L:N,3,false),"BYE OR GAME NOT STARTED"))="","BYE OR GAME NOT STARTED",iferror(vlookup(CONCATENATE("Week 16",B29),'Raw With Formulas'!J:N,4,false),iferror(vlookup(CONCATENATE("Week 16",B29),'Raw With Formulas'!L:N,3,false),"BYE OR GAME NOT STARTED"))),"BYE OR GAME NOT STARTED")</f>
        <v>BYE OR GAME NOT STARTED</v>
      </c>
      <c r="AJ29" s="103" t="str">
        <f t="shared" si="14"/>
        <v>BYE, GAME NOT STARTED, OR NO STATS YET25</v>
      </c>
      <c r="AK29" s="90" t="str">
        <f>if(today()&gt;='Week Date Mapping'!$A$18,if(MAXIFS('Player Stats - Current Week'!E:E,'Player Stats - Current Week'!C:C,B29,'Player Stats - Current Week'!D:D,"WR")=0,"BYE, GAME NOT STARTED, OR NO STATS YET",iferror(MAXIFS('Player Stats - Current Week'!E:E,'Player Stats - Current Week'!C:C,B29,'Player Stats - Current Week'!D:D,"WR"),"")),"BYE, GAME NOT STARTED, OR NO STATS YET")</f>
        <v>BYE, GAME NOT STARTED, OR NO STATS YET</v>
      </c>
      <c r="AL29" s="90" t="s">
        <v>175</v>
      </c>
      <c r="AM29" s="90" t="str">
        <f>if(today()&gt;='Week Date Mapping'!$A$19,if(MAXIFS('Player Stats - Current Week'!Q:Q,'Player Stats - Current Week'!C:C,B29,'Player Stats - Current Week'!D:D,"RB")=0,"BYE, GAME NOT STARTED, OR NO STATS YET",iferror(MAXIFS('Player Stats - Current Week'!Q:Q,'Player Stats - Current Week'!C:C,B29,'Player Stats - Current Week'!D:D,"RB"),"")),"BYE, GAME NOT STARTED, OR NO STATS YET")</f>
        <v>BYE, GAME NOT STARTED, OR NO STATS YET</v>
      </c>
      <c r="AN29" s="104" t="str">
        <f t="shared" si="1"/>
        <v>Jim</v>
      </c>
    </row>
    <row r="30">
      <c r="A30" s="86" t="s">
        <v>125</v>
      </c>
      <c r="B30" s="87" t="s">
        <v>125</v>
      </c>
      <c r="C30" s="87" t="str">
        <f>vlookup(A30,'Wins by Team'!A:C,3,false)</f>
        <v>Steve|Sutter</v>
      </c>
      <c r="D30" s="94" t="str">
        <f t="shared" si="2"/>
        <v>BYE, GAME NOT STARTED, OR NO STATS YET28</v>
      </c>
      <c r="E30" s="87" t="str">
        <f>if(MAXIFS('Player Stats - Current Week'!I:I,'Player Stats - Current Week'!C:C,B30,'Player Stats - Current Week'!D:D,"QB")=0,"BYE, GAME NOT STARTED, OR NO STATS YET",iferror(MAXIFS('Player Stats - Current Week'!I:I,'Player Stats - Current Week'!C:C,B30,'Player Stats - Current Week'!D:D,"QB"),""))</f>
        <v>BYE, GAME NOT STARTED, OR NO STATS YET</v>
      </c>
      <c r="F30" s="94" t="str">
        <f t="shared" si="9"/>
        <v>BYE OR GAME NOT STARTED28</v>
      </c>
      <c r="G30" s="87" t="str">
        <f>if(iferror(vlookup(CONCATENATE("Week 2",B30),'Raw With Formulas'!J:N,4,false),iferror(vlookup(CONCATENATE("Week 2",B30),'Raw With Formulas'!L:N,3,false),"BYE OR GAME NOT STARTED")) = "", "BYE OR GAME NOT STARTED", iferror(vlookup(CONCATENATE("Week 2",B30),'Raw With Formulas'!J:N,4,false),iferror(vlookup(CONCATENATE("Week 2",B30),'Raw With Formulas'!L:N,3,false),"BYE OR GAME NOT STARTED")))</f>
        <v>BYE OR GAME NOT STARTED</v>
      </c>
      <c r="H30" s="94" t="str">
        <f t="shared" si="10"/>
        <v>BYE, GAME NOT STARTED, OR NO STATS YET26</v>
      </c>
      <c r="I30" s="87" t="str">
        <f>if(today()&gt;='Week Date Mapping'!$A$4,iferror(
if(
sumifs(
'Player Stats - Current Week'!T:T,
'Player Stats - Current Week'!C:C,
iferror(
vlookup(
CONCATENATE("Week 3",B30), 
'Raw With Formulas'!J:O,
2,false
),
vlookup(CONCATENATE("Week 3",B30), 'Raw With Formulas'!L:O,4,false))) 
= 0,
"BYE, GAME NOT STARTED, OR NO STATS YET",
iferror(
sumifs(
'Player Stats - Current Week'!T:T,
'Player Stats - Current Week'!C:C,
iferror(
vlookup(
CONCATENATE("Week 3",B30), 
'Raw With Formulas'!J:O,
2,false
),
vlookup(CONCATENATE("Week 3",B30), 'Raw With Formulas'!L:O,4,false))),
""
)
),
"BYE, GAME NOT STARTED, OR NO STATS YET"
),"BYE, GAME NOT STARTED, OR NO STATS YET")</f>
        <v>BYE, GAME NOT STARTED, OR NO STATS YET</v>
      </c>
      <c r="J30" s="87" t="s">
        <v>175</v>
      </c>
      <c r="K30" s="87" t="str">
        <f>if(today()&gt;='Week Date Mapping'!$A$5,if(MAXIFS('Player Stats - Current Week'!E:E,'Player Stats - Current Week'!C:C,B30,'Player Stats - Current Week'!D:D,"TE")=0,"BYE, GAME NOT STARTED, OR NO STATS YET",iferror(MAXIFS('Player Stats - Current Week'!E:E,'Player Stats - Current Week'!C:C,B30,'Player Stats - Current Week'!D:D,"TE"),"")),"BYE, GAME NOT STARTED, OR NO STATS YET")</f>
        <v>BYE, GAME NOT STARTED, OR NO STATS YET</v>
      </c>
      <c r="L30" s="87" t="s">
        <v>175</v>
      </c>
      <c r="M30" s="87" t="str">
        <f>if(today()&gt;='Week Date Mapping'!$A$6,if(MAXIFS('Player Stats - Current Week'!Q:Q,'Player Stats - Current Week'!C:C,B30,'Player Stats - Current Week'!D:D,"WR")=0,"BYE, GAME NOT STARTED, OR NO STATS YET",iferror(MAXIFS('Player Stats - Current Week'!Q:Q,'Player Stats - Current Week'!C:C,B30,'Player Stats - Current Week'!D:D,"WR"),"")),"BYE, GAME NOT STARTED, OR NO STATS YET")</f>
        <v>BYE, GAME NOT STARTED, OR NO STATS YET</v>
      </c>
      <c r="N30" s="87" t="s">
        <v>175</v>
      </c>
      <c r="O30" s="87" t="str">
        <f>if(today()&gt;='Week Date Mapping'!$A$7,if((SUMIFS('Player Stats - Current Week'!L:L,'Player Stats - Current Week'!C:C,B30)+SUMIFS('Player Stats - Current Week'!R:R,'Player Stats - Current Week'!C:C,B30))=0,"BYE, GAME NOT STARTED, OR NO STATS YET",((SUMIFS('Player Stats - Current Week'!R:R,'Player Stats - Current Week'!C:C,B30)*6)+SUMIFS('Player Stats - Current Week'!L:L,'Player Stats - Current Week'!C:C,B30))),"BYE, GAME NOT STARTED, OR NO STATS YET")</f>
        <v>BYE, GAME NOT STARTED, OR NO STATS YET</v>
      </c>
      <c r="P30" s="87" t="s">
        <v>175</v>
      </c>
      <c r="Q30" s="87" t="str">
        <f>if(today()&gt;='Week Date Mapping'!$A$8,if((SUMIFS('Player Stats - Current Week'!G:G,'Player Stats - Current Week'!C:C,B30,'Player Stats - Current Week'!D:D,"RB")+SUMIFS('Player Stats - Current Week'!E:E,'Player Stats - Current Week'!C:C,B30,'Player Stats - Current Week'!D:D,"RB"))=0,"BYE, GAME NOT STARTED, OR NO STATS YET",((SUMIFS('Player Stats - Current Week'!G:G,'Player Stats - Current Week'!C:C,B30,'Player Stats - Current Week'!D:D,"RB"))+SUMIFS('Player Stats - Current Week'!E:E,'Player Stats - Current Week'!C:C,B30,'Player Stats - Current Week'!D:D,"RB"))),"BYE, GAME NOT STARTED, OR NO STATS YET")</f>
        <v>BYE, GAME NOT STARTED, OR NO STATS YET</v>
      </c>
      <c r="R30" s="87" t="s">
        <v>175</v>
      </c>
      <c r="S30" s="87" t="str">
        <f>if(today()&gt;='Week Date Mapping'!$A$9,if(MAXIFS('Player Stats - Current Week'!L:L,'Player Stats - Current Week'!C:C,B30,'Player Stats - Current Week'!D:D,"PK")=0,"BYE, GAME NOT STARTED, OR NO STATS YET",iferror(MAXIFS('Player Stats - Current Week'!L:L,'Player Stats - Current Week'!C:C,B30,'Player Stats - Current Week'!D:D,"PK"),"")),"BYE, GAME NOT STARTED, OR NO STATS YET")</f>
        <v>BYE, GAME NOT STARTED, OR NO STATS YET</v>
      </c>
      <c r="T30" s="87" t="s">
        <v>175</v>
      </c>
      <c r="U30" s="87" t="str">
        <f>if(today()&gt;='Week Date Mapping'!$A$10,if(MAXIFS('Player Stats - Current Week'!N:N,'Player Stats - Current Week'!C:C,B30,'Player Stats - Current Week'!D:D,"QB")=0,"BYE, GAME NOT STARTED, OR NO STATS YET",iferror(MAXIFS('Player Stats - Current Week'!N:N,'Player Stats - Current Week'!C:C,B30,'Player Stats - Current Week'!D:D,"QB"),"")),"BYE, GAME NOT STARTED, OR NO STATS YET")</f>
        <v>BYE, GAME NOT STARTED, OR NO STATS YET</v>
      </c>
      <c r="V30" s="87" t="s">
        <v>175</v>
      </c>
      <c r="W30" s="87" t="str">
        <f>if(today()&gt;='Week Date Mapping'!$A$11,if(SUMIFS('Player Stats - Current Week'!O:O,'Player Stats - Current Week'!C:C,B30)=0,"BYE, GAME NOT STARTED, OR NO STATS YET",iferror(SUMIFS('Player Stats - Current Week'!O:O,'Player Stats - Current Week'!C:C,B30),"")),"BYE, GAME NOT STARTED, OR NO STATS YET")</f>
        <v>BYE, GAME NOT STARTED, OR NO STATS YET</v>
      </c>
      <c r="X30" s="87" t="s">
        <v>175</v>
      </c>
      <c r="Y30" s="87" t="str">
        <f>if(today()&gt;='Week Date Mapping'!$A$12,if(MAXIFS('Player Stats - Current Week'!Q:Q,'Player Stats - Current Week'!C:C,B30,'Player Stats - Current Week'!D:D,"TE")=0,"BYE, GAME NOT STARTED, OR NO STATS YET",iferror(MAXIFS('Player Stats - Current Week'!Q:Q,'Player Stats - Current Week'!C:C,B30,'Player Stats - Current Week'!D:D,"TE"),"")),"BYE, GAME NOT STARTED, OR NO STATS YET")</f>
        <v>BYE, GAME NOT STARTED, OR NO STATS YET</v>
      </c>
      <c r="Z30" s="87" t="s">
        <v>175</v>
      </c>
      <c r="AA30" s="87" t="str">
        <f>if(today()&gt;='Week Date Mapping'!$A$13,if(MAXIFS('Player Stats - Current Week'!S:S,'Player Stats - Current Week'!C:C,B30)=0,"BYE, GAME NOT STARTED, OR NO STATS YET",iferror(MAXIFS('Player Stats - Current Week'!S:S,'Player Stats - Current Week'!C:C,B30),"")),"BYE, GAME NOT STARTED, OR NO STATS YET")</f>
        <v>BYE, GAME NOT STARTED, OR NO STATS YET</v>
      </c>
      <c r="AB30" s="87" t="s">
        <v>175</v>
      </c>
      <c r="AC30" s="87" t="str">
        <f>if(today()&gt;='Week Date Mapping'!$A$14,if(MAXIFS('Player Stats - Current Week'!G:G,'Player Stats - Current Week'!C:C,B30,'Player Stats - Current Week'!D:D,"QB")=0,"BYE, GAME NOT STARTED, OR NO STATS YET",iferror(MAXIFS('Player Stats - Current Week'!G:G,'Player Stats - Current Week'!C:C,B30,'Player Stats - Current Week'!D:D,"QB"),"")),"BYE, GAME NOT STARTED, OR NO STATS YET")</f>
        <v>BYE, GAME NOT STARTED, OR NO STATS YET</v>
      </c>
      <c r="AD30" s="94" t="str">
        <f t="shared" si="11"/>
        <v>BYE OR GAME NOT STARTED26</v>
      </c>
      <c r="AE30" s="100" t="str">
        <f>if(today()&gt;='Week Date Mapping'!$A$15,if(iferror(vlookup(CONCATENATE("Week 14",B30),'Raw With Formulas'!J:N,5,false),iferror(vlookup(CONCATENATE("Week 14",B30),'Raw With Formulas'!L:N,2,false),"BYE OR GAME NOT STARTED"))="","BYE OR GAME NOT STARTED",iferror(vlookup(CONCATENATE("Week 14",B30),'Raw With Formulas'!J:N,5,false),iferror(vlookup(CONCATENATE("Week 14",B30),'Raw With Formulas'!L:N,2,false),"BYE OR GAME NOT STARTED"))),"BYE OR GAME NOT STARTED")</f>
        <v>BYE OR GAME NOT STARTED</v>
      </c>
      <c r="AF30" s="94" t="str">
        <f t="shared" si="12"/>
        <v>BYE, GAME NOT STARTED, OR NO STATS YET26</v>
      </c>
      <c r="AG30" s="87" t="str">
        <f>if(today()&gt;='Week Date Mapping'!$A$16,if(MAXIFS('Player Stats - Current Week'!Q:Q,'Player Stats - Current Week'!C:C,B30,'Player Stats - Current Week'!D:D,"QB")=0,"BYE, GAME NOT STARTED, OR NO STATS YET",iferror(MAXIFS('Player Stats - Current Week'!Q:Q,'Player Stats - Current Week'!C:C,B30,'Player Stats - Current Week'!D:D,"QB"),"")),"BYE, GAME NOT STARTED, OR NO STATS YET")</f>
        <v>BYE, GAME NOT STARTED, OR NO STATS YET</v>
      </c>
      <c r="AH30" s="94" t="str">
        <f t="shared" si="13"/>
        <v>BYE OR GAME NOT STARTED26</v>
      </c>
      <c r="AI30" s="87" t="str">
        <f>if(today()&gt;='Week Date Mapping'!$A$17,if(iferror(vlookup(CONCATENATE("Week 16",B30),'Raw With Formulas'!J:N,4,false),iferror(vlookup(CONCATENATE("Week 16",B30),'Raw With Formulas'!L:N,3,false),"BYE OR GAME NOT STARTED"))="","BYE OR GAME NOT STARTED",iferror(vlookup(CONCATENATE("Week 16",B30),'Raw With Formulas'!J:N,4,false),iferror(vlookup(CONCATENATE("Week 16",B30),'Raw With Formulas'!L:N,3,false),"BYE OR GAME NOT STARTED"))),"BYE OR GAME NOT STARTED")</f>
        <v>BYE OR GAME NOT STARTED</v>
      </c>
      <c r="AJ30" s="94" t="str">
        <f t="shared" si="14"/>
        <v>BYE, GAME NOT STARTED, OR NO STATS YET26</v>
      </c>
      <c r="AK30" s="87" t="str">
        <f>if(today()&gt;='Week Date Mapping'!$A$18,if(MAXIFS('Player Stats - Current Week'!E:E,'Player Stats - Current Week'!C:C,B30,'Player Stats - Current Week'!D:D,"WR")=0,"BYE, GAME NOT STARTED, OR NO STATS YET",iferror(MAXIFS('Player Stats - Current Week'!E:E,'Player Stats - Current Week'!C:C,B30,'Player Stats - Current Week'!D:D,"WR"),"")),"BYE, GAME NOT STARTED, OR NO STATS YET")</f>
        <v>BYE, GAME NOT STARTED, OR NO STATS YET</v>
      </c>
      <c r="AL30" s="87" t="s">
        <v>175</v>
      </c>
      <c r="AM30" s="87" t="str">
        <f>if(today()&gt;='Week Date Mapping'!$A$19,if(MAXIFS('Player Stats - Current Week'!Q:Q,'Player Stats - Current Week'!C:C,B30,'Player Stats - Current Week'!D:D,"RB")=0,"BYE, GAME NOT STARTED, OR NO STATS YET",iferror(MAXIFS('Player Stats - Current Week'!Q:Q,'Player Stats - Current Week'!C:C,B30,'Player Stats - Current Week'!D:D,"RB"),"")),"BYE, GAME NOT STARTED, OR NO STATS YET")</f>
        <v>BYE, GAME NOT STARTED, OR NO STATS YET</v>
      </c>
      <c r="AN30" s="92" t="str">
        <f t="shared" si="1"/>
        <v>Steve|Sutter</v>
      </c>
    </row>
    <row r="31">
      <c r="A31" s="89" t="s">
        <v>126</v>
      </c>
      <c r="B31" s="90" t="s">
        <v>127</v>
      </c>
      <c r="C31" s="90" t="str">
        <f>vlookup(A31,'Wins by Team'!A:C,3,false)</f>
        <v>Jim</v>
      </c>
      <c r="D31" s="103" t="str">
        <f t="shared" si="2"/>
        <v>BYE, GAME NOT STARTED, OR NO STATS YET29</v>
      </c>
      <c r="E31" s="90" t="str">
        <f>if(MAXIFS('Player Stats - Current Week'!I:I,'Player Stats - Current Week'!C:C,B31,'Player Stats - Current Week'!D:D,"QB")=0,"BYE, GAME NOT STARTED, OR NO STATS YET",iferror(MAXIFS('Player Stats - Current Week'!I:I,'Player Stats - Current Week'!C:C,B31,'Player Stats - Current Week'!D:D,"QB"),""))</f>
        <v>BYE, GAME NOT STARTED, OR NO STATS YET</v>
      </c>
      <c r="F31" s="103" t="str">
        <f t="shared" si="9"/>
        <v>BYE OR GAME NOT STARTED29</v>
      </c>
      <c r="G31" s="90" t="str">
        <f>if(iferror(vlookup(CONCATENATE("Week 2",B31),'Raw With Formulas'!J:N,4,false),iferror(vlookup(CONCATENATE("Week 2",B31),'Raw With Formulas'!L:N,3,false),"BYE OR GAME NOT STARTED")) = "", "BYE OR GAME NOT STARTED", iferror(vlookup(CONCATENATE("Week 2",B31),'Raw With Formulas'!J:N,4,false),iferror(vlookup(CONCATENATE("Week 2",B31),'Raw With Formulas'!L:N,3,false),"BYE OR GAME NOT STARTED")))</f>
        <v>BYE OR GAME NOT STARTED</v>
      </c>
      <c r="H31" s="103" t="str">
        <f t="shared" si="10"/>
        <v>BYE, GAME NOT STARTED, OR NO STATS YET27</v>
      </c>
      <c r="I31" s="90" t="str">
        <f>if(today()&gt;='Week Date Mapping'!$A$4,iferror(
if(
sumifs(
'Player Stats - Current Week'!T:T,
'Player Stats - Current Week'!C:C,
iferror(
vlookup(
CONCATENATE("Week 3",B31), 
'Raw With Formulas'!J:O,
2,false
),
vlookup(CONCATENATE("Week 3",B31), 'Raw With Formulas'!L:O,4,false))) 
= 0,
"BYE, GAME NOT STARTED, OR NO STATS YET",
iferror(
sumifs(
'Player Stats - Current Week'!T:T,
'Player Stats - Current Week'!C:C,
iferror(
vlookup(
CONCATENATE("Week 3",B31), 
'Raw With Formulas'!J:O,
2,false
),
vlookup(CONCATENATE("Week 3",B31), 'Raw With Formulas'!L:O,4,false))),
""
)
),
"BYE, GAME NOT STARTED, OR NO STATS YET"
),"BYE, GAME NOT STARTED, OR NO STATS YET")</f>
        <v>BYE, GAME NOT STARTED, OR NO STATS YET</v>
      </c>
      <c r="J31" s="90" t="s">
        <v>175</v>
      </c>
      <c r="K31" s="90" t="str">
        <f>if(today()&gt;='Week Date Mapping'!$A$5,if(MAXIFS('Player Stats - Current Week'!E:E,'Player Stats - Current Week'!C:C,B31,'Player Stats - Current Week'!D:D,"TE")=0,"BYE, GAME NOT STARTED, OR NO STATS YET",iferror(MAXIFS('Player Stats - Current Week'!E:E,'Player Stats - Current Week'!C:C,B31,'Player Stats - Current Week'!D:D,"TE"),"")),"BYE, GAME NOT STARTED, OR NO STATS YET")</f>
        <v>BYE, GAME NOT STARTED, OR NO STATS YET</v>
      </c>
      <c r="L31" s="90" t="s">
        <v>175</v>
      </c>
      <c r="M31" s="90" t="str">
        <f>if(today()&gt;='Week Date Mapping'!$A$6,if(MAXIFS('Player Stats - Current Week'!Q:Q,'Player Stats - Current Week'!C:C,B31,'Player Stats - Current Week'!D:D,"WR")=0,"BYE, GAME NOT STARTED, OR NO STATS YET",iferror(MAXIFS('Player Stats - Current Week'!Q:Q,'Player Stats - Current Week'!C:C,B31,'Player Stats - Current Week'!D:D,"WR"),"")),"BYE, GAME NOT STARTED, OR NO STATS YET")</f>
        <v>BYE, GAME NOT STARTED, OR NO STATS YET</v>
      </c>
      <c r="N31" s="90" t="s">
        <v>175</v>
      </c>
      <c r="O31" s="90" t="str">
        <f>if(today()&gt;='Week Date Mapping'!$A$7,if((SUMIFS('Player Stats - Current Week'!L:L,'Player Stats - Current Week'!C:C,B31)+SUMIFS('Player Stats - Current Week'!R:R,'Player Stats - Current Week'!C:C,B31))=0,"BYE, GAME NOT STARTED, OR NO STATS YET",((SUMIFS('Player Stats - Current Week'!R:R,'Player Stats - Current Week'!C:C,B31)*6)+SUMIFS('Player Stats - Current Week'!L:L,'Player Stats - Current Week'!C:C,B31))),"BYE, GAME NOT STARTED, OR NO STATS YET")</f>
        <v>BYE, GAME NOT STARTED, OR NO STATS YET</v>
      </c>
      <c r="P31" s="90" t="s">
        <v>175</v>
      </c>
      <c r="Q31" s="90" t="str">
        <f>if(today()&gt;='Week Date Mapping'!$A$8,if((SUMIFS('Player Stats - Current Week'!G:G,'Player Stats - Current Week'!C:C,B31,'Player Stats - Current Week'!D:D,"RB")+SUMIFS('Player Stats - Current Week'!E:E,'Player Stats - Current Week'!C:C,B31,'Player Stats - Current Week'!D:D,"RB"))=0,"BYE, GAME NOT STARTED, OR NO STATS YET",((SUMIFS('Player Stats - Current Week'!G:G,'Player Stats - Current Week'!C:C,B31,'Player Stats - Current Week'!D:D,"RB"))+SUMIFS('Player Stats - Current Week'!E:E,'Player Stats - Current Week'!C:C,B31,'Player Stats - Current Week'!D:D,"RB"))),"BYE, GAME NOT STARTED, OR NO STATS YET")</f>
        <v>BYE, GAME NOT STARTED, OR NO STATS YET</v>
      </c>
      <c r="R31" s="90" t="s">
        <v>175</v>
      </c>
      <c r="S31" s="90" t="str">
        <f>if(today()&gt;='Week Date Mapping'!$A$9,if(MAXIFS('Player Stats - Current Week'!L:L,'Player Stats - Current Week'!C:C,B31,'Player Stats - Current Week'!D:D,"PK")=0,"BYE, GAME NOT STARTED, OR NO STATS YET",iferror(MAXIFS('Player Stats - Current Week'!L:L,'Player Stats - Current Week'!C:C,B31,'Player Stats - Current Week'!D:D,"PK"),"")),"BYE, GAME NOT STARTED, OR NO STATS YET")</f>
        <v>BYE, GAME NOT STARTED, OR NO STATS YET</v>
      </c>
      <c r="T31" s="90" t="s">
        <v>175</v>
      </c>
      <c r="U31" s="90" t="str">
        <f>if(today()&gt;='Week Date Mapping'!$A$10,if(MAXIFS('Player Stats - Current Week'!N:N,'Player Stats - Current Week'!C:C,B31,'Player Stats - Current Week'!D:D,"QB")=0,"BYE, GAME NOT STARTED, OR NO STATS YET",iferror(MAXIFS('Player Stats - Current Week'!N:N,'Player Stats - Current Week'!C:C,B31,'Player Stats - Current Week'!D:D,"QB"),"")),"BYE, GAME NOT STARTED, OR NO STATS YET")</f>
        <v>BYE, GAME NOT STARTED, OR NO STATS YET</v>
      </c>
      <c r="V31" s="90" t="s">
        <v>175</v>
      </c>
      <c r="W31" s="90" t="str">
        <f>if(today()&gt;='Week Date Mapping'!$A$11,if(SUMIFS('Player Stats - Current Week'!O:O,'Player Stats - Current Week'!C:C,B31)=0,"BYE, GAME NOT STARTED, OR NO STATS YET",iferror(SUMIFS('Player Stats - Current Week'!O:O,'Player Stats - Current Week'!C:C,B31),"")),"BYE, GAME NOT STARTED, OR NO STATS YET")</f>
        <v>BYE, GAME NOT STARTED, OR NO STATS YET</v>
      </c>
      <c r="X31" s="90" t="s">
        <v>175</v>
      </c>
      <c r="Y31" s="90" t="str">
        <f>if(today()&gt;='Week Date Mapping'!$A$12,if(MAXIFS('Player Stats - Current Week'!Q:Q,'Player Stats - Current Week'!C:C,B31,'Player Stats - Current Week'!D:D,"TE")=0,"BYE, GAME NOT STARTED, OR NO STATS YET",iferror(MAXIFS('Player Stats - Current Week'!Q:Q,'Player Stats - Current Week'!C:C,B31,'Player Stats - Current Week'!D:D,"TE"),"")),"BYE, GAME NOT STARTED, OR NO STATS YET")</f>
        <v>BYE, GAME NOT STARTED, OR NO STATS YET</v>
      </c>
      <c r="Z31" s="90" t="s">
        <v>175</v>
      </c>
      <c r="AA31" s="90" t="str">
        <f>if(today()&gt;='Week Date Mapping'!$A$13,if(MAXIFS('Player Stats - Current Week'!S:S,'Player Stats - Current Week'!C:C,B31)=0,"BYE, GAME NOT STARTED, OR NO STATS YET",iferror(MAXIFS('Player Stats - Current Week'!S:S,'Player Stats - Current Week'!C:C,B31),"")),"BYE, GAME NOT STARTED, OR NO STATS YET")</f>
        <v>BYE, GAME NOT STARTED, OR NO STATS YET</v>
      </c>
      <c r="AB31" s="90" t="s">
        <v>175</v>
      </c>
      <c r="AC31" s="90" t="str">
        <f>if(today()&gt;='Week Date Mapping'!$A$14,if(MAXIFS('Player Stats - Current Week'!G:G,'Player Stats - Current Week'!C:C,B31,'Player Stats - Current Week'!D:D,"QB")=0,"BYE, GAME NOT STARTED, OR NO STATS YET",iferror(MAXIFS('Player Stats - Current Week'!G:G,'Player Stats - Current Week'!C:C,B31,'Player Stats - Current Week'!D:D,"QB"),"")),"BYE, GAME NOT STARTED, OR NO STATS YET")</f>
        <v>BYE, GAME NOT STARTED, OR NO STATS YET</v>
      </c>
      <c r="AD31" s="103" t="str">
        <f t="shared" si="11"/>
        <v>BYE OR GAME NOT STARTED27</v>
      </c>
      <c r="AE31" s="101" t="str">
        <f>if(today()&gt;='Week Date Mapping'!$A$15,if(iferror(vlookup(CONCATENATE("Week 14",B31),'Raw With Formulas'!J:N,5,false),iferror(vlookup(CONCATENATE("Week 14",B31),'Raw With Formulas'!L:N,2,false),"BYE OR GAME NOT STARTED"))="","BYE OR GAME NOT STARTED",iferror(vlookup(CONCATENATE("Week 14",B31),'Raw With Formulas'!J:N,5,false),iferror(vlookup(CONCATENATE("Week 14",B31),'Raw With Formulas'!L:N,2,false),"BYE OR GAME NOT STARTED"))),"BYE OR GAME NOT STARTED")</f>
        <v>BYE OR GAME NOT STARTED</v>
      </c>
      <c r="AF31" s="103" t="str">
        <f t="shared" si="12"/>
        <v>BYE, GAME NOT STARTED, OR NO STATS YET27</v>
      </c>
      <c r="AG31" s="90" t="str">
        <f>if(today()&gt;='Week Date Mapping'!$A$16,if(MAXIFS('Player Stats - Current Week'!Q:Q,'Player Stats - Current Week'!C:C,B31,'Player Stats - Current Week'!D:D,"QB")=0,"BYE, GAME NOT STARTED, OR NO STATS YET",iferror(MAXIFS('Player Stats - Current Week'!Q:Q,'Player Stats - Current Week'!C:C,B31,'Player Stats - Current Week'!D:D,"QB"),"")),"BYE, GAME NOT STARTED, OR NO STATS YET")</f>
        <v>BYE, GAME NOT STARTED, OR NO STATS YET</v>
      </c>
      <c r="AH31" s="103" t="str">
        <f t="shared" si="13"/>
        <v>BYE OR GAME NOT STARTED27</v>
      </c>
      <c r="AI31" s="90" t="str">
        <f>if(today()&gt;='Week Date Mapping'!$A$17,if(iferror(vlookup(CONCATENATE("Week 16",B31),'Raw With Formulas'!J:N,4,false),iferror(vlookup(CONCATENATE("Week 16",B31),'Raw With Formulas'!L:N,3,false),"BYE OR GAME NOT STARTED"))="","BYE OR GAME NOT STARTED",iferror(vlookup(CONCATENATE("Week 16",B31),'Raw With Formulas'!J:N,4,false),iferror(vlookup(CONCATENATE("Week 16",B31),'Raw With Formulas'!L:N,3,false),"BYE OR GAME NOT STARTED"))),"BYE OR GAME NOT STARTED")</f>
        <v>BYE OR GAME NOT STARTED</v>
      </c>
      <c r="AJ31" s="103" t="str">
        <f t="shared" si="14"/>
        <v>BYE, GAME NOT STARTED, OR NO STATS YET27</v>
      </c>
      <c r="AK31" s="90" t="str">
        <f>if(today()&gt;='Week Date Mapping'!$A$18,if(MAXIFS('Player Stats - Current Week'!E:E,'Player Stats - Current Week'!C:C,B31,'Player Stats - Current Week'!D:D,"WR")=0,"BYE, GAME NOT STARTED, OR NO STATS YET",iferror(MAXIFS('Player Stats - Current Week'!E:E,'Player Stats - Current Week'!C:C,B31,'Player Stats - Current Week'!D:D,"WR"),"")),"BYE, GAME NOT STARTED, OR NO STATS YET")</f>
        <v>BYE, GAME NOT STARTED, OR NO STATS YET</v>
      </c>
      <c r="AL31" s="90" t="s">
        <v>175</v>
      </c>
      <c r="AM31" s="90" t="str">
        <f>if(today()&gt;='Week Date Mapping'!$A$19,if(MAXIFS('Player Stats - Current Week'!Q:Q,'Player Stats - Current Week'!C:C,B31,'Player Stats - Current Week'!D:D,"RB")=0,"BYE, GAME NOT STARTED, OR NO STATS YET",iferror(MAXIFS('Player Stats - Current Week'!Q:Q,'Player Stats - Current Week'!C:C,B31,'Player Stats - Current Week'!D:D,"RB"),"")),"BYE, GAME NOT STARTED, OR NO STATS YET")</f>
        <v>BYE, GAME NOT STARTED, OR NO STATS YET</v>
      </c>
      <c r="AN31" s="104" t="str">
        <f t="shared" si="1"/>
        <v>Jim</v>
      </c>
    </row>
    <row r="32">
      <c r="A32" s="86" t="s">
        <v>128</v>
      </c>
      <c r="B32" s="87" t="s">
        <v>129</v>
      </c>
      <c r="C32" s="87" t="str">
        <f>vlookup(A32,'Wins by Team'!A:C,3,false)</f>
        <v>Rob</v>
      </c>
      <c r="D32" s="94" t="str">
        <f t="shared" si="2"/>
        <v>BYE, GAME NOT STARTED, OR NO STATS YET30</v>
      </c>
      <c r="E32" s="87" t="str">
        <f>if(MAXIFS('Player Stats - Current Week'!I:I,'Player Stats - Current Week'!C:C,B32,'Player Stats - Current Week'!D:D,"QB")=0,"BYE, GAME NOT STARTED, OR NO STATS YET",iferror(MAXIFS('Player Stats - Current Week'!I:I,'Player Stats - Current Week'!C:C,B32,'Player Stats - Current Week'!D:D,"QB"),""))</f>
        <v>BYE, GAME NOT STARTED, OR NO STATS YET</v>
      </c>
      <c r="F32" s="94" t="str">
        <f t="shared" si="9"/>
        <v>BYE OR GAME NOT STARTED30</v>
      </c>
      <c r="G32" s="87" t="str">
        <f>if(iferror(vlookup(CONCATENATE("Week 2",B32),'Raw With Formulas'!J:N,4,false),iferror(vlookup(CONCATENATE("Week 2",B32),'Raw With Formulas'!L:N,3,false),"BYE OR GAME NOT STARTED")) = "", "BYE OR GAME NOT STARTED", iferror(vlookup(CONCATENATE("Week 2",B32),'Raw With Formulas'!J:N,4,false),iferror(vlookup(CONCATENATE("Week 2",B32),'Raw With Formulas'!L:N,3,false),"BYE OR GAME NOT STARTED")))</f>
        <v>BYE OR GAME NOT STARTED</v>
      </c>
      <c r="H32" s="94" t="str">
        <f t="shared" si="10"/>
        <v>BYE, GAME NOT STARTED, OR NO STATS YET28</v>
      </c>
      <c r="I32" s="87" t="str">
        <f>if(today()&gt;='Week Date Mapping'!$A$4,iferror(
if(
sumifs(
'Player Stats - Current Week'!T:T,
'Player Stats - Current Week'!C:C,
iferror(
vlookup(
CONCATENATE("Week 3",B32), 
'Raw With Formulas'!J:O,
2,false
),
vlookup(CONCATENATE("Week 3",B32), 'Raw With Formulas'!L:O,4,false))) 
= 0,
"BYE, GAME NOT STARTED, OR NO STATS YET",
iferror(
sumifs(
'Player Stats - Current Week'!T:T,
'Player Stats - Current Week'!C:C,
iferror(
vlookup(
CONCATENATE("Week 3",B32), 
'Raw With Formulas'!J:O,
2,false
),
vlookup(CONCATENATE("Week 3",B32), 'Raw With Formulas'!L:O,4,false))),
""
)
),
"BYE, GAME NOT STARTED, OR NO STATS YET"
),"BYE, GAME NOT STARTED, OR NO STATS YET")</f>
        <v>BYE, GAME NOT STARTED, OR NO STATS YET</v>
      </c>
      <c r="J32" s="87" t="s">
        <v>175</v>
      </c>
      <c r="K32" s="87" t="str">
        <f>if(today()&gt;='Week Date Mapping'!$A$5,if(MAXIFS('Player Stats - Current Week'!E:E,'Player Stats - Current Week'!C:C,B32,'Player Stats - Current Week'!D:D,"TE")=0,"BYE, GAME NOT STARTED, OR NO STATS YET",iferror(MAXIFS('Player Stats - Current Week'!E:E,'Player Stats - Current Week'!C:C,B32,'Player Stats - Current Week'!D:D,"TE"),"")),"BYE, GAME NOT STARTED, OR NO STATS YET")</f>
        <v>BYE, GAME NOT STARTED, OR NO STATS YET</v>
      </c>
      <c r="L32" s="87" t="s">
        <v>175</v>
      </c>
      <c r="M32" s="87" t="str">
        <f>if(today()&gt;='Week Date Mapping'!$A$6,if(MAXIFS('Player Stats - Current Week'!Q:Q,'Player Stats - Current Week'!C:C,B32,'Player Stats - Current Week'!D:D,"WR")=0,"BYE, GAME NOT STARTED, OR NO STATS YET",iferror(MAXIFS('Player Stats - Current Week'!Q:Q,'Player Stats - Current Week'!C:C,B32,'Player Stats - Current Week'!D:D,"WR"),"")),"BYE, GAME NOT STARTED, OR NO STATS YET")</f>
        <v>BYE, GAME NOT STARTED, OR NO STATS YET</v>
      </c>
      <c r="N32" s="87" t="s">
        <v>175</v>
      </c>
      <c r="O32" s="87" t="str">
        <f>if(today()&gt;='Week Date Mapping'!$A$7,if((SUMIFS('Player Stats - Current Week'!L:L,'Player Stats - Current Week'!C:C,B32)+SUMIFS('Player Stats - Current Week'!R:R,'Player Stats - Current Week'!C:C,B32))=0,"BYE, GAME NOT STARTED, OR NO STATS YET",((SUMIFS('Player Stats - Current Week'!R:R,'Player Stats - Current Week'!C:C,B32)*6)+SUMIFS('Player Stats - Current Week'!L:L,'Player Stats - Current Week'!C:C,B32))),"BYE, GAME NOT STARTED, OR NO STATS YET")</f>
        <v>BYE, GAME NOT STARTED, OR NO STATS YET</v>
      </c>
      <c r="P32" s="87" t="s">
        <v>175</v>
      </c>
      <c r="Q32" s="87" t="str">
        <f>if(today()&gt;='Week Date Mapping'!$A$8,if((SUMIFS('Player Stats - Current Week'!G:G,'Player Stats - Current Week'!C:C,B32,'Player Stats - Current Week'!D:D,"RB")+SUMIFS('Player Stats - Current Week'!E:E,'Player Stats - Current Week'!C:C,B32,'Player Stats - Current Week'!D:D,"RB"))=0,"BYE, GAME NOT STARTED, OR NO STATS YET",((SUMIFS('Player Stats - Current Week'!G:G,'Player Stats - Current Week'!C:C,B32,'Player Stats - Current Week'!D:D,"RB"))+SUMIFS('Player Stats - Current Week'!E:E,'Player Stats - Current Week'!C:C,B32,'Player Stats - Current Week'!D:D,"RB"))),"BYE, GAME NOT STARTED, OR NO STATS YET")</f>
        <v>BYE, GAME NOT STARTED, OR NO STATS YET</v>
      </c>
      <c r="R32" s="87" t="s">
        <v>175</v>
      </c>
      <c r="S32" s="87" t="str">
        <f>if(today()&gt;='Week Date Mapping'!$A$9,if(MAXIFS('Player Stats - Current Week'!L:L,'Player Stats - Current Week'!C:C,B32,'Player Stats - Current Week'!D:D,"PK")=0,"BYE, GAME NOT STARTED, OR NO STATS YET",iferror(MAXIFS('Player Stats - Current Week'!L:L,'Player Stats - Current Week'!C:C,B32,'Player Stats - Current Week'!D:D,"PK"),"")),"BYE, GAME NOT STARTED, OR NO STATS YET")</f>
        <v>BYE, GAME NOT STARTED, OR NO STATS YET</v>
      </c>
      <c r="T32" s="87" t="s">
        <v>175</v>
      </c>
      <c r="U32" s="87" t="str">
        <f>if(today()&gt;='Week Date Mapping'!$A$10,if(MAXIFS('Player Stats - Current Week'!N:N,'Player Stats - Current Week'!C:C,B32,'Player Stats - Current Week'!D:D,"QB")=0,"BYE, GAME NOT STARTED, OR NO STATS YET",iferror(MAXIFS('Player Stats - Current Week'!N:N,'Player Stats - Current Week'!C:C,B32,'Player Stats - Current Week'!D:D,"QB"),"")),"BYE, GAME NOT STARTED, OR NO STATS YET")</f>
        <v>BYE, GAME NOT STARTED, OR NO STATS YET</v>
      </c>
      <c r="V32" s="87" t="s">
        <v>175</v>
      </c>
      <c r="W32" s="87" t="str">
        <f>if(today()&gt;='Week Date Mapping'!$A$11,if(SUMIFS('Player Stats - Current Week'!O:O,'Player Stats - Current Week'!C:C,B32)=0,"BYE, GAME NOT STARTED, OR NO STATS YET",iferror(SUMIFS('Player Stats - Current Week'!O:O,'Player Stats - Current Week'!C:C,B32),"")),"BYE, GAME NOT STARTED, OR NO STATS YET")</f>
        <v>BYE, GAME NOT STARTED, OR NO STATS YET</v>
      </c>
      <c r="X32" s="87" t="s">
        <v>175</v>
      </c>
      <c r="Y32" s="87" t="str">
        <f>if(today()&gt;='Week Date Mapping'!$A$12,if(MAXIFS('Player Stats - Current Week'!Q:Q,'Player Stats - Current Week'!C:C,B32,'Player Stats - Current Week'!D:D,"TE")=0,"BYE, GAME NOT STARTED, OR NO STATS YET",iferror(MAXIFS('Player Stats - Current Week'!Q:Q,'Player Stats - Current Week'!C:C,B32,'Player Stats - Current Week'!D:D,"TE"),"")),"BYE, GAME NOT STARTED, OR NO STATS YET")</f>
        <v>BYE, GAME NOT STARTED, OR NO STATS YET</v>
      </c>
      <c r="Z32" s="87" t="s">
        <v>175</v>
      </c>
      <c r="AA32" s="87" t="str">
        <f>if(today()&gt;='Week Date Mapping'!$A$13,if(MAXIFS('Player Stats - Current Week'!S:S,'Player Stats - Current Week'!C:C,B32)=0,"BYE, GAME NOT STARTED, OR NO STATS YET",iferror(MAXIFS('Player Stats - Current Week'!S:S,'Player Stats - Current Week'!C:C,B32),"")),"BYE, GAME NOT STARTED, OR NO STATS YET")</f>
        <v>BYE, GAME NOT STARTED, OR NO STATS YET</v>
      </c>
      <c r="AB32" s="87" t="s">
        <v>175</v>
      </c>
      <c r="AC32" s="87" t="str">
        <f>if(today()&gt;='Week Date Mapping'!$A$14,if(MAXIFS('Player Stats - Current Week'!G:G,'Player Stats - Current Week'!C:C,B32,'Player Stats - Current Week'!D:D,"QB")=0,"BYE, GAME NOT STARTED, OR NO STATS YET",iferror(MAXIFS('Player Stats - Current Week'!G:G,'Player Stats - Current Week'!C:C,B32,'Player Stats - Current Week'!D:D,"QB"),"")),"BYE, GAME NOT STARTED, OR NO STATS YET")</f>
        <v>BYE, GAME NOT STARTED, OR NO STATS YET</v>
      </c>
      <c r="AD32" s="94" t="str">
        <f t="shared" si="11"/>
        <v>BYE OR GAME NOT STARTED28</v>
      </c>
      <c r="AE32" s="100" t="str">
        <f>if(today()&gt;='Week Date Mapping'!$A$15,if(iferror(vlookup(CONCATENATE("Week 14",B32),'Raw With Formulas'!J:N,5,false),iferror(vlookup(CONCATENATE("Week 14",B32),'Raw With Formulas'!L:N,2,false),"BYE OR GAME NOT STARTED"))="","BYE OR GAME NOT STARTED",iferror(vlookup(CONCATENATE("Week 14",B32),'Raw With Formulas'!J:N,5,false),iferror(vlookup(CONCATENATE("Week 14",B32),'Raw With Formulas'!L:N,2,false),"BYE OR GAME NOT STARTED"))),"BYE OR GAME NOT STARTED")</f>
        <v>BYE OR GAME NOT STARTED</v>
      </c>
      <c r="AF32" s="94" t="str">
        <f t="shared" si="12"/>
        <v>BYE, GAME NOT STARTED, OR NO STATS YET28</v>
      </c>
      <c r="AG32" s="87" t="str">
        <f>if(today()&gt;='Week Date Mapping'!$A$16,if(MAXIFS('Player Stats - Current Week'!Q:Q,'Player Stats - Current Week'!C:C,B32,'Player Stats - Current Week'!D:D,"QB")=0,"BYE, GAME NOT STARTED, OR NO STATS YET",iferror(MAXIFS('Player Stats - Current Week'!Q:Q,'Player Stats - Current Week'!C:C,B32,'Player Stats - Current Week'!D:D,"QB"),"")),"BYE, GAME NOT STARTED, OR NO STATS YET")</f>
        <v>BYE, GAME NOT STARTED, OR NO STATS YET</v>
      </c>
      <c r="AH32" s="94" t="str">
        <f t="shared" si="13"/>
        <v>BYE OR GAME NOT STARTED28</v>
      </c>
      <c r="AI32" s="87" t="str">
        <f>if(today()&gt;='Week Date Mapping'!$A$17,if(iferror(vlookup(CONCATENATE("Week 16",B32),'Raw With Formulas'!J:N,4,false),iferror(vlookup(CONCATENATE("Week 16",B32),'Raw With Formulas'!L:N,3,false),"BYE OR GAME NOT STARTED"))="","BYE OR GAME NOT STARTED",iferror(vlookup(CONCATENATE("Week 16",B32),'Raw With Formulas'!J:N,4,false),iferror(vlookup(CONCATENATE("Week 16",B32),'Raw With Formulas'!L:N,3,false),"BYE OR GAME NOT STARTED"))),"BYE OR GAME NOT STARTED")</f>
        <v>BYE OR GAME NOT STARTED</v>
      </c>
      <c r="AJ32" s="94" t="str">
        <f t="shared" si="14"/>
        <v>BYE, GAME NOT STARTED, OR NO STATS YET28</v>
      </c>
      <c r="AK32" s="87" t="str">
        <f>if(today()&gt;='Week Date Mapping'!$A$18,if(MAXIFS('Player Stats - Current Week'!E:E,'Player Stats - Current Week'!C:C,B32,'Player Stats - Current Week'!D:D,"WR")=0,"BYE, GAME NOT STARTED, OR NO STATS YET",iferror(MAXIFS('Player Stats - Current Week'!E:E,'Player Stats - Current Week'!C:C,B32,'Player Stats - Current Week'!D:D,"WR"),"")),"BYE, GAME NOT STARTED, OR NO STATS YET")</f>
        <v>BYE, GAME NOT STARTED, OR NO STATS YET</v>
      </c>
      <c r="AL32" s="87" t="s">
        <v>175</v>
      </c>
      <c r="AM32" s="87" t="str">
        <f>if(today()&gt;='Week Date Mapping'!$A$19,if(MAXIFS('Player Stats - Current Week'!Q:Q,'Player Stats - Current Week'!C:C,B32,'Player Stats - Current Week'!D:D,"RB")=0,"BYE, GAME NOT STARTED, OR NO STATS YET",iferror(MAXIFS('Player Stats - Current Week'!Q:Q,'Player Stats - Current Week'!C:C,B32,'Player Stats - Current Week'!D:D,"RB"),"")),"BYE, GAME NOT STARTED, OR NO STATS YET")</f>
        <v>BYE, GAME NOT STARTED, OR NO STATS YET</v>
      </c>
      <c r="AN32" s="92" t="str">
        <f t="shared" si="1"/>
        <v>Rob</v>
      </c>
    </row>
    <row r="33">
      <c r="A33" s="96" t="s">
        <v>130</v>
      </c>
      <c r="B33" s="97" t="s">
        <v>131</v>
      </c>
      <c r="C33" s="97" t="str">
        <f>vlookup(A33,'Wins by Team'!A:C,3,false)</f>
        <v>Max</v>
      </c>
      <c r="D33" s="105" t="str">
        <f t="shared" si="2"/>
        <v>BYE, GAME NOT STARTED, OR NO STATS YET31</v>
      </c>
      <c r="E33" s="97" t="str">
        <f>if(MAXIFS('Player Stats - Current Week'!I:I,'Player Stats - Current Week'!C:C,B33,'Player Stats - Current Week'!D:D,"QB")=0,"BYE, GAME NOT STARTED, OR NO STATS YET",iferror(MAXIFS('Player Stats - Current Week'!I:I,'Player Stats - Current Week'!C:C,B33,'Player Stats - Current Week'!D:D,"QB"),""))</f>
        <v>BYE, GAME NOT STARTED, OR NO STATS YET</v>
      </c>
      <c r="F33" s="105" t="str">
        <f t="shared" si="9"/>
        <v>BYE OR GAME NOT STARTED31</v>
      </c>
      <c r="G33" s="97" t="str">
        <f>if(iferror(vlookup(CONCATENATE("Week 2",B33),'Raw With Formulas'!J:N,4,false),iferror(vlookup(CONCATENATE("Week 2",B33),'Raw With Formulas'!L:N,3,false),"BYE OR GAME NOT STARTED")) = "", "BYE OR GAME NOT STARTED", iferror(vlookup(CONCATENATE("Week 2",B33),'Raw With Formulas'!J:N,4,false),iferror(vlookup(CONCATENATE("Week 2",B33),'Raw With Formulas'!L:N,3,false),"BYE OR GAME NOT STARTED")))</f>
        <v>BYE OR GAME NOT STARTED</v>
      </c>
      <c r="H33" s="105" t="str">
        <f t="shared" si="10"/>
        <v>BYE, GAME NOT STARTED, OR NO STATS YET29</v>
      </c>
      <c r="I33" s="97" t="str">
        <f>if(today()&gt;='Week Date Mapping'!$A$4,iferror(
if(
sumifs(
'Player Stats - Current Week'!T:T,
'Player Stats - Current Week'!C:C,
iferror(
vlookup(
CONCATENATE("Week 3",B33), 
'Raw With Formulas'!J:O,
2,false
),
vlookup(CONCATENATE("Week 3",B33), 'Raw With Formulas'!L:O,4,false))) 
= 0,
"BYE, GAME NOT STARTED, OR NO STATS YET",
iferror(
sumifs(
'Player Stats - Current Week'!T:T,
'Player Stats - Current Week'!C:C,
iferror(
vlookup(
CONCATENATE("Week 3",B33), 
'Raw With Formulas'!J:O,
2,false
),
vlookup(CONCATENATE("Week 3",B33), 'Raw With Formulas'!L:O,4,false))),
""
)
),
"BYE, GAME NOT STARTED, OR NO STATS YET"
),"BYE, GAME NOT STARTED, OR NO STATS YET")</f>
        <v>BYE, GAME NOT STARTED, OR NO STATS YET</v>
      </c>
      <c r="J33" s="97" t="s">
        <v>175</v>
      </c>
      <c r="K33" s="97" t="str">
        <f>if(today()&gt;='Week Date Mapping'!$A$5,if(MAXIFS('Player Stats - Current Week'!E:E,'Player Stats - Current Week'!C:C,B33,'Player Stats - Current Week'!D:D,"TE")=0,"BYE, GAME NOT STARTED, OR NO STATS YET",iferror(MAXIFS('Player Stats - Current Week'!E:E,'Player Stats - Current Week'!C:C,B33,'Player Stats - Current Week'!D:D,"TE"),"")),"BYE, GAME NOT STARTED, OR NO STATS YET")</f>
        <v>BYE, GAME NOT STARTED, OR NO STATS YET</v>
      </c>
      <c r="L33" s="97" t="s">
        <v>175</v>
      </c>
      <c r="M33" s="97" t="str">
        <f>if(today()&gt;='Week Date Mapping'!$A$6,if(MAXIFS('Player Stats - Current Week'!Q:Q,'Player Stats - Current Week'!C:C,B33,'Player Stats - Current Week'!D:D,"WR")=0,"BYE, GAME NOT STARTED, OR NO STATS YET",iferror(MAXIFS('Player Stats - Current Week'!Q:Q,'Player Stats - Current Week'!C:C,B33,'Player Stats - Current Week'!D:D,"WR"),"")),"BYE, GAME NOT STARTED, OR NO STATS YET")</f>
        <v>BYE, GAME NOT STARTED, OR NO STATS YET</v>
      </c>
      <c r="N33" s="97" t="s">
        <v>175</v>
      </c>
      <c r="O33" s="97" t="str">
        <f>if(today()&gt;='Week Date Mapping'!$A$7,if((SUMIFS('Player Stats - Current Week'!L:L,'Player Stats - Current Week'!C:C,B33)+SUMIFS('Player Stats - Current Week'!R:R,'Player Stats - Current Week'!C:C,B33))=0,"BYE, GAME NOT STARTED, OR NO STATS YET",((SUMIFS('Player Stats - Current Week'!R:R,'Player Stats - Current Week'!C:C,B33)*6)+SUMIFS('Player Stats - Current Week'!L:L,'Player Stats - Current Week'!C:C,B33))),"BYE, GAME NOT STARTED, OR NO STATS YET")</f>
        <v>BYE, GAME NOT STARTED, OR NO STATS YET</v>
      </c>
      <c r="P33" s="97" t="s">
        <v>175</v>
      </c>
      <c r="Q33" s="97" t="str">
        <f>if(today()&gt;='Week Date Mapping'!$A$8,if((SUMIFS('Player Stats - Current Week'!G:G,'Player Stats - Current Week'!C:C,B33,'Player Stats - Current Week'!D:D,"RB")+SUMIFS('Player Stats - Current Week'!E:E,'Player Stats - Current Week'!C:C,B33,'Player Stats - Current Week'!D:D,"RB"))=0,"BYE, GAME NOT STARTED, OR NO STATS YET",((SUMIFS('Player Stats - Current Week'!G:G,'Player Stats - Current Week'!C:C,B33,'Player Stats - Current Week'!D:D,"RB"))+SUMIFS('Player Stats - Current Week'!E:E,'Player Stats - Current Week'!C:C,B33,'Player Stats - Current Week'!D:D,"RB"))),"BYE, GAME NOT STARTED, OR NO STATS YET")</f>
        <v>BYE, GAME NOT STARTED, OR NO STATS YET</v>
      </c>
      <c r="R33" s="97" t="s">
        <v>175</v>
      </c>
      <c r="S33" s="97" t="str">
        <f>if(today()&gt;='Week Date Mapping'!$A$9,if(MAXIFS('Player Stats - Current Week'!L:L,'Player Stats - Current Week'!C:C,B33,'Player Stats - Current Week'!D:D,"PK")=0,"BYE, GAME NOT STARTED, OR NO STATS YET",iferror(MAXIFS('Player Stats - Current Week'!L:L,'Player Stats - Current Week'!C:C,B33,'Player Stats - Current Week'!D:D,"PK"),"")),"BYE, GAME NOT STARTED, OR NO STATS YET")</f>
        <v>BYE, GAME NOT STARTED, OR NO STATS YET</v>
      </c>
      <c r="T33" s="97" t="s">
        <v>175</v>
      </c>
      <c r="U33" s="97" t="str">
        <f>if(today()&gt;='Week Date Mapping'!$A$10,if(MAXIFS('Player Stats - Current Week'!N:N,'Player Stats - Current Week'!C:C,B33,'Player Stats - Current Week'!D:D,"QB")=0,"BYE, GAME NOT STARTED, OR NO STATS YET",iferror(MAXIFS('Player Stats - Current Week'!N:N,'Player Stats - Current Week'!C:C,B33,'Player Stats - Current Week'!D:D,"QB"),"")),"BYE, GAME NOT STARTED, OR NO STATS YET")</f>
        <v>BYE, GAME NOT STARTED, OR NO STATS YET</v>
      </c>
      <c r="V33" s="97" t="s">
        <v>175</v>
      </c>
      <c r="W33" s="97" t="str">
        <f>if(today()&gt;='Week Date Mapping'!$A$11,if(SUMIFS('Player Stats - Current Week'!O:O,'Player Stats - Current Week'!C:C,B33)=0,"BYE, GAME NOT STARTED, OR NO STATS YET",iferror(SUMIFS('Player Stats - Current Week'!O:O,'Player Stats - Current Week'!C:C,B33),"")),"BYE, GAME NOT STARTED, OR NO STATS YET")</f>
        <v>BYE, GAME NOT STARTED, OR NO STATS YET</v>
      </c>
      <c r="X33" s="97" t="s">
        <v>175</v>
      </c>
      <c r="Y33" s="97" t="str">
        <f>if(today()&gt;='Week Date Mapping'!$A$12,if(MAXIFS('Player Stats - Current Week'!Q:Q,'Player Stats - Current Week'!C:C,B33,'Player Stats - Current Week'!D:D,"TE")=0,"BYE, GAME NOT STARTED, OR NO STATS YET",iferror(MAXIFS('Player Stats - Current Week'!Q:Q,'Player Stats - Current Week'!C:C,B33,'Player Stats - Current Week'!D:D,"TE"),"")),"BYE, GAME NOT STARTED, OR NO STATS YET")</f>
        <v>BYE, GAME NOT STARTED, OR NO STATS YET</v>
      </c>
      <c r="Z33" s="97" t="s">
        <v>175</v>
      </c>
      <c r="AA33" s="97" t="str">
        <f>if(today()&gt;='Week Date Mapping'!$A$13,if(MAXIFS('Player Stats - Current Week'!S:S,'Player Stats - Current Week'!C:C,B33)=0,"BYE, GAME NOT STARTED, OR NO STATS YET",iferror(MAXIFS('Player Stats - Current Week'!S:S,'Player Stats - Current Week'!C:C,B33),"")),"BYE, GAME NOT STARTED, OR NO STATS YET")</f>
        <v>BYE, GAME NOT STARTED, OR NO STATS YET</v>
      </c>
      <c r="AB33" s="97" t="s">
        <v>175</v>
      </c>
      <c r="AC33" s="97" t="str">
        <f>if(today()&gt;='Week Date Mapping'!$A$14,if(MAXIFS('Player Stats - Current Week'!G:G,'Player Stats - Current Week'!C:C,B33,'Player Stats - Current Week'!D:D,"QB")=0,"BYE, GAME NOT STARTED, OR NO STATS YET",iferror(MAXIFS('Player Stats - Current Week'!G:G,'Player Stats - Current Week'!C:C,B33,'Player Stats - Current Week'!D:D,"QB"),"")),"BYE, GAME NOT STARTED, OR NO STATS YET")</f>
        <v>BYE, GAME NOT STARTED, OR NO STATS YET</v>
      </c>
      <c r="AD33" s="105" t="str">
        <f t="shared" si="11"/>
        <v>BYE OR GAME NOT STARTED29</v>
      </c>
      <c r="AE33" s="106" t="str">
        <f>if(today()&gt;='Week Date Mapping'!$A$15,if(iferror(vlookup(CONCATENATE("Week 14",B33),'Raw With Formulas'!J:N,5,false),iferror(vlookup(CONCATENATE("Week 14",B33),'Raw With Formulas'!L:N,2,false),"BYE OR GAME NOT STARTED"))="","BYE OR GAME NOT STARTED",iferror(vlookup(CONCATENATE("Week 14",B33),'Raw With Formulas'!J:N,5,false),iferror(vlookup(CONCATENATE("Week 14",B33),'Raw With Formulas'!L:N,2,false),"BYE OR GAME NOT STARTED"))),"BYE OR GAME NOT STARTED")</f>
        <v>BYE OR GAME NOT STARTED</v>
      </c>
      <c r="AF33" s="105" t="str">
        <f t="shared" si="12"/>
        <v>BYE, GAME NOT STARTED, OR NO STATS YET29</v>
      </c>
      <c r="AG33" s="97" t="str">
        <f>if(today()&gt;='Week Date Mapping'!$A$16,if(MAXIFS('Player Stats - Current Week'!Q:Q,'Player Stats - Current Week'!C:C,B33,'Player Stats - Current Week'!D:D,"QB")=0,"BYE, GAME NOT STARTED, OR NO STATS YET",iferror(MAXIFS('Player Stats - Current Week'!Q:Q,'Player Stats - Current Week'!C:C,B33,'Player Stats - Current Week'!D:D,"QB"),"")),"BYE, GAME NOT STARTED, OR NO STATS YET")</f>
        <v>BYE, GAME NOT STARTED, OR NO STATS YET</v>
      </c>
      <c r="AH33" s="105" t="str">
        <f t="shared" si="13"/>
        <v>BYE OR GAME NOT STARTED29</v>
      </c>
      <c r="AI33" s="97" t="str">
        <f>if(today()&gt;='Week Date Mapping'!$A$17,if(iferror(vlookup(CONCATENATE("Week 16",B33),'Raw With Formulas'!J:N,4,false),iferror(vlookup(CONCATENATE("Week 16",B33),'Raw With Formulas'!L:N,3,false),"BYE OR GAME NOT STARTED"))="","BYE OR GAME NOT STARTED",iferror(vlookup(CONCATENATE("Week 16",B33),'Raw With Formulas'!J:N,4,false),iferror(vlookup(CONCATENATE("Week 16",B33),'Raw With Formulas'!L:N,3,false),"BYE OR GAME NOT STARTED"))),"BYE OR GAME NOT STARTED")</f>
        <v>BYE OR GAME NOT STARTED</v>
      </c>
      <c r="AJ33" s="105" t="str">
        <f t="shared" si="14"/>
        <v>BYE, GAME NOT STARTED, OR NO STATS YET29</v>
      </c>
      <c r="AK33" s="97" t="str">
        <f>if(today()&gt;='Week Date Mapping'!$A$18,if(MAXIFS('Player Stats - Current Week'!E:E,'Player Stats - Current Week'!C:C,B33,'Player Stats - Current Week'!D:D,"WR")=0,"BYE, GAME NOT STARTED, OR NO STATS YET",iferror(MAXIFS('Player Stats - Current Week'!E:E,'Player Stats - Current Week'!C:C,B33,'Player Stats - Current Week'!D:D,"WR"),"")),"BYE, GAME NOT STARTED, OR NO STATS YET")</f>
        <v>BYE, GAME NOT STARTED, OR NO STATS YET</v>
      </c>
      <c r="AL33" s="97" t="s">
        <v>175</v>
      </c>
      <c r="AM33" s="97" t="str">
        <f>if(today()&gt;='Week Date Mapping'!$A$19,if(MAXIFS('Player Stats - Current Week'!Q:Q,'Player Stats - Current Week'!C:C,B33,'Player Stats - Current Week'!D:D,"RB")=0,"BYE, GAME NOT STARTED, OR NO STATS YET",iferror(MAXIFS('Player Stats - Current Week'!Q:Q,'Player Stats - Current Week'!C:C,B33,'Player Stats - Current Week'!D:D,"RB"),"")),"BYE, GAME NOT STARTED, OR NO STATS YET")</f>
        <v>BYE, GAME NOT STARTED, OR NO STATS YET</v>
      </c>
      <c r="AN33" s="107" t="str">
        <f t="shared" si="1"/>
        <v>Max</v>
      </c>
    </row>
  </sheetData>
  <conditionalFormatting sqref="E3 E5 E7 E9 E11 E13 E15 E17 E19 E21:E33">
    <cfRule type="containsBlanks" dxfId="6" priority="1">
      <formula>LEN(TRIM(E3))=0</formula>
    </cfRule>
  </conditionalFormatting>
  <conditionalFormatting sqref="O2:O33 Q18 S18 U18 W18 Y18 AA18 Q20 S20 U20 W20 Y20 AA20">
    <cfRule type="expression" dxfId="4" priority="2">
      <formula>O2=MAX($O$2:$O$33)</formula>
    </cfRule>
  </conditionalFormatting>
  <conditionalFormatting sqref="O2:O33 Q18 S18 U18 W18 Y18 AA18 Q20 S20 U20 W20 Y20 AA20">
    <cfRule type="expression" dxfId="7" priority="3">
      <formula>O2=LARGE($O$2:$O$33,2)</formula>
    </cfRule>
  </conditionalFormatting>
  <conditionalFormatting sqref="E2:E33 F18:AM18 F20:AM20">
    <cfRule type="expression" dxfId="4" priority="4">
      <formula>E2=MAX($E$3:$E$33)</formula>
    </cfRule>
  </conditionalFormatting>
  <conditionalFormatting sqref="E2:E33 F18:AM18 F20:AM20">
    <cfRule type="expression" dxfId="7" priority="5">
      <formula>E2=LARGE($E$3:$E$33,2)</formula>
    </cfRule>
  </conditionalFormatting>
  <conditionalFormatting sqref="G3 G5 G7 G9 G11 G13 G15 G17 G19 G21 G23 G25 G27 G29 G31 G33">
    <cfRule type="cellIs" dxfId="6" priority="6" operator="equal">
      <formula>"""BYE OR GAME NOT STARTED"""</formula>
    </cfRule>
  </conditionalFormatting>
  <conditionalFormatting sqref="G2 G4 G6 G8 G10 G12 G14 G16 E18 G18 I18 K18 M18 O18 Q18 S18 U18 W18 Y18 AA18 E20 G20 I20 K20 M20 O20 Q20 S20 U20 W20 Y20 AA20 G22 G24 G26 G28 G30 G32">
    <cfRule type="cellIs" dxfId="3" priority="7" operator="equal">
      <formula>"""BYE OR GAME NOT STARTED"""</formula>
    </cfRule>
  </conditionalFormatting>
  <conditionalFormatting sqref="G2:G33 E18 I18 K18 M18 O18 Q18 S18 U18 W18 Y18 AA18 E20 I20 K20 M20 O20 Q20 S20 U20 W20 Y20 AA20">
    <cfRule type="expression" dxfId="4" priority="8">
      <formula>G2=MAX($G$2:$G$33)</formula>
    </cfRule>
  </conditionalFormatting>
  <conditionalFormatting sqref="G2:G33 E18 I18 K18 M18 O18 Q18 S18 U18 W18 Y18 AA18 E20 I20 K20 M20 O20 Q20 S20 U20 W20 Y20 AA20">
    <cfRule type="expression" dxfId="7" priority="9">
      <formula>G2=LARGE($G$2:$G$33,2)</formula>
    </cfRule>
  </conditionalFormatting>
  <conditionalFormatting sqref="AI2:AI33 AK18 AK20">
    <cfRule type="cellIs" dxfId="3" priority="10" operator="equal">
      <formula>"""BYE OR GAME NOT STARTED"""</formula>
    </cfRule>
  </conditionalFormatting>
  <conditionalFormatting sqref="AI3 AI5 AI7 AI9 AI11 AI13 AI15 AI17 AI19 AI21 AI23 AI25 AI27 AI29 AI31 AI33">
    <cfRule type="cellIs" dxfId="6" priority="11" operator="equal">
      <formula>"""BYE OR GAME NOT STARTED"""</formula>
    </cfRule>
  </conditionalFormatting>
  <conditionalFormatting sqref="AI2:AI33 AK18 AK20">
    <cfRule type="expression" dxfId="4" priority="12">
      <formula>AI2=MIN($AI$2:$AI$33)</formula>
    </cfRule>
  </conditionalFormatting>
  <conditionalFormatting sqref="AI2:AI33 AK18 AK20">
    <cfRule type="expression" dxfId="7" priority="13">
      <formula>AI2=SMALL($AI$2:$AI$33,2)</formula>
    </cfRule>
  </conditionalFormatting>
  <conditionalFormatting sqref="AE2:AE33">
    <cfRule type="cellIs" dxfId="3" priority="14" operator="equal">
      <formula>"""BYE OR GAME NOT STARTED"""</formula>
    </cfRule>
  </conditionalFormatting>
  <conditionalFormatting sqref="AE3 AE5 AE7 AE9 AE11 AE13 AE15 AE17 AE19 AE21 AE23 AE25 AE27 AE29 AE31 AE33">
    <cfRule type="cellIs" dxfId="6" priority="15" operator="equal">
      <formula>"""BYE OR GAME NOT STARTED"""</formula>
    </cfRule>
  </conditionalFormatting>
  <conditionalFormatting sqref="AE2:AE33">
    <cfRule type="expression" dxfId="4" priority="16">
      <formula>AE2=MIN($AE$2:$AE$33)</formula>
    </cfRule>
  </conditionalFormatting>
  <conditionalFormatting sqref="AE2:AE33">
    <cfRule type="expression" dxfId="7" priority="17">
      <formula>AE2=SMALL($AE$2:$AE$33,2)</formula>
    </cfRule>
  </conditionalFormatting>
  <conditionalFormatting sqref="I2:I33 E18 G18:H18 J18:AM18 E20 G20:H20 J20:AM20">
    <cfRule type="expression" dxfId="4" priority="18">
      <formula>I2=min($I$2:$I$33)</formula>
    </cfRule>
  </conditionalFormatting>
  <conditionalFormatting sqref="I2:I33 E18 G18:H18 J18:AM18 E20 G20:H20 J20:AM20">
    <cfRule type="expression" dxfId="7" priority="19">
      <formula>I2=small($I$2:$I$33,2)</formula>
    </cfRule>
  </conditionalFormatting>
  <conditionalFormatting sqref="K2:K33 M18 O18 Q18 S18 U18 W18 Y18 AA18 M20 O20 Q20 S20 U20 W20 Y20 AA20">
    <cfRule type="expression" dxfId="4" priority="20">
      <formula>K2=MAX($K$2:$K$33)</formula>
    </cfRule>
  </conditionalFormatting>
  <conditionalFormatting sqref="K2:K33 M18 O18 Q18 S18 U18 W18 Y18 AA18 M20 O20 Q20 S20 U20 W20 Y20 AA20">
    <cfRule type="expression" dxfId="7" priority="21">
      <formula>K2=LARGE($K$2:$K$33,2)</formula>
    </cfRule>
  </conditionalFormatting>
  <conditionalFormatting sqref="AC2:AC33 AE18 AG18 AI18 AE20 AG20 AI20">
    <cfRule type="expression" dxfId="4" priority="22">
      <formula>AC2=MAX($AC$2:$AC$33)</formula>
    </cfRule>
  </conditionalFormatting>
  <conditionalFormatting sqref="AC2:AC33 AE18 AG18 AI18 AE20 AG20 AI20">
    <cfRule type="expression" dxfId="7" priority="23">
      <formula>AC2=LARGE($AC$2:$AC$33,2)</formula>
    </cfRule>
  </conditionalFormatting>
  <conditionalFormatting sqref="AK2:AK33 AM18 AM20">
    <cfRule type="expression" dxfId="4" priority="24">
      <formula>AK2=MAX($AK$2:$AK$33)</formula>
    </cfRule>
  </conditionalFormatting>
  <conditionalFormatting sqref="AK2:AK33 AM18 AM20">
    <cfRule type="expression" dxfId="7" priority="25">
      <formula>AK2=LARGE($AK$2:$AK$33,2)</formula>
    </cfRule>
  </conditionalFormatting>
  <conditionalFormatting sqref="Q2:Q33 S18 U18 W18 Y18 AA18 AC18 AE18 AG18 AI18 S20 U20 W20 Y20 AA20 AC20 AE20 AG20 AI20">
    <cfRule type="expression" dxfId="4" priority="26">
      <formula>Q2=MAX($Q$2:$Q$33)</formula>
    </cfRule>
  </conditionalFormatting>
  <conditionalFormatting sqref="Q2:Q33 S18 U18 W18 Y18 AA18 AC18 AE18 AG18 AI18 S20 U20 W20 Y20 AA20 AC20 AE20 AG20 AI20">
    <cfRule type="expression" dxfId="7" priority="27">
      <formula>Q2=LARGE($Q$2:$Q$33,2)</formula>
    </cfRule>
  </conditionalFormatting>
  <conditionalFormatting sqref="S2:S33 U18 W18 Y18 AA18 AC18 AE18 AG18 AI18 U20 W20 Y20 AA20 AC20 AE20 AG20 AI20">
    <cfRule type="expression" dxfId="4" priority="28">
      <formula>S2=MAX($S$2:$S$33)</formula>
    </cfRule>
  </conditionalFormatting>
  <conditionalFormatting sqref="S2:S33 U18 W18 Y18 AA18 AC18 AE18 AG18 AI18 U20 W20 Y20 AA20 AC20 AE20 AG20 AI20">
    <cfRule type="expression" dxfId="7" priority="29">
      <formula>S2=LARGE($S$2:$S$33,2)</formula>
    </cfRule>
  </conditionalFormatting>
  <conditionalFormatting sqref="U2:U33 W18 Y18 AA18 AC18 AE18 AG18 AI18 W20 Y20 AA20 AC20 AE20 AG20 AI20">
    <cfRule type="expression" dxfId="4" priority="30">
      <formula>U2=MAX($U$2:$U$33)</formula>
    </cfRule>
  </conditionalFormatting>
  <conditionalFormatting sqref="U2:U33 W18 Y18 AA18 AC18 AE18 AG18 AI18 W20 Y20 AA20 AC20 AE20 AG20 AI20">
    <cfRule type="expression" dxfId="7" priority="31">
      <formula>U2=LARGE($U$2:$U$33,2)</formula>
    </cfRule>
  </conditionalFormatting>
  <conditionalFormatting sqref="W2:W33 Y18 AA18 AC18 AE18 AG18 AI18 Y20 AA20 AC20 AE20 AG20 AI20">
    <cfRule type="expression" dxfId="4" priority="32">
      <formula>W2=MAX($W$2:$W$33)</formula>
    </cfRule>
  </conditionalFormatting>
  <conditionalFormatting sqref="W2:W33 Y18 AA18 AC18 AE18 AG18 AI18 Y20 AA20 AC20 AE20 AG20 AI20">
    <cfRule type="expression" dxfId="7" priority="33">
      <formula>W2=LARGE($W$2:$W$33,2)</formula>
    </cfRule>
  </conditionalFormatting>
  <conditionalFormatting sqref="M2:M33 O18 Q18 S18 U18 W18 Y18 AA18 O20 Q20 S20 U20 W20 Y20 AA20">
    <cfRule type="expression" dxfId="4" priority="34">
      <formula>M2=MAX($M$2:$M$33)</formula>
    </cfRule>
  </conditionalFormatting>
  <conditionalFormatting sqref="M2:M33 O18 Q18 S18 U18 W18 Y18 AA18 O20 Q20 S20 U20 W20 Y20 AA20">
    <cfRule type="expression" dxfId="7" priority="35">
      <formula>M2=LARGE($M$2:$M$33,2)</formula>
    </cfRule>
  </conditionalFormatting>
  <conditionalFormatting sqref="Y2:Y33 AA18 AC18 AE18 AG18 AI18 AA20 AC20 AE20 AG20 AI20">
    <cfRule type="expression" dxfId="4" priority="36">
      <formula>Y2=MAX($Y$2:$Y$33)</formula>
    </cfRule>
  </conditionalFormatting>
  <conditionalFormatting sqref="Y2:Y33 AA18 AC18 AE18 AG18 AI18 AA20 AC20 AE20 AG20 AI20">
    <cfRule type="expression" dxfId="7" priority="37">
      <formula>Y2=LARGE($Y$2:$Y$33,2)</formula>
    </cfRule>
  </conditionalFormatting>
  <conditionalFormatting sqref="AG2:AG33 AI18 AI20">
    <cfRule type="expression" dxfId="4" priority="38">
      <formula>AG2=MAX($AG$2:$AG$33)</formula>
    </cfRule>
  </conditionalFormatting>
  <conditionalFormatting sqref="AG2:AG33 AI18 AI20">
    <cfRule type="expression" dxfId="7" priority="39">
      <formula>AG2=LARGE($AG$2:$AG$33,2)</formula>
    </cfRule>
  </conditionalFormatting>
  <conditionalFormatting sqref="AM2:AM33">
    <cfRule type="expression" dxfId="4" priority="40">
      <formula>AM2=MAX($AM$2:$AM$33)</formula>
    </cfRule>
  </conditionalFormatting>
  <conditionalFormatting sqref="AM2:AM33">
    <cfRule type="expression" dxfId="7" priority="41">
      <formula>AM2=LARGE($AM$2:$AM$33,2)</formula>
    </cfRule>
  </conditionalFormatting>
  <conditionalFormatting sqref="AA2:AA33 AC18 AE18 AG18 AI18 AC20 AE20 AG20 AI20">
    <cfRule type="expression" dxfId="4" priority="42">
      <formula>AA2=MAX($AA$2:$AA$33)</formula>
    </cfRule>
  </conditionalFormatting>
  <conditionalFormatting sqref="AA2:AA33 AC18 AE18 AG18 AI18 AC20 AE20 AG20 AI20">
    <cfRule type="expression" dxfId="7" priority="43">
      <formula>AA2=LARGE($AA$2:$AA$33,2)</formula>
    </cfRule>
  </conditionalFormatting>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25.38"/>
    <col customWidth="1" min="3" max="3" width="2.0"/>
    <col customWidth="1" min="4" max="4" width="32.0"/>
  </cols>
  <sheetData>
    <row r="1">
      <c r="A1" s="108" t="s">
        <v>177</v>
      </c>
      <c r="B1" s="109"/>
      <c r="C1" s="9"/>
      <c r="D1" s="110"/>
      <c r="E1" s="9"/>
      <c r="F1" s="9"/>
      <c r="G1" s="9"/>
      <c r="H1" s="9"/>
      <c r="I1" s="9"/>
      <c r="J1" s="9"/>
      <c r="K1" s="9"/>
      <c r="L1" s="9"/>
      <c r="M1" s="9"/>
      <c r="N1" s="9"/>
      <c r="O1" s="9"/>
    </row>
    <row r="2">
      <c r="A2" s="111" t="s">
        <v>178</v>
      </c>
      <c r="B2" s="21"/>
      <c r="C2" s="21"/>
      <c r="D2" s="111"/>
      <c r="E2" s="21"/>
      <c r="F2" s="21"/>
      <c r="G2" s="21"/>
      <c r="H2" s="21"/>
      <c r="I2" s="21"/>
      <c r="J2" s="21"/>
      <c r="K2" s="21"/>
      <c r="L2" s="21"/>
      <c r="M2" s="21"/>
      <c r="N2" s="21"/>
      <c r="O2" s="21"/>
    </row>
    <row r="3">
      <c r="A3" s="111" t="s">
        <v>179</v>
      </c>
      <c r="B3" s="21"/>
      <c r="C3" s="21"/>
      <c r="D3" s="112"/>
      <c r="E3" s="21"/>
      <c r="F3" s="21"/>
      <c r="G3" s="21"/>
      <c r="H3" s="21"/>
      <c r="I3" s="21"/>
      <c r="J3" s="21"/>
      <c r="K3" s="21"/>
      <c r="L3" s="21"/>
      <c r="M3" s="21"/>
      <c r="N3" s="21"/>
      <c r="O3" s="21"/>
    </row>
    <row r="4">
      <c r="A4" s="111" t="s">
        <v>180</v>
      </c>
      <c r="B4" s="21"/>
      <c r="C4" s="21"/>
      <c r="D4" s="113"/>
      <c r="E4" s="21"/>
      <c r="F4" s="21"/>
      <c r="G4" s="21"/>
      <c r="H4" s="21"/>
      <c r="I4" s="21"/>
      <c r="J4" s="21"/>
      <c r="K4" s="21"/>
      <c r="L4" s="21"/>
      <c r="M4" s="21"/>
      <c r="N4" s="21"/>
      <c r="O4" s="21"/>
    </row>
    <row r="5">
      <c r="A5" s="111" t="s">
        <v>181</v>
      </c>
      <c r="B5" s="21"/>
      <c r="C5" s="21"/>
      <c r="D5" s="111"/>
      <c r="E5" s="21"/>
      <c r="F5" s="21"/>
      <c r="G5" s="21"/>
      <c r="H5" s="21"/>
      <c r="I5" s="21"/>
      <c r="J5" s="21"/>
      <c r="K5" s="21"/>
      <c r="L5" s="21"/>
      <c r="M5" s="21"/>
      <c r="N5" s="21"/>
      <c r="O5" s="21"/>
    </row>
    <row r="6">
      <c r="A6" s="111" t="s">
        <v>182</v>
      </c>
      <c r="B6" s="114"/>
      <c r="C6" s="21"/>
      <c r="D6" s="111"/>
      <c r="E6" s="21"/>
      <c r="F6" s="21"/>
      <c r="G6" s="21"/>
      <c r="H6" s="21"/>
      <c r="I6" s="21"/>
      <c r="J6" s="21"/>
      <c r="K6" s="21"/>
      <c r="L6" s="21"/>
      <c r="M6" s="21"/>
      <c r="N6" s="21"/>
      <c r="O6" s="21"/>
    </row>
    <row r="7">
      <c r="A7" s="111" t="s">
        <v>183</v>
      </c>
      <c r="B7" s="115"/>
      <c r="C7" s="21"/>
      <c r="D7" s="111"/>
      <c r="E7" s="21"/>
      <c r="F7" s="21"/>
      <c r="G7" s="21"/>
      <c r="H7" s="21"/>
      <c r="I7" s="21"/>
      <c r="J7" s="21"/>
      <c r="K7" s="21"/>
      <c r="L7" s="21"/>
      <c r="M7" s="21"/>
      <c r="N7" s="21"/>
      <c r="O7" s="21"/>
    </row>
    <row r="8">
      <c r="A8" s="111" t="s">
        <v>184</v>
      </c>
      <c r="B8" s="116"/>
      <c r="C8" s="19"/>
      <c r="D8" s="19"/>
      <c r="E8" s="21"/>
      <c r="F8" s="21"/>
      <c r="G8" s="21"/>
      <c r="H8" s="21"/>
      <c r="I8" s="21"/>
      <c r="J8" s="21"/>
      <c r="K8" s="21"/>
      <c r="L8" s="21"/>
      <c r="M8" s="21"/>
      <c r="N8" s="21"/>
      <c r="O8" s="21"/>
    </row>
    <row r="9">
      <c r="A9" s="111" t="s">
        <v>185</v>
      </c>
      <c r="B9" s="116"/>
      <c r="C9" s="19"/>
      <c r="D9" s="19"/>
      <c r="E9" s="21"/>
      <c r="F9" s="21"/>
      <c r="G9" s="21"/>
      <c r="H9" s="21"/>
      <c r="I9" s="21"/>
      <c r="J9" s="21"/>
      <c r="K9" s="21"/>
      <c r="L9" s="21"/>
      <c r="M9" s="21"/>
      <c r="N9" s="21"/>
      <c r="O9" s="21"/>
    </row>
    <row r="10">
      <c r="A10" s="111" t="s">
        <v>186</v>
      </c>
      <c r="B10" s="116"/>
      <c r="C10" s="19"/>
      <c r="D10" s="19"/>
      <c r="E10" s="21"/>
      <c r="F10" s="21"/>
      <c r="G10" s="21"/>
      <c r="H10" s="21"/>
      <c r="I10" s="21"/>
      <c r="J10" s="21"/>
      <c r="K10" s="21"/>
      <c r="L10" s="21"/>
      <c r="M10" s="21"/>
      <c r="N10" s="21"/>
      <c r="O10" s="21"/>
    </row>
    <row r="11">
      <c r="A11" s="111"/>
      <c r="B11" s="116"/>
      <c r="C11" s="19"/>
      <c r="D11" s="19"/>
      <c r="E11" s="21"/>
      <c r="F11" s="21"/>
      <c r="G11" s="21"/>
      <c r="H11" s="21"/>
      <c r="I11" s="21"/>
      <c r="J11" s="21"/>
      <c r="K11" s="21"/>
      <c r="L11" s="21"/>
      <c r="M11" s="21"/>
      <c r="N11" s="21"/>
      <c r="O11" s="21"/>
    </row>
    <row r="12">
      <c r="A12" s="117" t="s">
        <v>65</v>
      </c>
      <c r="B12" s="118" t="s">
        <v>187</v>
      </c>
      <c r="C12" s="119"/>
      <c r="D12" s="120"/>
      <c r="E12" s="121"/>
      <c r="F12" s="21"/>
      <c r="G12" s="21"/>
      <c r="H12" s="21"/>
      <c r="I12" s="21"/>
      <c r="J12" s="21"/>
      <c r="K12" s="21"/>
      <c r="L12" s="21"/>
      <c r="M12" s="21"/>
      <c r="N12" s="21"/>
      <c r="O12" s="21"/>
    </row>
    <row r="13">
      <c r="A13" s="122" t="s">
        <v>22</v>
      </c>
      <c r="B13" s="123" t="str">
        <f>if(MAXIFS('Player Stats - Current Week'!I:I,'Player Stats - Current Week'!C:C,B2,'Player Stats - Current Week'!D:D,"QB")=0,"BYE, GAME NOT STARTED, OR NO STATS YET",iferror(MAXIFS('Player Stats - Current Week'!I:I,,'Player Stats - Current Week'!C:C,B2,'Player Stats - Current Week'!D:D,"QB"),""))</f>
        <v>BYE, GAME NOT STARTED, OR NO STATS YET</v>
      </c>
      <c r="C13" s="21"/>
      <c r="D13" s="124"/>
      <c r="E13" s="121"/>
      <c r="F13" s="21"/>
      <c r="G13" s="21"/>
      <c r="H13" s="21"/>
      <c r="I13" s="21"/>
      <c r="J13" s="21"/>
      <c r="K13" s="21"/>
      <c r="L13" s="21"/>
      <c r="M13" s="21"/>
      <c r="N13" s="21"/>
      <c r="O13" s="21"/>
    </row>
    <row r="14">
      <c r="A14" s="122" t="s">
        <v>25</v>
      </c>
      <c r="B14" s="123" t="str">
        <f>if(iferror(vlookup(CONCATENATE("Week 2",B2),'Raw With Formulas'!J:N,4,false),iferror(vlookup(CONCATENATE("Week 2",B2),'Raw With Formulas'!L:N,3,false),"BYE OR GAME NOT STARTED")) = "", "BYE OR GAME NOT STARTED", iferror(vlookup(CONCATENATE("Week 2",B2),'Raw With Formulas'!J:N,4,false),iferror(vlookup(CONCATENATE("Week 2",B2),'Raw With Formulas'!L:N,3,false),"BYE OR GAME NOT STARTED")))</f>
        <v>BYE OR GAME NOT STARTED</v>
      </c>
      <c r="C14" s="21"/>
      <c r="D14" s="124"/>
      <c r="E14" s="121"/>
      <c r="F14" s="21"/>
      <c r="G14" s="21"/>
      <c r="H14" s="21"/>
      <c r="I14" s="21"/>
      <c r="J14" s="21"/>
      <c r="K14" s="21"/>
      <c r="L14" s="21"/>
      <c r="M14" s="21"/>
      <c r="N14" s="21"/>
      <c r="O14" s="21"/>
    </row>
    <row r="15">
      <c r="A15" s="122" t="s">
        <v>28</v>
      </c>
      <c r="B15" s="123" t="str">
        <f>if(today()&gt;='Week Date Mapping'!$A$4,iferror(
if(
sumifs(
'Player Stats - Current Week'!T:T,
'Player Stats - Current Week'!C:C,
iferror(
vlookup(
CONCATENATE("Week 3",B2), 
'Raw With Formulas'!J:O,
2,false
),
vlookup(CONCATENATE("Week 3",B2), 'Raw With Formulas'!L:O,4,false))) 
= 0,
"BYE, GAME NOT STARTED, OR NO STATS YET",
iferror(
sumifs(
'Player Stats - Current Week'!T:T,
'Player Stats - Current Week'!C:C,
iferror(
vlookup(
CONCATENATE("Week 3",B2), 
'Raw With Formulas'!J:O,
2,false
),
vlookup(CONCATENATE("Week 3",B2), 'Raw With Formulas'!L:O,4,false))),
""
)
),
"BYE, GAME NOT STARTED, OR NO STATS YET"
),"BYE, GAME NOT STARTED, OR NO STATS YET")</f>
        <v>BYE, GAME NOT STARTED, OR NO STATS YET</v>
      </c>
      <c r="C15" s="21"/>
      <c r="D15" s="124"/>
      <c r="E15" s="121"/>
      <c r="F15" s="21"/>
      <c r="H15" s="21"/>
      <c r="I15" s="21"/>
      <c r="J15" s="21"/>
      <c r="K15" s="21"/>
      <c r="L15" s="21"/>
      <c r="M15" s="21"/>
      <c r="N15" s="21"/>
      <c r="O15" s="21"/>
    </row>
    <row r="16">
      <c r="A16" s="122" t="s">
        <v>31</v>
      </c>
      <c r="B16" s="123" t="str">
        <f>if(MAXIFS('Player Stats - Current Week'!F:F,'Player Stats - Current Week'!C:C,B2,'Player Stats - Current Week'!D:D,"TE")=0,"BYE, GAME NOT STARTED, OR NO STATS YET",iferror(MAXIFS('Player Stats - Current Week'!F:F,'Player Stats - Current Week'!C:C,B2,'Player Stats - Current Week'!D:D,"TE"),""))</f>
        <v>BYE, GAME NOT STARTED, OR NO STATS YET</v>
      </c>
      <c r="C16" s="21"/>
      <c r="D16" s="124"/>
      <c r="E16" s="121"/>
      <c r="F16" s="21"/>
      <c r="G16" s="21"/>
      <c r="H16" s="21"/>
      <c r="I16" s="21"/>
      <c r="J16" s="21"/>
      <c r="K16" s="21"/>
      <c r="L16" s="21"/>
      <c r="M16" s="21"/>
      <c r="N16" s="21"/>
      <c r="O16" s="21"/>
    </row>
    <row r="17">
      <c r="A17" s="122" t="s">
        <v>34</v>
      </c>
      <c r="B17" s="123" t="str">
        <f>if(MAXIFS('Player Stats - Current Week'!Q:Q,'Player Stats - Current Week'!C:C,B2,'Player Stats - Current Week'!D:D,"WR")=0,"BYE, GAME NOT STARTED, OR NO STATS YET",iferror(MAXIFS('Player Stats - Current Week'!Q:Q,'Player Stats - Current Week'!C:C,B2,'Player Stats - Current Week'!D:D,"WR"),""))</f>
        <v>BYE, GAME NOT STARTED, OR NO STATS YET</v>
      </c>
      <c r="C17" s="21"/>
      <c r="D17" s="125"/>
      <c r="E17" s="121"/>
      <c r="F17" s="21"/>
      <c r="G17" s="21"/>
      <c r="H17" s="21"/>
      <c r="I17" s="21"/>
      <c r="J17" s="21"/>
      <c r="K17" s="21"/>
      <c r="L17" s="21"/>
      <c r="M17" s="21"/>
      <c r="N17" s="21"/>
      <c r="O17" s="21"/>
    </row>
    <row r="18">
      <c r="A18" s="122" t="s">
        <v>37</v>
      </c>
      <c r="B18" s="123" t="str">
        <f>if((SUMIFS('Player Stats - Current Week'!L:L,'Player Stats - Current Week'!C:C,B2)+SUMIFS('Player Stats - Current Week'!R:R,'Player Stats - Current Week'!C:C,B2))=0,"BYE, GAME NOT STARTED, OR NO STATS YET",((SUMIFS('Player Stats - Current Week'!R:R,'Player Stats - Current Week'!C:C,B2)*6)+SUMIFS('Player Stats - Current Week'!L:L,'Player Stats - Current Week'!C:C,B2)))</f>
        <v>BYE, GAME NOT STARTED, OR NO STATS YET</v>
      </c>
      <c r="C18" s="21"/>
      <c r="D18" s="126"/>
      <c r="E18" s="121"/>
      <c r="F18" s="21"/>
      <c r="G18" s="21"/>
      <c r="H18" s="21"/>
      <c r="I18" s="21"/>
      <c r="J18" s="21"/>
      <c r="K18" s="21"/>
      <c r="L18" s="21"/>
      <c r="M18" s="21"/>
      <c r="N18" s="21"/>
      <c r="O18" s="21"/>
    </row>
    <row r="19" ht="18.75" customHeight="1">
      <c r="A19" s="122" t="s">
        <v>40</v>
      </c>
      <c r="B19" s="112" t="str">
        <f>if((SUMIFS('Player Stats - Current Week'!G:G,'Player Stats - Current Week'!C:C,B2,'Player Stats - Current Week'!D:D,"RB")+SUMIFS('Player Stats - Current Week'!E:E,'Player Stats - Current Week'!C:C,B2,'Player Stats - Current Week'!D:D,"RB"))=0,"BYE, GAME NOT STARTED, OR NO STATS YET",((SUMIFS('Player Stats - Current Week'!G:G,'Player Stats - Current Week'!C:C,B2,'Player Stats - Current Week'!D:D,"RB")*6)+SUMIFS('Player Stats - Current Week'!E:E,'Player Stats - Current Week'!C:C,B2,'Player Stats - Current Week'!D:D,"RB")))</f>
        <v>BYE, GAME NOT STARTED, OR NO STATS YET</v>
      </c>
      <c r="C19" s="21"/>
      <c r="D19" s="127"/>
      <c r="E19" s="121"/>
      <c r="F19" s="21"/>
      <c r="G19" s="21"/>
      <c r="H19" s="21"/>
      <c r="I19" s="21"/>
      <c r="J19" s="21"/>
      <c r="K19" s="21"/>
      <c r="L19" s="21"/>
      <c r="M19" s="21"/>
      <c r="N19" s="21"/>
      <c r="O19" s="21"/>
    </row>
    <row r="20" ht="20.25" customHeight="1">
      <c r="A20" s="122" t="s">
        <v>42</v>
      </c>
      <c r="B20" s="112" t="str">
        <f>if(MAXIFS('Player Stats - Current Week'!L:L,'Player Stats - Current Week'!C:C,B2,'Player Stats - Current Week'!D:D,"PK")=0,"BYE, GAME NOT STARTED, OR NO STATS YET",iferror(MAXIFS('Player Stats - Current Week'!L:L,'Player Stats - Current Week'!C:C,B2,'Player Stats - Current Week'!D:D,"PK"),""))</f>
        <v>BYE, GAME NOT STARTED, OR NO STATS YET</v>
      </c>
      <c r="C20" s="21"/>
      <c r="D20" s="125"/>
      <c r="E20" s="121"/>
      <c r="F20" s="21"/>
      <c r="G20" s="21"/>
      <c r="H20" s="21"/>
      <c r="I20" s="128"/>
      <c r="J20" s="21"/>
      <c r="K20" s="21"/>
      <c r="L20" s="21"/>
      <c r="M20" s="21"/>
      <c r="N20" s="21"/>
      <c r="O20" s="21"/>
    </row>
    <row r="21">
      <c r="A21" s="122" t="s">
        <v>45</v>
      </c>
      <c r="B21" s="112" t="str">
        <f>if(MAXIFS('Player Stats - Current Week'!N:N,'Player Stats - Current Week'!C:C,B2,'Player Stats - Current Week'!D:D,"QB")=0,"BYE, GAME NOT STARTED, OR NO STATS YET",iferror(MAXIFS('Player Stats - Current Week'!N:N,'Player Stats - Current Week'!C:C,B2,'Player Stats - Current Week'!D:D,"QB"),""))</f>
        <v>BYE, GAME NOT STARTED, OR NO STATS YET</v>
      </c>
      <c r="C21" s="21"/>
      <c r="D21" s="125"/>
      <c r="E21" s="121"/>
      <c r="F21" s="21"/>
      <c r="G21" s="21"/>
      <c r="H21" s="21"/>
      <c r="I21" s="21"/>
      <c r="J21" s="21"/>
      <c r="K21" s="21"/>
      <c r="L21" s="21"/>
      <c r="M21" s="21"/>
      <c r="N21" s="21"/>
      <c r="O21" s="21"/>
    </row>
    <row r="22">
      <c r="A22" s="122" t="s">
        <v>47</v>
      </c>
      <c r="B22" s="112" t="str">
        <f>if(SUMIFS('Player Stats - Current Week'!O:O,'Player Stats - Current Week'!C:C,B2)=0,"BYE, GAME NOT STARTED, OR NO STATS YET",iferror(SUMIFS('Player Stats - Current Week'!O:O,'Player Stats - Current Week'!C:C,B2),""))</f>
        <v>BYE, GAME NOT STARTED, OR NO STATS YET</v>
      </c>
      <c r="C22" s="112"/>
      <c r="D22" s="126"/>
      <c r="E22" s="121"/>
      <c r="F22" s="21"/>
      <c r="G22" s="21"/>
      <c r="H22" s="21"/>
      <c r="I22" s="21"/>
      <c r="J22" s="21"/>
      <c r="K22" s="21"/>
      <c r="L22" s="21"/>
      <c r="M22" s="21"/>
      <c r="N22" s="21"/>
      <c r="O22" s="21"/>
    </row>
    <row r="23">
      <c r="A23" s="122" t="s">
        <v>49</v>
      </c>
      <c r="B23" s="112" t="str">
        <f>if(MAXIFS('Player Stats - Current Week'!Q:Q,'Player Stats - Current Week'!C:C,B2,'Player Stats - Current Week'!D:D,"TE")=0,"BYE, GAME NOT STARTED, OR NO STATS YET",iferror(MAXIFS('Player Stats - Current Week'!Q:Q,'Player Stats - Current Week'!C:C,B2,'Player Stats - Current Week'!D:D,"TE"),""))</f>
        <v>BYE, GAME NOT STARTED, OR NO STATS YET</v>
      </c>
      <c r="C23" s="112"/>
      <c r="D23" s="126"/>
      <c r="E23" s="121"/>
      <c r="F23" s="21"/>
      <c r="G23" s="21"/>
      <c r="H23" s="21"/>
      <c r="I23" s="21"/>
      <c r="J23" s="21"/>
      <c r="K23" s="21"/>
      <c r="L23" s="21"/>
      <c r="M23" s="21"/>
      <c r="N23" s="21"/>
      <c r="O23" s="21"/>
    </row>
    <row r="24">
      <c r="A24" s="122" t="s">
        <v>51</v>
      </c>
      <c r="B24" s="112" t="str">
        <f>if(MAXIFS('Player Stats - Current Week'!S:S,'Player Stats - Current Week'!C:C,B2)=0,"BYE, GAME NOT STARTED, OR NO STATS YET",iferror(MAXIFS('Player Stats - Current Week'!S:S,'Player Stats - Current Week'!C:C,B2),""))</f>
        <v>BYE, GAME NOT STARTED, OR NO STATS YET</v>
      </c>
      <c r="C24" s="112"/>
      <c r="D24" s="129"/>
      <c r="E24" s="121"/>
      <c r="F24" s="21"/>
      <c r="G24" s="21"/>
      <c r="H24" s="21"/>
      <c r="I24" s="21"/>
      <c r="J24" s="21"/>
      <c r="K24" s="21"/>
      <c r="L24" s="21"/>
      <c r="M24" s="21"/>
      <c r="N24" s="21"/>
      <c r="O24" s="21"/>
    </row>
    <row r="25">
      <c r="A25" s="122" t="s">
        <v>53</v>
      </c>
      <c r="B25" s="111" t="str">
        <f>if(MAXIFS('Player Stats - Current Week'!G:G,'Player Stats - Current Week'!C:C,B2,'Player Stats - Current Week'!D:D,"QB")=0,"BYE, GAME NOT STARTED, OR NO STATS YET",iferror(MAXIFS('Player Stats - Current Week'!G:G,'Player Stats - Current Week'!C:C,B2,'Player Stats - Current Week'!D:D,"QB"),""))</f>
        <v>BYE, GAME NOT STARTED, OR NO STATS YET</v>
      </c>
      <c r="C25" s="21"/>
      <c r="D25" s="130"/>
      <c r="E25" s="121"/>
      <c r="F25" s="21"/>
      <c r="G25" s="21"/>
      <c r="H25" s="21"/>
      <c r="I25" s="21"/>
      <c r="J25" s="21"/>
      <c r="K25" s="21"/>
      <c r="L25" s="21"/>
      <c r="M25" s="21"/>
      <c r="N25" s="21"/>
      <c r="O25" s="21"/>
    </row>
    <row r="26">
      <c r="A26" s="122" t="s">
        <v>55</v>
      </c>
      <c r="B26" s="111" t="str">
        <f>if(today()&gt;='Week Date Mapping'!$A$15,if(iferror(vlookup(CONCATENATE("Week 14",B2),'Raw With Formulas'!J:N,5,false),iferror(vlookup(CONCATENATE("Week 14",B2),'Raw With Formulas'!L:N,2,false),"BYE OR GAME NOT STARTED"))="","BYE OR GAME NOT STARTED",iferror(vlookup(CONCATENATE("Week 14",B2),'Raw With Formulas'!J:N,5,false),iferror(vlookup(CONCATENATE("Week 14",B2),'Raw With Formulas'!L:N,2,false),"BYE OR GAME NOT STARTED"))),"BYE OR GAME NOT STARTED")</f>
        <v>BYE OR GAME NOT STARTED</v>
      </c>
      <c r="C26" s="21"/>
      <c r="D26" s="130"/>
      <c r="E26" s="121"/>
      <c r="F26" s="21"/>
      <c r="G26" s="21"/>
      <c r="H26" s="21"/>
      <c r="I26" s="21"/>
      <c r="J26" s="21"/>
      <c r="K26" s="21"/>
      <c r="L26" s="21"/>
      <c r="M26" s="21"/>
      <c r="N26" s="21"/>
      <c r="O26" s="21"/>
    </row>
    <row r="27">
      <c r="A27" s="122" t="s">
        <v>57</v>
      </c>
      <c r="B27" s="111" t="str">
        <f>if(MAXIFS('Player Stats - Current Week'!Q:Q,'Player Stats - Current Week'!C:C,B2,'Player Stats - Current Week'!D:D,"QB")=0,"BYE, GAME NOT STARTED, OR NO STATS YET",iferror(MAXIFS('Player Stats - Current Week'!Q:Q,'Player Stats - Current Week'!C:C,B2,'Player Stats - Current Week'!D:D,"QB"),""))</f>
        <v>BYE, GAME NOT STARTED, OR NO STATS YET</v>
      </c>
      <c r="C27" s="21"/>
      <c r="D27" s="130"/>
      <c r="E27" s="121"/>
      <c r="F27" s="21"/>
      <c r="G27" s="21"/>
      <c r="H27" s="21"/>
      <c r="I27" s="21"/>
      <c r="J27" s="21"/>
      <c r="K27" s="21"/>
      <c r="L27" s="21"/>
      <c r="M27" s="21"/>
      <c r="N27" s="21"/>
      <c r="O27" s="21"/>
    </row>
    <row r="28">
      <c r="A28" s="122" t="s">
        <v>59</v>
      </c>
      <c r="B28" s="111" t="str">
        <f>if(today()&gt;='Week Date Mapping'!$A$17,if(iferror(vlookup(CONCATENATE("Week 16",B2),'Raw With Formulas'!J:N,4,false),iferror(vlookup(CONCATENATE("Week 16",B2),'Raw With Formulas'!L:N,3,false),"BYE OR GAME NOT STARTED"))="","BYE OR GAME NOT STARTED",iferror(vlookup(CONCATENATE("Week 16",B2),'Raw With Formulas'!J:N,4,false),iferror(vlookup(CONCATENATE("Week 16",B2),'Raw With Formulas'!L:N,3,false),"BYE OR GAME NOT STARTED"))),"BYE OR GAME NOT STARTED")</f>
        <v>BYE OR GAME NOT STARTED</v>
      </c>
      <c r="C28" s="21"/>
      <c r="D28" s="130"/>
      <c r="E28" s="121"/>
      <c r="F28" s="21"/>
      <c r="G28" s="21"/>
      <c r="H28" s="21"/>
      <c r="I28" s="21"/>
      <c r="J28" s="21"/>
      <c r="K28" s="21"/>
      <c r="L28" s="21"/>
      <c r="M28" s="21"/>
      <c r="N28" s="21"/>
      <c r="O28" s="21"/>
    </row>
    <row r="29">
      <c r="A29" s="122" t="s">
        <v>61</v>
      </c>
      <c r="B29" s="111" t="str">
        <f>if(MAXIFS('Player Stats - Current Week'!F:F,'Player Stats - Current Week'!C:C,B2,'Player Stats - Current Week'!D:D,"WR")=0,"BYE, GAME NOT STARTED, OR NO STATS YET",iferror(MAXIFS('Player Stats - Current Week'!F:F,'Player Stats - Current Week'!C:C,B2,'Player Stats - Current Week'!D:D,"WR"),""))</f>
        <v>BYE, GAME NOT STARTED, OR NO STATS YET</v>
      </c>
      <c r="C29" s="21"/>
      <c r="D29" s="130"/>
      <c r="E29" s="121"/>
      <c r="F29" s="21"/>
      <c r="G29" s="21"/>
      <c r="H29" s="21"/>
      <c r="I29" s="21"/>
      <c r="J29" s="21"/>
      <c r="K29" s="21"/>
      <c r="L29" s="21"/>
      <c r="M29" s="21"/>
      <c r="N29" s="21"/>
      <c r="O29" s="21"/>
    </row>
    <row r="30">
      <c r="A30" s="131" t="s">
        <v>63</v>
      </c>
      <c r="B30" s="132" t="str">
        <f>if(MAXIFS('Player Stats - Current Week'!Q:Q,'Player Stats - Current Week'!C:C,B2,'Player Stats - Current Week'!D:D,"RB")=0,"BYE, GAME NOT STARTED, OR NO STATS YET",iferror(MAXIFS('Player Stats - Current Week'!Q:Q,'Player Stats - Current Week'!C:C,B2,'Player Stats - Current Week'!D:D,"RB"),""))</f>
        <v>BYE, GAME NOT STARTED, OR NO STATS YET</v>
      </c>
      <c r="C30" s="133"/>
      <c r="D30" s="134"/>
      <c r="E30" s="121"/>
      <c r="F30" s="21"/>
      <c r="G30" s="21"/>
      <c r="H30" s="21"/>
      <c r="I30" s="21"/>
      <c r="J30" s="21"/>
      <c r="K30" s="21"/>
      <c r="L30" s="21"/>
      <c r="M30" s="21"/>
      <c r="N30" s="21"/>
      <c r="O30" s="21"/>
    </row>
    <row r="31">
      <c r="A31" s="135"/>
      <c r="B31" s="136"/>
      <c r="C31" s="24"/>
      <c r="D31" s="24"/>
      <c r="E31" s="21"/>
      <c r="F31" s="21"/>
      <c r="G31" s="21"/>
      <c r="H31" s="21"/>
      <c r="I31" s="21"/>
      <c r="J31" s="21"/>
      <c r="K31" s="21"/>
      <c r="L31" s="21"/>
      <c r="M31" s="21"/>
      <c r="N31" s="21"/>
      <c r="O31" s="21"/>
    </row>
    <row r="32">
      <c r="A32" s="137" t="s">
        <v>188</v>
      </c>
      <c r="B32" s="111"/>
      <c r="C32" s="21"/>
      <c r="D32" s="138"/>
      <c r="E32" s="21"/>
      <c r="F32" s="21"/>
      <c r="G32" s="21"/>
      <c r="H32" s="21"/>
      <c r="I32" s="21"/>
      <c r="J32" s="21"/>
      <c r="K32" s="21"/>
      <c r="L32" s="21"/>
      <c r="M32" s="21"/>
      <c r="N32" s="21"/>
      <c r="O32" s="21"/>
    </row>
    <row r="33">
      <c r="A33" s="111" t="s">
        <v>189</v>
      </c>
      <c r="B33" s="128"/>
      <c r="C33" s="21"/>
      <c r="D33" s="21"/>
      <c r="E33" s="21"/>
      <c r="F33" s="21"/>
      <c r="G33" s="21"/>
      <c r="H33" s="21"/>
      <c r="I33" s="21"/>
      <c r="J33" s="21"/>
      <c r="K33" s="21"/>
      <c r="L33" s="21"/>
      <c r="M33" s="21"/>
      <c r="N33" s="21"/>
      <c r="O33" s="21"/>
    </row>
    <row r="34">
      <c r="A34" s="128"/>
      <c r="B34" s="128"/>
      <c r="C34" s="21"/>
      <c r="D34" s="21"/>
      <c r="E34" s="21"/>
      <c r="F34" s="21"/>
      <c r="G34" s="21"/>
      <c r="H34" s="21"/>
      <c r="I34" s="21"/>
      <c r="J34" s="21"/>
      <c r="K34" s="21"/>
      <c r="L34" s="21"/>
      <c r="M34" s="21"/>
      <c r="N34" s="21"/>
      <c r="O34" s="21"/>
    </row>
    <row r="35">
      <c r="A35" s="128"/>
      <c r="B35" s="128"/>
      <c r="C35" s="21"/>
      <c r="D35" s="21"/>
      <c r="E35" s="21"/>
      <c r="F35" s="21"/>
      <c r="G35" s="21"/>
      <c r="H35" s="21"/>
      <c r="I35" s="21"/>
      <c r="J35" s="21"/>
      <c r="K35" s="21"/>
      <c r="L35" s="21"/>
      <c r="M35" s="21"/>
      <c r="N35" s="21"/>
      <c r="O35" s="21"/>
    </row>
    <row r="36">
      <c r="A36" s="128"/>
      <c r="B36" s="128"/>
      <c r="C36" s="21"/>
      <c r="D36" s="21"/>
      <c r="E36" s="21"/>
      <c r="F36" s="21"/>
      <c r="G36" s="21"/>
      <c r="H36" s="21"/>
      <c r="I36" s="21"/>
      <c r="J36" s="21"/>
      <c r="K36" s="21"/>
      <c r="L36" s="21"/>
      <c r="M36" s="21"/>
      <c r="N36" s="21"/>
      <c r="O36" s="21"/>
    </row>
    <row r="37">
      <c r="A37" s="128"/>
      <c r="B37" s="128"/>
      <c r="C37" s="21"/>
      <c r="D37" s="21"/>
      <c r="E37" s="21"/>
      <c r="F37" s="21"/>
      <c r="G37" s="21"/>
      <c r="H37" s="21"/>
      <c r="I37" s="21"/>
      <c r="J37" s="21"/>
      <c r="K37" s="21"/>
      <c r="L37" s="21"/>
      <c r="M37" s="21"/>
      <c r="N37" s="21"/>
      <c r="O37" s="21"/>
    </row>
    <row r="38">
      <c r="A38" s="128"/>
      <c r="B38" s="128"/>
      <c r="C38" s="21"/>
      <c r="D38" s="21"/>
      <c r="E38" s="21"/>
      <c r="F38" s="21"/>
      <c r="G38" s="21"/>
      <c r="H38" s="21"/>
      <c r="I38" s="21"/>
      <c r="J38" s="21"/>
      <c r="K38" s="21"/>
      <c r="L38" s="21"/>
      <c r="M38" s="21"/>
      <c r="N38" s="21"/>
      <c r="O38" s="21"/>
    </row>
    <row r="39">
      <c r="A39" s="128"/>
      <c r="B39" s="128"/>
      <c r="C39" s="21"/>
      <c r="D39" s="21"/>
      <c r="E39" s="21"/>
      <c r="F39" s="21"/>
      <c r="G39" s="21"/>
      <c r="H39" s="21"/>
      <c r="I39" s="21"/>
      <c r="J39" s="21"/>
      <c r="K39" s="21"/>
      <c r="L39" s="21"/>
      <c r="M39" s="21"/>
      <c r="N39" s="21"/>
      <c r="O39" s="21"/>
    </row>
    <row r="40">
      <c r="A40" s="128"/>
      <c r="B40" s="128"/>
      <c r="C40" s="21"/>
      <c r="D40" s="21"/>
      <c r="E40" s="21"/>
      <c r="F40" s="21"/>
      <c r="G40" s="21"/>
      <c r="H40" s="21"/>
      <c r="I40" s="21"/>
      <c r="J40" s="21"/>
      <c r="K40" s="21"/>
      <c r="L40" s="21"/>
      <c r="M40" s="21"/>
      <c r="N40" s="21"/>
      <c r="O40" s="21"/>
    </row>
    <row r="41">
      <c r="A41" s="128"/>
      <c r="B41" s="128"/>
      <c r="C41" s="21"/>
      <c r="D41" s="21"/>
      <c r="E41" s="21"/>
      <c r="F41" s="21"/>
      <c r="G41" s="21"/>
      <c r="H41" s="21"/>
      <c r="I41" s="21"/>
      <c r="J41" s="21"/>
      <c r="K41" s="21"/>
      <c r="L41" s="21"/>
      <c r="M41" s="21"/>
      <c r="N41" s="21"/>
      <c r="O41" s="21"/>
    </row>
    <row r="42">
      <c r="A42" s="128"/>
      <c r="B42" s="128"/>
      <c r="C42" s="21"/>
      <c r="D42" s="21"/>
      <c r="E42" s="21"/>
      <c r="F42" s="21"/>
      <c r="G42" s="21"/>
      <c r="H42" s="21"/>
      <c r="I42" s="21"/>
      <c r="J42" s="21"/>
      <c r="K42" s="21"/>
      <c r="L42" s="21"/>
      <c r="M42" s="21"/>
      <c r="N42" s="21"/>
      <c r="O42" s="21"/>
    </row>
  </sheetData>
  <drawing r:id="rId1"/>
  <tableParts count="3">
    <tablePart r:id="rId5"/>
    <tablePart r:id="rId6"/>
    <tablePart r:id="rId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5.38"/>
    <col customWidth="1" min="11" max="12" width="15.88"/>
    <col customWidth="1" min="15" max="15" width="20.63"/>
  </cols>
  <sheetData>
    <row r="1">
      <c r="A1" s="139" t="str">
        <f>IFERROR(__xludf.DUMMYFUNCTION("IMPORTRANGE(""https://docs.google.com/spreadsheets/d/1nAB4oWA_Z2OlfafXAET78w79PCBTfcdCGC-Nl-GK2Ug/edit?gid=2141469202#gid=2141469202"",""'Raw Game Level Data - API Import'!A:G"")"),"Game")</f>
        <v>Game</v>
      </c>
      <c r="B1" s="139" t="str">
        <f>IFERROR(__xludf.DUMMYFUNCTION("""COMPUTED_VALUE"""),"Away_Team")</f>
        <v>Away_Team</v>
      </c>
      <c r="C1" s="139" t="str">
        <f>IFERROR(__xludf.DUMMYFUNCTION("""COMPUTED_VALUE"""),"Home_Team")</f>
        <v>Home_Team</v>
      </c>
      <c r="D1" s="139" t="str">
        <f>IFERROR(__xludf.DUMMYFUNCTION("""COMPUTED_VALUE"""),"Away_Pts")</f>
        <v>Away_Pts</v>
      </c>
      <c r="E1" s="139" t="str">
        <f>IFERROR(__xludf.DUMMYFUNCTION("""COMPUTED_VALUE"""),"Home_Pts")</f>
        <v>Home_Pts</v>
      </c>
      <c r="F1" s="139" t="str">
        <f>IFERROR(__xludf.DUMMYFUNCTION("""COMPUTED_VALUE"""),"Week")</f>
        <v>Week</v>
      </c>
      <c r="G1" s="139" t="str">
        <f>IFERROR(__xludf.DUMMYFUNCTION("""COMPUTED_VALUE"""),"Status")</f>
        <v>Status</v>
      </c>
      <c r="H1" s="99" t="s">
        <v>190</v>
      </c>
      <c r="I1" s="99" t="s">
        <v>191</v>
      </c>
      <c r="J1" s="99" t="s">
        <v>192</v>
      </c>
      <c r="K1" s="99" t="s">
        <v>193</v>
      </c>
      <c r="L1" s="99" t="s">
        <v>194</v>
      </c>
      <c r="M1" s="99" t="s">
        <v>195</v>
      </c>
      <c r="N1" s="99" t="s">
        <v>196</v>
      </c>
      <c r="O1" s="99" t="s">
        <v>197</v>
      </c>
    </row>
    <row r="2">
      <c r="A2" s="139" t="str">
        <f>IFERROR(__xludf.DUMMYFUNCTION("""COMPUTED_VALUE"""),"20240909_NYJ@SF")</f>
        <v>20240909_NYJ@SF</v>
      </c>
      <c r="B2" s="139" t="str">
        <f>IFERROR(__xludf.DUMMYFUNCTION("""COMPUTED_VALUE"""),"NYJ")</f>
        <v>NYJ</v>
      </c>
      <c r="C2" s="139" t="str">
        <f>IFERROR(__xludf.DUMMYFUNCTION("""COMPUTED_VALUE"""),"SF")</f>
        <v>SF</v>
      </c>
      <c r="D2" s="139">
        <f>IFERROR(__xludf.DUMMYFUNCTION("""COMPUTED_VALUE"""),19.0)</f>
        <v>19</v>
      </c>
      <c r="E2" s="139">
        <f>IFERROR(__xludf.DUMMYFUNCTION("""COMPUTED_VALUE"""),32.0)</f>
        <v>32</v>
      </c>
      <c r="F2" s="139" t="str">
        <f>IFERROR(__xludf.DUMMYFUNCTION("""COMPUTED_VALUE"""),"Week 1")</f>
        <v>Week 1</v>
      </c>
      <c r="G2" s="139">
        <f>IFERROR(__xludf.DUMMYFUNCTION("""COMPUTED_VALUE"""),2.0)</f>
        <v>2</v>
      </c>
      <c r="H2" s="139" t="str">
        <f>if(E2&gt;D2,C2,if(D2&gt;E2,B2,""))</f>
        <v>SF</v>
      </c>
      <c r="I2" s="139" t="str">
        <f>if(E2&lt;D2,C2,if(D2&lt;E2,B2,""))</f>
        <v>NYJ</v>
      </c>
      <c r="J2" s="139" t="str">
        <f>CONCAT(F2,B2)</f>
        <v>Week 1NYJ</v>
      </c>
      <c r="K2" s="139" t="str">
        <f>C2</f>
        <v>SF</v>
      </c>
      <c r="L2" s="139" t="str">
        <f>CONCAT(F2,C2)</f>
        <v>Week 1SF</v>
      </c>
      <c r="M2" s="139">
        <f t="shared" ref="M2:N2" si="1">D2</f>
        <v>19</v>
      </c>
      <c r="N2" s="139">
        <f t="shared" si="1"/>
        <v>32</v>
      </c>
      <c r="O2" s="139" t="str">
        <f>B2</f>
        <v>NYJ</v>
      </c>
    </row>
    <row r="3">
      <c r="A3" s="139" t="str">
        <f>IFERROR(__xludf.DUMMYFUNCTION("""COMPUTED_VALUE"""),"20240908_ARI@BUF")</f>
        <v>20240908_ARI@BUF</v>
      </c>
      <c r="B3" s="139" t="str">
        <f>IFERROR(__xludf.DUMMYFUNCTION("""COMPUTED_VALUE"""),"ARI")</f>
        <v>ARI</v>
      </c>
      <c r="C3" s="139" t="str">
        <f>IFERROR(__xludf.DUMMYFUNCTION("""COMPUTED_VALUE"""),"BUF")</f>
        <v>BUF</v>
      </c>
      <c r="D3" s="139">
        <f>IFERROR(__xludf.DUMMYFUNCTION("""COMPUTED_VALUE"""),28.0)</f>
        <v>28</v>
      </c>
      <c r="E3" s="139">
        <f>IFERROR(__xludf.DUMMYFUNCTION("""COMPUTED_VALUE"""),34.0)</f>
        <v>34</v>
      </c>
      <c r="F3" s="139" t="str">
        <f>IFERROR(__xludf.DUMMYFUNCTION("""COMPUTED_VALUE"""),"Week 1")</f>
        <v>Week 1</v>
      </c>
      <c r="G3" s="139">
        <f>IFERROR(__xludf.DUMMYFUNCTION("""COMPUTED_VALUE"""),2.0)</f>
        <v>2</v>
      </c>
    </row>
    <row r="4">
      <c r="A4" s="139" t="str">
        <f>IFERROR(__xludf.DUMMYFUNCTION("""COMPUTED_VALUE"""),"20240908_NE@CIN")</f>
        <v>20240908_NE@CIN</v>
      </c>
      <c r="B4" s="139" t="str">
        <f>IFERROR(__xludf.DUMMYFUNCTION("""COMPUTED_VALUE"""),"NE")</f>
        <v>NE</v>
      </c>
      <c r="C4" s="139" t="str">
        <f>IFERROR(__xludf.DUMMYFUNCTION("""COMPUTED_VALUE"""),"CIN")</f>
        <v>CIN</v>
      </c>
      <c r="D4" s="139">
        <f>IFERROR(__xludf.DUMMYFUNCTION("""COMPUTED_VALUE"""),16.0)</f>
        <v>16</v>
      </c>
      <c r="E4" s="139">
        <f>IFERROR(__xludf.DUMMYFUNCTION("""COMPUTED_VALUE"""),10.0)</f>
        <v>10</v>
      </c>
      <c r="F4" s="139" t="str">
        <f>IFERROR(__xludf.DUMMYFUNCTION("""COMPUTED_VALUE"""),"Week 1")</f>
        <v>Week 1</v>
      </c>
      <c r="G4" s="139">
        <f>IFERROR(__xludf.DUMMYFUNCTION("""COMPUTED_VALUE"""),2.0)</f>
        <v>2</v>
      </c>
    </row>
    <row r="5">
      <c r="A5" s="139" t="str">
        <f>IFERROR(__xludf.DUMMYFUNCTION("""COMPUTED_VALUE"""),"20240908_DEN@SEA")</f>
        <v>20240908_DEN@SEA</v>
      </c>
      <c r="B5" s="139" t="str">
        <f>IFERROR(__xludf.DUMMYFUNCTION("""COMPUTED_VALUE"""),"DEN")</f>
        <v>DEN</v>
      </c>
      <c r="C5" s="139" t="str">
        <f>IFERROR(__xludf.DUMMYFUNCTION("""COMPUTED_VALUE"""),"SEA")</f>
        <v>SEA</v>
      </c>
      <c r="D5" s="139">
        <f>IFERROR(__xludf.DUMMYFUNCTION("""COMPUTED_VALUE"""),20.0)</f>
        <v>20</v>
      </c>
      <c r="E5" s="139">
        <f>IFERROR(__xludf.DUMMYFUNCTION("""COMPUTED_VALUE"""),26.0)</f>
        <v>26</v>
      </c>
      <c r="F5" s="139" t="str">
        <f>IFERROR(__xludf.DUMMYFUNCTION("""COMPUTED_VALUE"""),"Week 1")</f>
        <v>Week 1</v>
      </c>
      <c r="G5" s="139">
        <f>IFERROR(__xludf.DUMMYFUNCTION("""COMPUTED_VALUE"""),2.0)</f>
        <v>2</v>
      </c>
    </row>
    <row r="6">
      <c r="A6" s="139" t="str">
        <f>IFERROR(__xludf.DUMMYFUNCTION("""COMPUTED_VALUE"""),"20240908_DAL@CLE")</f>
        <v>20240908_DAL@CLE</v>
      </c>
      <c r="B6" s="139" t="str">
        <f>IFERROR(__xludf.DUMMYFUNCTION("""COMPUTED_VALUE"""),"DAL")</f>
        <v>DAL</v>
      </c>
      <c r="C6" s="139" t="str">
        <f>IFERROR(__xludf.DUMMYFUNCTION("""COMPUTED_VALUE"""),"CLE")</f>
        <v>CLE</v>
      </c>
      <c r="D6" s="139">
        <f>IFERROR(__xludf.DUMMYFUNCTION("""COMPUTED_VALUE"""),33.0)</f>
        <v>33</v>
      </c>
      <c r="E6" s="139">
        <f>IFERROR(__xludf.DUMMYFUNCTION("""COMPUTED_VALUE"""),17.0)</f>
        <v>17</v>
      </c>
      <c r="F6" s="139" t="str">
        <f>IFERROR(__xludf.DUMMYFUNCTION("""COMPUTED_VALUE"""),"Week 1")</f>
        <v>Week 1</v>
      </c>
      <c r="G6" s="139">
        <f>IFERROR(__xludf.DUMMYFUNCTION("""COMPUTED_VALUE"""),2.0)</f>
        <v>2</v>
      </c>
    </row>
    <row r="7">
      <c r="A7" s="139" t="str">
        <f>IFERROR(__xludf.DUMMYFUNCTION("""COMPUTED_VALUE"""),"20240908_HOU@IND")</f>
        <v>20240908_HOU@IND</v>
      </c>
      <c r="B7" s="139" t="str">
        <f>IFERROR(__xludf.DUMMYFUNCTION("""COMPUTED_VALUE"""),"HOU")</f>
        <v>HOU</v>
      </c>
      <c r="C7" s="139" t="str">
        <f>IFERROR(__xludf.DUMMYFUNCTION("""COMPUTED_VALUE"""),"IND")</f>
        <v>IND</v>
      </c>
      <c r="D7" s="139">
        <f>IFERROR(__xludf.DUMMYFUNCTION("""COMPUTED_VALUE"""),29.0)</f>
        <v>29</v>
      </c>
      <c r="E7" s="139">
        <f>IFERROR(__xludf.DUMMYFUNCTION("""COMPUTED_VALUE"""),27.0)</f>
        <v>27</v>
      </c>
      <c r="F7" s="139" t="str">
        <f>IFERROR(__xludf.DUMMYFUNCTION("""COMPUTED_VALUE"""),"Week 1")</f>
        <v>Week 1</v>
      </c>
      <c r="G7" s="139">
        <f>IFERROR(__xludf.DUMMYFUNCTION("""COMPUTED_VALUE"""),2.0)</f>
        <v>2</v>
      </c>
    </row>
    <row r="8">
      <c r="A8" s="139" t="str">
        <f>IFERROR(__xludf.DUMMYFUNCTION("""COMPUTED_VALUE"""),"20240908_LV@LAC")</f>
        <v>20240908_LV@LAC</v>
      </c>
      <c r="B8" s="139" t="str">
        <f>IFERROR(__xludf.DUMMYFUNCTION("""COMPUTED_VALUE"""),"LV")</f>
        <v>LV</v>
      </c>
      <c r="C8" s="139" t="str">
        <f>IFERROR(__xludf.DUMMYFUNCTION("""COMPUTED_VALUE"""),"LAC")</f>
        <v>LAC</v>
      </c>
      <c r="D8" s="139">
        <f>IFERROR(__xludf.DUMMYFUNCTION("""COMPUTED_VALUE"""),10.0)</f>
        <v>10</v>
      </c>
      <c r="E8" s="139">
        <f>IFERROR(__xludf.DUMMYFUNCTION("""COMPUTED_VALUE"""),22.0)</f>
        <v>22</v>
      </c>
      <c r="F8" s="139" t="str">
        <f>IFERROR(__xludf.DUMMYFUNCTION("""COMPUTED_VALUE"""),"Week 1")</f>
        <v>Week 1</v>
      </c>
      <c r="G8" s="139">
        <f>IFERROR(__xludf.DUMMYFUNCTION("""COMPUTED_VALUE"""),2.0)</f>
        <v>2</v>
      </c>
    </row>
    <row r="9">
      <c r="A9" s="139" t="str">
        <f>IFERROR(__xludf.DUMMYFUNCTION("""COMPUTED_VALUE"""),"20240908_MIN@NYG")</f>
        <v>20240908_MIN@NYG</v>
      </c>
      <c r="B9" s="139" t="str">
        <f>IFERROR(__xludf.DUMMYFUNCTION("""COMPUTED_VALUE"""),"MIN")</f>
        <v>MIN</v>
      </c>
      <c r="C9" s="139" t="str">
        <f>IFERROR(__xludf.DUMMYFUNCTION("""COMPUTED_VALUE"""),"NYG")</f>
        <v>NYG</v>
      </c>
      <c r="D9" s="139">
        <f>IFERROR(__xludf.DUMMYFUNCTION("""COMPUTED_VALUE"""),28.0)</f>
        <v>28</v>
      </c>
      <c r="E9" s="139">
        <f>IFERROR(__xludf.DUMMYFUNCTION("""COMPUTED_VALUE"""),6.0)</f>
        <v>6</v>
      </c>
      <c r="F9" s="139" t="str">
        <f>IFERROR(__xludf.DUMMYFUNCTION("""COMPUTED_VALUE"""),"Week 1")</f>
        <v>Week 1</v>
      </c>
      <c r="G9" s="139">
        <f>IFERROR(__xludf.DUMMYFUNCTION("""COMPUTED_VALUE"""),2.0)</f>
        <v>2</v>
      </c>
    </row>
    <row r="10">
      <c r="A10" s="139" t="str">
        <f>IFERROR(__xludf.DUMMYFUNCTION("""COMPUTED_VALUE"""),"20240908_CAR@NO")</f>
        <v>20240908_CAR@NO</v>
      </c>
      <c r="B10" s="139" t="str">
        <f>IFERROR(__xludf.DUMMYFUNCTION("""COMPUTED_VALUE"""),"CAR")</f>
        <v>CAR</v>
      </c>
      <c r="C10" s="139" t="str">
        <f>IFERROR(__xludf.DUMMYFUNCTION("""COMPUTED_VALUE"""),"NO")</f>
        <v>NO</v>
      </c>
      <c r="D10" s="139">
        <f>IFERROR(__xludf.DUMMYFUNCTION("""COMPUTED_VALUE"""),10.0)</f>
        <v>10</v>
      </c>
      <c r="E10" s="139">
        <f>IFERROR(__xludf.DUMMYFUNCTION("""COMPUTED_VALUE"""),47.0)</f>
        <v>47</v>
      </c>
      <c r="F10" s="139" t="str">
        <f>IFERROR(__xludf.DUMMYFUNCTION("""COMPUTED_VALUE"""),"Week 1")</f>
        <v>Week 1</v>
      </c>
      <c r="G10" s="139">
        <f>IFERROR(__xludf.DUMMYFUNCTION("""COMPUTED_VALUE"""),2.0)</f>
        <v>2</v>
      </c>
    </row>
    <row r="11">
      <c r="A11" s="139" t="str">
        <f>IFERROR(__xludf.DUMMYFUNCTION("""COMPUTED_VALUE"""),"20240908_TEN@CHI")</f>
        <v>20240908_TEN@CHI</v>
      </c>
      <c r="B11" s="139" t="str">
        <f>IFERROR(__xludf.DUMMYFUNCTION("""COMPUTED_VALUE"""),"TEN")</f>
        <v>TEN</v>
      </c>
      <c r="C11" s="139" t="str">
        <f>IFERROR(__xludf.DUMMYFUNCTION("""COMPUTED_VALUE"""),"CHI")</f>
        <v>CHI</v>
      </c>
      <c r="D11" s="139">
        <f>IFERROR(__xludf.DUMMYFUNCTION("""COMPUTED_VALUE"""),17.0)</f>
        <v>17</v>
      </c>
      <c r="E11" s="139">
        <f>IFERROR(__xludf.DUMMYFUNCTION("""COMPUTED_VALUE"""),24.0)</f>
        <v>24</v>
      </c>
      <c r="F11" s="139" t="str">
        <f>IFERROR(__xludf.DUMMYFUNCTION("""COMPUTED_VALUE"""),"Week 1")</f>
        <v>Week 1</v>
      </c>
      <c r="G11" s="139">
        <f>IFERROR(__xludf.DUMMYFUNCTION("""COMPUTED_VALUE"""),2.0)</f>
        <v>2</v>
      </c>
    </row>
    <row r="12">
      <c r="A12" s="139" t="str">
        <f>IFERROR(__xludf.DUMMYFUNCTION("""COMPUTED_VALUE"""),"20240908_WSH@TB")</f>
        <v>20240908_WSH@TB</v>
      </c>
      <c r="B12" s="139" t="str">
        <f>IFERROR(__xludf.DUMMYFUNCTION("""COMPUTED_VALUE"""),"WSH")</f>
        <v>WSH</v>
      </c>
      <c r="C12" s="139" t="str">
        <f>IFERROR(__xludf.DUMMYFUNCTION("""COMPUTED_VALUE"""),"TB")</f>
        <v>TB</v>
      </c>
      <c r="D12" s="139">
        <f>IFERROR(__xludf.DUMMYFUNCTION("""COMPUTED_VALUE"""),20.0)</f>
        <v>20</v>
      </c>
      <c r="E12" s="139">
        <f>IFERROR(__xludf.DUMMYFUNCTION("""COMPUTED_VALUE"""),37.0)</f>
        <v>37</v>
      </c>
      <c r="F12" s="139" t="str">
        <f>IFERROR(__xludf.DUMMYFUNCTION("""COMPUTED_VALUE"""),"Week 1")</f>
        <v>Week 1</v>
      </c>
      <c r="G12" s="139">
        <f>IFERROR(__xludf.DUMMYFUNCTION("""COMPUTED_VALUE"""),2.0)</f>
        <v>2</v>
      </c>
    </row>
    <row r="13">
      <c r="A13" s="139" t="str">
        <f>IFERROR(__xludf.DUMMYFUNCTION("""COMPUTED_VALUE"""),"20240908_LAR@DET")</f>
        <v>20240908_LAR@DET</v>
      </c>
      <c r="B13" s="139" t="str">
        <f>IFERROR(__xludf.DUMMYFUNCTION("""COMPUTED_VALUE"""),"LAR")</f>
        <v>LAR</v>
      </c>
      <c r="C13" s="139" t="str">
        <f>IFERROR(__xludf.DUMMYFUNCTION("""COMPUTED_VALUE"""),"DET")</f>
        <v>DET</v>
      </c>
      <c r="D13" s="139">
        <f>IFERROR(__xludf.DUMMYFUNCTION("""COMPUTED_VALUE"""),20.0)</f>
        <v>20</v>
      </c>
      <c r="E13" s="139">
        <f>IFERROR(__xludf.DUMMYFUNCTION("""COMPUTED_VALUE"""),26.0)</f>
        <v>26</v>
      </c>
      <c r="F13" s="139" t="str">
        <f>IFERROR(__xludf.DUMMYFUNCTION("""COMPUTED_VALUE"""),"Week 1")</f>
        <v>Week 1</v>
      </c>
      <c r="G13" s="139">
        <f>IFERROR(__xludf.DUMMYFUNCTION("""COMPUTED_VALUE"""),2.0)</f>
        <v>2</v>
      </c>
    </row>
    <row r="14">
      <c r="A14" s="139" t="str">
        <f>IFERROR(__xludf.DUMMYFUNCTION("""COMPUTED_VALUE"""),"20240908_JAX@MIA")</f>
        <v>20240908_JAX@MIA</v>
      </c>
      <c r="B14" s="139" t="str">
        <f>IFERROR(__xludf.DUMMYFUNCTION("""COMPUTED_VALUE"""),"JAX")</f>
        <v>JAX</v>
      </c>
      <c r="C14" s="139" t="str">
        <f>IFERROR(__xludf.DUMMYFUNCTION("""COMPUTED_VALUE"""),"MIA")</f>
        <v>MIA</v>
      </c>
      <c r="D14" s="139">
        <f>IFERROR(__xludf.DUMMYFUNCTION("""COMPUTED_VALUE"""),17.0)</f>
        <v>17</v>
      </c>
      <c r="E14" s="139">
        <f>IFERROR(__xludf.DUMMYFUNCTION("""COMPUTED_VALUE"""),20.0)</f>
        <v>20</v>
      </c>
      <c r="F14" s="139" t="str">
        <f>IFERROR(__xludf.DUMMYFUNCTION("""COMPUTED_VALUE"""),"Week 1")</f>
        <v>Week 1</v>
      </c>
      <c r="G14" s="139">
        <f>IFERROR(__xludf.DUMMYFUNCTION("""COMPUTED_VALUE"""),2.0)</f>
        <v>2</v>
      </c>
    </row>
    <row r="15">
      <c r="A15" s="139" t="str">
        <f>IFERROR(__xludf.DUMMYFUNCTION("""COMPUTED_VALUE"""),"20240908_PIT@ATL")</f>
        <v>20240908_PIT@ATL</v>
      </c>
      <c r="B15" s="139" t="str">
        <f>IFERROR(__xludf.DUMMYFUNCTION("""COMPUTED_VALUE"""),"PIT")</f>
        <v>PIT</v>
      </c>
      <c r="C15" s="139" t="str">
        <f>IFERROR(__xludf.DUMMYFUNCTION("""COMPUTED_VALUE"""),"ATL")</f>
        <v>ATL</v>
      </c>
      <c r="D15" s="139">
        <f>IFERROR(__xludf.DUMMYFUNCTION("""COMPUTED_VALUE"""),18.0)</f>
        <v>18</v>
      </c>
      <c r="E15" s="139">
        <f>IFERROR(__xludf.DUMMYFUNCTION("""COMPUTED_VALUE"""),10.0)</f>
        <v>10</v>
      </c>
      <c r="F15" s="139" t="str">
        <f>IFERROR(__xludf.DUMMYFUNCTION("""COMPUTED_VALUE"""),"Week 1")</f>
        <v>Week 1</v>
      </c>
      <c r="G15" s="139">
        <f>IFERROR(__xludf.DUMMYFUNCTION("""COMPUTED_VALUE"""),2.0)</f>
        <v>2</v>
      </c>
    </row>
    <row r="16">
      <c r="A16" s="139" t="str">
        <f>IFERROR(__xludf.DUMMYFUNCTION("""COMPUTED_VALUE"""),"20240906_GB@PHI")</f>
        <v>20240906_GB@PHI</v>
      </c>
      <c r="B16" s="139" t="str">
        <f>IFERROR(__xludf.DUMMYFUNCTION("""COMPUTED_VALUE"""),"GB")</f>
        <v>GB</v>
      </c>
      <c r="C16" s="139" t="str">
        <f>IFERROR(__xludf.DUMMYFUNCTION("""COMPUTED_VALUE"""),"PHI")</f>
        <v>PHI</v>
      </c>
      <c r="D16" s="139">
        <f>IFERROR(__xludf.DUMMYFUNCTION("""COMPUTED_VALUE"""),29.0)</f>
        <v>29</v>
      </c>
      <c r="E16" s="139">
        <f>IFERROR(__xludf.DUMMYFUNCTION("""COMPUTED_VALUE"""),34.0)</f>
        <v>34</v>
      </c>
      <c r="F16" s="139" t="str">
        <f>IFERROR(__xludf.DUMMYFUNCTION("""COMPUTED_VALUE"""),"Week 1")</f>
        <v>Week 1</v>
      </c>
      <c r="G16" s="139">
        <f>IFERROR(__xludf.DUMMYFUNCTION("""COMPUTED_VALUE"""),2.0)</f>
        <v>2</v>
      </c>
    </row>
    <row r="17">
      <c r="A17" s="139" t="str">
        <f>IFERROR(__xludf.DUMMYFUNCTION("""COMPUTED_VALUE"""),"20240905_BAL@KC")</f>
        <v>20240905_BAL@KC</v>
      </c>
      <c r="B17" s="139" t="str">
        <f>IFERROR(__xludf.DUMMYFUNCTION("""COMPUTED_VALUE"""),"BAL")</f>
        <v>BAL</v>
      </c>
      <c r="C17" s="139" t="str">
        <f>IFERROR(__xludf.DUMMYFUNCTION("""COMPUTED_VALUE"""),"KC")</f>
        <v>KC</v>
      </c>
      <c r="D17" s="139">
        <f>IFERROR(__xludf.DUMMYFUNCTION("""COMPUTED_VALUE"""),20.0)</f>
        <v>20</v>
      </c>
      <c r="E17" s="139">
        <f>IFERROR(__xludf.DUMMYFUNCTION("""COMPUTED_VALUE"""),27.0)</f>
        <v>27</v>
      </c>
      <c r="F17" s="139" t="str">
        <f>IFERROR(__xludf.DUMMYFUNCTION("""COMPUTED_VALUE"""),"Week 1")</f>
        <v>Week 1</v>
      </c>
      <c r="G17" s="139">
        <f>IFERROR(__xludf.DUMMYFUNCTION("""COMPUTED_VALUE"""),2.0)</f>
        <v>2</v>
      </c>
    </row>
    <row r="18">
      <c r="A18" s="139" t="str">
        <f>IFERROR(__xludf.DUMMYFUNCTION("""COMPUTED_VALUE"""),"20240916_ATL@PHI")</f>
        <v>20240916_ATL@PHI</v>
      </c>
      <c r="B18" s="139" t="str">
        <f>IFERROR(__xludf.DUMMYFUNCTION("""COMPUTED_VALUE"""),"ATL")</f>
        <v>ATL</v>
      </c>
      <c r="C18" s="139" t="str">
        <f>IFERROR(__xludf.DUMMYFUNCTION("""COMPUTED_VALUE"""),"PHI")</f>
        <v>PHI</v>
      </c>
      <c r="D18" s="139">
        <f>IFERROR(__xludf.DUMMYFUNCTION("""COMPUTED_VALUE"""),22.0)</f>
        <v>22</v>
      </c>
      <c r="E18" s="139">
        <f>IFERROR(__xludf.DUMMYFUNCTION("""COMPUTED_VALUE"""),21.0)</f>
        <v>21</v>
      </c>
      <c r="F18" s="139" t="str">
        <f>IFERROR(__xludf.DUMMYFUNCTION("""COMPUTED_VALUE"""),"Week 2")</f>
        <v>Week 2</v>
      </c>
      <c r="G18" s="139">
        <f>IFERROR(__xludf.DUMMYFUNCTION("""COMPUTED_VALUE"""),2.0)</f>
        <v>2</v>
      </c>
    </row>
    <row r="19">
      <c r="A19" s="139" t="str">
        <f>IFERROR(__xludf.DUMMYFUNCTION("""COMPUTED_VALUE"""),"20240912_BUF@MIA")</f>
        <v>20240912_BUF@MIA</v>
      </c>
      <c r="B19" s="139" t="str">
        <f>IFERROR(__xludf.DUMMYFUNCTION("""COMPUTED_VALUE"""),"BUF")</f>
        <v>BUF</v>
      </c>
      <c r="C19" s="139" t="str">
        <f>IFERROR(__xludf.DUMMYFUNCTION("""COMPUTED_VALUE"""),"MIA")</f>
        <v>MIA</v>
      </c>
      <c r="D19" s="139">
        <f>IFERROR(__xludf.DUMMYFUNCTION("""COMPUTED_VALUE"""),31.0)</f>
        <v>31</v>
      </c>
      <c r="E19" s="139">
        <f>IFERROR(__xludf.DUMMYFUNCTION("""COMPUTED_VALUE"""),10.0)</f>
        <v>10</v>
      </c>
      <c r="F19" s="139" t="str">
        <f>IFERROR(__xludf.DUMMYFUNCTION("""COMPUTED_VALUE"""),"Week 2")</f>
        <v>Week 2</v>
      </c>
      <c r="G19" s="139">
        <f>IFERROR(__xludf.DUMMYFUNCTION("""COMPUTED_VALUE"""),2.0)</f>
        <v>2</v>
      </c>
    </row>
    <row r="20">
      <c r="A20" s="139" t="str">
        <f>IFERROR(__xludf.DUMMYFUNCTION("""COMPUTED_VALUE"""),"20240915_PIT@DEN")</f>
        <v>20240915_PIT@DEN</v>
      </c>
      <c r="B20" s="139" t="str">
        <f>IFERROR(__xludf.DUMMYFUNCTION("""COMPUTED_VALUE"""),"PIT")</f>
        <v>PIT</v>
      </c>
      <c r="C20" s="139" t="str">
        <f>IFERROR(__xludf.DUMMYFUNCTION("""COMPUTED_VALUE"""),"DEN")</f>
        <v>DEN</v>
      </c>
      <c r="D20" s="139">
        <f>IFERROR(__xludf.DUMMYFUNCTION("""COMPUTED_VALUE"""),13.0)</f>
        <v>13</v>
      </c>
      <c r="E20" s="139">
        <f>IFERROR(__xludf.DUMMYFUNCTION("""COMPUTED_VALUE"""),6.0)</f>
        <v>6</v>
      </c>
      <c r="F20" s="139" t="str">
        <f>IFERROR(__xludf.DUMMYFUNCTION("""COMPUTED_VALUE"""),"Week 2")</f>
        <v>Week 2</v>
      </c>
      <c r="G20" s="139">
        <f>IFERROR(__xludf.DUMMYFUNCTION("""COMPUTED_VALUE"""),2.0)</f>
        <v>2</v>
      </c>
    </row>
    <row r="21">
      <c r="A21" s="139" t="str">
        <f>IFERROR(__xludf.DUMMYFUNCTION("""COMPUTED_VALUE"""),"20240915_NYJ@TEN")</f>
        <v>20240915_NYJ@TEN</v>
      </c>
      <c r="B21" s="139" t="str">
        <f>IFERROR(__xludf.DUMMYFUNCTION("""COMPUTED_VALUE"""),"NYJ")</f>
        <v>NYJ</v>
      </c>
      <c r="C21" s="139" t="str">
        <f>IFERROR(__xludf.DUMMYFUNCTION("""COMPUTED_VALUE"""),"TEN")</f>
        <v>TEN</v>
      </c>
      <c r="D21" s="139">
        <f>IFERROR(__xludf.DUMMYFUNCTION("""COMPUTED_VALUE"""),24.0)</f>
        <v>24</v>
      </c>
      <c r="E21" s="139">
        <f>IFERROR(__xludf.DUMMYFUNCTION("""COMPUTED_VALUE"""),17.0)</f>
        <v>17</v>
      </c>
      <c r="F21" s="139" t="str">
        <f>IFERROR(__xludf.DUMMYFUNCTION("""COMPUTED_VALUE"""),"Week 2")</f>
        <v>Week 2</v>
      </c>
      <c r="G21" s="139">
        <f>IFERROR(__xludf.DUMMYFUNCTION("""COMPUTED_VALUE"""),2.0)</f>
        <v>2</v>
      </c>
    </row>
    <row r="22">
      <c r="A22" s="139" t="str">
        <f>IFERROR(__xludf.DUMMYFUNCTION("""COMPUTED_VALUE"""),"20240915_LV@BAL")</f>
        <v>20240915_LV@BAL</v>
      </c>
      <c r="B22" s="139" t="str">
        <f>IFERROR(__xludf.DUMMYFUNCTION("""COMPUTED_VALUE"""),"LV")</f>
        <v>LV</v>
      </c>
      <c r="C22" s="139" t="str">
        <f>IFERROR(__xludf.DUMMYFUNCTION("""COMPUTED_VALUE"""),"BAL")</f>
        <v>BAL</v>
      </c>
      <c r="D22" s="139">
        <f>IFERROR(__xludf.DUMMYFUNCTION("""COMPUTED_VALUE"""),26.0)</f>
        <v>26</v>
      </c>
      <c r="E22" s="139">
        <f>IFERROR(__xludf.DUMMYFUNCTION("""COMPUTED_VALUE"""),23.0)</f>
        <v>23</v>
      </c>
      <c r="F22" s="139" t="str">
        <f>IFERROR(__xludf.DUMMYFUNCTION("""COMPUTED_VALUE"""),"Week 2")</f>
        <v>Week 2</v>
      </c>
      <c r="G22" s="139">
        <f>IFERROR(__xludf.DUMMYFUNCTION("""COMPUTED_VALUE"""),2.0)</f>
        <v>2</v>
      </c>
    </row>
    <row r="23">
      <c r="A23" s="139" t="str">
        <f>IFERROR(__xludf.DUMMYFUNCTION("""COMPUTED_VALUE"""),"20240915_TB@DET")</f>
        <v>20240915_TB@DET</v>
      </c>
      <c r="B23" s="139" t="str">
        <f>IFERROR(__xludf.DUMMYFUNCTION("""COMPUTED_VALUE"""),"TB")</f>
        <v>TB</v>
      </c>
      <c r="C23" s="139" t="str">
        <f>IFERROR(__xludf.DUMMYFUNCTION("""COMPUTED_VALUE"""),"DET")</f>
        <v>DET</v>
      </c>
      <c r="D23" s="139">
        <f>IFERROR(__xludf.DUMMYFUNCTION("""COMPUTED_VALUE"""),20.0)</f>
        <v>20</v>
      </c>
      <c r="E23" s="139">
        <f>IFERROR(__xludf.DUMMYFUNCTION("""COMPUTED_VALUE"""),16.0)</f>
        <v>16</v>
      </c>
      <c r="F23" s="139" t="str">
        <f>IFERROR(__xludf.DUMMYFUNCTION("""COMPUTED_VALUE"""),"Week 2")</f>
        <v>Week 2</v>
      </c>
      <c r="G23" s="139">
        <f>IFERROR(__xludf.DUMMYFUNCTION("""COMPUTED_VALUE"""),2.0)</f>
        <v>2</v>
      </c>
    </row>
    <row r="24">
      <c r="A24" s="139" t="str">
        <f>IFERROR(__xludf.DUMMYFUNCTION("""COMPUTED_VALUE"""),"20240915_SF@MIN")</f>
        <v>20240915_SF@MIN</v>
      </c>
      <c r="B24" s="139" t="str">
        <f>IFERROR(__xludf.DUMMYFUNCTION("""COMPUTED_VALUE"""),"SF")</f>
        <v>SF</v>
      </c>
      <c r="C24" s="139" t="str">
        <f>IFERROR(__xludf.DUMMYFUNCTION("""COMPUTED_VALUE"""),"MIN")</f>
        <v>MIN</v>
      </c>
      <c r="D24" s="139">
        <f>IFERROR(__xludf.DUMMYFUNCTION("""COMPUTED_VALUE"""),17.0)</f>
        <v>17</v>
      </c>
      <c r="E24" s="139">
        <f>IFERROR(__xludf.DUMMYFUNCTION("""COMPUTED_VALUE"""),23.0)</f>
        <v>23</v>
      </c>
      <c r="F24" s="139" t="str">
        <f>IFERROR(__xludf.DUMMYFUNCTION("""COMPUTED_VALUE"""),"Week 2")</f>
        <v>Week 2</v>
      </c>
      <c r="G24" s="139">
        <f>IFERROR(__xludf.DUMMYFUNCTION("""COMPUTED_VALUE"""),2.0)</f>
        <v>2</v>
      </c>
    </row>
    <row r="25">
      <c r="A25" s="139" t="str">
        <f>IFERROR(__xludf.DUMMYFUNCTION("""COMPUTED_VALUE"""),"20240915_NO@DAL")</f>
        <v>20240915_NO@DAL</v>
      </c>
      <c r="B25" s="139" t="str">
        <f>IFERROR(__xludf.DUMMYFUNCTION("""COMPUTED_VALUE"""),"NO")</f>
        <v>NO</v>
      </c>
      <c r="C25" s="139" t="str">
        <f>IFERROR(__xludf.DUMMYFUNCTION("""COMPUTED_VALUE"""),"DAL")</f>
        <v>DAL</v>
      </c>
      <c r="D25" s="139">
        <f>IFERROR(__xludf.DUMMYFUNCTION("""COMPUTED_VALUE"""),44.0)</f>
        <v>44</v>
      </c>
      <c r="E25" s="139">
        <f>IFERROR(__xludf.DUMMYFUNCTION("""COMPUTED_VALUE"""),19.0)</f>
        <v>19</v>
      </c>
      <c r="F25" s="139" t="str">
        <f>IFERROR(__xludf.DUMMYFUNCTION("""COMPUTED_VALUE"""),"Week 2")</f>
        <v>Week 2</v>
      </c>
      <c r="G25" s="139">
        <f>IFERROR(__xludf.DUMMYFUNCTION("""COMPUTED_VALUE"""),2.0)</f>
        <v>2</v>
      </c>
    </row>
    <row r="26">
      <c r="A26" s="139" t="str">
        <f>IFERROR(__xludf.DUMMYFUNCTION("""COMPUTED_VALUE"""),"20240915_IND@GB")</f>
        <v>20240915_IND@GB</v>
      </c>
      <c r="B26" s="139" t="str">
        <f>IFERROR(__xludf.DUMMYFUNCTION("""COMPUTED_VALUE"""),"IND")</f>
        <v>IND</v>
      </c>
      <c r="C26" s="139" t="str">
        <f>IFERROR(__xludf.DUMMYFUNCTION("""COMPUTED_VALUE"""),"GB")</f>
        <v>GB</v>
      </c>
      <c r="D26" s="139">
        <f>IFERROR(__xludf.DUMMYFUNCTION("""COMPUTED_VALUE"""),10.0)</f>
        <v>10</v>
      </c>
      <c r="E26" s="139">
        <f>IFERROR(__xludf.DUMMYFUNCTION("""COMPUTED_VALUE"""),16.0)</f>
        <v>16</v>
      </c>
      <c r="F26" s="139" t="str">
        <f>IFERROR(__xludf.DUMMYFUNCTION("""COMPUTED_VALUE"""),"Week 2")</f>
        <v>Week 2</v>
      </c>
      <c r="G26" s="139">
        <f>IFERROR(__xludf.DUMMYFUNCTION("""COMPUTED_VALUE"""),2.0)</f>
        <v>2</v>
      </c>
    </row>
    <row r="27">
      <c r="A27" s="139" t="str">
        <f>IFERROR(__xludf.DUMMYFUNCTION("""COMPUTED_VALUE"""),"20240915_CHI@HOU")</f>
        <v>20240915_CHI@HOU</v>
      </c>
      <c r="B27" s="139" t="str">
        <f>IFERROR(__xludf.DUMMYFUNCTION("""COMPUTED_VALUE"""),"CHI")</f>
        <v>CHI</v>
      </c>
      <c r="C27" s="139" t="str">
        <f>IFERROR(__xludf.DUMMYFUNCTION("""COMPUTED_VALUE"""),"HOU")</f>
        <v>HOU</v>
      </c>
      <c r="D27" s="139">
        <f>IFERROR(__xludf.DUMMYFUNCTION("""COMPUTED_VALUE"""),13.0)</f>
        <v>13</v>
      </c>
      <c r="E27" s="139">
        <f>IFERROR(__xludf.DUMMYFUNCTION("""COMPUTED_VALUE"""),19.0)</f>
        <v>19</v>
      </c>
      <c r="F27" s="139" t="str">
        <f>IFERROR(__xludf.DUMMYFUNCTION("""COMPUTED_VALUE"""),"Week 2")</f>
        <v>Week 2</v>
      </c>
      <c r="G27" s="139">
        <f>IFERROR(__xludf.DUMMYFUNCTION("""COMPUTED_VALUE"""),2.0)</f>
        <v>2</v>
      </c>
    </row>
    <row r="28">
      <c r="A28" s="139" t="str">
        <f>IFERROR(__xludf.DUMMYFUNCTION("""COMPUTED_VALUE"""),"20240915_LAC@CAR")</f>
        <v>20240915_LAC@CAR</v>
      </c>
      <c r="B28" s="139" t="str">
        <f>IFERROR(__xludf.DUMMYFUNCTION("""COMPUTED_VALUE"""),"LAC")</f>
        <v>LAC</v>
      </c>
      <c r="C28" s="139" t="str">
        <f>IFERROR(__xludf.DUMMYFUNCTION("""COMPUTED_VALUE"""),"CAR")</f>
        <v>CAR</v>
      </c>
      <c r="D28" s="139">
        <f>IFERROR(__xludf.DUMMYFUNCTION("""COMPUTED_VALUE"""),26.0)</f>
        <v>26</v>
      </c>
      <c r="E28" s="139">
        <f>IFERROR(__xludf.DUMMYFUNCTION("""COMPUTED_VALUE"""),3.0)</f>
        <v>3</v>
      </c>
      <c r="F28" s="139" t="str">
        <f>IFERROR(__xludf.DUMMYFUNCTION("""COMPUTED_VALUE"""),"Week 2")</f>
        <v>Week 2</v>
      </c>
      <c r="G28" s="139">
        <f>IFERROR(__xludf.DUMMYFUNCTION("""COMPUTED_VALUE"""),2.0)</f>
        <v>2</v>
      </c>
    </row>
    <row r="29">
      <c r="A29" s="139" t="str">
        <f>IFERROR(__xludf.DUMMYFUNCTION("""COMPUTED_VALUE"""),"20240915_NYG@WSH")</f>
        <v>20240915_NYG@WSH</v>
      </c>
      <c r="B29" s="139" t="str">
        <f>IFERROR(__xludf.DUMMYFUNCTION("""COMPUTED_VALUE"""),"NYG")</f>
        <v>NYG</v>
      </c>
      <c r="C29" s="139" t="str">
        <f>IFERROR(__xludf.DUMMYFUNCTION("""COMPUTED_VALUE"""),"WSH")</f>
        <v>WSH</v>
      </c>
      <c r="D29" s="139">
        <f>IFERROR(__xludf.DUMMYFUNCTION("""COMPUTED_VALUE"""),18.0)</f>
        <v>18</v>
      </c>
      <c r="E29" s="139">
        <f>IFERROR(__xludf.DUMMYFUNCTION("""COMPUTED_VALUE"""),21.0)</f>
        <v>21</v>
      </c>
      <c r="F29" s="139" t="str">
        <f>IFERROR(__xludf.DUMMYFUNCTION("""COMPUTED_VALUE"""),"Week 2")</f>
        <v>Week 2</v>
      </c>
      <c r="G29" s="139">
        <f>IFERROR(__xludf.DUMMYFUNCTION("""COMPUTED_VALUE"""),2.0)</f>
        <v>2</v>
      </c>
    </row>
    <row r="30">
      <c r="A30" s="139" t="str">
        <f>IFERROR(__xludf.DUMMYFUNCTION("""COMPUTED_VALUE"""),"20240915_SEA@NE")</f>
        <v>20240915_SEA@NE</v>
      </c>
      <c r="B30" s="139" t="str">
        <f>IFERROR(__xludf.DUMMYFUNCTION("""COMPUTED_VALUE"""),"SEA")</f>
        <v>SEA</v>
      </c>
      <c r="C30" s="139" t="str">
        <f>IFERROR(__xludf.DUMMYFUNCTION("""COMPUTED_VALUE"""),"NE")</f>
        <v>NE</v>
      </c>
      <c r="D30" s="139">
        <f>IFERROR(__xludf.DUMMYFUNCTION("""COMPUTED_VALUE"""),23.0)</f>
        <v>23</v>
      </c>
      <c r="E30" s="139">
        <f>IFERROR(__xludf.DUMMYFUNCTION("""COMPUTED_VALUE"""),20.0)</f>
        <v>20</v>
      </c>
      <c r="F30" s="139" t="str">
        <f>IFERROR(__xludf.DUMMYFUNCTION("""COMPUTED_VALUE"""),"Week 2")</f>
        <v>Week 2</v>
      </c>
      <c r="G30" s="139">
        <f>IFERROR(__xludf.DUMMYFUNCTION("""COMPUTED_VALUE"""),2.0)</f>
        <v>2</v>
      </c>
    </row>
    <row r="31">
      <c r="A31" s="139" t="str">
        <f>IFERROR(__xludf.DUMMYFUNCTION("""COMPUTED_VALUE"""),"20240915_LAR@ARI")</f>
        <v>20240915_LAR@ARI</v>
      </c>
      <c r="B31" s="139" t="str">
        <f>IFERROR(__xludf.DUMMYFUNCTION("""COMPUTED_VALUE"""),"LAR")</f>
        <v>LAR</v>
      </c>
      <c r="C31" s="139" t="str">
        <f>IFERROR(__xludf.DUMMYFUNCTION("""COMPUTED_VALUE"""),"ARI")</f>
        <v>ARI</v>
      </c>
      <c r="D31" s="139">
        <f>IFERROR(__xludf.DUMMYFUNCTION("""COMPUTED_VALUE"""),10.0)</f>
        <v>10</v>
      </c>
      <c r="E31" s="139">
        <f>IFERROR(__xludf.DUMMYFUNCTION("""COMPUTED_VALUE"""),41.0)</f>
        <v>41</v>
      </c>
      <c r="F31" s="139" t="str">
        <f>IFERROR(__xludf.DUMMYFUNCTION("""COMPUTED_VALUE"""),"Week 2")</f>
        <v>Week 2</v>
      </c>
      <c r="G31" s="139">
        <f>IFERROR(__xludf.DUMMYFUNCTION("""COMPUTED_VALUE"""),2.0)</f>
        <v>2</v>
      </c>
    </row>
    <row r="32">
      <c r="A32" s="139" t="str">
        <f>IFERROR(__xludf.DUMMYFUNCTION("""COMPUTED_VALUE"""),"20240915_CLE@JAX")</f>
        <v>20240915_CLE@JAX</v>
      </c>
      <c r="B32" s="139" t="str">
        <f>IFERROR(__xludf.DUMMYFUNCTION("""COMPUTED_VALUE"""),"CLE")</f>
        <v>CLE</v>
      </c>
      <c r="C32" s="139" t="str">
        <f>IFERROR(__xludf.DUMMYFUNCTION("""COMPUTED_VALUE"""),"JAX")</f>
        <v>JAX</v>
      </c>
      <c r="D32" s="139">
        <f>IFERROR(__xludf.DUMMYFUNCTION("""COMPUTED_VALUE"""),18.0)</f>
        <v>18</v>
      </c>
      <c r="E32" s="139">
        <f>IFERROR(__xludf.DUMMYFUNCTION("""COMPUTED_VALUE"""),13.0)</f>
        <v>13</v>
      </c>
      <c r="F32" s="139" t="str">
        <f>IFERROR(__xludf.DUMMYFUNCTION("""COMPUTED_VALUE"""),"Week 2")</f>
        <v>Week 2</v>
      </c>
      <c r="G32" s="139">
        <f>IFERROR(__xludf.DUMMYFUNCTION("""COMPUTED_VALUE"""),2.0)</f>
        <v>2</v>
      </c>
    </row>
    <row r="33">
      <c r="A33" s="139" t="str">
        <f>IFERROR(__xludf.DUMMYFUNCTION("""COMPUTED_VALUE"""),"20240915_CIN@KC")</f>
        <v>20240915_CIN@KC</v>
      </c>
      <c r="B33" s="139" t="str">
        <f>IFERROR(__xludf.DUMMYFUNCTION("""COMPUTED_VALUE"""),"CIN")</f>
        <v>CIN</v>
      </c>
      <c r="C33" s="139" t="str">
        <f>IFERROR(__xludf.DUMMYFUNCTION("""COMPUTED_VALUE"""),"KC")</f>
        <v>KC</v>
      </c>
      <c r="D33" s="139">
        <f>IFERROR(__xludf.DUMMYFUNCTION("""COMPUTED_VALUE"""),25.0)</f>
        <v>25</v>
      </c>
      <c r="E33" s="139">
        <f>IFERROR(__xludf.DUMMYFUNCTION("""COMPUTED_VALUE"""),26.0)</f>
        <v>26</v>
      </c>
      <c r="F33" s="139" t="str">
        <f>IFERROR(__xludf.DUMMYFUNCTION("""COMPUTED_VALUE"""),"Week 2")</f>
        <v>Week 2</v>
      </c>
      <c r="G33" s="139">
        <f>IFERROR(__xludf.DUMMYFUNCTION("""COMPUTED_VALUE"""),2.0)</f>
        <v>2</v>
      </c>
    </row>
    <row r="34">
      <c r="A34" s="139" t="str">
        <f>IFERROR(__xludf.DUMMYFUNCTION("""COMPUTED_VALUE"""),"20240923_JAX@BUF")</f>
        <v>20240923_JAX@BUF</v>
      </c>
      <c r="B34" s="139" t="str">
        <f>IFERROR(__xludf.DUMMYFUNCTION("""COMPUTED_VALUE"""),"JAX")</f>
        <v>JAX</v>
      </c>
      <c r="C34" s="139" t="str">
        <f>IFERROR(__xludf.DUMMYFUNCTION("""COMPUTED_VALUE"""),"BUF")</f>
        <v>BUF</v>
      </c>
      <c r="D34" s="139"/>
      <c r="E34" s="139"/>
      <c r="F34" s="139" t="str">
        <f>IFERROR(__xludf.DUMMYFUNCTION("""COMPUTED_VALUE"""),"Week 3")</f>
        <v>Week 3</v>
      </c>
      <c r="G34" s="139">
        <f>IFERROR(__xludf.DUMMYFUNCTION("""COMPUTED_VALUE"""),0.0)</f>
        <v>0</v>
      </c>
    </row>
    <row r="35">
      <c r="A35" s="139" t="str">
        <f>IFERROR(__xludf.DUMMYFUNCTION("""COMPUTED_VALUE"""),"20240923_WSH@CIN")</f>
        <v>20240923_WSH@CIN</v>
      </c>
      <c r="B35" s="139" t="str">
        <f>IFERROR(__xludf.DUMMYFUNCTION("""COMPUTED_VALUE"""),"WSH")</f>
        <v>WSH</v>
      </c>
      <c r="C35" s="139" t="str">
        <f>IFERROR(__xludf.DUMMYFUNCTION("""COMPUTED_VALUE"""),"CIN")</f>
        <v>CIN</v>
      </c>
      <c r="D35" s="139"/>
      <c r="E35" s="139"/>
      <c r="F35" s="139" t="str">
        <f>IFERROR(__xludf.DUMMYFUNCTION("""COMPUTED_VALUE"""),"Week 3")</f>
        <v>Week 3</v>
      </c>
      <c r="G35" s="139">
        <f>IFERROR(__xludf.DUMMYFUNCTION("""COMPUTED_VALUE"""),0.0)</f>
        <v>0</v>
      </c>
    </row>
    <row r="36">
      <c r="A36" s="139" t="str">
        <f>IFERROR(__xludf.DUMMYFUNCTION("""COMPUTED_VALUE"""),"20240922_DET@ARI")</f>
        <v>20240922_DET@ARI</v>
      </c>
      <c r="B36" s="139" t="str">
        <f>IFERROR(__xludf.DUMMYFUNCTION("""COMPUTED_VALUE"""),"DET")</f>
        <v>DET</v>
      </c>
      <c r="C36" s="139" t="str">
        <f>IFERROR(__xludf.DUMMYFUNCTION("""COMPUTED_VALUE"""),"ARI")</f>
        <v>ARI</v>
      </c>
      <c r="D36" s="139"/>
      <c r="E36" s="139"/>
      <c r="F36" s="139" t="str">
        <f>IFERROR(__xludf.DUMMYFUNCTION("""COMPUTED_VALUE"""),"Week 3")</f>
        <v>Week 3</v>
      </c>
      <c r="G36" s="139">
        <f>IFERROR(__xludf.DUMMYFUNCTION("""COMPUTED_VALUE"""),0.0)</f>
        <v>0</v>
      </c>
    </row>
    <row r="37">
      <c r="A37" s="139" t="str">
        <f>IFERROR(__xludf.DUMMYFUNCTION("""COMPUTED_VALUE"""),"20240922_HOU@MIN")</f>
        <v>20240922_HOU@MIN</v>
      </c>
      <c r="B37" s="139" t="str">
        <f>IFERROR(__xludf.DUMMYFUNCTION("""COMPUTED_VALUE"""),"HOU")</f>
        <v>HOU</v>
      </c>
      <c r="C37" s="139" t="str">
        <f>IFERROR(__xludf.DUMMYFUNCTION("""COMPUTED_VALUE"""),"MIN")</f>
        <v>MIN</v>
      </c>
      <c r="D37" s="139"/>
      <c r="E37" s="139"/>
      <c r="F37" s="139" t="str">
        <f>IFERROR(__xludf.DUMMYFUNCTION("""COMPUTED_VALUE"""),"Week 3")</f>
        <v>Week 3</v>
      </c>
      <c r="G37" s="139">
        <f>IFERROR(__xludf.DUMMYFUNCTION("""COMPUTED_VALUE"""),0.0)</f>
        <v>0</v>
      </c>
    </row>
    <row r="38">
      <c r="A38" s="139" t="str">
        <f>IFERROR(__xludf.DUMMYFUNCTION("""COMPUTED_VALUE"""),"20240922_GB@TEN")</f>
        <v>20240922_GB@TEN</v>
      </c>
      <c r="B38" s="139" t="str">
        <f>IFERROR(__xludf.DUMMYFUNCTION("""COMPUTED_VALUE"""),"GB")</f>
        <v>GB</v>
      </c>
      <c r="C38" s="139" t="str">
        <f>IFERROR(__xludf.DUMMYFUNCTION("""COMPUTED_VALUE"""),"TEN")</f>
        <v>TEN</v>
      </c>
      <c r="D38" s="139"/>
      <c r="E38" s="139"/>
      <c r="F38" s="139" t="str">
        <f>IFERROR(__xludf.DUMMYFUNCTION("""COMPUTED_VALUE"""),"Week 3")</f>
        <v>Week 3</v>
      </c>
      <c r="G38" s="139">
        <f>IFERROR(__xludf.DUMMYFUNCTION("""COMPUTED_VALUE"""),0.0)</f>
        <v>0</v>
      </c>
    </row>
    <row r="39">
      <c r="A39" s="139" t="str">
        <f>IFERROR(__xludf.DUMMYFUNCTION("""COMPUTED_VALUE"""),"20240922_BAL@DAL")</f>
        <v>20240922_BAL@DAL</v>
      </c>
      <c r="B39" s="139" t="str">
        <f>IFERROR(__xludf.DUMMYFUNCTION("""COMPUTED_VALUE"""),"BAL")</f>
        <v>BAL</v>
      </c>
      <c r="C39" s="139" t="str">
        <f>IFERROR(__xludf.DUMMYFUNCTION("""COMPUTED_VALUE"""),"DAL")</f>
        <v>DAL</v>
      </c>
      <c r="D39" s="139"/>
      <c r="E39" s="139"/>
      <c r="F39" s="139" t="str">
        <f>IFERROR(__xludf.DUMMYFUNCTION("""COMPUTED_VALUE"""),"Week 3")</f>
        <v>Week 3</v>
      </c>
      <c r="G39" s="139">
        <f>IFERROR(__xludf.DUMMYFUNCTION("""COMPUTED_VALUE"""),0.0)</f>
        <v>0</v>
      </c>
    </row>
    <row r="40">
      <c r="A40" s="139" t="str">
        <f>IFERROR(__xludf.DUMMYFUNCTION("""COMPUTED_VALUE"""),"20240922_MIA@SEA")</f>
        <v>20240922_MIA@SEA</v>
      </c>
      <c r="B40" s="139" t="str">
        <f>IFERROR(__xludf.DUMMYFUNCTION("""COMPUTED_VALUE"""),"MIA")</f>
        <v>MIA</v>
      </c>
      <c r="C40" s="139" t="str">
        <f>IFERROR(__xludf.DUMMYFUNCTION("""COMPUTED_VALUE"""),"SEA")</f>
        <v>SEA</v>
      </c>
      <c r="D40" s="139"/>
      <c r="E40" s="139"/>
      <c r="F40" s="139" t="str">
        <f>IFERROR(__xludf.DUMMYFUNCTION("""COMPUTED_VALUE"""),"Week 3")</f>
        <v>Week 3</v>
      </c>
      <c r="G40" s="139">
        <f>IFERROR(__xludf.DUMMYFUNCTION("""COMPUTED_VALUE"""),0.0)</f>
        <v>0</v>
      </c>
    </row>
    <row r="41">
      <c r="A41" s="139" t="str">
        <f>IFERROR(__xludf.DUMMYFUNCTION("""COMPUTED_VALUE"""),"20240922_KC@ATL")</f>
        <v>20240922_KC@ATL</v>
      </c>
      <c r="B41" s="139" t="str">
        <f>IFERROR(__xludf.DUMMYFUNCTION("""COMPUTED_VALUE"""),"KC")</f>
        <v>KC</v>
      </c>
      <c r="C41" s="139" t="str">
        <f>IFERROR(__xludf.DUMMYFUNCTION("""COMPUTED_VALUE"""),"ATL")</f>
        <v>ATL</v>
      </c>
      <c r="D41" s="139"/>
      <c r="E41" s="139"/>
      <c r="F41" s="139" t="str">
        <f>IFERROR(__xludf.DUMMYFUNCTION("""COMPUTED_VALUE"""),"Week 3")</f>
        <v>Week 3</v>
      </c>
      <c r="G41" s="139">
        <f>IFERROR(__xludf.DUMMYFUNCTION("""COMPUTED_VALUE"""),0.0)</f>
        <v>0</v>
      </c>
    </row>
    <row r="42">
      <c r="A42" s="139" t="str">
        <f>IFERROR(__xludf.DUMMYFUNCTION("""COMPUTED_VALUE"""),"20240922_DEN@TB")</f>
        <v>20240922_DEN@TB</v>
      </c>
      <c r="B42" s="139" t="str">
        <f>IFERROR(__xludf.DUMMYFUNCTION("""COMPUTED_VALUE"""),"DEN")</f>
        <v>DEN</v>
      </c>
      <c r="C42" s="139" t="str">
        <f>IFERROR(__xludf.DUMMYFUNCTION("""COMPUTED_VALUE"""),"TB")</f>
        <v>TB</v>
      </c>
      <c r="D42" s="139"/>
      <c r="E42" s="139"/>
      <c r="F42" s="139" t="str">
        <f>IFERROR(__xludf.DUMMYFUNCTION("""COMPUTED_VALUE"""),"Week 3")</f>
        <v>Week 3</v>
      </c>
      <c r="G42" s="139">
        <f>IFERROR(__xludf.DUMMYFUNCTION("""COMPUTED_VALUE"""),0.0)</f>
        <v>0</v>
      </c>
    </row>
    <row r="43">
      <c r="A43" s="139" t="str">
        <f>IFERROR(__xludf.DUMMYFUNCTION("""COMPUTED_VALUE"""),"20240922_LAC@PIT")</f>
        <v>20240922_LAC@PIT</v>
      </c>
      <c r="B43" s="139" t="str">
        <f>IFERROR(__xludf.DUMMYFUNCTION("""COMPUTED_VALUE"""),"LAC")</f>
        <v>LAC</v>
      </c>
      <c r="C43" s="139" t="str">
        <f>IFERROR(__xludf.DUMMYFUNCTION("""COMPUTED_VALUE"""),"PIT")</f>
        <v>PIT</v>
      </c>
      <c r="D43" s="139"/>
      <c r="E43" s="139"/>
      <c r="F43" s="139" t="str">
        <f>IFERROR(__xludf.DUMMYFUNCTION("""COMPUTED_VALUE"""),"Week 3")</f>
        <v>Week 3</v>
      </c>
      <c r="G43" s="139">
        <f>IFERROR(__xludf.DUMMYFUNCTION("""COMPUTED_VALUE"""),0.0)</f>
        <v>0</v>
      </c>
    </row>
    <row r="44">
      <c r="A44" s="139" t="str">
        <f>IFERROR(__xludf.DUMMYFUNCTION("""COMPUTED_VALUE"""),"20240922_PHI@NO")</f>
        <v>20240922_PHI@NO</v>
      </c>
      <c r="B44" s="139" t="str">
        <f>IFERROR(__xludf.DUMMYFUNCTION("""COMPUTED_VALUE"""),"PHI")</f>
        <v>PHI</v>
      </c>
      <c r="C44" s="139" t="str">
        <f>IFERROR(__xludf.DUMMYFUNCTION("""COMPUTED_VALUE"""),"NO")</f>
        <v>NO</v>
      </c>
      <c r="D44" s="139"/>
      <c r="E44" s="139"/>
      <c r="F44" s="139" t="str">
        <f>IFERROR(__xludf.DUMMYFUNCTION("""COMPUTED_VALUE"""),"Week 3")</f>
        <v>Week 3</v>
      </c>
      <c r="G44" s="139">
        <f>IFERROR(__xludf.DUMMYFUNCTION("""COMPUTED_VALUE"""),0.0)</f>
        <v>0</v>
      </c>
    </row>
    <row r="45">
      <c r="A45" s="139" t="str">
        <f>IFERROR(__xludf.DUMMYFUNCTION("""COMPUTED_VALUE"""),"20240922_SF@LAR")</f>
        <v>20240922_SF@LAR</v>
      </c>
      <c r="B45" s="139" t="str">
        <f>IFERROR(__xludf.DUMMYFUNCTION("""COMPUTED_VALUE"""),"SF")</f>
        <v>SF</v>
      </c>
      <c r="C45" s="139" t="str">
        <f>IFERROR(__xludf.DUMMYFUNCTION("""COMPUTED_VALUE"""),"LAR")</f>
        <v>LAR</v>
      </c>
      <c r="D45" s="139"/>
      <c r="E45" s="139"/>
      <c r="F45" s="139" t="str">
        <f>IFERROR(__xludf.DUMMYFUNCTION("""COMPUTED_VALUE"""),"Week 3")</f>
        <v>Week 3</v>
      </c>
      <c r="G45" s="139">
        <f>IFERROR(__xludf.DUMMYFUNCTION("""COMPUTED_VALUE"""),0.0)</f>
        <v>0</v>
      </c>
    </row>
    <row r="46">
      <c r="A46" s="139" t="str">
        <f>IFERROR(__xludf.DUMMYFUNCTION("""COMPUTED_VALUE"""),"20240922_CAR@LV")</f>
        <v>20240922_CAR@LV</v>
      </c>
      <c r="B46" s="139" t="str">
        <f>IFERROR(__xludf.DUMMYFUNCTION("""COMPUTED_VALUE"""),"CAR")</f>
        <v>CAR</v>
      </c>
      <c r="C46" s="139" t="str">
        <f>IFERROR(__xludf.DUMMYFUNCTION("""COMPUTED_VALUE"""),"LV")</f>
        <v>LV</v>
      </c>
      <c r="D46" s="139"/>
      <c r="E46" s="139"/>
      <c r="F46" s="139" t="str">
        <f>IFERROR(__xludf.DUMMYFUNCTION("""COMPUTED_VALUE"""),"Week 3")</f>
        <v>Week 3</v>
      </c>
      <c r="G46" s="139">
        <f>IFERROR(__xludf.DUMMYFUNCTION("""COMPUTED_VALUE"""),0.0)</f>
        <v>0</v>
      </c>
    </row>
    <row r="47">
      <c r="A47" s="139" t="str">
        <f>IFERROR(__xludf.DUMMYFUNCTION("""COMPUTED_VALUE"""),"20240922_CHI@IND")</f>
        <v>20240922_CHI@IND</v>
      </c>
      <c r="B47" s="139" t="str">
        <f>IFERROR(__xludf.DUMMYFUNCTION("""COMPUTED_VALUE"""),"CHI")</f>
        <v>CHI</v>
      </c>
      <c r="C47" s="139" t="str">
        <f>IFERROR(__xludf.DUMMYFUNCTION("""COMPUTED_VALUE"""),"IND")</f>
        <v>IND</v>
      </c>
      <c r="D47" s="139"/>
      <c r="E47" s="139"/>
      <c r="F47" s="139" t="str">
        <f>IFERROR(__xludf.DUMMYFUNCTION("""COMPUTED_VALUE"""),"Week 3")</f>
        <v>Week 3</v>
      </c>
      <c r="G47" s="139">
        <f>IFERROR(__xludf.DUMMYFUNCTION("""COMPUTED_VALUE"""),0.0)</f>
        <v>0</v>
      </c>
    </row>
    <row r="48">
      <c r="A48" s="139" t="str">
        <f>IFERROR(__xludf.DUMMYFUNCTION("""COMPUTED_VALUE"""),"20240922_NYG@CLE")</f>
        <v>20240922_NYG@CLE</v>
      </c>
      <c r="B48" s="139" t="str">
        <f>IFERROR(__xludf.DUMMYFUNCTION("""COMPUTED_VALUE"""),"NYG")</f>
        <v>NYG</v>
      </c>
      <c r="C48" s="139" t="str">
        <f>IFERROR(__xludf.DUMMYFUNCTION("""COMPUTED_VALUE"""),"CLE")</f>
        <v>CLE</v>
      </c>
      <c r="D48" s="139"/>
      <c r="E48" s="139"/>
      <c r="F48" s="139" t="str">
        <f>IFERROR(__xludf.DUMMYFUNCTION("""COMPUTED_VALUE"""),"Week 3")</f>
        <v>Week 3</v>
      </c>
      <c r="G48" s="139">
        <f>IFERROR(__xludf.DUMMYFUNCTION("""COMPUTED_VALUE"""),0.0)</f>
        <v>0</v>
      </c>
    </row>
    <row r="49">
      <c r="A49" s="139" t="str">
        <f>IFERROR(__xludf.DUMMYFUNCTION("""COMPUTED_VALUE"""),"20240919_NE@NYJ")</f>
        <v>20240919_NE@NYJ</v>
      </c>
      <c r="B49" s="139" t="str">
        <f>IFERROR(__xludf.DUMMYFUNCTION("""COMPUTED_VALUE"""),"NE")</f>
        <v>NE</v>
      </c>
      <c r="C49" s="139" t="str">
        <f>IFERROR(__xludf.DUMMYFUNCTION("""COMPUTED_VALUE"""),"NYJ")</f>
        <v>NYJ</v>
      </c>
      <c r="D49" s="139">
        <f>IFERROR(__xludf.DUMMYFUNCTION("""COMPUTED_VALUE"""),3.0)</f>
        <v>3</v>
      </c>
      <c r="E49" s="139">
        <f>IFERROR(__xludf.DUMMYFUNCTION("""COMPUTED_VALUE"""),24.0)</f>
        <v>24</v>
      </c>
      <c r="F49" s="139" t="str">
        <f>IFERROR(__xludf.DUMMYFUNCTION("""COMPUTED_VALUE"""),"Week 3")</f>
        <v>Week 3</v>
      </c>
      <c r="G49" s="139">
        <f>IFERROR(__xludf.DUMMYFUNCTION("""COMPUTED_VALUE"""),2.0)</f>
        <v>2</v>
      </c>
    </row>
    <row r="50">
      <c r="A50" s="139" t="str">
        <f>IFERROR(__xludf.DUMMYFUNCTION("""COMPUTED_VALUE"""),"20240930_TEN@MIA")</f>
        <v>20240930_TEN@MIA</v>
      </c>
      <c r="B50" s="139" t="str">
        <f>IFERROR(__xludf.DUMMYFUNCTION("""COMPUTED_VALUE"""),"TEN")</f>
        <v>TEN</v>
      </c>
      <c r="C50" s="139" t="str">
        <f>IFERROR(__xludf.DUMMYFUNCTION("""COMPUTED_VALUE"""),"MIA")</f>
        <v>MIA</v>
      </c>
      <c r="D50" s="139"/>
      <c r="E50" s="139"/>
      <c r="F50" s="139" t="str">
        <f>IFERROR(__xludf.DUMMYFUNCTION("""COMPUTED_VALUE"""),"Week 4")</f>
        <v>Week 4</v>
      </c>
      <c r="G50" s="139">
        <f>IFERROR(__xludf.DUMMYFUNCTION("""COMPUTED_VALUE"""),0.0)</f>
        <v>0</v>
      </c>
    </row>
    <row r="51">
      <c r="A51" s="139" t="str">
        <f>IFERROR(__xludf.DUMMYFUNCTION("""COMPUTED_VALUE"""),"20240930_SEA@DET")</f>
        <v>20240930_SEA@DET</v>
      </c>
      <c r="B51" s="139" t="str">
        <f>IFERROR(__xludf.DUMMYFUNCTION("""COMPUTED_VALUE"""),"SEA")</f>
        <v>SEA</v>
      </c>
      <c r="C51" s="139" t="str">
        <f>IFERROR(__xludf.DUMMYFUNCTION("""COMPUTED_VALUE"""),"DET")</f>
        <v>DET</v>
      </c>
      <c r="D51" s="139"/>
      <c r="E51" s="139"/>
      <c r="F51" s="139" t="str">
        <f>IFERROR(__xludf.DUMMYFUNCTION("""COMPUTED_VALUE"""),"Week 4")</f>
        <v>Week 4</v>
      </c>
      <c r="G51" s="139">
        <f>IFERROR(__xludf.DUMMYFUNCTION("""COMPUTED_VALUE"""),0.0)</f>
        <v>0</v>
      </c>
    </row>
    <row r="52">
      <c r="A52" s="139" t="str">
        <f>IFERROR(__xludf.DUMMYFUNCTION("""COMPUTED_VALUE"""),"20240926_DAL@NYG")</f>
        <v>20240926_DAL@NYG</v>
      </c>
      <c r="B52" s="139" t="str">
        <f>IFERROR(__xludf.DUMMYFUNCTION("""COMPUTED_VALUE"""),"DAL")</f>
        <v>DAL</v>
      </c>
      <c r="C52" s="139" t="str">
        <f>IFERROR(__xludf.DUMMYFUNCTION("""COMPUTED_VALUE"""),"NYG")</f>
        <v>NYG</v>
      </c>
      <c r="D52" s="139"/>
      <c r="E52" s="139"/>
      <c r="F52" s="139" t="str">
        <f>IFERROR(__xludf.DUMMYFUNCTION("""COMPUTED_VALUE"""),"Week 4")</f>
        <v>Week 4</v>
      </c>
      <c r="G52" s="139">
        <f>IFERROR(__xludf.DUMMYFUNCTION("""COMPUTED_VALUE"""),0.0)</f>
        <v>0</v>
      </c>
    </row>
    <row r="53">
      <c r="A53" s="139" t="str">
        <f>IFERROR(__xludf.DUMMYFUNCTION("""COMPUTED_VALUE"""),"20240929_MIN@GB")</f>
        <v>20240929_MIN@GB</v>
      </c>
      <c r="B53" s="139" t="str">
        <f>IFERROR(__xludf.DUMMYFUNCTION("""COMPUTED_VALUE"""),"MIN")</f>
        <v>MIN</v>
      </c>
      <c r="C53" s="139" t="str">
        <f>IFERROR(__xludf.DUMMYFUNCTION("""COMPUTED_VALUE"""),"GB")</f>
        <v>GB</v>
      </c>
      <c r="D53" s="139"/>
      <c r="E53" s="139"/>
      <c r="F53" s="139" t="str">
        <f>IFERROR(__xludf.DUMMYFUNCTION("""COMPUTED_VALUE"""),"Week 4")</f>
        <v>Week 4</v>
      </c>
      <c r="G53" s="139">
        <f>IFERROR(__xludf.DUMMYFUNCTION("""COMPUTED_VALUE"""),0.0)</f>
        <v>0</v>
      </c>
    </row>
    <row r="54">
      <c r="A54" s="139" t="str">
        <f>IFERROR(__xludf.DUMMYFUNCTION("""COMPUTED_VALUE"""),"20240929_DEN@NYJ")</f>
        <v>20240929_DEN@NYJ</v>
      </c>
      <c r="B54" s="139" t="str">
        <f>IFERROR(__xludf.DUMMYFUNCTION("""COMPUTED_VALUE"""),"DEN")</f>
        <v>DEN</v>
      </c>
      <c r="C54" s="139" t="str">
        <f>IFERROR(__xludf.DUMMYFUNCTION("""COMPUTED_VALUE"""),"NYJ")</f>
        <v>NYJ</v>
      </c>
      <c r="D54" s="139"/>
      <c r="E54" s="139"/>
      <c r="F54" s="139" t="str">
        <f>IFERROR(__xludf.DUMMYFUNCTION("""COMPUTED_VALUE"""),"Week 4")</f>
        <v>Week 4</v>
      </c>
      <c r="G54" s="139">
        <f>IFERROR(__xludf.DUMMYFUNCTION("""COMPUTED_VALUE"""),0.0)</f>
        <v>0</v>
      </c>
    </row>
    <row r="55">
      <c r="A55" s="139" t="str">
        <f>IFERROR(__xludf.DUMMYFUNCTION("""COMPUTED_VALUE"""),"20240929_CIN@CAR")</f>
        <v>20240929_CIN@CAR</v>
      </c>
      <c r="B55" s="139" t="str">
        <f>IFERROR(__xludf.DUMMYFUNCTION("""COMPUTED_VALUE"""),"CIN")</f>
        <v>CIN</v>
      </c>
      <c r="C55" s="139" t="str">
        <f>IFERROR(__xludf.DUMMYFUNCTION("""COMPUTED_VALUE"""),"CAR")</f>
        <v>CAR</v>
      </c>
      <c r="D55" s="139"/>
      <c r="E55" s="139"/>
      <c r="F55" s="139" t="str">
        <f>IFERROR(__xludf.DUMMYFUNCTION("""COMPUTED_VALUE"""),"Week 4")</f>
        <v>Week 4</v>
      </c>
      <c r="G55" s="139">
        <f>IFERROR(__xludf.DUMMYFUNCTION("""COMPUTED_VALUE"""),0.0)</f>
        <v>0</v>
      </c>
    </row>
    <row r="56">
      <c r="A56" s="139" t="str">
        <f>IFERROR(__xludf.DUMMYFUNCTION("""COMPUTED_VALUE"""),"20240929_KC@LAC")</f>
        <v>20240929_KC@LAC</v>
      </c>
      <c r="B56" s="139" t="str">
        <f>IFERROR(__xludf.DUMMYFUNCTION("""COMPUTED_VALUE"""),"KC")</f>
        <v>KC</v>
      </c>
      <c r="C56" s="139" t="str">
        <f>IFERROR(__xludf.DUMMYFUNCTION("""COMPUTED_VALUE"""),"LAC")</f>
        <v>LAC</v>
      </c>
      <c r="D56" s="139"/>
      <c r="E56" s="139"/>
      <c r="F56" s="139" t="str">
        <f>IFERROR(__xludf.DUMMYFUNCTION("""COMPUTED_VALUE"""),"Week 4")</f>
        <v>Week 4</v>
      </c>
      <c r="G56" s="139">
        <f>IFERROR(__xludf.DUMMYFUNCTION("""COMPUTED_VALUE"""),0.0)</f>
        <v>0</v>
      </c>
    </row>
    <row r="57">
      <c r="A57" s="139" t="str">
        <f>IFERROR(__xludf.DUMMYFUNCTION("""COMPUTED_VALUE"""),"20240929_LAR@CHI")</f>
        <v>20240929_LAR@CHI</v>
      </c>
      <c r="B57" s="139" t="str">
        <f>IFERROR(__xludf.DUMMYFUNCTION("""COMPUTED_VALUE"""),"LAR")</f>
        <v>LAR</v>
      </c>
      <c r="C57" s="139" t="str">
        <f>IFERROR(__xludf.DUMMYFUNCTION("""COMPUTED_VALUE"""),"CHI")</f>
        <v>CHI</v>
      </c>
      <c r="D57" s="139"/>
      <c r="E57" s="139"/>
      <c r="F57" s="139" t="str">
        <f>IFERROR(__xludf.DUMMYFUNCTION("""COMPUTED_VALUE"""),"Week 4")</f>
        <v>Week 4</v>
      </c>
      <c r="G57" s="139">
        <f>IFERROR(__xludf.DUMMYFUNCTION("""COMPUTED_VALUE"""),0.0)</f>
        <v>0</v>
      </c>
    </row>
    <row r="58">
      <c r="A58" s="139" t="str">
        <f>IFERROR(__xludf.DUMMYFUNCTION("""COMPUTED_VALUE"""),"20240929_PHI@TB")</f>
        <v>20240929_PHI@TB</v>
      </c>
      <c r="B58" s="139" t="str">
        <f>IFERROR(__xludf.DUMMYFUNCTION("""COMPUTED_VALUE"""),"PHI")</f>
        <v>PHI</v>
      </c>
      <c r="C58" s="139" t="str">
        <f>IFERROR(__xludf.DUMMYFUNCTION("""COMPUTED_VALUE"""),"TB")</f>
        <v>TB</v>
      </c>
      <c r="D58" s="139"/>
      <c r="E58" s="139"/>
      <c r="F58" s="139" t="str">
        <f>IFERROR(__xludf.DUMMYFUNCTION("""COMPUTED_VALUE"""),"Week 4")</f>
        <v>Week 4</v>
      </c>
      <c r="G58" s="139">
        <f>IFERROR(__xludf.DUMMYFUNCTION("""COMPUTED_VALUE"""),0.0)</f>
        <v>0</v>
      </c>
    </row>
    <row r="59">
      <c r="A59" s="139" t="str">
        <f>IFERROR(__xludf.DUMMYFUNCTION("""COMPUTED_VALUE"""),"20240929_CLE@LV")</f>
        <v>20240929_CLE@LV</v>
      </c>
      <c r="B59" s="139" t="str">
        <f>IFERROR(__xludf.DUMMYFUNCTION("""COMPUTED_VALUE"""),"CLE")</f>
        <v>CLE</v>
      </c>
      <c r="C59" s="139" t="str">
        <f>IFERROR(__xludf.DUMMYFUNCTION("""COMPUTED_VALUE"""),"LV")</f>
        <v>LV</v>
      </c>
      <c r="D59" s="139"/>
      <c r="E59" s="139"/>
      <c r="F59" s="139" t="str">
        <f>IFERROR(__xludf.DUMMYFUNCTION("""COMPUTED_VALUE"""),"Week 4")</f>
        <v>Week 4</v>
      </c>
      <c r="G59" s="139">
        <f>IFERROR(__xludf.DUMMYFUNCTION("""COMPUTED_VALUE"""),0.0)</f>
        <v>0</v>
      </c>
    </row>
    <row r="60">
      <c r="A60" s="139" t="str">
        <f>IFERROR(__xludf.DUMMYFUNCTION("""COMPUTED_VALUE"""),"20240929_WSH@ARI")</f>
        <v>20240929_WSH@ARI</v>
      </c>
      <c r="B60" s="139" t="str">
        <f>IFERROR(__xludf.DUMMYFUNCTION("""COMPUTED_VALUE"""),"WSH")</f>
        <v>WSH</v>
      </c>
      <c r="C60" s="139" t="str">
        <f>IFERROR(__xludf.DUMMYFUNCTION("""COMPUTED_VALUE"""),"ARI")</f>
        <v>ARI</v>
      </c>
      <c r="D60" s="139"/>
      <c r="E60" s="139"/>
      <c r="F60" s="139" t="str">
        <f>IFERROR(__xludf.DUMMYFUNCTION("""COMPUTED_VALUE"""),"Week 4")</f>
        <v>Week 4</v>
      </c>
      <c r="G60" s="139">
        <f>IFERROR(__xludf.DUMMYFUNCTION("""COMPUTED_VALUE"""),0.0)</f>
        <v>0</v>
      </c>
    </row>
    <row r="61">
      <c r="A61" s="139" t="str">
        <f>IFERROR(__xludf.DUMMYFUNCTION("""COMPUTED_VALUE"""),"20240929_NO@ATL")</f>
        <v>20240929_NO@ATL</v>
      </c>
      <c r="B61" s="139" t="str">
        <f>IFERROR(__xludf.DUMMYFUNCTION("""COMPUTED_VALUE"""),"NO")</f>
        <v>NO</v>
      </c>
      <c r="C61" s="139" t="str">
        <f>IFERROR(__xludf.DUMMYFUNCTION("""COMPUTED_VALUE"""),"ATL")</f>
        <v>ATL</v>
      </c>
      <c r="D61" s="139"/>
      <c r="E61" s="139"/>
      <c r="F61" s="139" t="str">
        <f>IFERROR(__xludf.DUMMYFUNCTION("""COMPUTED_VALUE"""),"Week 4")</f>
        <v>Week 4</v>
      </c>
      <c r="G61" s="139">
        <f>IFERROR(__xludf.DUMMYFUNCTION("""COMPUTED_VALUE"""),0.0)</f>
        <v>0</v>
      </c>
    </row>
    <row r="62">
      <c r="A62" s="139" t="str">
        <f>IFERROR(__xludf.DUMMYFUNCTION("""COMPUTED_VALUE"""),"20240929_PIT@IND")</f>
        <v>20240929_PIT@IND</v>
      </c>
      <c r="B62" s="139" t="str">
        <f>IFERROR(__xludf.DUMMYFUNCTION("""COMPUTED_VALUE"""),"PIT")</f>
        <v>PIT</v>
      </c>
      <c r="C62" s="139" t="str">
        <f>IFERROR(__xludf.DUMMYFUNCTION("""COMPUTED_VALUE"""),"IND")</f>
        <v>IND</v>
      </c>
      <c r="D62" s="139"/>
      <c r="E62" s="139"/>
      <c r="F62" s="139" t="str">
        <f>IFERROR(__xludf.DUMMYFUNCTION("""COMPUTED_VALUE"""),"Week 4")</f>
        <v>Week 4</v>
      </c>
      <c r="G62" s="139">
        <f>IFERROR(__xludf.DUMMYFUNCTION("""COMPUTED_VALUE"""),0.0)</f>
        <v>0</v>
      </c>
    </row>
    <row r="63">
      <c r="A63" s="139" t="str">
        <f>IFERROR(__xludf.DUMMYFUNCTION("""COMPUTED_VALUE"""),"20240929_JAX@HOU")</f>
        <v>20240929_JAX@HOU</v>
      </c>
      <c r="B63" s="139" t="str">
        <f>IFERROR(__xludf.DUMMYFUNCTION("""COMPUTED_VALUE"""),"JAX")</f>
        <v>JAX</v>
      </c>
      <c r="C63" s="139" t="str">
        <f>IFERROR(__xludf.DUMMYFUNCTION("""COMPUTED_VALUE"""),"HOU")</f>
        <v>HOU</v>
      </c>
      <c r="D63" s="139"/>
      <c r="E63" s="139"/>
      <c r="F63" s="139" t="str">
        <f>IFERROR(__xludf.DUMMYFUNCTION("""COMPUTED_VALUE"""),"Week 4")</f>
        <v>Week 4</v>
      </c>
      <c r="G63" s="139">
        <f>IFERROR(__xludf.DUMMYFUNCTION("""COMPUTED_VALUE"""),0.0)</f>
        <v>0</v>
      </c>
    </row>
    <row r="64">
      <c r="A64" s="139" t="str">
        <f>IFERROR(__xludf.DUMMYFUNCTION("""COMPUTED_VALUE"""),"20240929_NE@SF")</f>
        <v>20240929_NE@SF</v>
      </c>
      <c r="B64" s="139" t="str">
        <f>IFERROR(__xludf.DUMMYFUNCTION("""COMPUTED_VALUE"""),"NE")</f>
        <v>NE</v>
      </c>
      <c r="C64" s="139" t="str">
        <f>IFERROR(__xludf.DUMMYFUNCTION("""COMPUTED_VALUE"""),"SF")</f>
        <v>SF</v>
      </c>
      <c r="D64" s="139"/>
      <c r="E64" s="139"/>
      <c r="F64" s="139" t="str">
        <f>IFERROR(__xludf.DUMMYFUNCTION("""COMPUTED_VALUE"""),"Week 4")</f>
        <v>Week 4</v>
      </c>
      <c r="G64" s="139">
        <f>IFERROR(__xludf.DUMMYFUNCTION("""COMPUTED_VALUE"""),0.0)</f>
        <v>0</v>
      </c>
    </row>
    <row r="65">
      <c r="A65" s="139" t="str">
        <f>IFERROR(__xludf.DUMMYFUNCTION("""COMPUTED_VALUE"""),"20240929_BUF@BAL")</f>
        <v>20240929_BUF@BAL</v>
      </c>
      <c r="B65" s="139" t="str">
        <f>IFERROR(__xludf.DUMMYFUNCTION("""COMPUTED_VALUE"""),"BUF")</f>
        <v>BUF</v>
      </c>
      <c r="C65" s="139" t="str">
        <f>IFERROR(__xludf.DUMMYFUNCTION("""COMPUTED_VALUE"""),"BAL")</f>
        <v>BAL</v>
      </c>
      <c r="D65" s="139"/>
      <c r="E65" s="139"/>
      <c r="F65" s="139" t="str">
        <f>IFERROR(__xludf.DUMMYFUNCTION("""COMPUTED_VALUE"""),"Week 4")</f>
        <v>Week 4</v>
      </c>
      <c r="G65" s="139">
        <f>IFERROR(__xludf.DUMMYFUNCTION("""COMPUTED_VALUE"""),0.0)</f>
        <v>0</v>
      </c>
    </row>
    <row r="66">
      <c r="A66" s="139" t="str">
        <f>IFERROR(__xludf.DUMMYFUNCTION("""COMPUTED_VALUE"""),"20241003_TB@ATL")</f>
        <v>20241003_TB@ATL</v>
      </c>
      <c r="B66" s="139" t="str">
        <f>IFERROR(__xludf.DUMMYFUNCTION("""COMPUTED_VALUE"""),"TB")</f>
        <v>TB</v>
      </c>
      <c r="C66" s="139" t="str">
        <f>IFERROR(__xludf.DUMMYFUNCTION("""COMPUTED_VALUE"""),"ATL")</f>
        <v>ATL</v>
      </c>
      <c r="D66" s="139"/>
      <c r="E66" s="139"/>
      <c r="F66" s="139" t="str">
        <f>IFERROR(__xludf.DUMMYFUNCTION("""COMPUTED_VALUE"""),"Week 5")</f>
        <v>Week 5</v>
      </c>
      <c r="G66" s="139">
        <f>IFERROR(__xludf.DUMMYFUNCTION("""COMPUTED_VALUE"""),0.0)</f>
        <v>0</v>
      </c>
    </row>
    <row r="67">
      <c r="A67" s="139" t="str">
        <f>IFERROR(__xludf.DUMMYFUNCTION("""COMPUTED_VALUE"""),"20241007_NO@KC")</f>
        <v>20241007_NO@KC</v>
      </c>
      <c r="B67" s="139" t="str">
        <f>IFERROR(__xludf.DUMMYFUNCTION("""COMPUTED_VALUE"""),"NO")</f>
        <v>NO</v>
      </c>
      <c r="C67" s="139" t="str">
        <f>IFERROR(__xludf.DUMMYFUNCTION("""COMPUTED_VALUE"""),"KC")</f>
        <v>KC</v>
      </c>
      <c r="D67" s="139"/>
      <c r="E67" s="139"/>
      <c r="F67" s="139" t="str">
        <f>IFERROR(__xludf.DUMMYFUNCTION("""COMPUTED_VALUE"""),"Week 5")</f>
        <v>Week 5</v>
      </c>
      <c r="G67" s="139">
        <f>IFERROR(__xludf.DUMMYFUNCTION("""COMPUTED_VALUE"""),0.0)</f>
        <v>0</v>
      </c>
    </row>
    <row r="68">
      <c r="A68" s="139" t="str">
        <f>IFERROR(__xludf.DUMMYFUNCTION("""COMPUTED_VALUE"""),"20241006_BUF@HOU")</f>
        <v>20241006_BUF@HOU</v>
      </c>
      <c r="B68" s="139" t="str">
        <f>IFERROR(__xludf.DUMMYFUNCTION("""COMPUTED_VALUE"""),"BUF")</f>
        <v>BUF</v>
      </c>
      <c r="C68" s="139" t="str">
        <f>IFERROR(__xludf.DUMMYFUNCTION("""COMPUTED_VALUE"""),"HOU")</f>
        <v>HOU</v>
      </c>
      <c r="D68" s="139"/>
      <c r="E68" s="139"/>
      <c r="F68" s="139" t="str">
        <f>IFERROR(__xludf.DUMMYFUNCTION("""COMPUTED_VALUE"""),"Week 5")</f>
        <v>Week 5</v>
      </c>
      <c r="G68" s="139">
        <f>IFERROR(__xludf.DUMMYFUNCTION("""COMPUTED_VALUE"""),0.0)</f>
        <v>0</v>
      </c>
    </row>
    <row r="69">
      <c r="A69" s="139" t="str">
        <f>IFERROR(__xludf.DUMMYFUNCTION("""COMPUTED_VALUE"""),"20241006_BAL@CIN")</f>
        <v>20241006_BAL@CIN</v>
      </c>
      <c r="B69" s="139" t="str">
        <f>IFERROR(__xludf.DUMMYFUNCTION("""COMPUTED_VALUE"""),"BAL")</f>
        <v>BAL</v>
      </c>
      <c r="C69" s="139" t="str">
        <f>IFERROR(__xludf.DUMMYFUNCTION("""COMPUTED_VALUE"""),"CIN")</f>
        <v>CIN</v>
      </c>
      <c r="D69" s="139"/>
      <c r="E69" s="139"/>
      <c r="F69" s="139" t="str">
        <f>IFERROR(__xludf.DUMMYFUNCTION("""COMPUTED_VALUE"""),"Week 5")</f>
        <v>Week 5</v>
      </c>
      <c r="G69" s="139">
        <f>IFERROR(__xludf.DUMMYFUNCTION("""COMPUTED_VALUE"""),0.0)</f>
        <v>0</v>
      </c>
    </row>
    <row r="70">
      <c r="A70" s="139" t="str">
        <f>IFERROR(__xludf.DUMMYFUNCTION("""COMPUTED_VALUE"""),"20241006_NYG@SEA")</f>
        <v>20241006_NYG@SEA</v>
      </c>
      <c r="B70" s="139" t="str">
        <f>IFERROR(__xludf.DUMMYFUNCTION("""COMPUTED_VALUE"""),"NYG")</f>
        <v>NYG</v>
      </c>
      <c r="C70" s="139" t="str">
        <f>IFERROR(__xludf.DUMMYFUNCTION("""COMPUTED_VALUE"""),"SEA")</f>
        <v>SEA</v>
      </c>
      <c r="D70" s="139"/>
      <c r="E70" s="139"/>
      <c r="F70" s="139" t="str">
        <f>IFERROR(__xludf.DUMMYFUNCTION("""COMPUTED_VALUE"""),"Week 5")</f>
        <v>Week 5</v>
      </c>
      <c r="G70" s="139">
        <f>IFERROR(__xludf.DUMMYFUNCTION("""COMPUTED_VALUE"""),0.0)</f>
        <v>0</v>
      </c>
    </row>
    <row r="71">
      <c r="A71" s="139" t="str">
        <f>IFERROR(__xludf.DUMMYFUNCTION("""COMPUTED_VALUE"""),"20241006_IND@JAX")</f>
        <v>20241006_IND@JAX</v>
      </c>
      <c r="B71" s="139" t="str">
        <f>IFERROR(__xludf.DUMMYFUNCTION("""COMPUTED_VALUE"""),"IND")</f>
        <v>IND</v>
      </c>
      <c r="C71" s="139" t="str">
        <f>IFERROR(__xludf.DUMMYFUNCTION("""COMPUTED_VALUE"""),"JAX")</f>
        <v>JAX</v>
      </c>
      <c r="D71" s="139"/>
      <c r="E71" s="139"/>
      <c r="F71" s="139" t="str">
        <f>IFERROR(__xludf.DUMMYFUNCTION("""COMPUTED_VALUE"""),"Week 5")</f>
        <v>Week 5</v>
      </c>
      <c r="G71" s="139">
        <f>IFERROR(__xludf.DUMMYFUNCTION("""COMPUTED_VALUE"""),0.0)</f>
        <v>0</v>
      </c>
    </row>
    <row r="72">
      <c r="A72" s="139" t="str">
        <f>IFERROR(__xludf.DUMMYFUNCTION("""COMPUTED_VALUE"""),"20241006_DAL@PIT")</f>
        <v>20241006_DAL@PIT</v>
      </c>
      <c r="B72" s="139" t="str">
        <f>IFERROR(__xludf.DUMMYFUNCTION("""COMPUTED_VALUE"""),"DAL")</f>
        <v>DAL</v>
      </c>
      <c r="C72" s="139" t="str">
        <f>IFERROR(__xludf.DUMMYFUNCTION("""COMPUTED_VALUE"""),"PIT")</f>
        <v>PIT</v>
      </c>
      <c r="D72" s="139"/>
      <c r="E72" s="139"/>
      <c r="F72" s="139" t="str">
        <f>IFERROR(__xludf.DUMMYFUNCTION("""COMPUTED_VALUE"""),"Week 5")</f>
        <v>Week 5</v>
      </c>
      <c r="G72" s="139">
        <f>IFERROR(__xludf.DUMMYFUNCTION("""COMPUTED_VALUE"""),0.0)</f>
        <v>0</v>
      </c>
    </row>
    <row r="73">
      <c r="A73" s="139" t="str">
        <f>IFERROR(__xludf.DUMMYFUNCTION("""COMPUTED_VALUE"""),"20241006_LV@DEN")</f>
        <v>20241006_LV@DEN</v>
      </c>
      <c r="B73" s="139" t="str">
        <f>IFERROR(__xludf.DUMMYFUNCTION("""COMPUTED_VALUE"""),"LV")</f>
        <v>LV</v>
      </c>
      <c r="C73" s="139" t="str">
        <f>IFERROR(__xludf.DUMMYFUNCTION("""COMPUTED_VALUE"""),"DEN")</f>
        <v>DEN</v>
      </c>
      <c r="D73" s="139"/>
      <c r="E73" s="139"/>
      <c r="F73" s="139" t="str">
        <f>IFERROR(__xludf.DUMMYFUNCTION("""COMPUTED_VALUE"""),"Week 5")</f>
        <v>Week 5</v>
      </c>
      <c r="G73" s="139">
        <f>IFERROR(__xludf.DUMMYFUNCTION("""COMPUTED_VALUE"""),0.0)</f>
        <v>0</v>
      </c>
    </row>
    <row r="74">
      <c r="A74" s="139" t="str">
        <f>IFERROR(__xludf.DUMMYFUNCTION("""COMPUTED_VALUE"""),"20241006_GB@LAR")</f>
        <v>20241006_GB@LAR</v>
      </c>
      <c r="B74" s="139" t="str">
        <f>IFERROR(__xludf.DUMMYFUNCTION("""COMPUTED_VALUE"""),"GB")</f>
        <v>GB</v>
      </c>
      <c r="C74" s="139" t="str">
        <f>IFERROR(__xludf.DUMMYFUNCTION("""COMPUTED_VALUE"""),"LAR")</f>
        <v>LAR</v>
      </c>
      <c r="D74" s="139"/>
      <c r="E74" s="139"/>
      <c r="F74" s="139" t="str">
        <f>IFERROR(__xludf.DUMMYFUNCTION("""COMPUTED_VALUE"""),"Week 5")</f>
        <v>Week 5</v>
      </c>
      <c r="G74" s="139">
        <f>IFERROR(__xludf.DUMMYFUNCTION("""COMPUTED_VALUE"""),0.0)</f>
        <v>0</v>
      </c>
    </row>
    <row r="75">
      <c r="A75" s="139" t="str">
        <f>IFERROR(__xludf.DUMMYFUNCTION("""COMPUTED_VALUE"""),"20241006_ARI@SF")</f>
        <v>20241006_ARI@SF</v>
      </c>
      <c r="B75" s="139" t="str">
        <f>IFERROR(__xludf.DUMMYFUNCTION("""COMPUTED_VALUE"""),"ARI")</f>
        <v>ARI</v>
      </c>
      <c r="C75" s="139" t="str">
        <f>IFERROR(__xludf.DUMMYFUNCTION("""COMPUTED_VALUE"""),"SF")</f>
        <v>SF</v>
      </c>
      <c r="D75" s="139"/>
      <c r="E75" s="139"/>
      <c r="F75" s="139" t="str">
        <f>IFERROR(__xludf.DUMMYFUNCTION("""COMPUTED_VALUE"""),"Week 5")</f>
        <v>Week 5</v>
      </c>
      <c r="G75" s="139">
        <f>IFERROR(__xludf.DUMMYFUNCTION("""COMPUTED_VALUE"""),0.0)</f>
        <v>0</v>
      </c>
    </row>
    <row r="76">
      <c r="A76" s="139" t="str">
        <f>IFERROR(__xludf.DUMMYFUNCTION("""COMPUTED_VALUE"""),"20241006_MIA@NE")</f>
        <v>20241006_MIA@NE</v>
      </c>
      <c r="B76" s="139" t="str">
        <f>IFERROR(__xludf.DUMMYFUNCTION("""COMPUTED_VALUE"""),"MIA")</f>
        <v>MIA</v>
      </c>
      <c r="C76" s="139" t="str">
        <f>IFERROR(__xludf.DUMMYFUNCTION("""COMPUTED_VALUE"""),"NE")</f>
        <v>NE</v>
      </c>
      <c r="D76" s="139"/>
      <c r="E76" s="139"/>
      <c r="F76" s="139" t="str">
        <f>IFERROR(__xludf.DUMMYFUNCTION("""COMPUTED_VALUE"""),"Week 5")</f>
        <v>Week 5</v>
      </c>
      <c r="G76" s="139">
        <f>IFERROR(__xludf.DUMMYFUNCTION("""COMPUTED_VALUE"""),0.0)</f>
        <v>0</v>
      </c>
    </row>
    <row r="77">
      <c r="A77" s="139" t="str">
        <f>IFERROR(__xludf.DUMMYFUNCTION("""COMPUTED_VALUE"""),"20241006_CAR@CHI")</f>
        <v>20241006_CAR@CHI</v>
      </c>
      <c r="B77" s="139" t="str">
        <f>IFERROR(__xludf.DUMMYFUNCTION("""COMPUTED_VALUE"""),"CAR")</f>
        <v>CAR</v>
      </c>
      <c r="C77" s="139" t="str">
        <f>IFERROR(__xludf.DUMMYFUNCTION("""COMPUTED_VALUE"""),"CHI")</f>
        <v>CHI</v>
      </c>
      <c r="D77" s="139"/>
      <c r="E77" s="139"/>
      <c r="F77" s="139" t="str">
        <f>IFERROR(__xludf.DUMMYFUNCTION("""COMPUTED_VALUE"""),"Week 5")</f>
        <v>Week 5</v>
      </c>
      <c r="G77" s="139">
        <f>IFERROR(__xludf.DUMMYFUNCTION("""COMPUTED_VALUE"""),0.0)</f>
        <v>0</v>
      </c>
    </row>
    <row r="78">
      <c r="A78" s="139" t="str">
        <f>IFERROR(__xludf.DUMMYFUNCTION("""COMPUTED_VALUE"""),"20241006_NYJ@MIN")</f>
        <v>20241006_NYJ@MIN</v>
      </c>
      <c r="B78" s="139" t="str">
        <f>IFERROR(__xludf.DUMMYFUNCTION("""COMPUTED_VALUE"""),"NYJ")</f>
        <v>NYJ</v>
      </c>
      <c r="C78" s="139" t="str">
        <f>IFERROR(__xludf.DUMMYFUNCTION("""COMPUTED_VALUE"""),"MIN")</f>
        <v>MIN</v>
      </c>
      <c r="D78" s="139"/>
      <c r="E78" s="139"/>
      <c r="F78" s="139" t="str">
        <f>IFERROR(__xludf.DUMMYFUNCTION("""COMPUTED_VALUE"""),"Week 5")</f>
        <v>Week 5</v>
      </c>
      <c r="G78" s="139">
        <f>IFERROR(__xludf.DUMMYFUNCTION("""COMPUTED_VALUE"""),0.0)</f>
        <v>0</v>
      </c>
    </row>
    <row r="79">
      <c r="A79" s="139" t="str">
        <f>IFERROR(__xludf.DUMMYFUNCTION("""COMPUTED_VALUE"""),"20241006_CLE@WSH")</f>
        <v>20241006_CLE@WSH</v>
      </c>
      <c r="B79" s="139" t="str">
        <f>IFERROR(__xludf.DUMMYFUNCTION("""COMPUTED_VALUE"""),"CLE")</f>
        <v>CLE</v>
      </c>
      <c r="C79" s="139" t="str">
        <f>IFERROR(__xludf.DUMMYFUNCTION("""COMPUTED_VALUE"""),"WSH")</f>
        <v>WSH</v>
      </c>
      <c r="D79" s="139"/>
      <c r="E79" s="139"/>
      <c r="F79" s="139" t="str">
        <f>IFERROR(__xludf.DUMMYFUNCTION("""COMPUTED_VALUE"""),"Week 5")</f>
        <v>Week 5</v>
      </c>
      <c r="G79" s="139">
        <f>IFERROR(__xludf.DUMMYFUNCTION("""COMPUTED_VALUE"""),0.0)</f>
        <v>0</v>
      </c>
    </row>
    <row r="80">
      <c r="A80" s="139" t="str">
        <f>IFERROR(__xludf.DUMMYFUNCTION("""COMPUTED_VALUE"""),"20241014_BUF@NYJ")</f>
        <v>20241014_BUF@NYJ</v>
      </c>
      <c r="B80" s="139" t="str">
        <f>IFERROR(__xludf.DUMMYFUNCTION("""COMPUTED_VALUE"""),"BUF")</f>
        <v>BUF</v>
      </c>
      <c r="C80" s="139" t="str">
        <f>IFERROR(__xludf.DUMMYFUNCTION("""COMPUTED_VALUE"""),"NYJ")</f>
        <v>NYJ</v>
      </c>
      <c r="D80" s="139"/>
      <c r="E80" s="139"/>
      <c r="F80" s="139" t="str">
        <f>IFERROR(__xludf.DUMMYFUNCTION("""COMPUTED_VALUE"""),"Week 6")</f>
        <v>Week 6</v>
      </c>
      <c r="G80" s="139">
        <f>IFERROR(__xludf.DUMMYFUNCTION("""COMPUTED_VALUE"""),0.0)</f>
        <v>0</v>
      </c>
    </row>
    <row r="81">
      <c r="A81" s="139" t="str">
        <f>IFERROR(__xludf.DUMMYFUNCTION("""COMPUTED_VALUE"""),"20241010_SF@SEA")</f>
        <v>20241010_SF@SEA</v>
      </c>
      <c r="B81" s="139" t="str">
        <f>IFERROR(__xludf.DUMMYFUNCTION("""COMPUTED_VALUE"""),"SF")</f>
        <v>SF</v>
      </c>
      <c r="C81" s="139" t="str">
        <f>IFERROR(__xludf.DUMMYFUNCTION("""COMPUTED_VALUE"""),"SEA")</f>
        <v>SEA</v>
      </c>
      <c r="D81" s="139"/>
      <c r="E81" s="139"/>
      <c r="F81" s="139" t="str">
        <f>IFERROR(__xludf.DUMMYFUNCTION("""COMPUTED_VALUE"""),"Week 6")</f>
        <v>Week 6</v>
      </c>
      <c r="G81" s="139">
        <f>IFERROR(__xludf.DUMMYFUNCTION("""COMPUTED_VALUE"""),0.0)</f>
        <v>0</v>
      </c>
    </row>
    <row r="82">
      <c r="A82" s="139" t="str">
        <f>IFERROR(__xludf.DUMMYFUNCTION("""COMPUTED_VALUE"""),"20241013_PIT@LV")</f>
        <v>20241013_PIT@LV</v>
      </c>
      <c r="B82" s="139" t="str">
        <f>IFERROR(__xludf.DUMMYFUNCTION("""COMPUTED_VALUE"""),"PIT")</f>
        <v>PIT</v>
      </c>
      <c r="C82" s="139" t="str">
        <f>IFERROR(__xludf.DUMMYFUNCTION("""COMPUTED_VALUE"""),"LV")</f>
        <v>LV</v>
      </c>
      <c r="D82" s="139"/>
      <c r="E82" s="139"/>
      <c r="F82" s="139" t="str">
        <f>IFERROR(__xludf.DUMMYFUNCTION("""COMPUTED_VALUE"""),"Week 6")</f>
        <v>Week 6</v>
      </c>
      <c r="G82" s="139">
        <f>IFERROR(__xludf.DUMMYFUNCTION("""COMPUTED_VALUE"""),0.0)</f>
        <v>0</v>
      </c>
    </row>
    <row r="83">
      <c r="A83" s="139" t="str">
        <f>IFERROR(__xludf.DUMMYFUNCTION("""COMPUTED_VALUE"""),"20241013_CLE@PHI")</f>
        <v>20241013_CLE@PHI</v>
      </c>
      <c r="B83" s="139" t="str">
        <f>IFERROR(__xludf.DUMMYFUNCTION("""COMPUTED_VALUE"""),"CLE")</f>
        <v>CLE</v>
      </c>
      <c r="C83" s="139" t="str">
        <f>IFERROR(__xludf.DUMMYFUNCTION("""COMPUTED_VALUE"""),"PHI")</f>
        <v>PHI</v>
      </c>
      <c r="D83" s="139"/>
      <c r="E83" s="139"/>
      <c r="F83" s="139" t="str">
        <f>IFERROR(__xludf.DUMMYFUNCTION("""COMPUTED_VALUE"""),"Week 6")</f>
        <v>Week 6</v>
      </c>
      <c r="G83" s="139">
        <f>IFERROR(__xludf.DUMMYFUNCTION("""COMPUTED_VALUE"""),0.0)</f>
        <v>0</v>
      </c>
    </row>
    <row r="84">
      <c r="A84" s="139" t="str">
        <f>IFERROR(__xludf.DUMMYFUNCTION("""COMPUTED_VALUE"""),"20241013_DET@DAL")</f>
        <v>20241013_DET@DAL</v>
      </c>
      <c r="B84" s="139" t="str">
        <f>IFERROR(__xludf.DUMMYFUNCTION("""COMPUTED_VALUE"""),"DET")</f>
        <v>DET</v>
      </c>
      <c r="C84" s="139" t="str">
        <f>IFERROR(__xludf.DUMMYFUNCTION("""COMPUTED_VALUE"""),"DAL")</f>
        <v>DAL</v>
      </c>
      <c r="D84" s="139"/>
      <c r="E84" s="139"/>
      <c r="F84" s="139" t="str">
        <f>IFERROR(__xludf.DUMMYFUNCTION("""COMPUTED_VALUE"""),"Week 6")</f>
        <v>Week 6</v>
      </c>
      <c r="G84" s="139">
        <f>IFERROR(__xludf.DUMMYFUNCTION("""COMPUTED_VALUE"""),0.0)</f>
        <v>0</v>
      </c>
    </row>
    <row r="85">
      <c r="A85" s="139" t="str">
        <f>IFERROR(__xludf.DUMMYFUNCTION("""COMPUTED_VALUE"""),"20241013_ATL@CAR")</f>
        <v>20241013_ATL@CAR</v>
      </c>
      <c r="B85" s="139" t="str">
        <f>IFERROR(__xludf.DUMMYFUNCTION("""COMPUTED_VALUE"""),"ATL")</f>
        <v>ATL</v>
      </c>
      <c r="C85" s="139" t="str">
        <f>IFERROR(__xludf.DUMMYFUNCTION("""COMPUTED_VALUE"""),"CAR")</f>
        <v>CAR</v>
      </c>
      <c r="D85" s="139"/>
      <c r="E85" s="139"/>
      <c r="F85" s="139" t="str">
        <f>IFERROR(__xludf.DUMMYFUNCTION("""COMPUTED_VALUE"""),"Week 6")</f>
        <v>Week 6</v>
      </c>
      <c r="G85" s="139">
        <f>IFERROR(__xludf.DUMMYFUNCTION("""COMPUTED_VALUE"""),0.0)</f>
        <v>0</v>
      </c>
    </row>
    <row r="86">
      <c r="A86" s="139" t="str">
        <f>IFERROR(__xludf.DUMMYFUNCTION("""COMPUTED_VALUE"""),"20241013_JAX@CHI")</f>
        <v>20241013_JAX@CHI</v>
      </c>
      <c r="B86" s="139" t="str">
        <f>IFERROR(__xludf.DUMMYFUNCTION("""COMPUTED_VALUE"""),"JAX")</f>
        <v>JAX</v>
      </c>
      <c r="C86" s="139" t="str">
        <f>IFERROR(__xludf.DUMMYFUNCTION("""COMPUTED_VALUE"""),"CHI")</f>
        <v>CHI</v>
      </c>
      <c r="D86" s="139"/>
      <c r="E86" s="139"/>
      <c r="F86" s="139" t="str">
        <f>IFERROR(__xludf.DUMMYFUNCTION("""COMPUTED_VALUE"""),"Week 6")</f>
        <v>Week 6</v>
      </c>
      <c r="G86" s="139">
        <f>IFERROR(__xludf.DUMMYFUNCTION("""COMPUTED_VALUE"""),0.0)</f>
        <v>0</v>
      </c>
    </row>
    <row r="87">
      <c r="A87" s="139" t="str">
        <f>IFERROR(__xludf.DUMMYFUNCTION("""COMPUTED_VALUE"""),"20241013_LAC@DEN")</f>
        <v>20241013_LAC@DEN</v>
      </c>
      <c r="B87" s="139" t="str">
        <f>IFERROR(__xludf.DUMMYFUNCTION("""COMPUTED_VALUE"""),"LAC")</f>
        <v>LAC</v>
      </c>
      <c r="C87" s="139" t="str">
        <f>IFERROR(__xludf.DUMMYFUNCTION("""COMPUTED_VALUE"""),"DEN")</f>
        <v>DEN</v>
      </c>
      <c r="D87" s="139"/>
      <c r="E87" s="139"/>
      <c r="F87" s="139" t="str">
        <f>IFERROR(__xludf.DUMMYFUNCTION("""COMPUTED_VALUE"""),"Week 6")</f>
        <v>Week 6</v>
      </c>
      <c r="G87" s="139">
        <f>IFERROR(__xludf.DUMMYFUNCTION("""COMPUTED_VALUE"""),0.0)</f>
        <v>0</v>
      </c>
    </row>
    <row r="88">
      <c r="A88" s="139" t="str">
        <f>IFERROR(__xludf.DUMMYFUNCTION("""COMPUTED_VALUE"""),"20241013_CIN@NYG")</f>
        <v>20241013_CIN@NYG</v>
      </c>
      <c r="B88" s="139" t="str">
        <f>IFERROR(__xludf.DUMMYFUNCTION("""COMPUTED_VALUE"""),"CIN")</f>
        <v>CIN</v>
      </c>
      <c r="C88" s="139" t="str">
        <f>IFERROR(__xludf.DUMMYFUNCTION("""COMPUTED_VALUE"""),"NYG")</f>
        <v>NYG</v>
      </c>
      <c r="D88" s="139"/>
      <c r="E88" s="139"/>
      <c r="F88" s="139" t="str">
        <f>IFERROR(__xludf.DUMMYFUNCTION("""COMPUTED_VALUE"""),"Week 6")</f>
        <v>Week 6</v>
      </c>
      <c r="G88" s="139">
        <f>IFERROR(__xludf.DUMMYFUNCTION("""COMPUTED_VALUE"""),0.0)</f>
        <v>0</v>
      </c>
    </row>
    <row r="89">
      <c r="A89" s="139" t="str">
        <f>IFERROR(__xludf.DUMMYFUNCTION("""COMPUTED_VALUE"""),"20241013_TB@NO")</f>
        <v>20241013_TB@NO</v>
      </c>
      <c r="B89" s="139" t="str">
        <f>IFERROR(__xludf.DUMMYFUNCTION("""COMPUTED_VALUE"""),"TB")</f>
        <v>TB</v>
      </c>
      <c r="C89" s="139" t="str">
        <f>IFERROR(__xludf.DUMMYFUNCTION("""COMPUTED_VALUE"""),"NO")</f>
        <v>NO</v>
      </c>
      <c r="D89" s="139"/>
      <c r="E89" s="139"/>
      <c r="F89" s="139" t="str">
        <f>IFERROR(__xludf.DUMMYFUNCTION("""COMPUTED_VALUE"""),"Week 6")</f>
        <v>Week 6</v>
      </c>
      <c r="G89" s="139">
        <f>IFERROR(__xludf.DUMMYFUNCTION("""COMPUTED_VALUE"""),0.0)</f>
        <v>0</v>
      </c>
    </row>
    <row r="90">
      <c r="A90" s="139" t="str">
        <f>IFERROR(__xludf.DUMMYFUNCTION("""COMPUTED_VALUE"""),"20241013_WSH@BAL")</f>
        <v>20241013_WSH@BAL</v>
      </c>
      <c r="B90" s="139" t="str">
        <f>IFERROR(__xludf.DUMMYFUNCTION("""COMPUTED_VALUE"""),"WSH")</f>
        <v>WSH</v>
      </c>
      <c r="C90" s="139" t="str">
        <f>IFERROR(__xludf.DUMMYFUNCTION("""COMPUTED_VALUE"""),"BAL")</f>
        <v>BAL</v>
      </c>
      <c r="D90" s="139"/>
      <c r="E90" s="139"/>
      <c r="F90" s="139" t="str">
        <f>IFERROR(__xludf.DUMMYFUNCTION("""COMPUTED_VALUE"""),"Week 6")</f>
        <v>Week 6</v>
      </c>
      <c r="G90" s="139">
        <f>IFERROR(__xludf.DUMMYFUNCTION("""COMPUTED_VALUE"""),0.0)</f>
        <v>0</v>
      </c>
    </row>
    <row r="91">
      <c r="A91" s="139" t="str">
        <f>IFERROR(__xludf.DUMMYFUNCTION("""COMPUTED_VALUE"""),"20241013_HOU@NE")</f>
        <v>20241013_HOU@NE</v>
      </c>
      <c r="B91" s="139" t="str">
        <f>IFERROR(__xludf.DUMMYFUNCTION("""COMPUTED_VALUE"""),"HOU")</f>
        <v>HOU</v>
      </c>
      <c r="C91" s="139" t="str">
        <f>IFERROR(__xludf.DUMMYFUNCTION("""COMPUTED_VALUE"""),"NE")</f>
        <v>NE</v>
      </c>
      <c r="D91" s="139"/>
      <c r="E91" s="139"/>
      <c r="F91" s="139" t="str">
        <f>IFERROR(__xludf.DUMMYFUNCTION("""COMPUTED_VALUE"""),"Week 6")</f>
        <v>Week 6</v>
      </c>
      <c r="G91" s="139">
        <f>IFERROR(__xludf.DUMMYFUNCTION("""COMPUTED_VALUE"""),0.0)</f>
        <v>0</v>
      </c>
    </row>
    <row r="92">
      <c r="A92" s="139" t="str">
        <f>IFERROR(__xludf.DUMMYFUNCTION("""COMPUTED_VALUE"""),"20241013_IND@TEN")</f>
        <v>20241013_IND@TEN</v>
      </c>
      <c r="B92" s="139" t="str">
        <f>IFERROR(__xludf.DUMMYFUNCTION("""COMPUTED_VALUE"""),"IND")</f>
        <v>IND</v>
      </c>
      <c r="C92" s="139" t="str">
        <f>IFERROR(__xludf.DUMMYFUNCTION("""COMPUTED_VALUE"""),"TEN")</f>
        <v>TEN</v>
      </c>
      <c r="D92" s="139"/>
      <c r="E92" s="139"/>
      <c r="F92" s="139" t="str">
        <f>IFERROR(__xludf.DUMMYFUNCTION("""COMPUTED_VALUE"""),"Week 6")</f>
        <v>Week 6</v>
      </c>
      <c r="G92" s="139">
        <f>IFERROR(__xludf.DUMMYFUNCTION("""COMPUTED_VALUE"""),0.0)</f>
        <v>0</v>
      </c>
    </row>
    <row r="93">
      <c r="A93" s="139" t="str">
        <f>IFERROR(__xludf.DUMMYFUNCTION("""COMPUTED_VALUE"""),"20241013_ARI@GB")</f>
        <v>20241013_ARI@GB</v>
      </c>
      <c r="B93" s="139" t="str">
        <f>IFERROR(__xludf.DUMMYFUNCTION("""COMPUTED_VALUE"""),"ARI")</f>
        <v>ARI</v>
      </c>
      <c r="C93" s="139" t="str">
        <f>IFERROR(__xludf.DUMMYFUNCTION("""COMPUTED_VALUE"""),"GB")</f>
        <v>GB</v>
      </c>
      <c r="D93" s="139"/>
      <c r="E93" s="139"/>
      <c r="F93" s="139" t="str">
        <f>IFERROR(__xludf.DUMMYFUNCTION("""COMPUTED_VALUE"""),"Week 6")</f>
        <v>Week 6</v>
      </c>
      <c r="G93" s="139">
        <f>IFERROR(__xludf.DUMMYFUNCTION("""COMPUTED_VALUE"""),0.0)</f>
        <v>0</v>
      </c>
    </row>
    <row r="94">
      <c r="A94" s="139" t="str">
        <f>IFERROR(__xludf.DUMMYFUNCTION("""COMPUTED_VALUE"""),"20241021_LAC@ARI")</f>
        <v>20241021_LAC@ARI</v>
      </c>
      <c r="B94" s="139" t="str">
        <f>IFERROR(__xludf.DUMMYFUNCTION("""COMPUTED_VALUE"""),"LAC")</f>
        <v>LAC</v>
      </c>
      <c r="C94" s="139" t="str">
        <f>IFERROR(__xludf.DUMMYFUNCTION("""COMPUTED_VALUE"""),"ARI")</f>
        <v>ARI</v>
      </c>
      <c r="D94" s="139"/>
      <c r="E94" s="139"/>
      <c r="F94" s="139" t="str">
        <f>IFERROR(__xludf.DUMMYFUNCTION("""COMPUTED_VALUE"""),"Week 7")</f>
        <v>Week 7</v>
      </c>
      <c r="G94" s="139">
        <f>IFERROR(__xludf.DUMMYFUNCTION("""COMPUTED_VALUE"""),0.0)</f>
        <v>0</v>
      </c>
    </row>
    <row r="95">
      <c r="A95" s="139" t="str">
        <f>IFERROR(__xludf.DUMMYFUNCTION("""COMPUTED_VALUE"""),"20241021_BAL@TB")</f>
        <v>20241021_BAL@TB</v>
      </c>
      <c r="B95" s="139" t="str">
        <f>IFERROR(__xludf.DUMMYFUNCTION("""COMPUTED_VALUE"""),"BAL")</f>
        <v>BAL</v>
      </c>
      <c r="C95" s="139" t="str">
        <f>IFERROR(__xludf.DUMMYFUNCTION("""COMPUTED_VALUE"""),"TB")</f>
        <v>TB</v>
      </c>
      <c r="D95" s="139"/>
      <c r="E95" s="139"/>
      <c r="F95" s="139" t="str">
        <f>IFERROR(__xludf.DUMMYFUNCTION("""COMPUTED_VALUE"""),"Week 7")</f>
        <v>Week 7</v>
      </c>
      <c r="G95" s="139">
        <f>IFERROR(__xludf.DUMMYFUNCTION("""COMPUTED_VALUE"""),0.0)</f>
        <v>0</v>
      </c>
    </row>
    <row r="96">
      <c r="A96" s="139" t="str">
        <f>IFERROR(__xludf.DUMMYFUNCTION("""COMPUTED_VALUE"""),"20241020_MIA@IND")</f>
        <v>20241020_MIA@IND</v>
      </c>
      <c r="B96" s="139" t="str">
        <f>IFERROR(__xludf.DUMMYFUNCTION("""COMPUTED_VALUE"""),"MIA")</f>
        <v>MIA</v>
      </c>
      <c r="C96" s="139" t="str">
        <f>IFERROR(__xludf.DUMMYFUNCTION("""COMPUTED_VALUE"""),"IND")</f>
        <v>IND</v>
      </c>
      <c r="D96" s="139"/>
      <c r="E96" s="139"/>
      <c r="F96" s="139" t="str">
        <f>IFERROR(__xludf.DUMMYFUNCTION("""COMPUTED_VALUE"""),"Week 7")</f>
        <v>Week 7</v>
      </c>
      <c r="G96" s="139">
        <f>IFERROR(__xludf.DUMMYFUNCTION("""COMPUTED_VALUE"""),0.0)</f>
        <v>0</v>
      </c>
    </row>
    <row r="97">
      <c r="A97" s="139" t="str">
        <f>IFERROR(__xludf.DUMMYFUNCTION("""COMPUTED_VALUE"""),"20241020_LV@LAR")</f>
        <v>20241020_LV@LAR</v>
      </c>
      <c r="B97" s="139" t="str">
        <f>IFERROR(__xludf.DUMMYFUNCTION("""COMPUTED_VALUE"""),"LV")</f>
        <v>LV</v>
      </c>
      <c r="C97" s="139" t="str">
        <f>IFERROR(__xludf.DUMMYFUNCTION("""COMPUTED_VALUE"""),"LAR")</f>
        <v>LAR</v>
      </c>
      <c r="D97" s="139"/>
      <c r="E97" s="139"/>
      <c r="F97" s="139" t="str">
        <f>IFERROR(__xludf.DUMMYFUNCTION("""COMPUTED_VALUE"""),"Week 7")</f>
        <v>Week 7</v>
      </c>
      <c r="G97" s="139">
        <f>IFERROR(__xludf.DUMMYFUNCTION("""COMPUTED_VALUE"""),0.0)</f>
        <v>0</v>
      </c>
    </row>
    <row r="98">
      <c r="A98" s="139" t="str">
        <f>IFERROR(__xludf.DUMMYFUNCTION("""COMPUTED_VALUE"""),"20241020_DET@MIN")</f>
        <v>20241020_DET@MIN</v>
      </c>
      <c r="B98" s="139" t="str">
        <f>IFERROR(__xludf.DUMMYFUNCTION("""COMPUTED_VALUE"""),"DET")</f>
        <v>DET</v>
      </c>
      <c r="C98" s="139" t="str">
        <f>IFERROR(__xludf.DUMMYFUNCTION("""COMPUTED_VALUE"""),"MIN")</f>
        <v>MIN</v>
      </c>
      <c r="D98" s="139"/>
      <c r="E98" s="139"/>
      <c r="F98" s="139" t="str">
        <f>IFERROR(__xludf.DUMMYFUNCTION("""COMPUTED_VALUE"""),"Week 7")</f>
        <v>Week 7</v>
      </c>
      <c r="G98" s="139">
        <f>IFERROR(__xludf.DUMMYFUNCTION("""COMPUTED_VALUE"""),0.0)</f>
        <v>0</v>
      </c>
    </row>
    <row r="99">
      <c r="A99" s="139" t="str">
        <f>IFERROR(__xludf.DUMMYFUNCTION("""COMPUTED_VALUE"""),"20241020_SEA@ATL")</f>
        <v>20241020_SEA@ATL</v>
      </c>
      <c r="B99" s="139" t="str">
        <f>IFERROR(__xludf.DUMMYFUNCTION("""COMPUTED_VALUE"""),"SEA")</f>
        <v>SEA</v>
      </c>
      <c r="C99" s="139" t="str">
        <f>IFERROR(__xludf.DUMMYFUNCTION("""COMPUTED_VALUE"""),"ATL")</f>
        <v>ATL</v>
      </c>
      <c r="D99" s="139"/>
      <c r="E99" s="139"/>
      <c r="F99" s="139" t="str">
        <f>IFERROR(__xludf.DUMMYFUNCTION("""COMPUTED_VALUE"""),"Week 7")</f>
        <v>Week 7</v>
      </c>
      <c r="G99" s="139">
        <f>IFERROR(__xludf.DUMMYFUNCTION("""COMPUTED_VALUE"""),0.0)</f>
        <v>0</v>
      </c>
    </row>
    <row r="100">
      <c r="A100" s="139" t="str">
        <f>IFERROR(__xludf.DUMMYFUNCTION("""COMPUTED_VALUE"""),"20241020_CAR@WSH")</f>
        <v>20241020_CAR@WSH</v>
      </c>
      <c r="B100" s="139" t="str">
        <f>IFERROR(__xludf.DUMMYFUNCTION("""COMPUTED_VALUE"""),"CAR")</f>
        <v>CAR</v>
      </c>
      <c r="C100" s="139" t="str">
        <f>IFERROR(__xludf.DUMMYFUNCTION("""COMPUTED_VALUE"""),"WSH")</f>
        <v>WSH</v>
      </c>
      <c r="D100" s="139"/>
      <c r="E100" s="139"/>
      <c r="F100" s="139" t="str">
        <f>IFERROR(__xludf.DUMMYFUNCTION("""COMPUTED_VALUE"""),"Week 7")</f>
        <v>Week 7</v>
      </c>
      <c r="G100" s="139">
        <f>IFERROR(__xludf.DUMMYFUNCTION("""COMPUTED_VALUE"""),0.0)</f>
        <v>0</v>
      </c>
    </row>
    <row r="101">
      <c r="A101" s="139" t="str">
        <f>IFERROR(__xludf.DUMMYFUNCTION("""COMPUTED_VALUE"""),"20241020_HOU@GB")</f>
        <v>20241020_HOU@GB</v>
      </c>
      <c r="B101" s="139" t="str">
        <f>IFERROR(__xludf.DUMMYFUNCTION("""COMPUTED_VALUE"""),"HOU")</f>
        <v>HOU</v>
      </c>
      <c r="C101" s="139" t="str">
        <f>IFERROR(__xludf.DUMMYFUNCTION("""COMPUTED_VALUE"""),"GB")</f>
        <v>GB</v>
      </c>
      <c r="D101" s="139"/>
      <c r="E101" s="139"/>
      <c r="F101" s="139" t="str">
        <f>IFERROR(__xludf.DUMMYFUNCTION("""COMPUTED_VALUE"""),"Week 7")</f>
        <v>Week 7</v>
      </c>
      <c r="G101" s="139">
        <f>IFERROR(__xludf.DUMMYFUNCTION("""COMPUTED_VALUE"""),0.0)</f>
        <v>0</v>
      </c>
    </row>
    <row r="102">
      <c r="A102" s="139" t="str">
        <f>IFERROR(__xludf.DUMMYFUNCTION("""COMPUTED_VALUE"""),"20241020_KC@SF")</f>
        <v>20241020_KC@SF</v>
      </c>
      <c r="B102" s="139" t="str">
        <f>IFERROR(__xludf.DUMMYFUNCTION("""COMPUTED_VALUE"""),"KC")</f>
        <v>KC</v>
      </c>
      <c r="C102" s="139" t="str">
        <f>IFERROR(__xludf.DUMMYFUNCTION("""COMPUTED_VALUE"""),"SF")</f>
        <v>SF</v>
      </c>
      <c r="D102" s="139"/>
      <c r="E102" s="139"/>
      <c r="F102" s="139" t="str">
        <f>IFERROR(__xludf.DUMMYFUNCTION("""COMPUTED_VALUE"""),"Week 7")</f>
        <v>Week 7</v>
      </c>
      <c r="G102" s="139">
        <f>IFERROR(__xludf.DUMMYFUNCTION("""COMPUTED_VALUE"""),0.0)</f>
        <v>0</v>
      </c>
    </row>
    <row r="103">
      <c r="A103" s="139" t="str">
        <f>IFERROR(__xludf.DUMMYFUNCTION("""COMPUTED_VALUE"""),"20241020_CIN@CLE")</f>
        <v>20241020_CIN@CLE</v>
      </c>
      <c r="B103" s="139" t="str">
        <f>IFERROR(__xludf.DUMMYFUNCTION("""COMPUTED_VALUE"""),"CIN")</f>
        <v>CIN</v>
      </c>
      <c r="C103" s="139" t="str">
        <f>IFERROR(__xludf.DUMMYFUNCTION("""COMPUTED_VALUE"""),"CLE")</f>
        <v>CLE</v>
      </c>
      <c r="D103" s="139"/>
      <c r="E103" s="139"/>
      <c r="F103" s="139" t="str">
        <f>IFERROR(__xludf.DUMMYFUNCTION("""COMPUTED_VALUE"""),"Week 7")</f>
        <v>Week 7</v>
      </c>
      <c r="G103" s="139">
        <f>IFERROR(__xludf.DUMMYFUNCTION("""COMPUTED_VALUE"""),0.0)</f>
        <v>0</v>
      </c>
    </row>
    <row r="104">
      <c r="A104" s="139" t="str">
        <f>IFERROR(__xludf.DUMMYFUNCTION("""COMPUTED_VALUE"""),"20241020_NE@JAX")</f>
        <v>20241020_NE@JAX</v>
      </c>
      <c r="B104" s="139" t="str">
        <f>IFERROR(__xludf.DUMMYFUNCTION("""COMPUTED_VALUE"""),"NE")</f>
        <v>NE</v>
      </c>
      <c r="C104" s="139" t="str">
        <f>IFERROR(__xludf.DUMMYFUNCTION("""COMPUTED_VALUE"""),"JAX")</f>
        <v>JAX</v>
      </c>
      <c r="D104" s="139"/>
      <c r="E104" s="139"/>
      <c r="F104" s="139" t="str">
        <f>IFERROR(__xludf.DUMMYFUNCTION("""COMPUTED_VALUE"""),"Week 7")</f>
        <v>Week 7</v>
      </c>
      <c r="G104" s="139">
        <f>IFERROR(__xludf.DUMMYFUNCTION("""COMPUTED_VALUE"""),0.0)</f>
        <v>0</v>
      </c>
    </row>
    <row r="105">
      <c r="A105" s="139" t="str">
        <f>IFERROR(__xludf.DUMMYFUNCTION("""COMPUTED_VALUE"""),"20241020_PHI@NYG")</f>
        <v>20241020_PHI@NYG</v>
      </c>
      <c r="B105" s="139" t="str">
        <f>IFERROR(__xludf.DUMMYFUNCTION("""COMPUTED_VALUE"""),"PHI")</f>
        <v>PHI</v>
      </c>
      <c r="C105" s="139" t="str">
        <f>IFERROR(__xludf.DUMMYFUNCTION("""COMPUTED_VALUE"""),"NYG")</f>
        <v>NYG</v>
      </c>
      <c r="D105" s="139"/>
      <c r="E105" s="139"/>
      <c r="F105" s="139" t="str">
        <f>IFERROR(__xludf.DUMMYFUNCTION("""COMPUTED_VALUE"""),"Week 7")</f>
        <v>Week 7</v>
      </c>
      <c r="G105" s="139">
        <f>IFERROR(__xludf.DUMMYFUNCTION("""COMPUTED_VALUE"""),0.0)</f>
        <v>0</v>
      </c>
    </row>
    <row r="106">
      <c r="A106" s="139" t="str">
        <f>IFERROR(__xludf.DUMMYFUNCTION("""COMPUTED_VALUE"""),"20241020_NYJ@PIT")</f>
        <v>20241020_NYJ@PIT</v>
      </c>
      <c r="B106" s="139" t="str">
        <f>IFERROR(__xludf.DUMMYFUNCTION("""COMPUTED_VALUE"""),"NYJ")</f>
        <v>NYJ</v>
      </c>
      <c r="C106" s="139" t="str">
        <f>IFERROR(__xludf.DUMMYFUNCTION("""COMPUTED_VALUE"""),"PIT")</f>
        <v>PIT</v>
      </c>
      <c r="D106" s="139"/>
      <c r="E106" s="139"/>
      <c r="F106" s="139" t="str">
        <f>IFERROR(__xludf.DUMMYFUNCTION("""COMPUTED_VALUE"""),"Week 7")</f>
        <v>Week 7</v>
      </c>
      <c r="G106" s="139">
        <f>IFERROR(__xludf.DUMMYFUNCTION("""COMPUTED_VALUE"""),0.0)</f>
        <v>0</v>
      </c>
    </row>
    <row r="107">
      <c r="A107" s="139" t="str">
        <f>IFERROR(__xludf.DUMMYFUNCTION("""COMPUTED_VALUE"""),"20241020_TEN@BUF")</f>
        <v>20241020_TEN@BUF</v>
      </c>
      <c r="B107" s="139" t="str">
        <f>IFERROR(__xludf.DUMMYFUNCTION("""COMPUTED_VALUE"""),"TEN")</f>
        <v>TEN</v>
      </c>
      <c r="C107" s="139" t="str">
        <f>IFERROR(__xludf.DUMMYFUNCTION("""COMPUTED_VALUE"""),"BUF")</f>
        <v>BUF</v>
      </c>
      <c r="D107" s="139"/>
      <c r="E107" s="139"/>
      <c r="F107" s="139" t="str">
        <f>IFERROR(__xludf.DUMMYFUNCTION("""COMPUTED_VALUE"""),"Week 7")</f>
        <v>Week 7</v>
      </c>
      <c r="G107" s="139">
        <f>IFERROR(__xludf.DUMMYFUNCTION("""COMPUTED_VALUE"""),0.0)</f>
        <v>0</v>
      </c>
    </row>
    <row r="108">
      <c r="A108" s="139" t="str">
        <f>IFERROR(__xludf.DUMMYFUNCTION("""COMPUTED_VALUE"""),"20241017_DEN@NO")</f>
        <v>20241017_DEN@NO</v>
      </c>
      <c r="B108" s="139" t="str">
        <f>IFERROR(__xludf.DUMMYFUNCTION("""COMPUTED_VALUE"""),"DEN")</f>
        <v>DEN</v>
      </c>
      <c r="C108" s="139" t="str">
        <f>IFERROR(__xludf.DUMMYFUNCTION("""COMPUTED_VALUE"""),"NO")</f>
        <v>NO</v>
      </c>
      <c r="D108" s="139"/>
      <c r="E108" s="139"/>
      <c r="F108" s="139" t="str">
        <f>IFERROR(__xludf.DUMMYFUNCTION("""COMPUTED_VALUE"""),"Week 7")</f>
        <v>Week 7</v>
      </c>
      <c r="G108" s="139">
        <f>IFERROR(__xludf.DUMMYFUNCTION("""COMPUTED_VALUE"""),0.0)</f>
        <v>0</v>
      </c>
    </row>
    <row r="109">
      <c r="A109" s="139" t="str">
        <f>IFERROR(__xludf.DUMMYFUNCTION("""COMPUTED_VALUE"""),"20241024_MIN@LAR")</f>
        <v>20241024_MIN@LAR</v>
      </c>
      <c r="B109" s="139" t="str">
        <f>IFERROR(__xludf.DUMMYFUNCTION("""COMPUTED_VALUE"""),"MIN")</f>
        <v>MIN</v>
      </c>
      <c r="C109" s="139" t="str">
        <f>IFERROR(__xludf.DUMMYFUNCTION("""COMPUTED_VALUE"""),"LAR")</f>
        <v>LAR</v>
      </c>
      <c r="D109" s="139"/>
      <c r="E109" s="139"/>
      <c r="F109" s="139" t="str">
        <f>IFERROR(__xludf.DUMMYFUNCTION("""COMPUTED_VALUE"""),"Week 8")</f>
        <v>Week 8</v>
      </c>
      <c r="G109" s="139">
        <f>IFERROR(__xludf.DUMMYFUNCTION("""COMPUTED_VALUE"""),0.0)</f>
        <v>0</v>
      </c>
    </row>
    <row r="110">
      <c r="A110" s="139" t="str">
        <f>IFERROR(__xludf.DUMMYFUNCTION("""COMPUTED_VALUE"""),"20241028_NYG@PIT")</f>
        <v>20241028_NYG@PIT</v>
      </c>
      <c r="B110" s="139" t="str">
        <f>IFERROR(__xludf.DUMMYFUNCTION("""COMPUTED_VALUE"""),"NYG")</f>
        <v>NYG</v>
      </c>
      <c r="C110" s="139" t="str">
        <f>IFERROR(__xludf.DUMMYFUNCTION("""COMPUTED_VALUE"""),"PIT")</f>
        <v>PIT</v>
      </c>
      <c r="D110" s="139"/>
      <c r="E110" s="139"/>
      <c r="F110" s="139" t="str">
        <f>IFERROR(__xludf.DUMMYFUNCTION("""COMPUTED_VALUE"""),"Week 8")</f>
        <v>Week 8</v>
      </c>
      <c r="G110" s="139">
        <f>IFERROR(__xludf.DUMMYFUNCTION("""COMPUTED_VALUE"""),0.0)</f>
        <v>0</v>
      </c>
    </row>
    <row r="111">
      <c r="A111" s="139" t="str">
        <f>IFERROR(__xludf.DUMMYFUNCTION("""COMPUTED_VALUE"""),"20241027_PHI@CIN")</f>
        <v>20241027_PHI@CIN</v>
      </c>
      <c r="B111" s="139" t="str">
        <f>IFERROR(__xludf.DUMMYFUNCTION("""COMPUTED_VALUE"""),"PHI")</f>
        <v>PHI</v>
      </c>
      <c r="C111" s="139" t="str">
        <f>IFERROR(__xludf.DUMMYFUNCTION("""COMPUTED_VALUE"""),"CIN")</f>
        <v>CIN</v>
      </c>
      <c r="D111" s="139"/>
      <c r="E111" s="139"/>
      <c r="F111" s="139" t="str">
        <f>IFERROR(__xludf.DUMMYFUNCTION("""COMPUTED_VALUE"""),"Week 8")</f>
        <v>Week 8</v>
      </c>
      <c r="G111" s="139">
        <f>IFERROR(__xludf.DUMMYFUNCTION("""COMPUTED_VALUE"""),0.0)</f>
        <v>0</v>
      </c>
    </row>
    <row r="112">
      <c r="A112" s="139" t="str">
        <f>IFERROR(__xludf.DUMMYFUNCTION("""COMPUTED_VALUE"""),"20241027_NO@LAC")</f>
        <v>20241027_NO@LAC</v>
      </c>
      <c r="B112" s="139" t="str">
        <f>IFERROR(__xludf.DUMMYFUNCTION("""COMPUTED_VALUE"""),"NO")</f>
        <v>NO</v>
      </c>
      <c r="C112" s="139" t="str">
        <f>IFERROR(__xludf.DUMMYFUNCTION("""COMPUTED_VALUE"""),"LAC")</f>
        <v>LAC</v>
      </c>
      <c r="D112" s="139"/>
      <c r="E112" s="139"/>
      <c r="F112" s="139" t="str">
        <f>IFERROR(__xludf.DUMMYFUNCTION("""COMPUTED_VALUE"""),"Week 8")</f>
        <v>Week 8</v>
      </c>
      <c r="G112" s="139">
        <f>IFERROR(__xludf.DUMMYFUNCTION("""COMPUTED_VALUE"""),0.0)</f>
        <v>0</v>
      </c>
    </row>
    <row r="113">
      <c r="A113" s="139" t="str">
        <f>IFERROR(__xludf.DUMMYFUNCTION("""COMPUTED_VALUE"""),"20241027_DAL@SF")</f>
        <v>20241027_DAL@SF</v>
      </c>
      <c r="B113" s="139" t="str">
        <f>IFERROR(__xludf.DUMMYFUNCTION("""COMPUTED_VALUE"""),"DAL")</f>
        <v>DAL</v>
      </c>
      <c r="C113" s="139" t="str">
        <f>IFERROR(__xludf.DUMMYFUNCTION("""COMPUTED_VALUE"""),"SF")</f>
        <v>SF</v>
      </c>
      <c r="D113" s="139"/>
      <c r="E113" s="139"/>
      <c r="F113" s="139" t="str">
        <f>IFERROR(__xludf.DUMMYFUNCTION("""COMPUTED_VALUE"""),"Week 8")</f>
        <v>Week 8</v>
      </c>
      <c r="G113" s="139">
        <f>IFERROR(__xludf.DUMMYFUNCTION("""COMPUTED_VALUE"""),0.0)</f>
        <v>0</v>
      </c>
    </row>
    <row r="114">
      <c r="A114" s="139" t="str">
        <f>IFERROR(__xludf.DUMMYFUNCTION("""COMPUTED_VALUE"""),"20241027_GB@JAX")</f>
        <v>20241027_GB@JAX</v>
      </c>
      <c r="B114" s="139" t="str">
        <f>IFERROR(__xludf.DUMMYFUNCTION("""COMPUTED_VALUE"""),"GB")</f>
        <v>GB</v>
      </c>
      <c r="C114" s="139" t="str">
        <f>IFERROR(__xludf.DUMMYFUNCTION("""COMPUTED_VALUE"""),"JAX")</f>
        <v>JAX</v>
      </c>
      <c r="D114" s="139"/>
      <c r="E114" s="139"/>
      <c r="F114" s="139" t="str">
        <f>IFERROR(__xludf.DUMMYFUNCTION("""COMPUTED_VALUE"""),"Week 8")</f>
        <v>Week 8</v>
      </c>
      <c r="G114" s="139">
        <f>IFERROR(__xludf.DUMMYFUNCTION("""COMPUTED_VALUE"""),0.0)</f>
        <v>0</v>
      </c>
    </row>
    <row r="115">
      <c r="A115" s="139" t="str">
        <f>IFERROR(__xludf.DUMMYFUNCTION("""COMPUTED_VALUE"""),"20241027_BUF@SEA")</f>
        <v>20241027_BUF@SEA</v>
      </c>
      <c r="B115" s="139" t="str">
        <f>IFERROR(__xludf.DUMMYFUNCTION("""COMPUTED_VALUE"""),"BUF")</f>
        <v>BUF</v>
      </c>
      <c r="C115" s="139" t="str">
        <f>IFERROR(__xludf.DUMMYFUNCTION("""COMPUTED_VALUE"""),"SEA")</f>
        <v>SEA</v>
      </c>
      <c r="D115" s="139"/>
      <c r="E115" s="139"/>
      <c r="F115" s="139" t="str">
        <f>IFERROR(__xludf.DUMMYFUNCTION("""COMPUTED_VALUE"""),"Week 8")</f>
        <v>Week 8</v>
      </c>
      <c r="G115" s="139">
        <f>IFERROR(__xludf.DUMMYFUNCTION("""COMPUTED_VALUE"""),0.0)</f>
        <v>0</v>
      </c>
    </row>
    <row r="116">
      <c r="A116" s="139" t="str">
        <f>IFERROR(__xludf.DUMMYFUNCTION("""COMPUTED_VALUE"""),"20241027_NYJ@NE")</f>
        <v>20241027_NYJ@NE</v>
      </c>
      <c r="B116" s="139" t="str">
        <f>IFERROR(__xludf.DUMMYFUNCTION("""COMPUTED_VALUE"""),"NYJ")</f>
        <v>NYJ</v>
      </c>
      <c r="C116" s="139" t="str">
        <f>IFERROR(__xludf.DUMMYFUNCTION("""COMPUTED_VALUE"""),"NE")</f>
        <v>NE</v>
      </c>
      <c r="D116" s="139"/>
      <c r="E116" s="139"/>
      <c r="F116" s="139" t="str">
        <f>IFERROR(__xludf.DUMMYFUNCTION("""COMPUTED_VALUE"""),"Week 8")</f>
        <v>Week 8</v>
      </c>
      <c r="G116" s="139">
        <f>IFERROR(__xludf.DUMMYFUNCTION("""COMPUTED_VALUE"""),0.0)</f>
        <v>0</v>
      </c>
    </row>
    <row r="117">
      <c r="A117" s="139" t="str">
        <f>IFERROR(__xludf.DUMMYFUNCTION("""COMPUTED_VALUE"""),"20241027_KC@LV")</f>
        <v>20241027_KC@LV</v>
      </c>
      <c r="B117" s="139" t="str">
        <f>IFERROR(__xludf.DUMMYFUNCTION("""COMPUTED_VALUE"""),"KC")</f>
        <v>KC</v>
      </c>
      <c r="C117" s="139" t="str">
        <f>IFERROR(__xludf.DUMMYFUNCTION("""COMPUTED_VALUE"""),"LV")</f>
        <v>LV</v>
      </c>
      <c r="D117" s="139"/>
      <c r="E117" s="139"/>
      <c r="F117" s="139" t="str">
        <f>IFERROR(__xludf.DUMMYFUNCTION("""COMPUTED_VALUE"""),"Week 8")</f>
        <v>Week 8</v>
      </c>
      <c r="G117" s="139">
        <f>IFERROR(__xludf.DUMMYFUNCTION("""COMPUTED_VALUE"""),0.0)</f>
        <v>0</v>
      </c>
    </row>
    <row r="118">
      <c r="A118" s="139" t="str">
        <f>IFERROR(__xludf.DUMMYFUNCTION("""COMPUTED_VALUE"""),"20241027_BAL@CLE")</f>
        <v>20241027_BAL@CLE</v>
      </c>
      <c r="B118" s="139" t="str">
        <f>IFERROR(__xludf.DUMMYFUNCTION("""COMPUTED_VALUE"""),"BAL")</f>
        <v>BAL</v>
      </c>
      <c r="C118" s="139" t="str">
        <f>IFERROR(__xludf.DUMMYFUNCTION("""COMPUTED_VALUE"""),"CLE")</f>
        <v>CLE</v>
      </c>
      <c r="D118" s="139"/>
      <c r="E118" s="139"/>
      <c r="F118" s="139" t="str">
        <f>IFERROR(__xludf.DUMMYFUNCTION("""COMPUTED_VALUE"""),"Week 8")</f>
        <v>Week 8</v>
      </c>
      <c r="G118" s="139">
        <f>IFERROR(__xludf.DUMMYFUNCTION("""COMPUTED_VALUE"""),0.0)</f>
        <v>0</v>
      </c>
    </row>
    <row r="119">
      <c r="A119" s="139" t="str">
        <f>IFERROR(__xludf.DUMMYFUNCTION("""COMPUTED_VALUE"""),"20241027_ARI@MIA")</f>
        <v>20241027_ARI@MIA</v>
      </c>
      <c r="B119" s="139" t="str">
        <f>IFERROR(__xludf.DUMMYFUNCTION("""COMPUTED_VALUE"""),"ARI")</f>
        <v>ARI</v>
      </c>
      <c r="C119" s="139" t="str">
        <f>IFERROR(__xludf.DUMMYFUNCTION("""COMPUTED_VALUE"""),"MIA")</f>
        <v>MIA</v>
      </c>
      <c r="D119" s="139"/>
      <c r="E119" s="139"/>
      <c r="F119" s="139" t="str">
        <f>IFERROR(__xludf.DUMMYFUNCTION("""COMPUTED_VALUE"""),"Week 8")</f>
        <v>Week 8</v>
      </c>
      <c r="G119" s="139">
        <f>IFERROR(__xludf.DUMMYFUNCTION("""COMPUTED_VALUE"""),0.0)</f>
        <v>0</v>
      </c>
    </row>
    <row r="120">
      <c r="A120" s="139" t="str">
        <f>IFERROR(__xludf.DUMMYFUNCTION("""COMPUTED_VALUE"""),"20241027_ATL@TB")</f>
        <v>20241027_ATL@TB</v>
      </c>
      <c r="B120" s="139" t="str">
        <f>IFERROR(__xludf.DUMMYFUNCTION("""COMPUTED_VALUE"""),"ATL")</f>
        <v>ATL</v>
      </c>
      <c r="C120" s="139" t="str">
        <f>IFERROR(__xludf.DUMMYFUNCTION("""COMPUTED_VALUE"""),"TB")</f>
        <v>TB</v>
      </c>
      <c r="D120" s="139"/>
      <c r="E120" s="139"/>
      <c r="F120" s="139" t="str">
        <f>IFERROR(__xludf.DUMMYFUNCTION("""COMPUTED_VALUE"""),"Week 8")</f>
        <v>Week 8</v>
      </c>
      <c r="G120" s="139">
        <f>IFERROR(__xludf.DUMMYFUNCTION("""COMPUTED_VALUE"""),0.0)</f>
        <v>0</v>
      </c>
    </row>
    <row r="121">
      <c r="A121" s="139" t="str">
        <f>IFERROR(__xludf.DUMMYFUNCTION("""COMPUTED_VALUE"""),"20241027_TEN@DET")</f>
        <v>20241027_TEN@DET</v>
      </c>
      <c r="B121" s="139" t="str">
        <f>IFERROR(__xludf.DUMMYFUNCTION("""COMPUTED_VALUE"""),"TEN")</f>
        <v>TEN</v>
      </c>
      <c r="C121" s="139" t="str">
        <f>IFERROR(__xludf.DUMMYFUNCTION("""COMPUTED_VALUE"""),"DET")</f>
        <v>DET</v>
      </c>
      <c r="D121" s="139"/>
      <c r="E121" s="139"/>
      <c r="F121" s="139" t="str">
        <f>IFERROR(__xludf.DUMMYFUNCTION("""COMPUTED_VALUE"""),"Week 8")</f>
        <v>Week 8</v>
      </c>
      <c r="G121" s="139">
        <f>IFERROR(__xludf.DUMMYFUNCTION("""COMPUTED_VALUE"""),0.0)</f>
        <v>0</v>
      </c>
    </row>
    <row r="122">
      <c r="A122" s="139" t="str">
        <f>IFERROR(__xludf.DUMMYFUNCTION("""COMPUTED_VALUE"""),"20241027_IND@HOU")</f>
        <v>20241027_IND@HOU</v>
      </c>
      <c r="B122" s="139" t="str">
        <f>IFERROR(__xludf.DUMMYFUNCTION("""COMPUTED_VALUE"""),"IND")</f>
        <v>IND</v>
      </c>
      <c r="C122" s="139" t="str">
        <f>IFERROR(__xludf.DUMMYFUNCTION("""COMPUTED_VALUE"""),"HOU")</f>
        <v>HOU</v>
      </c>
      <c r="D122" s="139"/>
      <c r="E122" s="139"/>
      <c r="F122" s="139" t="str">
        <f>IFERROR(__xludf.DUMMYFUNCTION("""COMPUTED_VALUE"""),"Week 8")</f>
        <v>Week 8</v>
      </c>
      <c r="G122" s="139">
        <f>IFERROR(__xludf.DUMMYFUNCTION("""COMPUTED_VALUE"""),0.0)</f>
        <v>0</v>
      </c>
    </row>
    <row r="123">
      <c r="A123" s="139" t="str">
        <f>IFERROR(__xludf.DUMMYFUNCTION("""COMPUTED_VALUE"""),"20241027_CHI@WSH")</f>
        <v>20241027_CHI@WSH</v>
      </c>
      <c r="B123" s="139" t="str">
        <f>IFERROR(__xludf.DUMMYFUNCTION("""COMPUTED_VALUE"""),"CHI")</f>
        <v>CHI</v>
      </c>
      <c r="C123" s="139" t="str">
        <f>IFERROR(__xludf.DUMMYFUNCTION("""COMPUTED_VALUE"""),"WSH")</f>
        <v>WSH</v>
      </c>
      <c r="D123" s="139"/>
      <c r="E123" s="139"/>
      <c r="F123" s="139" t="str">
        <f>IFERROR(__xludf.DUMMYFUNCTION("""COMPUTED_VALUE"""),"Week 8")</f>
        <v>Week 8</v>
      </c>
      <c r="G123" s="139">
        <f>IFERROR(__xludf.DUMMYFUNCTION("""COMPUTED_VALUE"""),0.0)</f>
        <v>0</v>
      </c>
    </row>
    <row r="124">
      <c r="A124" s="139" t="str">
        <f>IFERROR(__xludf.DUMMYFUNCTION("""COMPUTED_VALUE"""),"20241027_CAR@DEN")</f>
        <v>20241027_CAR@DEN</v>
      </c>
      <c r="B124" s="139" t="str">
        <f>IFERROR(__xludf.DUMMYFUNCTION("""COMPUTED_VALUE"""),"CAR")</f>
        <v>CAR</v>
      </c>
      <c r="C124" s="139" t="str">
        <f>IFERROR(__xludf.DUMMYFUNCTION("""COMPUTED_VALUE"""),"DEN")</f>
        <v>DEN</v>
      </c>
      <c r="D124" s="139"/>
      <c r="E124" s="139"/>
      <c r="F124" s="139" t="str">
        <f>IFERROR(__xludf.DUMMYFUNCTION("""COMPUTED_VALUE"""),"Week 8")</f>
        <v>Week 8</v>
      </c>
      <c r="G124" s="139">
        <f>IFERROR(__xludf.DUMMYFUNCTION("""COMPUTED_VALUE"""),0.0)</f>
        <v>0</v>
      </c>
    </row>
    <row r="125">
      <c r="A125" s="139" t="str">
        <f>IFERROR(__xludf.DUMMYFUNCTION("""COMPUTED_VALUE"""),"20241103_DAL@ATL")</f>
        <v>20241103_DAL@ATL</v>
      </c>
      <c r="B125" s="139" t="str">
        <f>IFERROR(__xludf.DUMMYFUNCTION("""COMPUTED_VALUE"""),"DAL")</f>
        <v>DAL</v>
      </c>
      <c r="C125" s="139" t="str">
        <f>IFERROR(__xludf.DUMMYFUNCTION("""COMPUTED_VALUE"""),"ATL")</f>
        <v>ATL</v>
      </c>
      <c r="D125" s="139"/>
      <c r="E125" s="139"/>
      <c r="F125" s="139" t="str">
        <f>IFERROR(__xludf.DUMMYFUNCTION("""COMPUTED_VALUE"""),"Week 9")</f>
        <v>Week 9</v>
      </c>
      <c r="G125" s="139">
        <f>IFERROR(__xludf.DUMMYFUNCTION("""COMPUTED_VALUE"""),0.0)</f>
        <v>0</v>
      </c>
    </row>
    <row r="126">
      <c r="A126" s="139" t="str">
        <f>IFERROR(__xludf.DUMMYFUNCTION("""COMPUTED_VALUE"""),"20241103_DEN@BAL")</f>
        <v>20241103_DEN@BAL</v>
      </c>
      <c r="B126" s="139" t="str">
        <f>IFERROR(__xludf.DUMMYFUNCTION("""COMPUTED_VALUE"""),"DEN")</f>
        <v>DEN</v>
      </c>
      <c r="C126" s="139" t="str">
        <f>IFERROR(__xludf.DUMMYFUNCTION("""COMPUTED_VALUE"""),"BAL")</f>
        <v>BAL</v>
      </c>
      <c r="D126" s="139"/>
      <c r="E126" s="139"/>
      <c r="F126" s="139" t="str">
        <f>IFERROR(__xludf.DUMMYFUNCTION("""COMPUTED_VALUE"""),"Week 9")</f>
        <v>Week 9</v>
      </c>
      <c r="G126" s="139">
        <f>IFERROR(__xludf.DUMMYFUNCTION("""COMPUTED_VALUE"""),0.0)</f>
        <v>0</v>
      </c>
    </row>
    <row r="127">
      <c r="A127" s="139" t="str">
        <f>IFERROR(__xludf.DUMMYFUNCTION("""COMPUTED_VALUE"""),"20241103_LAR@SEA")</f>
        <v>20241103_LAR@SEA</v>
      </c>
      <c r="B127" s="139" t="str">
        <f>IFERROR(__xludf.DUMMYFUNCTION("""COMPUTED_VALUE"""),"LAR")</f>
        <v>LAR</v>
      </c>
      <c r="C127" s="139" t="str">
        <f>IFERROR(__xludf.DUMMYFUNCTION("""COMPUTED_VALUE"""),"SEA")</f>
        <v>SEA</v>
      </c>
      <c r="D127" s="139"/>
      <c r="E127" s="139"/>
      <c r="F127" s="139" t="str">
        <f>IFERROR(__xludf.DUMMYFUNCTION("""COMPUTED_VALUE"""),"Week 9")</f>
        <v>Week 9</v>
      </c>
      <c r="G127" s="139">
        <f>IFERROR(__xludf.DUMMYFUNCTION("""COMPUTED_VALUE"""),0.0)</f>
        <v>0</v>
      </c>
    </row>
    <row r="128">
      <c r="A128" s="139" t="str">
        <f>IFERROR(__xludf.DUMMYFUNCTION("""COMPUTED_VALUE"""),"20241103_NE@TEN")</f>
        <v>20241103_NE@TEN</v>
      </c>
      <c r="B128" s="139" t="str">
        <f>IFERROR(__xludf.DUMMYFUNCTION("""COMPUTED_VALUE"""),"NE")</f>
        <v>NE</v>
      </c>
      <c r="C128" s="139" t="str">
        <f>IFERROR(__xludf.DUMMYFUNCTION("""COMPUTED_VALUE"""),"TEN")</f>
        <v>TEN</v>
      </c>
      <c r="D128" s="139"/>
      <c r="E128" s="139"/>
      <c r="F128" s="139" t="str">
        <f>IFERROR(__xludf.DUMMYFUNCTION("""COMPUTED_VALUE"""),"Week 9")</f>
        <v>Week 9</v>
      </c>
      <c r="G128" s="139">
        <f>IFERROR(__xludf.DUMMYFUNCTION("""COMPUTED_VALUE"""),0.0)</f>
        <v>0</v>
      </c>
    </row>
    <row r="129">
      <c r="A129" s="139" t="str">
        <f>IFERROR(__xludf.DUMMYFUNCTION("""COMPUTED_VALUE"""),"20241103_JAX@PHI")</f>
        <v>20241103_JAX@PHI</v>
      </c>
      <c r="B129" s="139" t="str">
        <f>IFERROR(__xludf.DUMMYFUNCTION("""COMPUTED_VALUE"""),"JAX")</f>
        <v>JAX</v>
      </c>
      <c r="C129" s="139" t="str">
        <f>IFERROR(__xludf.DUMMYFUNCTION("""COMPUTED_VALUE"""),"PHI")</f>
        <v>PHI</v>
      </c>
      <c r="D129" s="139"/>
      <c r="E129" s="139"/>
      <c r="F129" s="139" t="str">
        <f>IFERROR(__xludf.DUMMYFUNCTION("""COMPUTED_VALUE"""),"Week 9")</f>
        <v>Week 9</v>
      </c>
      <c r="G129" s="139">
        <f>IFERROR(__xludf.DUMMYFUNCTION("""COMPUTED_VALUE"""),0.0)</f>
        <v>0</v>
      </c>
    </row>
    <row r="130">
      <c r="A130" s="139" t="str">
        <f>IFERROR(__xludf.DUMMYFUNCTION("""COMPUTED_VALUE"""),"20241103_MIA@BUF")</f>
        <v>20241103_MIA@BUF</v>
      </c>
      <c r="B130" s="139" t="str">
        <f>IFERROR(__xludf.DUMMYFUNCTION("""COMPUTED_VALUE"""),"MIA")</f>
        <v>MIA</v>
      </c>
      <c r="C130" s="139" t="str">
        <f>IFERROR(__xludf.DUMMYFUNCTION("""COMPUTED_VALUE"""),"BUF")</f>
        <v>BUF</v>
      </c>
      <c r="D130" s="139"/>
      <c r="E130" s="139"/>
      <c r="F130" s="139" t="str">
        <f>IFERROR(__xludf.DUMMYFUNCTION("""COMPUTED_VALUE"""),"Week 9")</f>
        <v>Week 9</v>
      </c>
      <c r="G130" s="139">
        <f>IFERROR(__xludf.DUMMYFUNCTION("""COMPUTED_VALUE"""),0.0)</f>
        <v>0</v>
      </c>
    </row>
    <row r="131">
      <c r="A131" s="139" t="str">
        <f>IFERROR(__xludf.DUMMYFUNCTION("""COMPUTED_VALUE"""),"20241103_LAC@CLE")</f>
        <v>20241103_LAC@CLE</v>
      </c>
      <c r="B131" s="139" t="str">
        <f>IFERROR(__xludf.DUMMYFUNCTION("""COMPUTED_VALUE"""),"LAC")</f>
        <v>LAC</v>
      </c>
      <c r="C131" s="139" t="str">
        <f>IFERROR(__xludf.DUMMYFUNCTION("""COMPUTED_VALUE"""),"CLE")</f>
        <v>CLE</v>
      </c>
      <c r="D131" s="139"/>
      <c r="E131" s="139"/>
      <c r="F131" s="139" t="str">
        <f>IFERROR(__xludf.DUMMYFUNCTION("""COMPUTED_VALUE"""),"Week 9")</f>
        <v>Week 9</v>
      </c>
      <c r="G131" s="139">
        <f>IFERROR(__xludf.DUMMYFUNCTION("""COMPUTED_VALUE"""),0.0)</f>
        <v>0</v>
      </c>
    </row>
    <row r="132">
      <c r="A132" s="139" t="str">
        <f>IFERROR(__xludf.DUMMYFUNCTION("""COMPUTED_VALUE"""),"20241103_CHI@ARI")</f>
        <v>20241103_CHI@ARI</v>
      </c>
      <c r="B132" s="139" t="str">
        <f>IFERROR(__xludf.DUMMYFUNCTION("""COMPUTED_VALUE"""),"CHI")</f>
        <v>CHI</v>
      </c>
      <c r="C132" s="139" t="str">
        <f>IFERROR(__xludf.DUMMYFUNCTION("""COMPUTED_VALUE"""),"ARI")</f>
        <v>ARI</v>
      </c>
      <c r="D132" s="139"/>
      <c r="E132" s="139"/>
      <c r="F132" s="139" t="str">
        <f>IFERROR(__xludf.DUMMYFUNCTION("""COMPUTED_VALUE"""),"Week 9")</f>
        <v>Week 9</v>
      </c>
      <c r="G132" s="139">
        <f>IFERROR(__xludf.DUMMYFUNCTION("""COMPUTED_VALUE"""),0.0)</f>
        <v>0</v>
      </c>
    </row>
    <row r="133">
      <c r="A133" s="139" t="str">
        <f>IFERROR(__xludf.DUMMYFUNCTION("""COMPUTED_VALUE"""),"20241103_WSH@NYG")</f>
        <v>20241103_WSH@NYG</v>
      </c>
      <c r="B133" s="139" t="str">
        <f>IFERROR(__xludf.DUMMYFUNCTION("""COMPUTED_VALUE"""),"WSH")</f>
        <v>WSH</v>
      </c>
      <c r="C133" s="139" t="str">
        <f>IFERROR(__xludf.DUMMYFUNCTION("""COMPUTED_VALUE"""),"NYG")</f>
        <v>NYG</v>
      </c>
      <c r="D133" s="139"/>
      <c r="E133" s="139"/>
      <c r="F133" s="139" t="str">
        <f>IFERROR(__xludf.DUMMYFUNCTION("""COMPUTED_VALUE"""),"Week 9")</f>
        <v>Week 9</v>
      </c>
      <c r="G133" s="139">
        <f>IFERROR(__xludf.DUMMYFUNCTION("""COMPUTED_VALUE"""),0.0)</f>
        <v>0</v>
      </c>
    </row>
    <row r="134">
      <c r="A134" s="139" t="str">
        <f>IFERROR(__xludf.DUMMYFUNCTION("""COMPUTED_VALUE"""),"20241103_LV@CIN")</f>
        <v>20241103_LV@CIN</v>
      </c>
      <c r="B134" s="139" t="str">
        <f>IFERROR(__xludf.DUMMYFUNCTION("""COMPUTED_VALUE"""),"LV")</f>
        <v>LV</v>
      </c>
      <c r="C134" s="139" t="str">
        <f>IFERROR(__xludf.DUMMYFUNCTION("""COMPUTED_VALUE"""),"CIN")</f>
        <v>CIN</v>
      </c>
      <c r="D134" s="139"/>
      <c r="E134" s="139"/>
      <c r="F134" s="139" t="str">
        <f>IFERROR(__xludf.DUMMYFUNCTION("""COMPUTED_VALUE"""),"Week 9")</f>
        <v>Week 9</v>
      </c>
      <c r="G134" s="139">
        <f>IFERROR(__xludf.DUMMYFUNCTION("""COMPUTED_VALUE"""),0.0)</f>
        <v>0</v>
      </c>
    </row>
    <row r="135">
      <c r="A135" s="139" t="str">
        <f>IFERROR(__xludf.DUMMYFUNCTION("""COMPUTED_VALUE"""),"20241103_DET@GB")</f>
        <v>20241103_DET@GB</v>
      </c>
      <c r="B135" s="139" t="str">
        <f>IFERROR(__xludf.DUMMYFUNCTION("""COMPUTED_VALUE"""),"DET")</f>
        <v>DET</v>
      </c>
      <c r="C135" s="139" t="str">
        <f>IFERROR(__xludf.DUMMYFUNCTION("""COMPUTED_VALUE"""),"GB")</f>
        <v>GB</v>
      </c>
      <c r="D135" s="139"/>
      <c r="E135" s="139"/>
      <c r="F135" s="139" t="str">
        <f>IFERROR(__xludf.DUMMYFUNCTION("""COMPUTED_VALUE"""),"Week 9")</f>
        <v>Week 9</v>
      </c>
      <c r="G135" s="139">
        <f>IFERROR(__xludf.DUMMYFUNCTION("""COMPUTED_VALUE"""),0.0)</f>
        <v>0</v>
      </c>
    </row>
    <row r="136">
      <c r="A136" s="139" t="str">
        <f>IFERROR(__xludf.DUMMYFUNCTION("""COMPUTED_VALUE"""),"20241103_NO@CAR")</f>
        <v>20241103_NO@CAR</v>
      </c>
      <c r="B136" s="139" t="str">
        <f>IFERROR(__xludf.DUMMYFUNCTION("""COMPUTED_VALUE"""),"NO")</f>
        <v>NO</v>
      </c>
      <c r="C136" s="139" t="str">
        <f>IFERROR(__xludf.DUMMYFUNCTION("""COMPUTED_VALUE"""),"CAR")</f>
        <v>CAR</v>
      </c>
      <c r="D136" s="139"/>
      <c r="E136" s="139"/>
      <c r="F136" s="139" t="str">
        <f>IFERROR(__xludf.DUMMYFUNCTION("""COMPUTED_VALUE"""),"Week 9")</f>
        <v>Week 9</v>
      </c>
      <c r="G136" s="139">
        <f>IFERROR(__xludf.DUMMYFUNCTION("""COMPUTED_VALUE"""),0.0)</f>
        <v>0</v>
      </c>
    </row>
    <row r="137">
      <c r="A137" s="139" t="str">
        <f>IFERROR(__xludf.DUMMYFUNCTION("""COMPUTED_VALUE"""),"20241103_IND@MIN")</f>
        <v>20241103_IND@MIN</v>
      </c>
      <c r="B137" s="139" t="str">
        <f>IFERROR(__xludf.DUMMYFUNCTION("""COMPUTED_VALUE"""),"IND")</f>
        <v>IND</v>
      </c>
      <c r="C137" s="139" t="str">
        <f>IFERROR(__xludf.DUMMYFUNCTION("""COMPUTED_VALUE"""),"MIN")</f>
        <v>MIN</v>
      </c>
      <c r="D137" s="139"/>
      <c r="E137" s="139"/>
      <c r="F137" s="139" t="str">
        <f>IFERROR(__xludf.DUMMYFUNCTION("""COMPUTED_VALUE"""),"Week 9")</f>
        <v>Week 9</v>
      </c>
      <c r="G137" s="139">
        <f>IFERROR(__xludf.DUMMYFUNCTION("""COMPUTED_VALUE"""),0.0)</f>
        <v>0</v>
      </c>
    </row>
    <row r="138">
      <c r="A138" s="139" t="str">
        <f>IFERROR(__xludf.DUMMYFUNCTION("""COMPUTED_VALUE"""),"20241031_HOU@NYJ")</f>
        <v>20241031_HOU@NYJ</v>
      </c>
      <c r="B138" s="139" t="str">
        <f>IFERROR(__xludf.DUMMYFUNCTION("""COMPUTED_VALUE"""),"HOU")</f>
        <v>HOU</v>
      </c>
      <c r="C138" s="139" t="str">
        <f>IFERROR(__xludf.DUMMYFUNCTION("""COMPUTED_VALUE"""),"NYJ")</f>
        <v>NYJ</v>
      </c>
      <c r="D138" s="139"/>
      <c r="E138" s="139"/>
      <c r="F138" s="139" t="str">
        <f>IFERROR(__xludf.DUMMYFUNCTION("""COMPUTED_VALUE"""),"Week 9")</f>
        <v>Week 9</v>
      </c>
      <c r="G138" s="139">
        <f>IFERROR(__xludf.DUMMYFUNCTION("""COMPUTED_VALUE"""),0.0)</f>
        <v>0</v>
      </c>
    </row>
    <row r="139">
      <c r="A139" s="139" t="str">
        <f>IFERROR(__xludf.DUMMYFUNCTION("""COMPUTED_VALUE"""),"20241104_TB@KC")</f>
        <v>20241104_TB@KC</v>
      </c>
      <c r="B139" s="139" t="str">
        <f>IFERROR(__xludf.DUMMYFUNCTION("""COMPUTED_VALUE"""),"TB")</f>
        <v>TB</v>
      </c>
      <c r="C139" s="139" t="str">
        <f>IFERROR(__xludf.DUMMYFUNCTION("""COMPUTED_VALUE"""),"KC")</f>
        <v>KC</v>
      </c>
      <c r="D139" s="139"/>
      <c r="E139" s="139"/>
      <c r="F139" s="139" t="str">
        <f>IFERROR(__xludf.DUMMYFUNCTION("""COMPUTED_VALUE"""),"Week 9")</f>
        <v>Week 9</v>
      </c>
      <c r="G139" s="139">
        <f>IFERROR(__xludf.DUMMYFUNCTION("""COMPUTED_VALUE"""),0.0)</f>
        <v>0</v>
      </c>
    </row>
    <row r="140">
      <c r="A140" s="139" t="str">
        <f>IFERROR(__xludf.DUMMYFUNCTION("""COMPUTED_VALUE"""),"20241110_NE@CHI")</f>
        <v>20241110_NE@CHI</v>
      </c>
      <c r="B140" s="139" t="str">
        <f>IFERROR(__xludf.DUMMYFUNCTION("""COMPUTED_VALUE"""),"NE")</f>
        <v>NE</v>
      </c>
      <c r="C140" s="139" t="str">
        <f>IFERROR(__xludf.DUMMYFUNCTION("""COMPUTED_VALUE"""),"CHI")</f>
        <v>CHI</v>
      </c>
      <c r="D140" s="139"/>
      <c r="E140" s="139"/>
      <c r="F140" s="139" t="str">
        <f>IFERROR(__xludf.DUMMYFUNCTION("""COMPUTED_VALUE"""),"Week 10")</f>
        <v>Week 10</v>
      </c>
      <c r="G140" s="139">
        <f>IFERROR(__xludf.DUMMYFUNCTION("""COMPUTED_VALUE"""),0.0)</f>
        <v>0</v>
      </c>
    </row>
    <row r="141">
      <c r="A141" s="139" t="str">
        <f>IFERROR(__xludf.DUMMYFUNCTION("""COMPUTED_VALUE"""),"20241110_NYG@CAR")</f>
        <v>20241110_NYG@CAR</v>
      </c>
      <c r="B141" s="139" t="str">
        <f>IFERROR(__xludf.DUMMYFUNCTION("""COMPUTED_VALUE"""),"NYG")</f>
        <v>NYG</v>
      </c>
      <c r="C141" s="139" t="str">
        <f>IFERROR(__xludf.DUMMYFUNCTION("""COMPUTED_VALUE"""),"CAR")</f>
        <v>CAR</v>
      </c>
      <c r="D141" s="139"/>
      <c r="E141" s="139"/>
      <c r="F141" s="139" t="str">
        <f>IFERROR(__xludf.DUMMYFUNCTION("""COMPUTED_VALUE"""),"Week 10")</f>
        <v>Week 10</v>
      </c>
      <c r="G141" s="139">
        <f>IFERROR(__xludf.DUMMYFUNCTION("""COMPUTED_VALUE"""),0.0)</f>
        <v>0</v>
      </c>
    </row>
    <row r="142">
      <c r="A142" s="139" t="str">
        <f>IFERROR(__xludf.DUMMYFUNCTION("""COMPUTED_VALUE"""),"20241110_DEN@KC")</f>
        <v>20241110_DEN@KC</v>
      </c>
      <c r="B142" s="139" t="str">
        <f>IFERROR(__xludf.DUMMYFUNCTION("""COMPUTED_VALUE"""),"DEN")</f>
        <v>DEN</v>
      </c>
      <c r="C142" s="139" t="str">
        <f>IFERROR(__xludf.DUMMYFUNCTION("""COMPUTED_VALUE"""),"KC")</f>
        <v>KC</v>
      </c>
      <c r="D142" s="139"/>
      <c r="E142" s="139"/>
      <c r="F142" s="139" t="str">
        <f>IFERROR(__xludf.DUMMYFUNCTION("""COMPUTED_VALUE"""),"Week 10")</f>
        <v>Week 10</v>
      </c>
      <c r="G142" s="139">
        <f>IFERROR(__xludf.DUMMYFUNCTION("""COMPUTED_VALUE"""),0.0)</f>
        <v>0</v>
      </c>
    </row>
    <row r="143">
      <c r="A143" s="139" t="str">
        <f>IFERROR(__xludf.DUMMYFUNCTION("""COMPUTED_VALUE"""),"20241110_TEN@LAC")</f>
        <v>20241110_TEN@LAC</v>
      </c>
      <c r="B143" s="139" t="str">
        <f>IFERROR(__xludf.DUMMYFUNCTION("""COMPUTED_VALUE"""),"TEN")</f>
        <v>TEN</v>
      </c>
      <c r="C143" s="139" t="str">
        <f>IFERROR(__xludf.DUMMYFUNCTION("""COMPUTED_VALUE"""),"LAC")</f>
        <v>LAC</v>
      </c>
      <c r="D143" s="139"/>
      <c r="E143" s="139"/>
      <c r="F143" s="139" t="str">
        <f>IFERROR(__xludf.DUMMYFUNCTION("""COMPUTED_VALUE"""),"Week 10")</f>
        <v>Week 10</v>
      </c>
      <c r="G143" s="139">
        <f>IFERROR(__xludf.DUMMYFUNCTION("""COMPUTED_VALUE"""),0.0)</f>
        <v>0</v>
      </c>
    </row>
    <row r="144">
      <c r="A144" s="139" t="str">
        <f>IFERROR(__xludf.DUMMYFUNCTION("""COMPUTED_VALUE"""),"20241110_NYJ@ARI")</f>
        <v>20241110_NYJ@ARI</v>
      </c>
      <c r="B144" s="139" t="str">
        <f>IFERROR(__xludf.DUMMYFUNCTION("""COMPUTED_VALUE"""),"NYJ")</f>
        <v>NYJ</v>
      </c>
      <c r="C144" s="139" t="str">
        <f>IFERROR(__xludf.DUMMYFUNCTION("""COMPUTED_VALUE"""),"ARI")</f>
        <v>ARI</v>
      </c>
      <c r="D144" s="139"/>
      <c r="E144" s="139"/>
      <c r="F144" s="139" t="str">
        <f>IFERROR(__xludf.DUMMYFUNCTION("""COMPUTED_VALUE"""),"Week 10")</f>
        <v>Week 10</v>
      </c>
      <c r="G144" s="139">
        <f>IFERROR(__xludf.DUMMYFUNCTION("""COMPUTED_VALUE"""),0.0)</f>
        <v>0</v>
      </c>
    </row>
    <row r="145">
      <c r="A145" s="139" t="str">
        <f>IFERROR(__xludf.DUMMYFUNCTION("""COMPUTED_VALUE"""),"20241110_MIN@JAX")</f>
        <v>20241110_MIN@JAX</v>
      </c>
      <c r="B145" s="139" t="str">
        <f>IFERROR(__xludf.DUMMYFUNCTION("""COMPUTED_VALUE"""),"MIN")</f>
        <v>MIN</v>
      </c>
      <c r="C145" s="139" t="str">
        <f>IFERROR(__xludf.DUMMYFUNCTION("""COMPUTED_VALUE"""),"JAX")</f>
        <v>JAX</v>
      </c>
      <c r="D145" s="139"/>
      <c r="E145" s="139"/>
      <c r="F145" s="139" t="str">
        <f>IFERROR(__xludf.DUMMYFUNCTION("""COMPUTED_VALUE"""),"Week 10")</f>
        <v>Week 10</v>
      </c>
      <c r="G145" s="139">
        <f>IFERROR(__xludf.DUMMYFUNCTION("""COMPUTED_VALUE"""),0.0)</f>
        <v>0</v>
      </c>
    </row>
    <row r="146">
      <c r="A146" s="139" t="str">
        <f>IFERROR(__xludf.DUMMYFUNCTION("""COMPUTED_VALUE"""),"20241110_ATL@NO")</f>
        <v>20241110_ATL@NO</v>
      </c>
      <c r="B146" s="139" t="str">
        <f>IFERROR(__xludf.DUMMYFUNCTION("""COMPUTED_VALUE"""),"ATL")</f>
        <v>ATL</v>
      </c>
      <c r="C146" s="139" t="str">
        <f>IFERROR(__xludf.DUMMYFUNCTION("""COMPUTED_VALUE"""),"NO")</f>
        <v>NO</v>
      </c>
      <c r="D146" s="139"/>
      <c r="E146" s="139"/>
      <c r="F146" s="139" t="str">
        <f>IFERROR(__xludf.DUMMYFUNCTION("""COMPUTED_VALUE"""),"Week 10")</f>
        <v>Week 10</v>
      </c>
      <c r="G146" s="139">
        <f>IFERROR(__xludf.DUMMYFUNCTION("""COMPUTED_VALUE"""),0.0)</f>
        <v>0</v>
      </c>
    </row>
    <row r="147">
      <c r="A147" s="139" t="str">
        <f>IFERROR(__xludf.DUMMYFUNCTION("""COMPUTED_VALUE"""),"20241110_BUF@IND")</f>
        <v>20241110_BUF@IND</v>
      </c>
      <c r="B147" s="139" t="str">
        <f>IFERROR(__xludf.DUMMYFUNCTION("""COMPUTED_VALUE"""),"BUF")</f>
        <v>BUF</v>
      </c>
      <c r="C147" s="139" t="str">
        <f>IFERROR(__xludf.DUMMYFUNCTION("""COMPUTED_VALUE"""),"IND")</f>
        <v>IND</v>
      </c>
      <c r="D147" s="139"/>
      <c r="E147" s="139"/>
      <c r="F147" s="139" t="str">
        <f>IFERROR(__xludf.DUMMYFUNCTION("""COMPUTED_VALUE"""),"Week 10")</f>
        <v>Week 10</v>
      </c>
      <c r="G147" s="139">
        <f>IFERROR(__xludf.DUMMYFUNCTION("""COMPUTED_VALUE"""),0.0)</f>
        <v>0</v>
      </c>
    </row>
    <row r="148">
      <c r="A148" s="139" t="str">
        <f>IFERROR(__xludf.DUMMYFUNCTION("""COMPUTED_VALUE"""),"20241110_PIT@WSH")</f>
        <v>20241110_PIT@WSH</v>
      </c>
      <c r="B148" s="139" t="str">
        <f>IFERROR(__xludf.DUMMYFUNCTION("""COMPUTED_VALUE"""),"PIT")</f>
        <v>PIT</v>
      </c>
      <c r="C148" s="139" t="str">
        <f>IFERROR(__xludf.DUMMYFUNCTION("""COMPUTED_VALUE"""),"WSH")</f>
        <v>WSH</v>
      </c>
      <c r="D148" s="139"/>
      <c r="E148" s="139"/>
      <c r="F148" s="139" t="str">
        <f>IFERROR(__xludf.DUMMYFUNCTION("""COMPUTED_VALUE"""),"Week 10")</f>
        <v>Week 10</v>
      </c>
      <c r="G148" s="139">
        <f>IFERROR(__xludf.DUMMYFUNCTION("""COMPUTED_VALUE"""),0.0)</f>
        <v>0</v>
      </c>
    </row>
    <row r="149">
      <c r="A149" s="139" t="str">
        <f>IFERROR(__xludf.DUMMYFUNCTION("""COMPUTED_VALUE"""),"20241110_PHI@DAL")</f>
        <v>20241110_PHI@DAL</v>
      </c>
      <c r="B149" s="139" t="str">
        <f>IFERROR(__xludf.DUMMYFUNCTION("""COMPUTED_VALUE"""),"PHI")</f>
        <v>PHI</v>
      </c>
      <c r="C149" s="139" t="str">
        <f>IFERROR(__xludf.DUMMYFUNCTION("""COMPUTED_VALUE"""),"DAL")</f>
        <v>DAL</v>
      </c>
      <c r="D149" s="139"/>
      <c r="E149" s="139"/>
      <c r="F149" s="139" t="str">
        <f>IFERROR(__xludf.DUMMYFUNCTION("""COMPUTED_VALUE"""),"Week 10")</f>
        <v>Week 10</v>
      </c>
      <c r="G149" s="139">
        <f>IFERROR(__xludf.DUMMYFUNCTION("""COMPUTED_VALUE"""),0.0)</f>
        <v>0</v>
      </c>
    </row>
    <row r="150">
      <c r="A150" s="139" t="str">
        <f>IFERROR(__xludf.DUMMYFUNCTION("""COMPUTED_VALUE"""),"20241110_DET@HOU")</f>
        <v>20241110_DET@HOU</v>
      </c>
      <c r="B150" s="139" t="str">
        <f>IFERROR(__xludf.DUMMYFUNCTION("""COMPUTED_VALUE"""),"DET")</f>
        <v>DET</v>
      </c>
      <c r="C150" s="139" t="str">
        <f>IFERROR(__xludf.DUMMYFUNCTION("""COMPUTED_VALUE"""),"HOU")</f>
        <v>HOU</v>
      </c>
      <c r="D150" s="139"/>
      <c r="E150" s="139"/>
      <c r="F150" s="139" t="str">
        <f>IFERROR(__xludf.DUMMYFUNCTION("""COMPUTED_VALUE"""),"Week 10")</f>
        <v>Week 10</v>
      </c>
      <c r="G150" s="139">
        <f>IFERROR(__xludf.DUMMYFUNCTION("""COMPUTED_VALUE"""),0.0)</f>
        <v>0</v>
      </c>
    </row>
    <row r="151">
      <c r="A151" s="139" t="str">
        <f>IFERROR(__xludf.DUMMYFUNCTION("""COMPUTED_VALUE"""),"20241110_SF@TB")</f>
        <v>20241110_SF@TB</v>
      </c>
      <c r="B151" s="139" t="str">
        <f>IFERROR(__xludf.DUMMYFUNCTION("""COMPUTED_VALUE"""),"SF")</f>
        <v>SF</v>
      </c>
      <c r="C151" s="139" t="str">
        <f>IFERROR(__xludf.DUMMYFUNCTION("""COMPUTED_VALUE"""),"TB")</f>
        <v>TB</v>
      </c>
      <c r="D151" s="139"/>
      <c r="E151" s="139"/>
      <c r="F151" s="139" t="str">
        <f>IFERROR(__xludf.DUMMYFUNCTION("""COMPUTED_VALUE"""),"Week 10")</f>
        <v>Week 10</v>
      </c>
      <c r="G151" s="139">
        <f>IFERROR(__xludf.DUMMYFUNCTION("""COMPUTED_VALUE"""),0.0)</f>
        <v>0</v>
      </c>
    </row>
    <row r="152">
      <c r="A152" s="139" t="str">
        <f>IFERROR(__xludf.DUMMYFUNCTION("""COMPUTED_VALUE"""),"20241107_CIN@BAL")</f>
        <v>20241107_CIN@BAL</v>
      </c>
      <c r="B152" s="139" t="str">
        <f>IFERROR(__xludf.DUMMYFUNCTION("""COMPUTED_VALUE"""),"CIN")</f>
        <v>CIN</v>
      </c>
      <c r="C152" s="139" t="str">
        <f>IFERROR(__xludf.DUMMYFUNCTION("""COMPUTED_VALUE"""),"BAL")</f>
        <v>BAL</v>
      </c>
      <c r="D152" s="139"/>
      <c r="E152" s="139"/>
      <c r="F152" s="139" t="str">
        <f>IFERROR(__xludf.DUMMYFUNCTION("""COMPUTED_VALUE"""),"Week 10")</f>
        <v>Week 10</v>
      </c>
      <c r="G152" s="139">
        <f>IFERROR(__xludf.DUMMYFUNCTION("""COMPUTED_VALUE"""),0.0)</f>
        <v>0</v>
      </c>
    </row>
    <row r="153">
      <c r="A153" s="139" t="str">
        <f>IFERROR(__xludf.DUMMYFUNCTION("""COMPUTED_VALUE"""),"20241111_MIA@LAR")</f>
        <v>20241111_MIA@LAR</v>
      </c>
      <c r="B153" s="139" t="str">
        <f>IFERROR(__xludf.DUMMYFUNCTION("""COMPUTED_VALUE"""),"MIA")</f>
        <v>MIA</v>
      </c>
      <c r="C153" s="139" t="str">
        <f>IFERROR(__xludf.DUMMYFUNCTION("""COMPUTED_VALUE"""),"LAR")</f>
        <v>LAR</v>
      </c>
      <c r="D153" s="139"/>
      <c r="E153" s="139"/>
      <c r="F153" s="139" t="str">
        <f>IFERROR(__xludf.DUMMYFUNCTION("""COMPUTED_VALUE"""),"Week 10")</f>
        <v>Week 10</v>
      </c>
      <c r="G153" s="139">
        <f>IFERROR(__xludf.DUMMYFUNCTION("""COMPUTED_VALUE"""),0.0)</f>
        <v>0</v>
      </c>
    </row>
    <row r="154">
      <c r="A154" s="139" t="str">
        <f>IFERROR(__xludf.DUMMYFUNCTION("""COMPUTED_VALUE"""),"20241118_HOU@DAL")</f>
        <v>20241118_HOU@DAL</v>
      </c>
      <c r="B154" s="139" t="str">
        <f>IFERROR(__xludf.DUMMYFUNCTION("""COMPUTED_VALUE"""),"HOU")</f>
        <v>HOU</v>
      </c>
      <c r="C154" s="139" t="str">
        <f>IFERROR(__xludf.DUMMYFUNCTION("""COMPUTED_VALUE"""),"DAL")</f>
        <v>DAL</v>
      </c>
      <c r="D154" s="139"/>
      <c r="E154" s="139"/>
      <c r="F154" s="139" t="str">
        <f>IFERROR(__xludf.DUMMYFUNCTION("""COMPUTED_VALUE"""),"Week 11")</f>
        <v>Week 11</v>
      </c>
      <c r="G154" s="139">
        <f>IFERROR(__xludf.DUMMYFUNCTION("""COMPUTED_VALUE"""),0.0)</f>
        <v>0</v>
      </c>
    </row>
    <row r="155">
      <c r="A155" s="139" t="str">
        <f>IFERROR(__xludf.DUMMYFUNCTION("""COMPUTED_VALUE"""),"20241114_WSH@PHI")</f>
        <v>20241114_WSH@PHI</v>
      </c>
      <c r="B155" s="139" t="str">
        <f>IFERROR(__xludf.DUMMYFUNCTION("""COMPUTED_VALUE"""),"WSH")</f>
        <v>WSH</v>
      </c>
      <c r="C155" s="139" t="str">
        <f>IFERROR(__xludf.DUMMYFUNCTION("""COMPUTED_VALUE"""),"PHI")</f>
        <v>PHI</v>
      </c>
      <c r="D155" s="139"/>
      <c r="E155" s="139"/>
      <c r="F155" s="139" t="str">
        <f>IFERROR(__xludf.DUMMYFUNCTION("""COMPUTED_VALUE"""),"Week 11")</f>
        <v>Week 11</v>
      </c>
      <c r="G155" s="139">
        <f>IFERROR(__xludf.DUMMYFUNCTION("""COMPUTED_VALUE"""),0.0)</f>
        <v>0</v>
      </c>
    </row>
    <row r="156">
      <c r="A156" s="139" t="str">
        <f>IFERROR(__xludf.DUMMYFUNCTION("""COMPUTED_VALUE"""),"20241117_KC@BUF")</f>
        <v>20241117_KC@BUF</v>
      </c>
      <c r="B156" s="139" t="str">
        <f>IFERROR(__xludf.DUMMYFUNCTION("""COMPUTED_VALUE"""),"KC")</f>
        <v>KC</v>
      </c>
      <c r="C156" s="139" t="str">
        <f>IFERROR(__xludf.DUMMYFUNCTION("""COMPUTED_VALUE"""),"BUF")</f>
        <v>BUF</v>
      </c>
      <c r="D156" s="139"/>
      <c r="E156" s="139"/>
      <c r="F156" s="139" t="str">
        <f>IFERROR(__xludf.DUMMYFUNCTION("""COMPUTED_VALUE"""),"Week 11")</f>
        <v>Week 11</v>
      </c>
      <c r="G156" s="139">
        <f>IFERROR(__xludf.DUMMYFUNCTION("""COMPUTED_VALUE"""),0.0)</f>
        <v>0</v>
      </c>
    </row>
    <row r="157">
      <c r="A157" s="139" t="str">
        <f>IFERROR(__xludf.DUMMYFUNCTION("""COMPUTED_VALUE"""),"20241117_MIN@TEN")</f>
        <v>20241117_MIN@TEN</v>
      </c>
      <c r="B157" s="139" t="str">
        <f>IFERROR(__xludf.DUMMYFUNCTION("""COMPUTED_VALUE"""),"MIN")</f>
        <v>MIN</v>
      </c>
      <c r="C157" s="139" t="str">
        <f>IFERROR(__xludf.DUMMYFUNCTION("""COMPUTED_VALUE"""),"TEN")</f>
        <v>TEN</v>
      </c>
      <c r="D157" s="139"/>
      <c r="E157" s="139"/>
      <c r="F157" s="139" t="str">
        <f>IFERROR(__xludf.DUMMYFUNCTION("""COMPUTED_VALUE"""),"Week 11")</f>
        <v>Week 11</v>
      </c>
      <c r="G157" s="139">
        <f>IFERROR(__xludf.DUMMYFUNCTION("""COMPUTED_VALUE"""),0.0)</f>
        <v>0</v>
      </c>
    </row>
    <row r="158">
      <c r="A158" s="139" t="str">
        <f>IFERROR(__xludf.DUMMYFUNCTION("""COMPUTED_VALUE"""),"20241117_BAL@PIT")</f>
        <v>20241117_BAL@PIT</v>
      </c>
      <c r="B158" s="139" t="str">
        <f>IFERROR(__xludf.DUMMYFUNCTION("""COMPUTED_VALUE"""),"BAL")</f>
        <v>BAL</v>
      </c>
      <c r="C158" s="139" t="str">
        <f>IFERROR(__xludf.DUMMYFUNCTION("""COMPUTED_VALUE"""),"PIT")</f>
        <v>PIT</v>
      </c>
      <c r="D158" s="139"/>
      <c r="E158" s="139"/>
      <c r="F158" s="139" t="str">
        <f>IFERROR(__xludf.DUMMYFUNCTION("""COMPUTED_VALUE"""),"Week 11")</f>
        <v>Week 11</v>
      </c>
      <c r="G158" s="139">
        <f>IFERROR(__xludf.DUMMYFUNCTION("""COMPUTED_VALUE"""),0.0)</f>
        <v>0</v>
      </c>
    </row>
    <row r="159">
      <c r="A159" s="139" t="str">
        <f>IFERROR(__xludf.DUMMYFUNCTION("""COMPUTED_VALUE"""),"20241117_IND@NYJ")</f>
        <v>20241117_IND@NYJ</v>
      </c>
      <c r="B159" s="139" t="str">
        <f>IFERROR(__xludf.DUMMYFUNCTION("""COMPUTED_VALUE"""),"IND")</f>
        <v>IND</v>
      </c>
      <c r="C159" s="139" t="str">
        <f>IFERROR(__xludf.DUMMYFUNCTION("""COMPUTED_VALUE"""),"NYJ")</f>
        <v>NYJ</v>
      </c>
      <c r="D159" s="139"/>
      <c r="E159" s="139"/>
      <c r="F159" s="139" t="str">
        <f>IFERROR(__xludf.DUMMYFUNCTION("""COMPUTED_VALUE"""),"Week 11")</f>
        <v>Week 11</v>
      </c>
      <c r="G159" s="139">
        <f>IFERROR(__xludf.DUMMYFUNCTION("""COMPUTED_VALUE"""),0.0)</f>
        <v>0</v>
      </c>
    </row>
    <row r="160">
      <c r="A160" s="139" t="str">
        <f>IFERROR(__xludf.DUMMYFUNCTION("""COMPUTED_VALUE"""),"20241117_SEA@SF")</f>
        <v>20241117_SEA@SF</v>
      </c>
      <c r="B160" s="139" t="str">
        <f>IFERROR(__xludf.DUMMYFUNCTION("""COMPUTED_VALUE"""),"SEA")</f>
        <v>SEA</v>
      </c>
      <c r="C160" s="139" t="str">
        <f>IFERROR(__xludf.DUMMYFUNCTION("""COMPUTED_VALUE"""),"SF")</f>
        <v>SF</v>
      </c>
      <c r="D160" s="139"/>
      <c r="E160" s="139"/>
      <c r="F160" s="139" t="str">
        <f>IFERROR(__xludf.DUMMYFUNCTION("""COMPUTED_VALUE"""),"Week 11")</f>
        <v>Week 11</v>
      </c>
      <c r="G160" s="139">
        <f>IFERROR(__xludf.DUMMYFUNCTION("""COMPUTED_VALUE"""),0.0)</f>
        <v>0</v>
      </c>
    </row>
    <row r="161">
      <c r="A161" s="139" t="str">
        <f>IFERROR(__xludf.DUMMYFUNCTION("""COMPUTED_VALUE"""),"20241117_LAR@NE")</f>
        <v>20241117_LAR@NE</v>
      </c>
      <c r="B161" s="139" t="str">
        <f>IFERROR(__xludf.DUMMYFUNCTION("""COMPUTED_VALUE"""),"LAR")</f>
        <v>LAR</v>
      </c>
      <c r="C161" s="139" t="str">
        <f>IFERROR(__xludf.DUMMYFUNCTION("""COMPUTED_VALUE"""),"NE")</f>
        <v>NE</v>
      </c>
      <c r="D161" s="139"/>
      <c r="E161" s="139"/>
      <c r="F161" s="139" t="str">
        <f>IFERROR(__xludf.DUMMYFUNCTION("""COMPUTED_VALUE"""),"Week 11")</f>
        <v>Week 11</v>
      </c>
      <c r="G161" s="139">
        <f>IFERROR(__xludf.DUMMYFUNCTION("""COMPUTED_VALUE"""),0.0)</f>
        <v>0</v>
      </c>
    </row>
    <row r="162">
      <c r="A162" s="139" t="str">
        <f>IFERROR(__xludf.DUMMYFUNCTION("""COMPUTED_VALUE"""),"20241117_CIN@LAC")</f>
        <v>20241117_CIN@LAC</v>
      </c>
      <c r="B162" s="139" t="str">
        <f>IFERROR(__xludf.DUMMYFUNCTION("""COMPUTED_VALUE"""),"CIN")</f>
        <v>CIN</v>
      </c>
      <c r="C162" s="139" t="str">
        <f>IFERROR(__xludf.DUMMYFUNCTION("""COMPUTED_VALUE"""),"LAC")</f>
        <v>LAC</v>
      </c>
      <c r="D162" s="139"/>
      <c r="E162" s="139"/>
      <c r="F162" s="139" t="str">
        <f>IFERROR(__xludf.DUMMYFUNCTION("""COMPUTED_VALUE"""),"Week 11")</f>
        <v>Week 11</v>
      </c>
      <c r="G162" s="139">
        <f>IFERROR(__xludf.DUMMYFUNCTION("""COMPUTED_VALUE"""),0.0)</f>
        <v>0</v>
      </c>
    </row>
    <row r="163">
      <c r="A163" s="139" t="str">
        <f>IFERROR(__xludf.DUMMYFUNCTION("""COMPUTED_VALUE"""),"20241117_GB@CHI")</f>
        <v>20241117_GB@CHI</v>
      </c>
      <c r="B163" s="139" t="str">
        <f>IFERROR(__xludf.DUMMYFUNCTION("""COMPUTED_VALUE"""),"GB")</f>
        <v>GB</v>
      </c>
      <c r="C163" s="139" t="str">
        <f>IFERROR(__xludf.DUMMYFUNCTION("""COMPUTED_VALUE"""),"CHI")</f>
        <v>CHI</v>
      </c>
      <c r="D163" s="139"/>
      <c r="E163" s="139"/>
      <c r="F163" s="139" t="str">
        <f>IFERROR(__xludf.DUMMYFUNCTION("""COMPUTED_VALUE"""),"Week 11")</f>
        <v>Week 11</v>
      </c>
      <c r="G163" s="139">
        <f>IFERROR(__xludf.DUMMYFUNCTION("""COMPUTED_VALUE"""),0.0)</f>
        <v>0</v>
      </c>
    </row>
    <row r="164">
      <c r="A164" s="139" t="str">
        <f>IFERROR(__xludf.DUMMYFUNCTION("""COMPUTED_VALUE"""),"20241117_JAX@DET")</f>
        <v>20241117_JAX@DET</v>
      </c>
      <c r="B164" s="139" t="str">
        <f>IFERROR(__xludf.DUMMYFUNCTION("""COMPUTED_VALUE"""),"JAX")</f>
        <v>JAX</v>
      </c>
      <c r="C164" s="139" t="str">
        <f>IFERROR(__xludf.DUMMYFUNCTION("""COMPUTED_VALUE"""),"DET")</f>
        <v>DET</v>
      </c>
      <c r="D164" s="139"/>
      <c r="E164" s="139"/>
      <c r="F164" s="139" t="str">
        <f>IFERROR(__xludf.DUMMYFUNCTION("""COMPUTED_VALUE"""),"Week 11")</f>
        <v>Week 11</v>
      </c>
      <c r="G164" s="139">
        <f>IFERROR(__xludf.DUMMYFUNCTION("""COMPUTED_VALUE"""),0.0)</f>
        <v>0</v>
      </c>
    </row>
    <row r="165">
      <c r="A165" s="139" t="str">
        <f>IFERROR(__xludf.DUMMYFUNCTION("""COMPUTED_VALUE"""),"20241117_CLE@NO")</f>
        <v>20241117_CLE@NO</v>
      </c>
      <c r="B165" s="139" t="str">
        <f>IFERROR(__xludf.DUMMYFUNCTION("""COMPUTED_VALUE"""),"CLE")</f>
        <v>CLE</v>
      </c>
      <c r="C165" s="139" t="str">
        <f>IFERROR(__xludf.DUMMYFUNCTION("""COMPUTED_VALUE"""),"NO")</f>
        <v>NO</v>
      </c>
      <c r="D165" s="139"/>
      <c r="E165" s="139"/>
      <c r="F165" s="139" t="str">
        <f>IFERROR(__xludf.DUMMYFUNCTION("""COMPUTED_VALUE"""),"Week 11")</f>
        <v>Week 11</v>
      </c>
      <c r="G165" s="139">
        <f>IFERROR(__xludf.DUMMYFUNCTION("""COMPUTED_VALUE"""),0.0)</f>
        <v>0</v>
      </c>
    </row>
    <row r="166">
      <c r="A166" s="139" t="str">
        <f>IFERROR(__xludf.DUMMYFUNCTION("""COMPUTED_VALUE"""),"20241117_LV@MIA")</f>
        <v>20241117_LV@MIA</v>
      </c>
      <c r="B166" s="139" t="str">
        <f>IFERROR(__xludf.DUMMYFUNCTION("""COMPUTED_VALUE"""),"LV")</f>
        <v>LV</v>
      </c>
      <c r="C166" s="139" t="str">
        <f>IFERROR(__xludf.DUMMYFUNCTION("""COMPUTED_VALUE"""),"MIA")</f>
        <v>MIA</v>
      </c>
      <c r="D166" s="139"/>
      <c r="E166" s="139"/>
      <c r="F166" s="139" t="str">
        <f>IFERROR(__xludf.DUMMYFUNCTION("""COMPUTED_VALUE"""),"Week 11")</f>
        <v>Week 11</v>
      </c>
      <c r="G166" s="139">
        <f>IFERROR(__xludf.DUMMYFUNCTION("""COMPUTED_VALUE"""),0.0)</f>
        <v>0</v>
      </c>
    </row>
    <row r="167">
      <c r="A167" s="139" t="str">
        <f>IFERROR(__xludf.DUMMYFUNCTION("""COMPUTED_VALUE"""),"20241117_ATL@DEN")</f>
        <v>20241117_ATL@DEN</v>
      </c>
      <c r="B167" s="139" t="str">
        <f>IFERROR(__xludf.DUMMYFUNCTION("""COMPUTED_VALUE"""),"ATL")</f>
        <v>ATL</v>
      </c>
      <c r="C167" s="139" t="str">
        <f>IFERROR(__xludf.DUMMYFUNCTION("""COMPUTED_VALUE"""),"DEN")</f>
        <v>DEN</v>
      </c>
      <c r="D167" s="139"/>
      <c r="E167" s="139"/>
      <c r="F167" s="139" t="str">
        <f>IFERROR(__xludf.DUMMYFUNCTION("""COMPUTED_VALUE"""),"Week 11")</f>
        <v>Week 11</v>
      </c>
      <c r="G167" s="139">
        <f>IFERROR(__xludf.DUMMYFUNCTION("""COMPUTED_VALUE"""),0.0)</f>
        <v>0</v>
      </c>
    </row>
    <row r="168">
      <c r="A168" s="139" t="str">
        <f>IFERROR(__xludf.DUMMYFUNCTION("""COMPUTED_VALUE"""),"20241125_BAL@LAC")</f>
        <v>20241125_BAL@LAC</v>
      </c>
      <c r="B168" s="139" t="str">
        <f>IFERROR(__xludf.DUMMYFUNCTION("""COMPUTED_VALUE"""),"BAL")</f>
        <v>BAL</v>
      </c>
      <c r="C168" s="139" t="str">
        <f>IFERROR(__xludf.DUMMYFUNCTION("""COMPUTED_VALUE"""),"LAC")</f>
        <v>LAC</v>
      </c>
      <c r="D168" s="139"/>
      <c r="E168" s="139"/>
      <c r="F168" s="139" t="str">
        <f>IFERROR(__xludf.DUMMYFUNCTION("""COMPUTED_VALUE"""),"Week 12")</f>
        <v>Week 12</v>
      </c>
      <c r="G168" s="139">
        <f>IFERROR(__xludf.DUMMYFUNCTION("""COMPUTED_VALUE"""),0.0)</f>
        <v>0</v>
      </c>
    </row>
    <row r="169">
      <c r="A169" s="139" t="str">
        <f>IFERROR(__xludf.DUMMYFUNCTION("""COMPUTED_VALUE"""),"20241121_PIT@CLE")</f>
        <v>20241121_PIT@CLE</v>
      </c>
      <c r="B169" s="139" t="str">
        <f>IFERROR(__xludf.DUMMYFUNCTION("""COMPUTED_VALUE"""),"PIT")</f>
        <v>PIT</v>
      </c>
      <c r="C169" s="139" t="str">
        <f>IFERROR(__xludf.DUMMYFUNCTION("""COMPUTED_VALUE"""),"CLE")</f>
        <v>CLE</v>
      </c>
      <c r="D169" s="139"/>
      <c r="E169" s="139"/>
      <c r="F169" s="139" t="str">
        <f>IFERROR(__xludf.DUMMYFUNCTION("""COMPUTED_VALUE"""),"Week 12")</f>
        <v>Week 12</v>
      </c>
      <c r="G169" s="139">
        <f>IFERROR(__xludf.DUMMYFUNCTION("""COMPUTED_VALUE"""),0.0)</f>
        <v>0</v>
      </c>
    </row>
    <row r="170">
      <c r="A170" s="139" t="str">
        <f>IFERROR(__xludf.DUMMYFUNCTION("""COMPUTED_VALUE"""),"20241124_ARI@SEA")</f>
        <v>20241124_ARI@SEA</v>
      </c>
      <c r="B170" s="139" t="str">
        <f>IFERROR(__xludf.DUMMYFUNCTION("""COMPUTED_VALUE"""),"ARI")</f>
        <v>ARI</v>
      </c>
      <c r="C170" s="139" t="str">
        <f>IFERROR(__xludf.DUMMYFUNCTION("""COMPUTED_VALUE"""),"SEA")</f>
        <v>SEA</v>
      </c>
      <c r="D170" s="139"/>
      <c r="E170" s="139"/>
      <c r="F170" s="139" t="str">
        <f>IFERROR(__xludf.DUMMYFUNCTION("""COMPUTED_VALUE"""),"Week 12")</f>
        <v>Week 12</v>
      </c>
      <c r="G170" s="139">
        <f>IFERROR(__xludf.DUMMYFUNCTION("""COMPUTED_VALUE"""),0.0)</f>
        <v>0</v>
      </c>
    </row>
    <row r="171">
      <c r="A171" s="139" t="str">
        <f>IFERROR(__xludf.DUMMYFUNCTION("""COMPUTED_VALUE"""),"20241124_TB@NYG")</f>
        <v>20241124_TB@NYG</v>
      </c>
      <c r="B171" s="139" t="str">
        <f>IFERROR(__xludf.DUMMYFUNCTION("""COMPUTED_VALUE"""),"TB")</f>
        <v>TB</v>
      </c>
      <c r="C171" s="139" t="str">
        <f>IFERROR(__xludf.DUMMYFUNCTION("""COMPUTED_VALUE"""),"NYG")</f>
        <v>NYG</v>
      </c>
      <c r="D171" s="139"/>
      <c r="E171" s="139"/>
      <c r="F171" s="139" t="str">
        <f>IFERROR(__xludf.DUMMYFUNCTION("""COMPUTED_VALUE"""),"Week 12")</f>
        <v>Week 12</v>
      </c>
      <c r="G171" s="139">
        <f>IFERROR(__xludf.DUMMYFUNCTION("""COMPUTED_VALUE"""),0.0)</f>
        <v>0</v>
      </c>
    </row>
    <row r="172">
      <c r="A172" s="139" t="str">
        <f>IFERROR(__xludf.DUMMYFUNCTION("""COMPUTED_VALUE"""),"20241124_SF@GB")</f>
        <v>20241124_SF@GB</v>
      </c>
      <c r="B172" s="139" t="str">
        <f>IFERROR(__xludf.DUMMYFUNCTION("""COMPUTED_VALUE"""),"SF")</f>
        <v>SF</v>
      </c>
      <c r="C172" s="139" t="str">
        <f>IFERROR(__xludf.DUMMYFUNCTION("""COMPUTED_VALUE"""),"GB")</f>
        <v>GB</v>
      </c>
      <c r="D172" s="139"/>
      <c r="E172" s="139"/>
      <c r="F172" s="139" t="str">
        <f>IFERROR(__xludf.DUMMYFUNCTION("""COMPUTED_VALUE"""),"Week 12")</f>
        <v>Week 12</v>
      </c>
      <c r="G172" s="139">
        <f>IFERROR(__xludf.DUMMYFUNCTION("""COMPUTED_VALUE"""),0.0)</f>
        <v>0</v>
      </c>
    </row>
    <row r="173">
      <c r="A173" s="139" t="str">
        <f>IFERROR(__xludf.DUMMYFUNCTION("""COMPUTED_VALUE"""),"20241124_MIN@CHI")</f>
        <v>20241124_MIN@CHI</v>
      </c>
      <c r="B173" s="139" t="str">
        <f>IFERROR(__xludf.DUMMYFUNCTION("""COMPUTED_VALUE"""),"MIN")</f>
        <v>MIN</v>
      </c>
      <c r="C173" s="139" t="str">
        <f>IFERROR(__xludf.DUMMYFUNCTION("""COMPUTED_VALUE"""),"CHI")</f>
        <v>CHI</v>
      </c>
      <c r="D173" s="139"/>
      <c r="E173" s="139"/>
      <c r="F173" s="139" t="str">
        <f>IFERROR(__xludf.DUMMYFUNCTION("""COMPUTED_VALUE"""),"Week 12")</f>
        <v>Week 12</v>
      </c>
      <c r="G173" s="139">
        <f>IFERROR(__xludf.DUMMYFUNCTION("""COMPUTED_VALUE"""),0.0)</f>
        <v>0</v>
      </c>
    </row>
    <row r="174">
      <c r="A174" s="139" t="str">
        <f>IFERROR(__xludf.DUMMYFUNCTION("""COMPUTED_VALUE"""),"20241124_TEN@HOU")</f>
        <v>20241124_TEN@HOU</v>
      </c>
      <c r="B174" s="139" t="str">
        <f>IFERROR(__xludf.DUMMYFUNCTION("""COMPUTED_VALUE"""),"TEN")</f>
        <v>TEN</v>
      </c>
      <c r="C174" s="139" t="str">
        <f>IFERROR(__xludf.DUMMYFUNCTION("""COMPUTED_VALUE"""),"HOU")</f>
        <v>HOU</v>
      </c>
      <c r="D174" s="139"/>
      <c r="E174" s="139"/>
      <c r="F174" s="139" t="str">
        <f>IFERROR(__xludf.DUMMYFUNCTION("""COMPUTED_VALUE"""),"Week 12")</f>
        <v>Week 12</v>
      </c>
      <c r="G174" s="139">
        <f>IFERROR(__xludf.DUMMYFUNCTION("""COMPUTED_VALUE"""),0.0)</f>
        <v>0</v>
      </c>
    </row>
    <row r="175">
      <c r="A175" s="139" t="str">
        <f>IFERROR(__xludf.DUMMYFUNCTION("""COMPUTED_VALUE"""),"20241124_PHI@LAR")</f>
        <v>20241124_PHI@LAR</v>
      </c>
      <c r="B175" s="139" t="str">
        <f>IFERROR(__xludf.DUMMYFUNCTION("""COMPUTED_VALUE"""),"PHI")</f>
        <v>PHI</v>
      </c>
      <c r="C175" s="139" t="str">
        <f>IFERROR(__xludf.DUMMYFUNCTION("""COMPUTED_VALUE"""),"LAR")</f>
        <v>LAR</v>
      </c>
      <c r="D175" s="139"/>
      <c r="E175" s="139"/>
      <c r="F175" s="139" t="str">
        <f>IFERROR(__xludf.DUMMYFUNCTION("""COMPUTED_VALUE"""),"Week 12")</f>
        <v>Week 12</v>
      </c>
      <c r="G175" s="139">
        <f>IFERROR(__xludf.DUMMYFUNCTION("""COMPUTED_VALUE"""),0.0)</f>
        <v>0</v>
      </c>
    </row>
    <row r="176">
      <c r="A176" s="139" t="str">
        <f>IFERROR(__xludf.DUMMYFUNCTION("""COMPUTED_VALUE"""),"20241124_NE@MIA")</f>
        <v>20241124_NE@MIA</v>
      </c>
      <c r="B176" s="139" t="str">
        <f>IFERROR(__xludf.DUMMYFUNCTION("""COMPUTED_VALUE"""),"NE")</f>
        <v>NE</v>
      </c>
      <c r="C176" s="139" t="str">
        <f>IFERROR(__xludf.DUMMYFUNCTION("""COMPUTED_VALUE"""),"MIA")</f>
        <v>MIA</v>
      </c>
      <c r="D176" s="139"/>
      <c r="E176" s="139"/>
      <c r="F176" s="139" t="str">
        <f>IFERROR(__xludf.DUMMYFUNCTION("""COMPUTED_VALUE"""),"Week 12")</f>
        <v>Week 12</v>
      </c>
      <c r="G176" s="139">
        <f>IFERROR(__xludf.DUMMYFUNCTION("""COMPUTED_VALUE"""),0.0)</f>
        <v>0</v>
      </c>
    </row>
    <row r="177">
      <c r="A177" s="139" t="str">
        <f>IFERROR(__xludf.DUMMYFUNCTION("""COMPUTED_VALUE"""),"20241124_DAL@WSH")</f>
        <v>20241124_DAL@WSH</v>
      </c>
      <c r="B177" s="139" t="str">
        <f>IFERROR(__xludf.DUMMYFUNCTION("""COMPUTED_VALUE"""),"DAL")</f>
        <v>DAL</v>
      </c>
      <c r="C177" s="139" t="str">
        <f>IFERROR(__xludf.DUMMYFUNCTION("""COMPUTED_VALUE"""),"WSH")</f>
        <v>WSH</v>
      </c>
      <c r="D177" s="139"/>
      <c r="E177" s="139"/>
      <c r="F177" s="139" t="str">
        <f>IFERROR(__xludf.DUMMYFUNCTION("""COMPUTED_VALUE"""),"Week 12")</f>
        <v>Week 12</v>
      </c>
      <c r="G177" s="139">
        <f>IFERROR(__xludf.DUMMYFUNCTION("""COMPUTED_VALUE"""),0.0)</f>
        <v>0</v>
      </c>
    </row>
    <row r="178">
      <c r="A178" s="139" t="str">
        <f>IFERROR(__xludf.DUMMYFUNCTION("""COMPUTED_VALUE"""),"20241124_DET@IND")</f>
        <v>20241124_DET@IND</v>
      </c>
      <c r="B178" s="139" t="str">
        <f>IFERROR(__xludf.DUMMYFUNCTION("""COMPUTED_VALUE"""),"DET")</f>
        <v>DET</v>
      </c>
      <c r="C178" s="139" t="str">
        <f>IFERROR(__xludf.DUMMYFUNCTION("""COMPUTED_VALUE"""),"IND")</f>
        <v>IND</v>
      </c>
      <c r="D178" s="139"/>
      <c r="E178" s="139"/>
      <c r="F178" s="139" t="str">
        <f>IFERROR(__xludf.DUMMYFUNCTION("""COMPUTED_VALUE"""),"Week 12")</f>
        <v>Week 12</v>
      </c>
      <c r="G178" s="139">
        <f>IFERROR(__xludf.DUMMYFUNCTION("""COMPUTED_VALUE"""),0.0)</f>
        <v>0</v>
      </c>
    </row>
    <row r="179">
      <c r="A179" s="139" t="str">
        <f>IFERROR(__xludf.DUMMYFUNCTION("""COMPUTED_VALUE"""),"20241124_DEN@LV")</f>
        <v>20241124_DEN@LV</v>
      </c>
      <c r="B179" s="139" t="str">
        <f>IFERROR(__xludf.DUMMYFUNCTION("""COMPUTED_VALUE"""),"DEN")</f>
        <v>DEN</v>
      </c>
      <c r="C179" s="139" t="str">
        <f>IFERROR(__xludf.DUMMYFUNCTION("""COMPUTED_VALUE"""),"LV")</f>
        <v>LV</v>
      </c>
      <c r="D179" s="139"/>
      <c r="E179" s="139"/>
      <c r="F179" s="139" t="str">
        <f>IFERROR(__xludf.DUMMYFUNCTION("""COMPUTED_VALUE"""),"Week 12")</f>
        <v>Week 12</v>
      </c>
      <c r="G179" s="139">
        <f>IFERROR(__xludf.DUMMYFUNCTION("""COMPUTED_VALUE"""),0.0)</f>
        <v>0</v>
      </c>
    </row>
    <row r="180">
      <c r="A180" s="139" t="str">
        <f>IFERROR(__xludf.DUMMYFUNCTION("""COMPUTED_VALUE"""),"20241124_KC@CAR")</f>
        <v>20241124_KC@CAR</v>
      </c>
      <c r="B180" s="139" t="str">
        <f>IFERROR(__xludf.DUMMYFUNCTION("""COMPUTED_VALUE"""),"KC")</f>
        <v>KC</v>
      </c>
      <c r="C180" s="139" t="str">
        <f>IFERROR(__xludf.DUMMYFUNCTION("""COMPUTED_VALUE"""),"CAR")</f>
        <v>CAR</v>
      </c>
      <c r="D180" s="139"/>
      <c r="E180" s="139"/>
      <c r="F180" s="139" t="str">
        <f>IFERROR(__xludf.DUMMYFUNCTION("""COMPUTED_VALUE"""),"Week 12")</f>
        <v>Week 12</v>
      </c>
      <c r="G180" s="139">
        <f>IFERROR(__xludf.DUMMYFUNCTION("""COMPUTED_VALUE"""),0.0)</f>
        <v>0</v>
      </c>
    </row>
    <row r="181">
      <c r="A181" s="139" t="str">
        <f>IFERROR(__xludf.DUMMYFUNCTION("""COMPUTED_VALUE"""),"20241202_CLE@DEN")</f>
        <v>20241202_CLE@DEN</v>
      </c>
      <c r="B181" s="139" t="str">
        <f>IFERROR(__xludf.DUMMYFUNCTION("""COMPUTED_VALUE"""),"CLE")</f>
        <v>CLE</v>
      </c>
      <c r="C181" s="139" t="str">
        <f>IFERROR(__xludf.DUMMYFUNCTION("""COMPUTED_VALUE"""),"DEN")</f>
        <v>DEN</v>
      </c>
      <c r="D181" s="139"/>
      <c r="E181" s="139"/>
      <c r="F181" s="139" t="str">
        <f>IFERROR(__xludf.DUMMYFUNCTION("""COMPUTED_VALUE"""),"Week 13")</f>
        <v>Week 13</v>
      </c>
      <c r="G181" s="139">
        <f>IFERROR(__xludf.DUMMYFUNCTION("""COMPUTED_VALUE"""),0.0)</f>
        <v>0</v>
      </c>
    </row>
    <row r="182">
      <c r="A182" s="139" t="str">
        <f>IFERROR(__xludf.DUMMYFUNCTION("""COMPUTED_VALUE"""),"20241201_TEN@WSH")</f>
        <v>20241201_TEN@WSH</v>
      </c>
      <c r="B182" s="139" t="str">
        <f>IFERROR(__xludf.DUMMYFUNCTION("""COMPUTED_VALUE"""),"TEN")</f>
        <v>TEN</v>
      </c>
      <c r="C182" s="139" t="str">
        <f>IFERROR(__xludf.DUMMYFUNCTION("""COMPUTED_VALUE"""),"WSH")</f>
        <v>WSH</v>
      </c>
      <c r="D182" s="139"/>
      <c r="E182" s="139"/>
      <c r="F182" s="139" t="str">
        <f>IFERROR(__xludf.DUMMYFUNCTION("""COMPUTED_VALUE"""),"Week 13")</f>
        <v>Week 13</v>
      </c>
      <c r="G182" s="139">
        <f>IFERROR(__xludf.DUMMYFUNCTION("""COMPUTED_VALUE"""),0.0)</f>
        <v>0</v>
      </c>
    </row>
    <row r="183">
      <c r="A183" s="139" t="str">
        <f>IFERROR(__xludf.DUMMYFUNCTION("""COMPUTED_VALUE"""),"20241201_ARI@MIN")</f>
        <v>20241201_ARI@MIN</v>
      </c>
      <c r="B183" s="139" t="str">
        <f>IFERROR(__xludf.DUMMYFUNCTION("""COMPUTED_VALUE"""),"ARI")</f>
        <v>ARI</v>
      </c>
      <c r="C183" s="139" t="str">
        <f>IFERROR(__xludf.DUMMYFUNCTION("""COMPUTED_VALUE"""),"MIN")</f>
        <v>MIN</v>
      </c>
      <c r="D183" s="139"/>
      <c r="E183" s="139"/>
      <c r="F183" s="139" t="str">
        <f>IFERROR(__xludf.DUMMYFUNCTION("""COMPUTED_VALUE"""),"Week 13")</f>
        <v>Week 13</v>
      </c>
      <c r="G183" s="139">
        <f>IFERROR(__xludf.DUMMYFUNCTION("""COMPUTED_VALUE"""),0.0)</f>
        <v>0</v>
      </c>
    </row>
    <row r="184">
      <c r="A184" s="139" t="str">
        <f>IFERROR(__xludf.DUMMYFUNCTION("""COMPUTED_VALUE"""),"20241201_IND@NE")</f>
        <v>20241201_IND@NE</v>
      </c>
      <c r="B184" s="139" t="str">
        <f>IFERROR(__xludf.DUMMYFUNCTION("""COMPUTED_VALUE"""),"IND")</f>
        <v>IND</v>
      </c>
      <c r="C184" s="139" t="str">
        <f>IFERROR(__xludf.DUMMYFUNCTION("""COMPUTED_VALUE"""),"NE")</f>
        <v>NE</v>
      </c>
      <c r="D184" s="139"/>
      <c r="E184" s="139"/>
      <c r="F184" s="139" t="str">
        <f>IFERROR(__xludf.DUMMYFUNCTION("""COMPUTED_VALUE"""),"Week 13")</f>
        <v>Week 13</v>
      </c>
      <c r="G184" s="139">
        <f>IFERROR(__xludf.DUMMYFUNCTION("""COMPUTED_VALUE"""),0.0)</f>
        <v>0</v>
      </c>
    </row>
    <row r="185">
      <c r="A185" s="139" t="str">
        <f>IFERROR(__xludf.DUMMYFUNCTION("""COMPUTED_VALUE"""),"20241201_LAR@NO")</f>
        <v>20241201_LAR@NO</v>
      </c>
      <c r="B185" s="139" t="str">
        <f>IFERROR(__xludf.DUMMYFUNCTION("""COMPUTED_VALUE"""),"LAR")</f>
        <v>LAR</v>
      </c>
      <c r="C185" s="139" t="str">
        <f>IFERROR(__xludf.DUMMYFUNCTION("""COMPUTED_VALUE"""),"NO")</f>
        <v>NO</v>
      </c>
      <c r="D185" s="139"/>
      <c r="E185" s="139"/>
      <c r="F185" s="139" t="str">
        <f>IFERROR(__xludf.DUMMYFUNCTION("""COMPUTED_VALUE"""),"Week 13")</f>
        <v>Week 13</v>
      </c>
      <c r="G185" s="139">
        <f>IFERROR(__xludf.DUMMYFUNCTION("""COMPUTED_VALUE"""),0.0)</f>
        <v>0</v>
      </c>
    </row>
    <row r="186">
      <c r="A186" s="139" t="str">
        <f>IFERROR(__xludf.DUMMYFUNCTION("""COMPUTED_VALUE"""),"20241201_LAC@ATL")</f>
        <v>20241201_LAC@ATL</v>
      </c>
      <c r="B186" s="139" t="str">
        <f>IFERROR(__xludf.DUMMYFUNCTION("""COMPUTED_VALUE"""),"LAC")</f>
        <v>LAC</v>
      </c>
      <c r="C186" s="139" t="str">
        <f>IFERROR(__xludf.DUMMYFUNCTION("""COMPUTED_VALUE"""),"ATL")</f>
        <v>ATL</v>
      </c>
      <c r="D186" s="139"/>
      <c r="E186" s="139"/>
      <c r="F186" s="139" t="str">
        <f>IFERROR(__xludf.DUMMYFUNCTION("""COMPUTED_VALUE"""),"Week 13")</f>
        <v>Week 13</v>
      </c>
      <c r="G186" s="139">
        <f>IFERROR(__xludf.DUMMYFUNCTION("""COMPUTED_VALUE"""),0.0)</f>
        <v>0</v>
      </c>
    </row>
    <row r="187">
      <c r="A187" s="139" t="str">
        <f>IFERROR(__xludf.DUMMYFUNCTION("""COMPUTED_VALUE"""),"20241201_SF@BUF")</f>
        <v>20241201_SF@BUF</v>
      </c>
      <c r="B187" s="139" t="str">
        <f>IFERROR(__xludf.DUMMYFUNCTION("""COMPUTED_VALUE"""),"SF")</f>
        <v>SF</v>
      </c>
      <c r="C187" s="139" t="str">
        <f>IFERROR(__xludf.DUMMYFUNCTION("""COMPUTED_VALUE"""),"BUF")</f>
        <v>BUF</v>
      </c>
      <c r="D187" s="139"/>
      <c r="E187" s="139"/>
      <c r="F187" s="139" t="str">
        <f>IFERROR(__xludf.DUMMYFUNCTION("""COMPUTED_VALUE"""),"Week 13")</f>
        <v>Week 13</v>
      </c>
      <c r="G187" s="139">
        <f>IFERROR(__xludf.DUMMYFUNCTION("""COMPUTED_VALUE"""),0.0)</f>
        <v>0</v>
      </c>
    </row>
    <row r="188">
      <c r="A188" s="139" t="str">
        <f>IFERROR(__xludf.DUMMYFUNCTION("""COMPUTED_VALUE"""),"20241201_HOU@JAX")</f>
        <v>20241201_HOU@JAX</v>
      </c>
      <c r="B188" s="139" t="str">
        <f>IFERROR(__xludf.DUMMYFUNCTION("""COMPUTED_VALUE"""),"HOU")</f>
        <v>HOU</v>
      </c>
      <c r="C188" s="139" t="str">
        <f>IFERROR(__xludf.DUMMYFUNCTION("""COMPUTED_VALUE"""),"JAX")</f>
        <v>JAX</v>
      </c>
      <c r="D188" s="139"/>
      <c r="E188" s="139"/>
      <c r="F188" s="139" t="str">
        <f>IFERROR(__xludf.DUMMYFUNCTION("""COMPUTED_VALUE"""),"Week 13")</f>
        <v>Week 13</v>
      </c>
      <c r="G188" s="139">
        <f>IFERROR(__xludf.DUMMYFUNCTION("""COMPUTED_VALUE"""),0.0)</f>
        <v>0</v>
      </c>
    </row>
    <row r="189">
      <c r="A189" s="139" t="str">
        <f>IFERROR(__xludf.DUMMYFUNCTION("""COMPUTED_VALUE"""),"20241201_PHI@BAL")</f>
        <v>20241201_PHI@BAL</v>
      </c>
      <c r="B189" s="139" t="str">
        <f>IFERROR(__xludf.DUMMYFUNCTION("""COMPUTED_VALUE"""),"PHI")</f>
        <v>PHI</v>
      </c>
      <c r="C189" s="139" t="str">
        <f>IFERROR(__xludf.DUMMYFUNCTION("""COMPUTED_VALUE"""),"BAL")</f>
        <v>BAL</v>
      </c>
      <c r="D189" s="139"/>
      <c r="E189" s="139"/>
      <c r="F189" s="139" t="str">
        <f>IFERROR(__xludf.DUMMYFUNCTION("""COMPUTED_VALUE"""),"Week 13")</f>
        <v>Week 13</v>
      </c>
      <c r="G189" s="139">
        <f>IFERROR(__xludf.DUMMYFUNCTION("""COMPUTED_VALUE"""),0.0)</f>
        <v>0</v>
      </c>
    </row>
    <row r="190">
      <c r="A190" s="139" t="str">
        <f>IFERROR(__xludf.DUMMYFUNCTION("""COMPUTED_VALUE"""),"20241201_PIT@CIN")</f>
        <v>20241201_PIT@CIN</v>
      </c>
      <c r="B190" s="139" t="str">
        <f>IFERROR(__xludf.DUMMYFUNCTION("""COMPUTED_VALUE"""),"PIT")</f>
        <v>PIT</v>
      </c>
      <c r="C190" s="139" t="str">
        <f>IFERROR(__xludf.DUMMYFUNCTION("""COMPUTED_VALUE"""),"CIN")</f>
        <v>CIN</v>
      </c>
      <c r="D190" s="139"/>
      <c r="E190" s="139"/>
      <c r="F190" s="139" t="str">
        <f>IFERROR(__xludf.DUMMYFUNCTION("""COMPUTED_VALUE"""),"Week 13")</f>
        <v>Week 13</v>
      </c>
      <c r="G190" s="139">
        <f>IFERROR(__xludf.DUMMYFUNCTION("""COMPUTED_VALUE"""),0.0)</f>
        <v>0</v>
      </c>
    </row>
    <row r="191">
      <c r="A191" s="139" t="str">
        <f>IFERROR(__xludf.DUMMYFUNCTION("""COMPUTED_VALUE"""),"20241201_TB@CAR")</f>
        <v>20241201_TB@CAR</v>
      </c>
      <c r="B191" s="139" t="str">
        <f>IFERROR(__xludf.DUMMYFUNCTION("""COMPUTED_VALUE"""),"TB")</f>
        <v>TB</v>
      </c>
      <c r="C191" s="139" t="str">
        <f>IFERROR(__xludf.DUMMYFUNCTION("""COMPUTED_VALUE"""),"CAR")</f>
        <v>CAR</v>
      </c>
      <c r="D191" s="139"/>
      <c r="E191" s="139"/>
      <c r="F191" s="139" t="str">
        <f>IFERROR(__xludf.DUMMYFUNCTION("""COMPUTED_VALUE"""),"Week 13")</f>
        <v>Week 13</v>
      </c>
      <c r="G191" s="139">
        <f>IFERROR(__xludf.DUMMYFUNCTION("""COMPUTED_VALUE"""),0.0)</f>
        <v>0</v>
      </c>
    </row>
    <row r="192">
      <c r="A192" s="139" t="str">
        <f>IFERROR(__xludf.DUMMYFUNCTION("""COMPUTED_VALUE"""),"20241201_SEA@NYJ")</f>
        <v>20241201_SEA@NYJ</v>
      </c>
      <c r="B192" s="139" t="str">
        <f>IFERROR(__xludf.DUMMYFUNCTION("""COMPUTED_VALUE"""),"SEA")</f>
        <v>SEA</v>
      </c>
      <c r="C192" s="139" t="str">
        <f>IFERROR(__xludf.DUMMYFUNCTION("""COMPUTED_VALUE"""),"NYJ")</f>
        <v>NYJ</v>
      </c>
      <c r="D192" s="139"/>
      <c r="E192" s="139"/>
      <c r="F192" s="139" t="str">
        <f>IFERROR(__xludf.DUMMYFUNCTION("""COMPUTED_VALUE"""),"Week 13")</f>
        <v>Week 13</v>
      </c>
      <c r="G192" s="139">
        <f>IFERROR(__xludf.DUMMYFUNCTION("""COMPUTED_VALUE"""),0.0)</f>
        <v>0</v>
      </c>
    </row>
    <row r="193">
      <c r="A193" s="139" t="str">
        <f>IFERROR(__xludf.DUMMYFUNCTION("""COMPUTED_VALUE"""),"20241129_LV@KC")</f>
        <v>20241129_LV@KC</v>
      </c>
      <c r="B193" s="139" t="str">
        <f>IFERROR(__xludf.DUMMYFUNCTION("""COMPUTED_VALUE"""),"LV")</f>
        <v>LV</v>
      </c>
      <c r="C193" s="139" t="str">
        <f>IFERROR(__xludf.DUMMYFUNCTION("""COMPUTED_VALUE"""),"KC")</f>
        <v>KC</v>
      </c>
      <c r="D193" s="139"/>
      <c r="E193" s="139"/>
      <c r="F193" s="139" t="str">
        <f>IFERROR(__xludf.DUMMYFUNCTION("""COMPUTED_VALUE"""),"Week 13")</f>
        <v>Week 13</v>
      </c>
      <c r="G193" s="139">
        <f>IFERROR(__xludf.DUMMYFUNCTION("""COMPUTED_VALUE"""),0.0)</f>
        <v>0</v>
      </c>
    </row>
    <row r="194">
      <c r="A194" s="139" t="str">
        <f>IFERROR(__xludf.DUMMYFUNCTION("""COMPUTED_VALUE"""),"20241128_NYG@DAL")</f>
        <v>20241128_NYG@DAL</v>
      </c>
      <c r="B194" s="139" t="str">
        <f>IFERROR(__xludf.DUMMYFUNCTION("""COMPUTED_VALUE"""),"NYG")</f>
        <v>NYG</v>
      </c>
      <c r="C194" s="139" t="str">
        <f>IFERROR(__xludf.DUMMYFUNCTION("""COMPUTED_VALUE"""),"DAL")</f>
        <v>DAL</v>
      </c>
      <c r="D194" s="139"/>
      <c r="E194" s="139"/>
      <c r="F194" s="139" t="str">
        <f>IFERROR(__xludf.DUMMYFUNCTION("""COMPUTED_VALUE"""),"Week 13")</f>
        <v>Week 13</v>
      </c>
      <c r="G194" s="139">
        <f>IFERROR(__xludf.DUMMYFUNCTION("""COMPUTED_VALUE"""),0.0)</f>
        <v>0</v>
      </c>
    </row>
    <row r="195">
      <c r="A195" s="139" t="str">
        <f>IFERROR(__xludf.DUMMYFUNCTION("""COMPUTED_VALUE"""),"20241128_MIA@GB")</f>
        <v>20241128_MIA@GB</v>
      </c>
      <c r="B195" s="139" t="str">
        <f>IFERROR(__xludf.DUMMYFUNCTION("""COMPUTED_VALUE"""),"MIA")</f>
        <v>MIA</v>
      </c>
      <c r="C195" s="139" t="str">
        <f>IFERROR(__xludf.DUMMYFUNCTION("""COMPUTED_VALUE"""),"GB")</f>
        <v>GB</v>
      </c>
      <c r="D195" s="139"/>
      <c r="E195" s="139"/>
      <c r="F195" s="139" t="str">
        <f>IFERROR(__xludf.DUMMYFUNCTION("""COMPUTED_VALUE"""),"Week 13")</f>
        <v>Week 13</v>
      </c>
      <c r="G195" s="139">
        <f>IFERROR(__xludf.DUMMYFUNCTION("""COMPUTED_VALUE"""),0.0)</f>
        <v>0</v>
      </c>
    </row>
    <row r="196">
      <c r="A196" s="139" t="str">
        <f>IFERROR(__xludf.DUMMYFUNCTION("""COMPUTED_VALUE"""),"20241128_CHI@DET")</f>
        <v>20241128_CHI@DET</v>
      </c>
      <c r="B196" s="139" t="str">
        <f>IFERROR(__xludf.DUMMYFUNCTION("""COMPUTED_VALUE"""),"CHI")</f>
        <v>CHI</v>
      </c>
      <c r="C196" s="139" t="str">
        <f>IFERROR(__xludf.DUMMYFUNCTION("""COMPUTED_VALUE"""),"DET")</f>
        <v>DET</v>
      </c>
      <c r="D196" s="139"/>
      <c r="E196" s="139"/>
      <c r="F196" s="139" t="str">
        <f>IFERROR(__xludf.DUMMYFUNCTION("""COMPUTED_VALUE"""),"Week 13")</f>
        <v>Week 13</v>
      </c>
      <c r="G196" s="139">
        <f>IFERROR(__xludf.DUMMYFUNCTION("""COMPUTED_VALUE"""),0.0)</f>
        <v>0</v>
      </c>
    </row>
    <row r="197">
      <c r="A197" s="139" t="str">
        <f>IFERROR(__xludf.DUMMYFUNCTION("""COMPUTED_VALUE"""),"20241209_CIN@DAL")</f>
        <v>20241209_CIN@DAL</v>
      </c>
      <c r="B197" s="139" t="str">
        <f>IFERROR(__xludf.DUMMYFUNCTION("""COMPUTED_VALUE"""),"CIN")</f>
        <v>CIN</v>
      </c>
      <c r="C197" s="139" t="str">
        <f>IFERROR(__xludf.DUMMYFUNCTION("""COMPUTED_VALUE"""),"DAL")</f>
        <v>DAL</v>
      </c>
      <c r="D197" s="139"/>
      <c r="E197" s="139"/>
      <c r="F197" s="139" t="str">
        <f>IFERROR(__xludf.DUMMYFUNCTION("""COMPUTED_VALUE"""),"Week 14")</f>
        <v>Week 14</v>
      </c>
      <c r="G197" s="139">
        <f>IFERROR(__xludf.DUMMYFUNCTION("""COMPUTED_VALUE"""),0.0)</f>
        <v>0</v>
      </c>
    </row>
    <row r="198">
      <c r="A198" s="139" t="str">
        <f>IFERROR(__xludf.DUMMYFUNCTION("""COMPUTED_VALUE"""),"20241205_GB@DET")</f>
        <v>20241205_GB@DET</v>
      </c>
      <c r="B198" s="139" t="str">
        <f>IFERROR(__xludf.DUMMYFUNCTION("""COMPUTED_VALUE"""),"GB")</f>
        <v>GB</v>
      </c>
      <c r="C198" s="139" t="str">
        <f>IFERROR(__xludf.DUMMYFUNCTION("""COMPUTED_VALUE"""),"DET")</f>
        <v>DET</v>
      </c>
      <c r="D198" s="139"/>
      <c r="E198" s="139"/>
      <c r="F198" s="139" t="str">
        <f>IFERROR(__xludf.DUMMYFUNCTION("""COMPUTED_VALUE"""),"Week 14")</f>
        <v>Week 14</v>
      </c>
      <c r="G198" s="139">
        <f>IFERROR(__xludf.DUMMYFUNCTION("""COMPUTED_VALUE"""),0.0)</f>
        <v>0</v>
      </c>
    </row>
    <row r="199">
      <c r="A199" s="139" t="str">
        <f>IFERROR(__xludf.DUMMYFUNCTION("""COMPUTED_VALUE"""),"20241208_LV@TB")</f>
        <v>20241208_LV@TB</v>
      </c>
      <c r="B199" s="139" t="str">
        <f>IFERROR(__xludf.DUMMYFUNCTION("""COMPUTED_VALUE"""),"LV")</f>
        <v>LV</v>
      </c>
      <c r="C199" s="139" t="str">
        <f>IFERROR(__xludf.DUMMYFUNCTION("""COMPUTED_VALUE"""),"TB")</f>
        <v>TB</v>
      </c>
      <c r="D199" s="139"/>
      <c r="E199" s="139"/>
      <c r="F199" s="139" t="str">
        <f>IFERROR(__xludf.DUMMYFUNCTION("""COMPUTED_VALUE"""),"Week 14")</f>
        <v>Week 14</v>
      </c>
      <c r="G199" s="139">
        <f>IFERROR(__xludf.DUMMYFUNCTION("""COMPUTED_VALUE"""),0.0)</f>
        <v>0</v>
      </c>
    </row>
    <row r="200">
      <c r="A200" s="139" t="str">
        <f>IFERROR(__xludf.DUMMYFUNCTION("""COMPUTED_VALUE"""),"20241208_NO@NYG")</f>
        <v>20241208_NO@NYG</v>
      </c>
      <c r="B200" s="139" t="str">
        <f>IFERROR(__xludf.DUMMYFUNCTION("""COMPUTED_VALUE"""),"NO")</f>
        <v>NO</v>
      </c>
      <c r="C200" s="139" t="str">
        <f>IFERROR(__xludf.DUMMYFUNCTION("""COMPUTED_VALUE"""),"NYG")</f>
        <v>NYG</v>
      </c>
      <c r="D200" s="139"/>
      <c r="E200" s="139"/>
      <c r="F200" s="139" t="str">
        <f>IFERROR(__xludf.DUMMYFUNCTION("""COMPUTED_VALUE"""),"Week 14")</f>
        <v>Week 14</v>
      </c>
      <c r="G200" s="139">
        <f>IFERROR(__xludf.DUMMYFUNCTION("""COMPUTED_VALUE"""),0.0)</f>
        <v>0</v>
      </c>
    </row>
    <row r="201">
      <c r="A201" s="139" t="str">
        <f>IFERROR(__xludf.DUMMYFUNCTION("""COMPUTED_VALUE"""),"20241208_NYJ@MIA")</f>
        <v>20241208_NYJ@MIA</v>
      </c>
      <c r="B201" s="139" t="str">
        <f>IFERROR(__xludf.DUMMYFUNCTION("""COMPUTED_VALUE"""),"NYJ")</f>
        <v>NYJ</v>
      </c>
      <c r="C201" s="139" t="str">
        <f>IFERROR(__xludf.DUMMYFUNCTION("""COMPUTED_VALUE"""),"MIA")</f>
        <v>MIA</v>
      </c>
      <c r="D201" s="139"/>
      <c r="E201" s="139"/>
      <c r="F201" s="139" t="str">
        <f>IFERROR(__xludf.DUMMYFUNCTION("""COMPUTED_VALUE"""),"Week 14")</f>
        <v>Week 14</v>
      </c>
      <c r="G201" s="139">
        <f>IFERROR(__xludf.DUMMYFUNCTION("""COMPUTED_VALUE"""),0.0)</f>
        <v>0</v>
      </c>
    </row>
    <row r="202">
      <c r="A202" s="139" t="str">
        <f>IFERROR(__xludf.DUMMYFUNCTION("""COMPUTED_VALUE"""),"20241208_BUF@LAR")</f>
        <v>20241208_BUF@LAR</v>
      </c>
      <c r="B202" s="139" t="str">
        <f>IFERROR(__xludf.DUMMYFUNCTION("""COMPUTED_VALUE"""),"BUF")</f>
        <v>BUF</v>
      </c>
      <c r="C202" s="139" t="str">
        <f>IFERROR(__xludf.DUMMYFUNCTION("""COMPUTED_VALUE"""),"LAR")</f>
        <v>LAR</v>
      </c>
      <c r="D202" s="139"/>
      <c r="E202" s="139"/>
      <c r="F202" s="139" t="str">
        <f>IFERROR(__xludf.DUMMYFUNCTION("""COMPUTED_VALUE"""),"Week 14")</f>
        <v>Week 14</v>
      </c>
      <c r="G202" s="139">
        <f>IFERROR(__xludf.DUMMYFUNCTION("""COMPUTED_VALUE"""),0.0)</f>
        <v>0</v>
      </c>
    </row>
    <row r="203">
      <c r="A203" s="139" t="str">
        <f>IFERROR(__xludf.DUMMYFUNCTION("""COMPUTED_VALUE"""),"20241208_CLE@PIT")</f>
        <v>20241208_CLE@PIT</v>
      </c>
      <c r="B203" s="139" t="str">
        <f>IFERROR(__xludf.DUMMYFUNCTION("""COMPUTED_VALUE"""),"CLE")</f>
        <v>CLE</v>
      </c>
      <c r="C203" s="139" t="str">
        <f>IFERROR(__xludf.DUMMYFUNCTION("""COMPUTED_VALUE"""),"PIT")</f>
        <v>PIT</v>
      </c>
      <c r="D203" s="139"/>
      <c r="E203" s="139"/>
      <c r="F203" s="139" t="str">
        <f>IFERROR(__xludf.DUMMYFUNCTION("""COMPUTED_VALUE"""),"Week 14")</f>
        <v>Week 14</v>
      </c>
      <c r="G203" s="139">
        <f>IFERROR(__xludf.DUMMYFUNCTION("""COMPUTED_VALUE"""),0.0)</f>
        <v>0</v>
      </c>
    </row>
    <row r="204">
      <c r="A204" s="139" t="str">
        <f>IFERROR(__xludf.DUMMYFUNCTION("""COMPUTED_VALUE"""),"20241208_LAC@KC")</f>
        <v>20241208_LAC@KC</v>
      </c>
      <c r="B204" s="139" t="str">
        <f>IFERROR(__xludf.DUMMYFUNCTION("""COMPUTED_VALUE"""),"LAC")</f>
        <v>LAC</v>
      </c>
      <c r="C204" s="139" t="str">
        <f>IFERROR(__xludf.DUMMYFUNCTION("""COMPUTED_VALUE"""),"KC")</f>
        <v>KC</v>
      </c>
      <c r="D204" s="139"/>
      <c r="E204" s="139"/>
      <c r="F204" s="139" t="str">
        <f>IFERROR(__xludf.DUMMYFUNCTION("""COMPUTED_VALUE"""),"Week 14")</f>
        <v>Week 14</v>
      </c>
      <c r="G204" s="139">
        <f>IFERROR(__xludf.DUMMYFUNCTION("""COMPUTED_VALUE"""),0.0)</f>
        <v>0</v>
      </c>
    </row>
    <row r="205">
      <c r="A205" s="139" t="str">
        <f>IFERROR(__xludf.DUMMYFUNCTION("""COMPUTED_VALUE"""),"20241208_ATL@MIN")</f>
        <v>20241208_ATL@MIN</v>
      </c>
      <c r="B205" s="139" t="str">
        <f>IFERROR(__xludf.DUMMYFUNCTION("""COMPUTED_VALUE"""),"ATL")</f>
        <v>ATL</v>
      </c>
      <c r="C205" s="139" t="str">
        <f>IFERROR(__xludf.DUMMYFUNCTION("""COMPUTED_VALUE"""),"MIN")</f>
        <v>MIN</v>
      </c>
      <c r="D205" s="139"/>
      <c r="E205" s="139"/>
      <c r="F205" s="139" t="str">
        <f>IFERROR(__xludf.DUMMYFUNCTION("""COMPUTED_VALUE"""),"Week 14")</f>
        <v>Week 14</v>
      </c>
      <c r="G205" s="139">
        <f>IFERROR(__xludf.DUMMYFUNCTION("""COMPUTED_VALUE"""),0.0)</f>
        <v>0</v>
      </c>
    </row>
    <row r="206">
      <c r="A206" s="139" t="str">
        <f>IFERROR(__xludf.DUMMYFUNCTION("""COMPUTED_VALUE"""),"20241208_CAR@PHI")</f>
        <v>20241208_CAR@PHI</v>
      </c>
      <c r="B206" s="139" t="str">
        <f>IFERROR(__xludf.DUMMYFUNCTION("""COMPUTED_VALUE"""),"CAR")</f>
        <v>CAR</v>
      </c>
      <c r="C206" s="139" t="str">
        <f>IFERROR(__xludf.DUMMYFUNCTION("""COMPUTED_VALUE"""),"PHI")</f>
        <v>PHI</v>
      </c>
      <c r="D206" s="139"/>
      <c r="E206" s="139"/>
      <c r="F206" s="139" t="str">
        <f>IFERROR(__xludf.DUMMYFUNCTION("""COMPUTED_VALUE"""),"Week 14")</f>
        <v>Week 14</v>
      </c>
      <c r="G206" s="139">
        <f>IFERROR(__xludf.DUMMYFUNCTION("""COMPUTED_VALUE"""),0.0)</f>
        <v>0</v>
      </c>
    </row>
    <row r="207">
      <c r="A207" s="139" t="str">
        <f>IFERROR(__xludf.DUMMYFUNCTION("""COMPUTED_VALUE"""),"20241208_CHI@SF")</f>
        <v>20241208_CHI@SF</v>
      </c>
      <c r="B207" s="139" t="str">
        <f>IFERROR(__xludf.DUMMYFUNCTION("""COMPUTED_VALUE"""),"CHI")</f>
        <v>CHI</v>
      </c>
      <c r="C207" s="139" t="str">
        <f>IFERROR(__xludf.DUMMYFUNCTION("""COMPUTED_VALUE"""),"SF")</f>
        <v>SF</v>
      </c>
      <c r="D207" s="139"/>
      <c r="E207" s="139"/>
      <c r="F207" s="139" t="str">
        <f>IFERROR(__xludf.DUMMYFUNCTION("""COMPUTED_VALUE"""),"Week 14")</f>
        <v>Week 14</v>
      </c>
      <c r="G207" s="139">
        <f>IFERROR(__xludf.DUMMYFUNCTION("""COMPUTED_VALUE"""),0.0)</f>
        <v>0</v>
      </c>
    </row>
    <row r="208">
      <c r="A208" s="139" t="str">
        <f>IFERROR(__xludf.DUMMYFUNCTION("""COMPUTED_VALUE"""),"20241208_SEA@ARI")</f>
        <v>20241208_SEA@ARI</v>
      </c>
      <c r="B208" s="139" t="str">
        <f>IFERROR(__xludf.DUMMYFUNCTION("""COMPUTED_VALUE"""),"SEA")</f>
        <v>SEA</v>
      </c>
      <c r="C208" s="139" t="str">
        <f>IFERROR(__xludf.DUMMYFUNCTION("""COMPUTED_VALUE"""),"ARI")</f>
        <v>ARI</v>
      </c>
      <c r="D208" s="139"/>
      <c r="E208" s="139"/>
      <c r="F208" s="139" t="str">
        <f>IFERROR(__xludf.DUMMYFUNCTION("""COMPUTED_VALUE"""),"Week 14")</f>
        <v>Week 14</v>
      </c>
      <c r="G208" s="139">
        <f>IFERROR(__xludf.DUMMYFUNCTION("""COMPUTED_VALUE"""),0.0)</f>
        <v>0</v>
      </c>
    </row>
    <row r="209">
      <c r="A209" s="139" t="str">
        <f>IFERROR(__xludf.DUMMYFUNCTION("""COMPUTED_VALUE"""),"20241208_JAX@TEN")</f>
        <v>20241208_JAX@TEN</v>
      </c>
      <c r="B209" s="139" t="str">
        <f>IFERROR(__xludf.DUMMYFUNCTION("""COMPUTED_VALUE"""),"JAX")</f>
        <v>JAX</v>
      </c>
      <c r="C209" s="139" t="str">
        <f>IFERROR(__xludf.DUMMYFUNCTION("""COMPUTED_VALUE"""),"TEN")</f>
        <v>TEN</v>
      </c>
      <c r="D209" s="139"/>
      <c r="E209" s="139"/>
      <c r="F209" s="139" t="str">
        <f>IFERROR(__xludf.DUMMYFUNCTION("""COMPUTED_VALUE"""),"Week 14")</f>
        <v>Week 14</v>
      </c>
      <c r="G209" s="139">
        <f>IFERROR(__xludf.DUMMYFUNCTION("""COMPUTED_VALUE"""),0.0)</f>
        <v>0</v>
      </c>
    </row>
    <row r="210">
      <c r="A210" s="139" t="str">
        <f>IFERROR(__xludf.DUMMYFUNCTION("""COMPUTED_VALUE"""),"20241216_ATL@LV")</f>
        <v>20241216_ATL@LV</v>
      </c>
      <c r="B210" s="139" t="str">
        <f>IFERROR(__xludf.DUMMYFUNCTION("""COMPUTED_VALUE"""),"ATL")</f>
        <v>ATL</v>
      </c>
      <c r="C210" s="139" t="str">
        <f>IFERROR(__xludf.DUMMYFUNCTION("""COMPUTED_VALUE"""),"LV")</f>
        <v>LV</v>
      </c>
      <c r="D210" s="139"/>
      <c r="E210" s="139"/>
      <c r="F210" s="139" t="str">
        <f>IFERROR(__xludf.DUMMYFUNCTION("""COMPUTED_VALUE"""),"Week 15")</f>
        <v>Week 15</v>
      </c>
      <c r="G210" s="139">
        <f>IFERROR(__xludf.DUMMYFUNCTION("""COMPUTED_VALUE"""),0.0)</f>
        <v>0</v>
      </c>
    </row>
    <row r="211">
      <c r="A211" s="139" t="str">
        <f>IFERROR(__xludf.DUMMYFUNCTION("""COMPUTED_VALUE"""),"20241216_CHI@MIN")</f>
        <v>20241216_CHI@MIN</v>
      </c>
      <c r="B211" s="139" t="str">
        <f>IFERROR(__xludf.DUMMYFUNCTION("""COMPUTED_VALUE"""),"CHI")</f>
        <v>CHI</v>
      </c>
      <c r="C211" s="139" t="str">
        <f>IFERROR(__xludf.DUMMYFUNCTION("""COMPUTED_VALUE"""),"MIN")</f>
        <v>MIN</v>
      </c>
      <c r="D211" s="139"/>
      <c r="E211" s="139"/>
      <c r="F211" s="139" t="str">
        <f>IFERROR(__xludf.DUMMYFUNCTION("""COMPUTED_VALUE"""),"Week 15")</f>
        <v>Week 15</v>
      </c>
      <c r="G211" s="139">
        <f>IFERROR(__xludf.DUMMYFUNCTION("""COMPUTED_VALUE"""),0.0)</f>
        <v>0</v>
      </c>
    </row>
    <row r="212">
      <c r="A212" s="139" t="str">
        <f>IFERROR(__xludf.DUMMYFUNCTION("""COMPUTED_VALUE"""),"20241212_LAR@SF")</f>
        <v>20241212_LAR@SF</v>
      </c>
      <c r="B212" s="139" t="str">
        <f>IFERROR(__xludf.DUMMYFUNCTION("""COMPUTED_VALUE"""),"LAR")</f>
        <v>LAR</v>
      </c>
      <c r="C212" s="139" t="str">
        <f>IFERROR(__xludf.DUMMYFUNCTION("""COMPUTED_VALUE"""),"SF")</f>
        <v>SF</v>
      </c>
      <c r="D212" s="139"/>
      <c r="E212" s="139"/>
      <c r="F212" s="139" t="str">
        <f>IFERROR(__xludf.DUMMYFUNCTION("""COMPUTED_VALUE"""),"Week 15")</f>
        <v>Week 15</v>
      </c>
      <c r="G212" s="139">
        <f>IFERROR(__xludf.DUMMYFUNCTION("""COMPUTED_VALUE"""),0.0)</f>
        <v>0</v>
      </c>
    </row>
    <row r="213">
      <c r="A213" s="139" t="str">
        <f>IFERROR(__xludf.DUMMYFUNCTION("""COMPUTED_VALUE"""),"20241215_KC@CLE")</f>
        <v>20241215_KC@CLE</v>
      </c>
      <c r="B213" s="139" t="str">
        <f>IFERROR(__xludf.DUMMYFUNCTION("""COMPUTED_VALUE"""),"KC")</f>
        <v>KC</v>
      </c>
      <c r="C213" s="139" t="str">
        <f>IFERROR(__xludf.DUMMYFUNCTION("""COMPUTED_VALUE"""),"CLE")</f>
        <v>CLE</v>
      </c>
      <c r="D213" s="139"/>
      <c r="E213" s="139"/>
      <c r="F213" s="139" t="str">
        <f>IFERROR(__xludf.DUMMYFUNCTION("""COMPUTED_VALUE"""),"Week 15")</f>
        <v>Week 15</v>
      </c>
      <c r="G213" s="139">
        <f>IFERROR(__xludf.DUMMYFUNCTION("""COMPUTED_VALUE"""),0.0)</f>
        <v>0</v>
      </c>
    </row>
    <row r="214">
      <c r="A214" s="139" t="str">
        <f>IFERROR(__xludf.DUMMYFUNCTION("""COMPUTED_VALUE"""),"20241215_WSH@NO")</f>
        <v>20241215_WSH@NO</v>
      </c>
      <c r="B214" s="139" t="str">
        <f>IFERROR(__xludf.DUMMYFUNCTION("""COMPUTED_VALUE"""),"WSH")</f>
        <v>WSH</v>
      </c>
      <c r="C214" s="139" t="str">
        <f>IFERROR(__xludf.DUMMYFUNCTION("""COMPUTED_VALUE"""),"NO")</f>
        <v>NO</v>
      </c>
      <c r="D214" s="139"/>
      <c r="E214" s="139"/>
      <c r="F214" s="139" t="str">
        <f>IFERROR(__xludf.DUMMYFUNCTION("""COMPUTED_VALUE"""),"Week 15")</f>
        <v>Week 15</v>
      </c>
      <c r="G214" s="139">
        <f>IFERROR(__xludf.DUMMYFUNCTION("""COMPUTED_VALUE"""),0.0)</f>
        <v>0</v>
      </c>
    </row>
    <row r="215">
      <c r="A215" s="139" t="str">
        <f>IFERROR(__xludf.DUMMYFUNCTION("""COMPUTED_VALUE"""),"20241215_BUF@DET")</f>
        <v>20241215_BUF@DET</v>
      </c>
      <c r="B215" s="139" t="str">
        <f>IFERROR(__xludf.DUMMYFUNCTION("""COMPUTED_VALUE"""),"BUF")</f>
        <v>BUF</v>
      </c>
      <c r="C215" s="139" t="str">
        <f>IFERROR(__xludf.DUMMYFUNCTION("""COMPUTED_VALUE"""),"DET")</f>
        <v>DET</v>
      </c>
      <c r="D215" s="139"/>
      <c r="E215" s="139"/>
      <c r="F215" s="139" t="str">
        <f>IFERROR(__xludf.DUMMYFUNCTION("""COMPUTED_VALUE"""),"Week 15")</f>
        <v>Week 15</v>
      </c>
      <c r="G215" s="139">
        <f>IFERROR(__xludf.DUMMYFUNCTION("""COMPUTED_VALUE"""),0.0)</f>
        <v>0</v>
      </c>
    </row>
    <row r="216">
      <c r="A216" s="139" t="str">
        <f>IFERROR(__xludf.DUMMYFUNCTION("""COMPUTED_VALUE"""),"20241215_CIN@TEN")</f>
        <v>20241215_CIN@TEN</v>
      </c>
      <c r="B216" s="139" t="str">
        <f>IFERROR(__xludf.DUMMYFUNCTION("""COMPUTED_VALUE"""),"CIN")</f>
        <v>CIN</v>
      </c>
      <c r="C216" s="139" t="str">
        <f>IFERROR(__xludf.DUMMYFUNCTION("""COMPUTED_VALUE"""),"TEN")</f>
        <v>TEN</v>
      </c>
      <c r="D216" s="139"/>
      <c r="E216" s="139"/>
      <c r="F216" s="139" t="str">
        <f>IFERROR(__xludf.DUMMYFUNCTION("""COMPUTED_VALUE"""),"Week 15")</f>
        <v>Week 15</v>
      </c>
      <c r="G216" s="139">
        <f>IFERROR(__xludf.DUMMYFUNCTION("""COMPUTED_VALUE"""),0.0)</f>
        <v>0</v>
      </c>
    </row>
    <row r="217">
      <c r="A217" s="139" t="str">
        <f>IFERROR(__xludf.DUMMYFUNCTION("""COMPUTED_VALUE"""),"20241215_TB@LAC")</f>
        <v>20241215_TB@LAC</v>
      </c>
      <c r="B217" s="139" t="str">
        <f>IFERROR(__xludf.DUMMYFUNCTION("""COMPUTED_VALUE"""),"TB")</f>
        <v>TB</v>
      </c>
      <c r="C217" s="139" t="str">
        <f>IFERROR(__xludf.DUMMYFUNCTION("""COMPUTED_VALUE"""),"LAC")</f>
        <v>LAC</v>
      </c>
      <c r="D217" s="139"/>
      <c r="E217" s="139"/>
      <c r="F217" s="139" t="str">
        <f>IFERROR(__xludf.DUMMYFUNCTION("""COMPUTED_VALUE"""),"Week 15")</f>
        <v>Week 15</v>
      </c>
      <c r="G217" s="139">
        <f>IFERROR(__xludf.DUMMYFUNCTION("""COMPUTED_VALUE"""),0.0)</f>
        <v>0</v>
      </c>
    </row>
    <row r="218">
      <c r="A218" s="139" t="str">
        <f>IFERROR(__xludf.DUMMYFUNCTION("""COMPUTED_VALUE"""),"20241215_DAL@CAR")</f>
        <v>20241215_DAL@CAR</v>
      </c>
      <c r="B218" s="139" t="str">
        <f>IFERROR(__xludf.DUMMYFUNCTION("""COMPUTED_VALUE"""),"DAL")</f>
        <v>DAL</v>
      </c>
      <c r="C218" s="139" t="str">
        <f>IFERROR(__xludf.DUMMYFUNCTION("""COMPUTED_VALUE"""),"CAR")</f>
        <v>CAR</v>
      </c>
      <c r="D218" s="139"/>
      <c r="E218" s="139"/>
      <c r="F218" s="139" t="str">
        <f>IFERROR(__xludf.DUMMYFUNCTION("""COMPUTED_VALUE"""),"Week 15")</f>
        <v>Week 15</v>
      </c>
      <c r="G218" s="139">
        <f>IFERROR(__xludf.DUMMYFUNCTION("""COMPUTED_VALUE"""),0.0)</f>
        <v>0</v>
      </c>
    </row>
    <row r="219">
      <c r="A219" s="139" t="str">
        <f>IFERROR(__xludf.DUMMYFUNCTION("""COMPUTED_VALUE"""),"20241215_NE@ARI")</f>
        <v>20241215_NE@ARI</v>
      </c>
      <c r="B219" s="139" t="str">
        <f>IFERROR(__xludf.DUMMYFUNCTION("""COMPUTED_VALUE"""),"NE")</f>
        <v>NE</v>
      </c>
      <c r="C219" s="139" t="str">
        <f>IFERROR(__xludf.DUMMYFUNCTION("""COMPUTED_VALUE"""),"ARI")</f>
        <v>ARI</v>
      </c>
      <c r="D219" s="139"/>
      <c r="E219" s="139"/>
      <c r="F219" s="139" t="str">
        <f>IFERROR(__xludf.DUMMYFUNCTION("""COMPUTED_VALUE"""),"Week 15")</f>
        <v>Week 15</v>
      </c>
      <c r="G219" s="139">
        <f>IFERROR(__xludf.DUMMYFUNCTION("""COMPUTED_VALUE"""),0.0)</f>
        <v>0</v>
      </c>
    </row>
    <row r="220">
      <c r="A220" s="139" t="str">
        <f>IFERROR(__xludf.DUMMYFUNCTION("""COMPUTED_VALUE"""),"20241215_GB@SEA")</f>
        <v>20241215_GB@SEA</v>
      </c>
      <c r="B220" s="139" t="str">
        <f>IFERROR(__xludf.DUMMYFUNCTION("""COMPUTED_VALUE"""),"GB")</f>
        <v>GB</v>
      </c>
      <c r="C220" s="139" t="str">
        <f>IFERROR(__xludf.DUMMYFUNCTION("""COMPUTED_VALUE"""),"SEA")</f>
        <v>SEA</v>
      </c>
      <c r="D220" s="139"/>
      <c r="E220" s="139"/>
      <c r="F220" s="139" t="str">
        <f>IFERROR(__xludf.DUMMYFUNCTION("""COMPUTED_VALUE"""),"Week 15")</f>
        <v>Week 15</v>
      </c>
      <c r="G220" s="139">
        <f>IFERROR(__xludf.DUMMYFUNCTION("""COMPUTED_VALUE"""),0.0)</f>
        <v>0</v>
      </c>
    </row>
    <row r="221">
      <c r="A221" s="139" t="str">
        <f>IFERROR(__xludf.DUMMYFUNCTION("""COMPUTED_VALUE"""),"20241215_IND@DEN")</f>
        <v>20241215_IND@DEN</v>
      </c>
      <c r="B221" s="139" t="str">
        <f>IFERROR(__xludf.DUMMYFUNCTION("""COMPUTED_VALUE"""),"IND")</f>
        <v>IND</v>
      </c>
      <c r="C221" s="139" t="str">
        <f>IFERROR(__xludf.DUMMYFUNCTION("""COMPUTED_VALUE"""),"DEN")</f>
        <v>DEN</v>
      </c>
      <c r="D221" s="139"/>
      <c r="E221" s="139"/>
      <c r="F221" s="139" t="str">
        <f>IFERROR(__xludf.DUMMYFUNCTION("""COMPUTED_VALUE"""),"Week 15")</f>
        <v>Week 15</v>
      </c>
      <c r="G221" s="139">
        <f>IFERROR(__xludf.DUMMYFUNCTION("""COMPUTED_VALUE"""),0.0)</f>
        <v>0</v>
      </c>
    </row>
    <row r="222">
      <c r="A222" s="139" t="str">
        <f>IFERROR(__xludf.DUMMYFUNCTION("""COMPUTED_VALUE"""),"20241215_MIA@HOU")</f>
        <v>20241215_MIA@HOU</v>
      </c>
      <c r="B222" s="139" t="str">
        <f>IFERROR(__xludf.DUMMYFUNCTION("""COMPUTED_VALUE"""),"MIA")</f>
        <v>MIA</v>
      </c>
      <c r="C222" s="139" t="str">
        <f>IFERROR(__xludf.DUMMYFUNCTION("""COMPUTED_VALUE"""),"HOU")</f>
        <v>HOU</v>
      </c>
      <c r="D222" s="139"/>
      <c r="E222" s="139"/>
      <c r="F222" s="139" t="str">
        <f>IFERROR(__xludf.DUMMYFUNCTION("""COMPUTED_VALUE"""),"Week 15")</f>
        <v>Week 15</v>
      </c>
      <c r="G222" s="139">
        <f>IFERROR(__xludf.DUMMYFUNCTION("""COMPUTED_VALUE"""),0.0)</f>
        <v>0</v>
      </c>
    </row>
    <row r="223">
      <c r="A223" s="139" t="str">
        <f>IFERROR(__xludf.DUMMYFUNCTION("""COMPUTED_VALUE"""),"20241215_PIT@PHI")</f>
        <v>20241215_PIT@PHI</v>
      </c>
      <c r="B223" s="139" t="str">
        <f>IFERROR(__xludf.DUMMYFUNCTION("""COMPUTED_VALUE"""),"PIT")</f>
        <v>PIT</v>
      </c>
      <c r="C223" s="139" t="str">
        <f>IFERROR(__xludf.DUMMYFUNCTION("""COMPUTED_VALUE"""),"PHI")</f>
        <v>PHI</v>
      </c>
      <c r="D223" s="139"/>
      <c r="E223" s="139"/>
      <c r="F223" s="139" t="str">
        <f>IFERROR(__xludf.DUMMYFUNCTION("""COMPUTED_VALUE"""),"Week 15")</f>
        <v>Week 15</v>
      </c>
      <c r="G223" s="139">
        <f>IFERROR(__xludf.DUMMYFUNCTION("""COMPUTED_VALUE"""),0.0)</f>
        <v>0</v>
      </c>
    </row>
    <row r="224">
      <c r="A224" s="139" t="str">
        <f>IFERROR(__xludf.DUMMYFUNCTION("""COMPUTED_VALUE"""),"20241215_BAL@NYG")</f>
        <v>20241215_BAL@NYG</v>
      </c>
      <c r="B224" s="139" t="str">
        <f>IFERROR(__xludf.DUMMYFUNCTION("""COMPUTED_VALUE"""),"BAL")</f>
        <v>BAL</v>
      </c>
      <c r="C224" s="139" t="str">
        <f>IFERROR(__xludf.DUMMYFUNCTION("""COMPUTED_VALUE"""),"NYG")</f>
        <v>NYG</v>
      </c>
      <c r="D224" s="139"/>
      <c r="E224" s="139"/>
      <c r="F224" s="139" t="str">
        <f>IFERROR(__xludf.DUMMYFUNCTION("""COMPUTED_VALUE"""),"Week 15")</f>
        <v>Week 15</v>
      </c>
      <c r="G224" s="139">
        <f>IFERROR(__xludf.DUMMYFUNCTION("""COMPUTED_VALUE"""),0.0)</f>
        <v>0</v>
      </c>
    </row>
    <row r="225">
      <c r="A225" s="139" t="str">
        <f>IFERROR(__xludf.DUMMYFUNCTION("""COMPUTED_VALUE"""),"20241215_NYJ@JAX")</f>
        <v>20241215_NYJ@JAX</v>
      </c>
      <c r="B225" s="139" t="str">
        <f>IFERROR(__xludf.DUMMYFUNCTION("""COMPUTED_VALUE"""),"NYJ")</f>
        <v>NYJ</v>
      </c>
      <c r="C225" s="139" t="str">
        <f>IFERROR(__xludf.DUMMYFUNCTION("""COMPUTED_VALUE"""),"JAX")</f>
        <v>JAX</v>
      </c>
      <c r="D225" s="139"/>
      <c r="E225" s="139"/>
      <c r="F225" s="139" t="str">
        <f>IFERROR(__xludf.DUMMYFUNCTION("""COMPUTED_VALUE"""),"Week 15")</f>
        <v>Week 15</v>
      </c>
      <c r="G225" s="139">
        <f>IFERROR(__xludf.DUMMYFUNCTION("""COMPUTED_VALUE"""),0.0)</f>
        <v>0</v>
      </c>
    </row>
    <row r="226">
      <c r="A226" s="139" t="str">
        <f>IFERROR(__xludf.DUMMYFUNCTION("""COMPUTED_VALUE"""),"20241223_NO@GB")</f>
        <v>20241223_NO@GB</v>
      </c>
      <c r="B226" s="139" t="str">
        <f>IFERROR(__xludf.DUMMYFUNCTION("""COMPUTED_VALUE"""),"NO")</f>
        <v>NO</v>
      </c>
      <c r="C226" s="139" t="str">
        <f>IFERROR(__xludf.DUMMYFUNCTION("""COMPUTED_VALUE"""),"GB")</f>
        <v>GB</v>
      </c>
      <c r="D226" s="139"/>
      <c r="E226" s="139"/>
      <c r="F226" s="139" t="str">
        <f>IFERROR(__xludf.DUMMYFUNCTION("""COMPUTED_VALUE"""),"Week 16")</f>
        <v>Week 16</v>
      </c>
      <c r="G226" s="139">
        <f>IFERROR(__xludf.DUMMYFUNCTION("""COMPUTED_VALUE"""),0.0)</f>
        <v>0</v>
      </c>
    </row>
    <row r="227">
      <c r="A227" s="139" t="str">
        <f>IFERROR(__xludf.DUMMYFUNCTION("""COMPUTED_VALUE"""),"20241222_NE@BUF")</f>
        <v>20241222_NE@BUF</v>
      </c>
      <c r="B227" s="139" t="str">
        <f>IFERROR(__xludf.DUMMYFUNCTION("""COMPUTED_VALUE"""),"NE")</f>
        <v>NE</v>
      </c>
      <c r="C227" s="139" t="str">
        <f>IFERROR(__xludf.DUMMYFUNCTION("""COMPUTED_VALUE"""),"BUF")</f>
        <v>BUF</v>
      </c>
      <c r="D227" s="139"/>
      <c r="E227" s="139"/>
      <c r="F227" s="139" t="str">
        <f>IFERROR(__xludf.DUMMYFUNCTION("""COMPUTED_VALUE"""),"Week 16")</f>
        <v>Week 16</v>
      </c>
      <c r="G227" s="139">
        <f>IFERROR(__xludf.DUMMYFUNCTION("""COMPUTED_VALUE"""),0.0)</f>
        <v>0</v>
      </c>
    </row>
    <row r="228">
      <c r="A228" s="139" t="str">
        <f>IFERROR(__xludf.DUMMYFUNCTION("""COMPUTED_VALUE"""),"20241222_TB@DAL")</f>
        <v>20241222_TB@DAL</v>
      </c>
      <c r="B228" s="139" t="str">
        <f>IFERROR(__xludf.DUMMYFUNCTION("""COMPUTED_VALUE"""),"TB")</f>
        <v>TB</v>
      </c>
      <c r="C228" s="139" t="str">
        <f>IFERROR(__xludf.DUMMYFUNCTION("""COMPUTED_VALUE"""),"DAL")</f>
        <v>DAL</v>
      </c>
      <c r="D228" s="139"/>
      <c r="E228" s="139"/>
      <c r="F228" s="139" t="str">
        <f>IFERROR(__xludf.DUMMYFUNCTION("""COMPUTED_VALUE"""),"Week 16")</f>
        <v>Week 16</v>
      </c>
      <c r="G228" s="139">
        <f>IFERROR(__xludf.DUMMYFUNCTION("""COMPUTED_VALUE"""),0.0)</f>
        <v>0</v>
      </c>
    </row>
    <row r="229">
      <c r="A229" s="139" t="str">
        <f>IFERROR(__xludf.DUMMYFUNCTION("""COMPUTED_VALUE"""),"20241222_JAX@LV")</f>
        <v>20241222_JAX@LV</v>
      </c>
      <c r="B229" s="139" t="str">
        <f>IFERROR(__xludf.DUMMYFUNCTION("""COMPUTED_VALUE"""),"JAX")</f>
        <v>JAX</v>
      </c>
      <c r="C229" s="139" t="str">
        <f>IFERROR(__xludf.DUMMYFUNCTION("""COMPUTED_VALUE"""),"LV")</f>
        <v>LV</v>
      </c>
      <c r="D229" s="139"/>
      <c r="E229" s="139"/>
      <c r="F229" s="139" t="str">
        <f>IFERROR(__xludf.DUMMYFUNCTION("""COMPUTED_VALUE"""),"Week 16")</f>
        <v>Week 16</v>
      </c>
      <c r="G229" s="139">
        <f>IFERROR(__xludf.DUMMYFUNCTION("""COMPUTED_VALUE"""),0.0)</f>
        <v>0</v>
      </c>
    </row>
    <row r="230">
      <c r="A230" s="139" t="str">
        <f>IFERROR(__xludf.DUMMYFUNCTION("""COMPUTED_VALUE"""),"20241222_ARI@CAR")</f>
        <v>20241222_ARI@CAR</v>
      </c>
      <c r="B230" s="139" t="str">
        <f>IFERROR(__xludf.DUMMYFUNCTION("""COMPUTED_VALUE"""),"ARI")</f>
        <v>ARI</v>
      </c>
      <c r="C230" s="139" t="str">
        <f>IFERROR(__xludf.DUMMYFUNCTION("""COMPUTED_VALUE"""),"CAR")</f>
        <v>CAR</v>
      </c>
      <c r="D230" s="139"/>
      <c r="E230" s="139"/>
      <c r="F230" s="139" t="str">
        <f>IFERROR(__xludf.DUMMYFUNCTION("""COMPUTED_VALUE"""),"Week 16")</f>
        <v>Week 16</v>
      </c>
      <c r="G230" s="139">
        <f>IFERROR(__xludf.DUMMYFUNCTION("""COMPUTED_VALUE"""),0.0)</f>
        <v>0</v>
      </c>
    </row>
    <row r="231">
      <c r="A231" s="139" t="str">
        <f>IFERROR(__xludf.DUMMYFUNCTION("""COMPUTED_VALUE"""),"20241222_LAR@NYJ")</f>
        <v>20241222_LAR@NYJ</v>
      </c>
      <c r="B231" s="139" t="str">
        <f>IFERROR(__xludf.DUMMYFUNCTION("""COMPUTED_VALUE"""),"LAR")</f>
        <v>LAR</v>
      </c>
      <c r="C231" s="139" t="str">
        <f>IFERROR(__xludf.DUMMYFUNCTION("""COMPUTED_VALUE"""),"NYJ")</f>
        <v>NYJ</v>
      </c>
      <c r="D231" s="139"/>
      <c r="E231" s="139"/>
      <c r="F231" s="139" t="str">
        <f>IFERROR(__xludf.DUMMYFUNCTION("""COMPUTED_VALUE"""),"Week 16")</f>
        <v>Week 16</v>
      </c>
      <c r="G231" s="139">
        <f>IFERROR(__xludf.DUMMYFUNCTION("""COMPUTED_VALUE"""),0.0)</f>
        <v>0</v>
      </c>
    </row>
    <row r="232">
      <c r="A232" s="139" t="str">
        <f>IFERROR(__xludf.DUMMYFUNCTION("""COMPUTED_VALUE"""),"20241222_SF@MIA")</f>
        <v>20241222_SF@MIA</v>
      </c>
      <c r="B232" s="139" t="str">
        <f>IFERROR(__xludf.DUMMYFUNCTION("""COMPUTED_VALUE"""),"SF")</f>
        <v>SF</v>
      </c>
      <c r="C232" s="139" t="str">
        <f>IFERROR(__xludf.DUMMYFUNCTION("""COMPUTED_VALUE"""),"MIA")</f>
        <v>MIA</v>
      </c>
      <c r="D232" s="139"/>
      <c r="E232" s="139"/>
      <c r="F232" s="139" t="str">
        <f>IFERROR(__xludf.DUMMYFUNCTION("""COMPUTED_VALUE"""),"Week 16")</f>
        <v>Week 16</v>
      </c>
      <c r="G232" s="139">
        <f>IFERROR(__xludf.DUMMYFUNCTION("""COMPUTED_VALUE"""),0.0)</f>
        <v>0</v>
      </c>
    </row>
    <row r="233">
      <c r="A233" s="139" t="str">
        <f>IFERROR(__xludf.DUMMYFUNCTION("""COMPUTED_VALUE"""),"20241222_TEN@IND")</f>
        <v>20241222_TEN@IND</v>
      </c>
      <c r="B233" s="139" t="str">
        <f>IFERROR(__xludf.DUMMYFUNCTION("""COMPUTED_VALUE"""),"TEN")</f>
        <v>TEN</v>
      </c>
      <c r="C233" s="139" t="str">
        <f>IFERROR(__xludf.DUMMYFUNCTION("""COMPUTED_VALUE"""),"IND")</f>
        <v>IND</v>
      </c>
      <c r="D233" s="139"/>
      <c r="E233" s="139"/>
      <c r="F233" s="139" t="str">
        <f>IFERROR(__xludf.DUMMYFUNCTION("""COMPUTED_VALUE"""),"Week 16")</f>
        <v>Week 16</v>
      </c>
      <c r="G233" s="139">
        <f>IFERROR(__xludf.DUMMYFUNCTION("""COMPUTED_VALUE"""),0.0)</f>
        <v>0</v>
      </c>
    </row>
    <row r="234">
      <c r="A234" s="139" t="str">
        <f>IFERROR(__xludf.DUMMYFUNCTION("""COMPUTED_VALUE"""),"20241222_NYG@ATL")</f>
        <v>20241222_NYG@ATL</v>
      </c>
      <c r="B234" s="139" t="str">
        <f>IFERROR(__xludf.DUMMYFUNCTION("""COMPUTED_VALUE"""),"NYG")</f>
        <v>NYG</v>
      </c>
      <c r="C234" s="139" t="str">
        <f>IFERROR(__xludf.DUMMYFUNCTION("""COMPUTED_VALUE"""),"ATL")</f>
        <v>ATL</v>
      </c>
      <c r="D234" s="139"/>
      <c r="E234" s="139"/>
      <c r="F234" s="139" t="str">
        <f>IFERROR(__xludf.DUMMYFUNCTION("""COMPUTED_VALUE"""),"Week 16")</f>
        <v>Week 16</v>
      </c>
      <c r="G234" s="139">
        <f>IFERROR(__xludf.DUMMYFUNCTION("""COMPUTED_VALUE"""),0.0)</f>
        <v>0</v>
      </c>
    </row>
    <row r="235">
      <c r="A235" s="139" t="str">
        <f>IFERROR(__xludf.DUMMYFUNCTION("""COMPUTED_VALUE"""),"20241222_PHI@WSH")</f>
        <v>20241222_PHI@WSH</v>
      </c>
      <c r="B235" s="139" t="str">
        <f>IFERROR(__xludf.DUMMYFUNCTION("""COMPUTED_VALUE"""),"PHI")</f>
        <v>PHI</v>
      </c>
      <c r="C235" s="139" t="str">
        <f>IFERROR(__xludf.DUMMYFUNCTION("""COMPUTED_VALUE"""),"WSH")</f>
        <v>WSH</v>
      </c>
      <c r="D235" s="139"/>
      <c r="E235" s="139"/>
      <c r="F235" s="139" t="str">
        <f>IFERROR(__xludf.DUMMYFUNCTION("""COMPUTED_VALUE"""),"Week 16")</f>
        <v>Week 16</v>
      </c>
      <c r="G235" s="139">
        <f>IFERROR(__xludf.DUMMYFUNCTION("""COMPUTED_VALUE"""),0.0)</f>
        <v>0</v>
      </c>
    </row>
    <row r="236">
      <c r="A236" s="139" t="str">
        <f>IFERROR(__xludf.DUMMYFUNCTION("""COMPUTED_VALUE"""),"20241222_DET@CHI")</f>
        <v>20241222_DET@CHI</v>
      </c>
      <c r="B236" s="139" t="str">
        <f>IFERROR(__xludf.DUMMYFUNCTION("""COMPUTED_VALUE"""),"DET")</f>
        <v>DET</v>
      </c>
      <c r="C236" s="139" t="str">
        <f>IFERROR(__xludf.DUMMYFUNCTION("""COMPUTED_VALUE"""),"CHI")</f>
        <v>CHI</v>
      </c>
      <c r="D236" s="139"/>
      <c r="E236" s="139"/>
      <c r="F236" s="139" t="str">
        <f>IFERROR(__xludf.DUMMYFUNCTION("""COMPUTED_VALUE"""),"Week 16")</f>
        <v>Week 16</v>
      </c>
      <c r="G236" s="139">
        <f>IFERROR(__xludf.DUMMYFUNCTION("""COMPUTED_VALUE"""),0.0)</f>
        <v>0</v>
      </c>
    </row>
    <row r="237">
      <c r="A237" s="139" t="str">
        <f>IFERROR(__xludf.DUMMYFUNCTION("""COMPUTED_VALUE"""),"20241222_DEN@LAC")</f>
        <v>20241222_DEN@LAC</v>
      </c>
      <c r="B237" s="139" t="str">
        <f>IFERROR(__xludf.DUMMYFUNCTION("""COMPUTED_VALUE"""),"DEN")</f>
        <v>DEN</v>
      </c>
      <c r="C237" s="139" t="str">
        <f>IFERROR(__xludf.DUMMYFUNCTION("""COMPUTED_VALUE"""),"LAC")</f>
        <v>LAC</v>
      </c>
      <c r="D237" s="139"/>
      <c r="E237" s="139"/>
      <c r="F237" s="139" t="str">
        <f>IFERROR(__xludf.DUMMYFUNCTION("""COMPUTED_VALUE"""),"Week 16")</f>
        <v>Week 16</v>
      </c>
      <c r="G237" s="139">
        <f>IFERROR(__xludf.DUMMYFUNCTION("""COMPUTED_VALUE"""),0.0)</f>
        <v>0</v>
      </c>
    </row>
    <row r="238">
      <c r="A238" s="139" t="str">
        <f>IFERROR(__xludf.DUMMYFUNCTION("""COMPUTED_VALUE"""),"20241222_MIN@SEA")</f>
        <v>20241222_MIN@SEA</v>
      </c>
      <c r="B238" s="139" t="str">
        <f>IFERROR(__xludf.DUMMYFUNCTION("""COMPUTED_VALUE"""),"MIN")</f>
        <v>MIN</v>
      </c>
      <c r="C238" s="139" t="str">
        <f>IFERROR(__xludf.DUMMYFUNCTION("""COMPUTED_VALUE"""),"SEA")</f>
        <v>SEA</v>
      </c>
      <c r="D238" s="139"/>
      <c r="E238" s="139"/>
      <c r="F238" s="139" t="str">
        <f>IFERROR(__xludf.DUMMYFUNCTION("""COMPUTED_VALUE"""),"Week 16")</f>
        <v>Week 16</v>
      </c>
      <c r="G238" s="139">
        <f>IFERROR(__xludf.DUMMYFUNCTION("""COMPUTED_VALUE"""),0.0)</f>
        <v>0</v>
      </c>
    </row>
    <row r="239">
      <c r="A239" s="139" t="str">
        <f>IFERROR(__xludf.DUMMYFUNCTION("""COMPUTED_VALUE"""),"20241219_CLE@CIN")</f>
        <v>20241219_CLE@CIN</v>
      </c>
      <c r="B239" s="139" t="str">
        <f>IFERROR(__xludf.DUMMYFUNCTION("""COMPUTED_VALUE"""),"CLE")</f>
        <v>CLE</v>
      </c>
      <c r="C239" s="139" t="str">
        <f>IFERROR(__xludf.DUMMYFUNCTION("""COMPUTED_VALUE"""),"CIN")</f>
        <v>CIN</v>
      </c>
      <c r="D239" s="139"/>
      <c r="E239" s="139"/>
      <c r="F239" s="139" t="str">
        <f>IFERROR(__xludf.DUMMYFUNCTION("""COMPUTED_VALUE"""),"Week 16")</f>
        <v>Week 16</v>
      </c>
      <c r="G239" s="139">
        <f>IFERROR(__xludf.DUMMYFUNCTION("""COMPUTED_VALUE"""),0.0)</f>
        <v>0</v>
      </c>
    </row>
    <row r="240">
      <c r="A240" s="139" t="str">
        <f>IFERROR(__xludf.DUMMYFUNCTION("""COMPUTED_VALUE"""),"20241221_HOU@KC")</f>
        <v>20241221_HOU@KC</v>
      </c>
      <c r="B240" s="139" t="str">
        <f>IFERROR(__xludf.DUMMYFUNCTION("""COMPUTED_VALUE"""),"HOU")</f>
        <v>HOU</v>
      </c>
      <c r="C240" s="139" t="str">
        <f>IFERROR(__xludf.DUMMYFUNCTION("""COMPUTED_VALUE"""),"KC")</f>
        <v>KC</v>
      </c>
      <c r="D240" s="139"/>
      <c r="E240" s="139"/>
      <c r="F240" s="139" t="str">
        <f>IFERROR(__xludf.DUMMYFUNCTION("""COMPUTED_VALUE"""),"Week 16")</f>
        <v>Week 16</v>
      </c>
      <c r="G240" s="139">
        <f>IFERROR(__xludf.DUMMYFUNCTION("""COMPUTED_VALUE"""),0.0)</f>
        <v>0</v>
      </c>
    </row>
    <row r="241">
      <c r="A241" s="139" t="str">
        <f>IFERROR(__xludf.DUMMYFUNCTION("""COMPUTED_VALUE"""),"20241221_PIT@BAL")</f>
        <v>20241221_PIT@BAL</v>
      </c>
      <c r="B241" s="139" t="str">
        <f>IFERROR(__xludf.DUMMYFUNCTION("""COMPUTED_VALUE"""),"PIT")</f>
        <v>PIT</v>
      </c>
      <c r="C241" s="139" t="str">
        <f>IFERROR(__xludf.DUMMYFUNCTION("""COMPUTED_VALUE"""),"BAL")</f>
        <v>BAL</v>
      </c>
      <c r="D241" s="139"/>
      <c r="E241" s="139"/>
      <c r="F241" s="139" t="str">
        <f>IFERROR(__xludf.DUMMYFUNCTION("""COMPUTED_VALUE"""),"Week 16")</f>
        <v>Week 16</v>
      </c>
      <c r="G241" s="139">
        <f>IFERROR(__xludf.DUMMYFUNCTION("""COMPUTED_VALUE"""),0.0)</f>
        <v>0</v>
      </c>
    </row>
    <row r="242">
      <c r="A242" s="139" t="str">
        <f>IFERROR(__xludf.DUMMYFUNCTION("""COMPUTED_VALUE"""),"20241229_GB@MIN")</f>
        <v>20241229_GB@MIN</v>
      </c>
      <c r="B242" s="139" t="str">
        <f>IFERROR(__xludf.DUMMYFUNCTION("""COMPUTED_VALUE"""),"GB")</f>
        <v>GB</v>
      </c>
      <c r="C242" s="139" t="str">
        <f>IFERROR(__xludf.DUMMYFUNCTION("""COMPUTED_VALUE"""),"MIN")</f>
        <v>MIN</v>
      </c>
      <c r="D242" s="139"/>
      <c r="E242" s="139"/>
      <c r="F242" s="139" t="str">
        <f>IFERROR(__xludf.DUMMYFUNCTION("""COMPUTED_VALUE"""),"Week 17")</f>
        <v>Week 17</v>
      </c>
      <c r="G242" s="139">
        <f>IFERROR(__xludf.DUMMYFUNCTION("""COMPUTED_VALUE"""),0.0)</f>
        <v>0</v>
      </c>
    </row>
    <row r="243">
      <c r="A243" s="139" t="str">
        <f>IFERROR(__xludf.DUMMYFUNCTION("""COMPUTED_VALUE"""),"20241229_LAC@NE")</f>
        <v>20241229_LAC@NE</v>
      </c>
      <c r="B243" s="139" t="str">
        <f>IFERROR(__xludf.DUMMYFUNCTION("""COMPUTED_VALUE"""),"LAC")</f>
        <v>LAC</v>
      </c>
      <c r="C243" s="139" t="str">
        <f>IFERROR(__xludf.DUMMYFUNCTION("""COMPUTED_VALUE"""),"NE")</f>
        <v>NE</v>
      </c>
      <c r="D243" s="139"/>
      <c r="E243" s="139"/>
      <c r="F243" s="139" t="str">
        <f>IFERROR(__xludf.DUMMYFUNCTION("""COMPUTED_VALUE"""),"Week 17")</f>
        <v>Week 17</v>
      </c>
      <c r="G243" s="139">
        <f>IFERROR(__xludf.DUMMYFUNCTION("""COMPUTED_VALUE"""),0.0)</f>
        <v>0</v>
      </c>
    </row>
    <row r="244">
      <c r="A244" s="139" t="str">
        <f>IFERROR(__xludf.DUMMYFUNCTION("""COMPUTED_VALUE"""),"20241229_DEN@CIN")</f>
        <v>20241229_DEN@CIN</v>
      </c>
      <c r="B244" s="139" t="str">
        <f>IFERROR(__xludf.DUMMYFUNCTION("""COMPUTED_VALUE"""),"DEN")</f>
        <v>DEN</v>
      </c>
      <c r="C244" s="139" t="str">
        <f>IFERROR(__xludf.DUMMYFUNCTION("""COMPUTED_VALUE"""),"CIN")</f>
        <v>CIN</v>
      </c>
      <c r="D244" s="139"/>
      <c r="E244" s="139"/>
      <c r="F244" s="139" t="str">
        <f>IFERROR(__xludf.DUMMYFUNCTION("""COMPUTED_VALUE"""),"Week 17")</f>
        <v>Week 17</v>
      </c>
      <c r="G244" s="139">
        <f>IFERROR(__xludf.DUMMYFUNCTION("""COMPUTED_VALUE"""),0.0)</f>
        <v>0</v>
      </c>
    </row>
    <row r="245">
      <c r="A245" s="139" t="str">
        <f>IFERROR(__xludf.DUMMYFUNCTION("""COMPUTED_VALUE"""),"20241229_TEN@JAX")</f>
        <v>20241229_TEN@JAX</v>
      </c>
      <c r="B245" s="139" t="str">
        <f>IFERROR(__xludf.DUMMYFUNCTION("""COMPUTED_VALUE"""),"TEN")</f>
        <v>TEN</v>
      </c>
      <c r="C245" s="139" t="str">
        <f>IFERROR(__xludf.DUMMYFUNCTION("""COMPUTED_VALUE"""),"JAX")</f>
        <v>JAX</v>
      </c>
      <c r="D245" s="139"/>
      <c r="E245" s="139"/>
      <c r="F245" s="139" t="str">
        <f>IFERROR(__xludf.DUMMYFUNCTION("""COMPUTED_VALUE"""),"Week 17")</f>
        <v>Week 17</v>
      </c>
      <c r="G245" s="139">
        <f>IFERROR(__xludf.DUMMYFUNCTION("""COMPUTED_VALUE"""),0.0)</f>
        <v>0</v>
      </c>
    </row>
    <row r="246">
      <c r="A246" s="139" t="str">
        <f>IFERROR(__xludf.DUMMYFUNCTION("""COMPUTED_VALUE"""),"20241229_LV@NO")</f>
        <v>20241229_LV@NO</v>
      </c>
      <c r="B246" s="139" t="str">
        <f>IFERROR(__xludf.DUMMYFUNCTION("""COMPUTED_VALUE"""),"LV")</f>
        <v>LV</v>
      </c>
      <c r="C246" s="139" t="str">
        <f>IFERROR(__xludf.DUMMYFUNCTION("""COMPUTED_VALUE"""),"NO")</f>
        <v>NO</v>
      </c>
      <c r="D246" s="139"/>
      <c r="E246" s="139"/>
      <c r="F246" s="139" t="str">
        <f>IFERROR(__xludf.DUMMYFUNCTION("""COMPUTED_VALUE"""),"Week 17")</f>
        <v>Week 17</v>
      </c>
      <c r="G246" s="139">
        <f>IFERROR(__xludf.DUMMYFUNCTION("""COMPUTED_VALUE"""),0.0)</f>
        <v>0</v>
      </c>
    </row>
    <row r="247">
      <c r="A247" s="139" t="str">
        <f>IFERROR(__xludf.DUMMYFUNCTION("""COMPUTED_VALUE"""),"20241229_ATL@WSH")</f>
        <v>20241229_ATL@WSH</v>
      </c>
      <c r="B247" s="139" t="str">
        <f>IFERROR(__xludf.DUMMYFUNCTION("""COMPUTED_VALUE"""),"ATL")</f>
        <v>ATL</v>
      </c>
      <c r="C247" s="139" t="str">
        <f>IFERROR(__xludf.DUMMYFUNCTION("""COMPUTED_VALUE"""),"WSH")</f>
        <v>WSH</v>
      </c>
      <c r="D247" s="139"/>
      <c r="E247" s="139"/>
      <c r="F247" s="139" t="str">
        <f>IFERROR(__xludf.DUMMYFUNCTION("""COMPUTED_VALUE"""),"Week 17")</f>
        <v>Week 17</v>
      </c>
      <c r="G247" s="139">
        <f>IFERROR(__xludf.DUMMYFUNCTION("""COMPUTED_VALUE"""),0.0)</f>
        <v>0</v>
      </c>
    </row>
    <row r="248">
      <c r="A248" s="139" t="str">
        <f>IFERROR(__xludf.DUMMYFUNCTION("""COMPUTED_VALUE"""),"20241229_MIA@CLE")</f>
        <v>20241229_MIA@CLE</v>
      </c>
      <c r="B248" s="139" t="str">
        <f>IFERROR(__xludf.DUMMYFUNCTION("""COMPUTED_VALUE"""),"MIA")</f>
        <v>MIA</v>
      </c>
      <c r="C248" s="139" t="str">
        <f>IFERROR(__xludf.DUMMYFUNCTION("""COMPUTED_VALUE"""),"CLE")</f>
        <v>CLE</v>
      </c>
      <c r="D248" s="139"/>
      <c r="E248" s="139"/>
      <c r="F248" s="139" t="str">
        <f>IFERROR(__xludf.DUMMYFUNCTION("""COMPUTED_VALUE"""),"Week 17")</f>
        <v>Week 17</v>
      </c>
      <c r="G248" s="139">
        <f>IFERROR(__xludf.DUMMYFUNCTION("""COMPUTED_VALUE"""),0.0)</f>
        <v>0</v>
      </c>
    </row>
    <row r="249">
      <c r="A249" s="139" t="str">
        <f>IFERROR(__xludf.DUMMYFUNCTION("""COMPUTED_VALUE"""),"20241229_DAL@PHI")</f>
        <v>20241229_DAL@PHI</v>
      </c>
      <c r="B249" s="139" t="str">
        <f>IFERROR(__xludf.DUMMYFUNCTION("""COMPUTED_VALUE"""),"DAL")</f>
        <v>DAL</v>
      </c>
      <c r="C249" s="139" t="str">
        <f>IFERROR(__xludf.DUMMYFUNCTION("""COMPUTED_VALUE"""),"PHI")</f>
        <v>PHI</v>
      </c>
      <c r="D249" s="139"/>
      <c r="E249" s="139"/>
      <c r="F249" s="139" t="str">
        <f>IFERROR(__xludf.DUMMYFUNCTION("""COMPUTED_VALUE"""),"Week 17")</f>
        <v>Week 17</v>
      </c>
      <c r="G249" s="139">
        <f>IFERROR(__xludf.DUMMYFUNCTION("""COMPUTED_VALUE"""),0.0)</f>
        <v>0</v>
      </c>
    </row>
    <row r="250">
      <c r="A250" s="139" t="str">
        <f>IFERROR(__xludf.DUMMYFUNCTION("""COMPUTED_VALUE"""),"20241229_IND@NYG")</f>
        <v>20241229_IND@NYG</v>
      </c>
      <c r="B250" s="139" t="str">
        <f>IFERROR(__xludf.DUMMYFUNCTION("""COMPUTED_VALUE"""),"IND")</f>
        <v>IND</v>
      </c>
      <c r="C250" s="139" t="str">
        <f>IFERROR(__xludf.DUMMYFUNCTION("""COMPUTED_VALUE"""),"NYG")</f>
        <v>NYG</v>
      </c>
      <c r="D250" s="139"/>
      <c r="E250" s="139"/>
      <c r="F250" s="139" t="str">
        <f>IFERROR(__xludf.DUMMYFUNCTION("""COMPUTED_VALUE"""),"Week 17")</f>
        <v>Week 17</v>
      </c>
      <c r="G250" s="139">
        <f>IFERROR(__xludf.DUMMYFUNCTION("""COMPUTED_VALUE"""),0.0)</f>
        <v>0</v>
      </c>
    </row>
    <row r="251">
      <c r="A251" s="139" t="str">
        <f>IFERROR(__xludf.DUMMYFUNCTION("""COMPUTED_VALUE"""),"20241229_CAR@TB")</f>
        <v>20241229_CAR@TB</v>
      </c>
      <c r="B251" s="139" t="str">
        <f>IFERROR(__xludf.DUMMYFUNCTION("""COMPUTED_VALUE"""),"CAR")</f>
        <v>CAR</v>
      </c>
      <c r="C251" s="139" t="str">
        <f>IFERROR(__xludf.DUMMYFUNCTION("""COMPUTED_VALUE"""),"TB")</f>
        <v>TB</v>
      </c>
      <c r="D251" s="139"/>
      <c r="E251" s="139"/>
      <c r="F251" s="139" t="str">
        <f>IFERROR(__xludf.DUMMYFUNCTION("""COMPUTED_VALUE"""),"Week 17")</f>
        <v>Week 17</v>
      </c>
      <c r="G251" s="139">
        <f>IFERROR(__xludf.DUMMYFUNCTION("""COMPUTED_VALUE"""),0.0)</f>
        <v>0</v>
      </c>
    </row>
    <row r="252">
      <c r="A252" s="139" t="str">
        <f>IFERROR(__xludf.DUMMYFUNCTION("""COMPUTED_VALUE"""),"20241229_ARI@LAR")</f>
        <v>20241229_ARI@LAR</v>
      </c>
      <c r="B252" s="139" t="str">
        <f>IFERROR(__xludf.DUMMYFUNCTION("""COMPUTED_VALUE"""),"ARI")</f>
        <v>ARI</v>
      </c>
      <c r="C252" s="139" t="str">
        <f>IFERROR(__xludf.DUMMYFUNCTION("""COMPUTED_VALUE"""),"LAR")</f>
        <v>LAR</v>
      </c>
      <c r="D252" s="139"/>
      <c r="E252" s="139"/>
      <c r="F252" s="139" t="str">
        <f>IFERROR(__xludf.DUMMYFUNCTION("""COMPUTED_VALUE"""),"Week 17")</f>
        <v>Week 17</v>
      </c>
      <c r="G252" s="139">
        <f>IFERROR(__xludf.DUMMYFUNCTION("""COMPUTED_VALUE"""),0.0)</f>
        <v>0</v>
      </c>
    </row>
    <row r="253">
      <c r="A253" s="139" t="str">
        <f>IFERROR(__xludf.DUMMYFUNCTION("""COMPUTED_VALUE"""),"20241229_NYJ@BUF")</f>
        <v>20241229_NYJ@BUF</v>
      </c>
      <c r="B253" s="139" t="str">
        <f>IFERROR(__xludf.DUMMYFUNCTION("""COMPUTED_VALUE"""),"NYJ")</f>
        <v>NYJ</v>
      </c>
      <c r="C253" s="139" t="str">
        <f>IFERROR(__xludf.DUMMYFUNCTION("""COMPUTED_VALUE"""),"BUF")</f>
        <v>BUF</v>
      </c>
      <c r="D253" s="139"/>
      <c r="E253" s="139"/>
      <c r="F253" s="139" t="str">
        <f>IFERROR(__xludf.DUMMYFUNCTION("""COMPUTED_VALUE"""),"Week 17")</f>
        <v>Week 17</v>
      </c>
      <c r="G253" s="139">
        <f>IFERROR(__xludf.DUMMYFUNCTION("""COMPUTED_VALUE"""),0.0)</f>
        <v>0</v>
      </c>
    </row>
    <row r="254">
      <c r="A254" s="139" t="str">
        <f>IFERROR(__xludf.DUMMYFUNCTION("""COMPUTED_VALUE"""),"20241230_DET@SF")</f>
        <v>20241230_DET@SF</v>
      </c>
      <c r="B254" s="139" t="str">
        <f>IFERROR(__xludf.DUMMYFUNCTION("""COMPUTED_VALUE"""),"DET")</f>
        <v>DET</v>
      </c>
      <c r="C254" s="139" t="str">
        <f>IFERROR(__xludf.DUMMYFUNCTION("""COMPUTED_VALUE"""),"SF")</f>
        <v>SF</v>
      </c>
      <c r="D254" s="139"/>
      <c r="E254" s="139"/>
      <c r="F254" s="139" t="str">
        <f>IFERROR(__xludf.DUMMYFUNCTION("""COMPUTED_VALUE"""),"Week 17")</f>
        <v>Week 17</v>
      </c>
      <c r="G254" s="139">
        <f>IFERROR(__xludf.DUMMYFUNCTION("""COMPUTED_VALUE"""),0.0)</f>
        <v>0</v>
      </c>
    </row>
    <row r="255">
      <c r="A255" s="139" t="str">
        <f>IFERROR(__xludf.DUMMYFUNCTION("""COMPUTED_VALUE"""),"20241226_SEA@CHI")</f>
        <v>20241226_SEA@CHI</v>
      </c>
      <c r="B255" s="139" t="str">
        <f>IFERROR(__xludf.DUMMYFUNCTION("""COMPUTED_VALUE"""),"SEA")</f>
        <v>SEA</v>
      </c>
      <c r="C255" s="139" t="str">
        <f>IFERROR(__xludf.DUMMYFUNCTION("""COMPUTED_VALUE"""),"CHI")</f>
        <v>CHI</v>
      </c>
      <c r="D255" s="139"/>
      <c r="E255" s="139"/>
      <c r="F255" s="139" t="str">
        <f>IFERROR(__xludf.DUMMYFUNCTION("""COMPUTED_VALUE"""),"Week 17")</f>
        <v>Week 17</v>
      </c>
      <c r="G255" s="139">
        <f>IFERROR(__xludf.DUMMYFUNCTION("""COMPUTED_VALUE"""),0.0)</f>
        <v>0</v>
      </c>
    </row>
    <row r="256">
      <c r="A256" s="139" t="str">
        <f>IFERROR(__xludf.DUMMYFUNCTION("""COMPUTED_VALUE"""),"20241225_BAL@HOU")</f>
        <v>20241225_BAL@HOU</v>
      </c>
      <c r="B256" s="139" t="str">
        <f>IFERROR(__xludf.DUMMYFUNCTION("""COMPUTED_VALUE"""),"BAL")</f>
        <v>BAL</v>
      </c>
      <c r="C256" s="139" t="str">
        <f>IFERROR(__xludf.DUMMYFUNCTION("""COMPUTED_VALUE"""),"HOU")</f>
        <v>HOU</v>
      </c>
      <c r="D256" s="139"/>
      <c r="E256" s="139"/>
      <c r="F256" s="139" t="str">
        <f>IFERROR(__xludf.DUMMYFUNCTION("""COMPUTED_VALUE"""),"Week 17")</f>
        <v>Week 17</v>
      </c>
      <c r="G256" s="139">
        <f>IFERROR(__xludf.DUMMYFUNCTION("""COMPUTED_VALUE"""),0.0)</f>
        <v>0</v>
      </c>
    </row>
    <row r="257">
      <c r="A257" s="139" t="str">
        <f>IFERROR(__xludf.DUMMYFUNCTION("""COMPUTED_VALUE"""),"20241225_KC@PIT")</f>
        <v>20241225_KC@PIT</v>
      </c>
      <c r="B257" s="139" t="str">
        <f>IFERROR(__xludf.DUMMYFUNCTION("""COMPUTED_VALUE"""),"KC")</f>
        <v>KC</v>
      </c>
      <c r="C257" s="139" t="str">
        <f>IFERROR(__xludf.DUMMYFUNCTION("""COMPUTED_VALUE"""),"PIT")</f>
        <v>PIT</v>
      </c>
      <c r="D257" s="139"/>
      <c r="E257" s="139"/>
      <c r="F257" s="139" t="str">
        <f>IFERROR(__xludf.DUMMYFUNCTION("""COMPUTED_VALUE"""),"Week 17")</f>
        <v>Week 17</v>
      </c>
      <c r="G257" s="139">
        <f>IFERROR(__xludf.DUMMYFUNCTION("""COMPUTED_VALUE"""),0.0)</f>
        <v>0</v>
      </c>
    </row>
    <row r="258">
      <c r="A258" s="139" t="str">
        <f>IFERROR(__xludf.DUMMYFUNCTION("""COMPUTED_VALUE"""),"20250105_CHI@GB")</f>
        <v>20250105_CHI@GB</v>
      </c>
      <c r="B258" s="139" t="str">
        <f>IFERROR(__xludf.DUMMYFUNCTION("""COMPUTED_VALUE"""),"CHI")</f>
        <v>CHI</v>
      </c>
      <c r="C258" s="139" t="str">
        <f>IFERROR(__xludf.DUMMYFUNCTION("""COMPUTED_VALUE"""),"GB")</f>
        <v>GB</v>
      </c>
      <c r="D258" s="139"/>
      <c r="E258" s="139"/>
      <c r="F258" s="139" t="str">
        <f>IFERROR(__xludf.DUMMYFUNCTION("""COMPUTED_VALUE"""),"Week 18")</f>
        <v>Week 18</v>
      </c>
      <c r="G258" s="139">
        <f>IFERROR(__xludf.DUMMYFUNCTION("""COMPUTED_VALUE"""),0.0)</f>
        <v>0</v>
      </c>
    </row>
    <row r="259">
      <c r="A259" s="139" t="str">
        <f>IFERROR(__xludf.DUMMYFUNCTION("""COMPUTED_VALUE"""),"20250105_NYG@PHI")</f>
        <v>20250105_NYG@PHI</v>
      </c>
      <c r="B259" s="139" t="str">
        <f>IFERROR(__xludf.DUMMYFUNCTION("""COMPUTED_VALUE"""),"NYG")</f>
        <v>NYG</v>
      </c>
      <c r="C259" s="139" t="str">
        <f>IFERROR(__xludf.DUMMYFUNCTION("""COMPUTED_VALUE"""),"PHI")</f>
        <v>PHI</v>
      </c>
      <c r="D259" s="139"/>
      <c r="E259" s="139"/>
      <c r="F259" s="139" t="str">
        <f>IFERROR(__xludf.DUMMYFUNCTION("""COMPUTED_VALUE"""),"Week 18")</f>
        <v>Week 18</v>
      </c>
      <c r="G259" s="139">
        <f>IFERROR(__xludf.DUMMYFUNCTION("""COMPUTED_VALUE"""),0.0)</f>
        <v>0</v>
      </c>
    </row>
    <row r="260">
      <c r="A260" s="139" t="str">
        <f>IFERROR(__xludf.DUMMYFUNCTION("""COMPUTED_VALUE"""),"20250105_CAR@ATL")</f>
        <v>20250105_CAR@ATL</v>
      </c>
      <c r="B260" s="139" t="str">
        <f>IFERROR(__xludf.DUMMYFUNCTION("""COMPUTED_VALUE"""),"CAR")</f>
        <v>CAR</v>
      </c>
      <c r="C260" s="139" t="str">
        <f>IFERROR(__xludf.DUMMYFUNCTION("""COMPUTED_VALUE"""),"ATL")</f>
        <v>ATL</v>
      </c>
      <c r="D260" s="139"/>
      <c r="E260" s="139"/>
      <c r="F260" s="139" t="str">
        <f>IFERROR(__xludf.DUMMYFUNCTION("""COMPUTED_VALUE"""),"Week 18")</f>
        <v>Week 18</v>
      </c>
      <c r="G260" s="139">
        <f>IFERROR(__xludf.DUMMYFUNCTION("""COMPUTED_VALUE"""),0.0)</f>
        <v>0</v>
      </c>
    </row>
    <row r="261">
      <c r="A261" s="139" t="str">
        <f>IFERROR(__xludf.DUMMYFUNCTION("""COMPUTED_VALUE"""),"20250105_MIA@NYJ")</f>
        <v>20250105_MIA@NYJ</v>
      </c>
      <c r="B261" s="139" t="str">
        <f>IFERROR(__xludf.DUMMYFUNCTION("""COMPUTED_VALUE"""),"MIA")</f>
        <v>MIA</v>
      </c>
      <c r="C261" s="139" t="str">
        <f>IFERROR(__xludf.DUMMYFUNCTION("""COMPUTED_VALUE"""),"NYJ")</f>
        <v>NYJ</v>
      </c>
      <c r="D261" s="139"/>
      <c r="E261" s="139"/>
      <c r="F261" s="139" t="str">
        <f>IFERROR(__xludf.DUMMYFUNCTION("""COMPUTED_VALUE"""),"Week 18")</f>
        <v>Week 18</v>
      </c>
      <c r="G261" s="139">
        <f>IFERROR(__xludf.DUMMYFUNCTION("""COMPUTED_VALUE"""),0.0)</f>
        <v>0</v>
      </c>
    </row>
    <row r="262">
      <c r="A262" s="139" t="str">
        <f>IFERROR(__xludf.DUMMYFUNCTION("""COMPUTED_VALUE"""),"20250105_SEA@LAR")</f>
        <v>20250105_SEA@LAR</v>
      </c>
      <c r="B262" s="139" t="str">
        <f>IFERROR(__xludf.DUMMYFUNCTION("""COMPUTED_VALUE"""),"SEA")</f>
        <v>SEA</v>
      </c>
      <c r="C262" s="139" t="str">
        <f>IFERROR(__xludf.DUMMYFUNCTION("""COMPUTED_VALUE"""),"LAR")</f>
        <v>LAR</v>
      </c>
      <c r="D262" s="139"/>
      <c r="E262" s="139"/>
      <c r="F262" s="139" t="str">
        <f>IFERROR(__xludf.DUMMYFUNCTION("""COMPUTED_VALUE"""),"Week 18")</f>
        <v>Week 18</v>
      </c>
      <c r="G262" s="139">
        <f>IFERROR(__xludf.DUMMYFUNCTION("""COMPUTED_VALUE"""),0.0)</f>
        <v>0</v>
      </c>
    </row>
    <row r="263">
      <c r="A263" s="139" t="str">
        <f>IFERROR(__xludf.DUMMYFUNCTION("""COMPUTED_VALUE"""),"20250105_BUF@NE")</f>
        <v>20250105_BUF@NE</v>
      </c>
      <c r="B263" s="139" t="str">
        <f>IFERROR(__xludf.DUMMYFUNCTION("""COMPUTED_VALUE"""),"BUF")</f>
        <v>BUF</v>
      </c>
      <c r="C263" s="139" t="str">
        <f>IFERROR(__xludf.DUMMYFUNCTION("""COMPUTED_VALUE"""),"NE")</f>
        <v>NE</v>
      </c>
      <c r="D263" s="139"/>
      <c r="E263" s="139"/>
      <c r="F263" s="139" t="str">
        <f>IFERROR(__xludf.DUMMYFUNCTION("""COMPUTED_VALUE"""),"Week 18")</f>
        <v>Week 18</v>
      </c>
      <c r="G263" s="139">
        <f>IFERROR(__xludf.DUMMYFUNCTION("""COMPUTED_VALUE"""),0.0)</f>
        <v>0</v>
      </c>
    </row>
    <row r="264">
      <c r="A264" s="139" t="str">
        <f>IFERROR(__xludf.DUMMYFUNCTION("""COMPUTED_VALUE"""),"20250105_NO@TB")</f>
        <v>20250105_NO@TB</v>
      </c>
      <c r="B264" s="139" t="str">
        <f>IFERROR(__xludf.DUMMYFUNCTION("""COMPUTED_VALUE"""),"NO")</f>
        <v>NO</v>
      </c>
      <c r="C264" s="139" t="str">
        <f>IFERROR(__xludf.DUMMYFUNCTION("""COMPUTED_VALUE"""),"TB")</f>
        <v>TB</v>
      </c>
      <c r="D264" s="139"/>
      <c r="E264" s="139"/>
      <c r="F264" s="139" t="str">
        <f>IFERROR(__xludf.DUMMYFUNCTION("""COMPUTED_VALUE"""),"Week 18")</f>
        <v>Week 18</v>
      </c>
      <c r="G264" s="139">
        <f>IFERROR(__xludf.DUMMYFUNCTION("""COMPUTED_VALUE"""),0.0)</f>
        <v>0</v>
      </c>
    </row>
    <row r="265">
      <c r="A265" s="139" t="str">
        <f>IFERROR(__xludf.DUMMYFUNCTION("""COMPUTED_VALUE"""),"20250105_CIN@PIT")</f>
        <v>20250105_CIN@PIT</v>
      </c>
      <c r="B265" s="139" t="str">
        <f>IFERROR(__xludf.DUMMYFUNCTION("""COMPUTED_VALUE"""),"CIN")</f>
        <v>CIN</v>
      </c>
      <c r="C265" s="139" t="str">
        <f>IFERROR(__xludf.DUMMYFUNCTION("""COMPUTED_VALUE"""),"PIT")</f>
        <v>PIT</v>
      </c>
      <c r="D265" s="139"/>
      <c r="E265" s="139"/>
      <c r="F265" s="139" t="str">
        <f>IFERROR(__xludf.DUMMYFUNCTION("""COMPUTED_VALUE"""),"Week 18")</f>
        <v>Week 18</v>
      </c>
      <c r="G265" s="139">
        <f>IFERROR(__xludf.DUMMYFUNCTION("""COMPUTED_VALUE"""),0.0)</f>
        <v>0</v>
      </c>
    </row>
    <row r="266">
      <c r="A266" s="139" t="str">
        <f>IFERROR(__xludf.DUMMYFUNCTION("""COMPUTED_VALUE"""),"20250105_MIN@DET")</f>
        <v>20250105_MIN@DET</v>
      </c>
      <c r="B266" s="139" t="str">
        <f>IFERROR(__xludf.DUMMYFUNCTION("""COMPUTED_VALUE"""),"MIN")</f>
        <v>MIN</v>
      </c>
      <c r="C266" s="139" t="str">
        <f>IFERROR(__xludf.DUMMYFUNCTION("""COMPUTED_VALUE"""),"DET")</f>
        <v>DET</v>
      </c>
      <c r="D266" s="139"/>
      <c r="E266" s="139"/>
      <c r="F266" s="139" t="str">
        <f>IFERROR(__xludf.DUMMYFUNCTION("""COMPUTED_VALUE"""),"Week 18")</f>
        <v>Week 18</v>
      </c>
      <c r="G266" s="139">
        <f>IFERROR(__xludf.DUMMYFUNCTION("""COMPUTED_VALUE"""),0.0)</f>
        <v>0</v>
      </c>
    </row>
    <row r="267">
      <c r="A267" s="139" t="str">
        <f>IFERROR(__xludf.DUMMYFUNCTION("""COMPUTED_VALUE"""),"20250105_HOU@TEN")</f>
        <v>20250105_HOU@TEN</v>
      </c>
      <c r="B267" s="139" t="str">
        <f>IFERROR(__xludf.DUMMYFUNCTION("""COMPUTED_VALUE"""),"HOU")</f>
        <v>HOU</v>
      </c>
      <c r="C267" s="139" t="str">
        <f>IFERROR(__xludf.DUMMYFUNCTION("""COMPUTED_VALUE"""),"TEN")</f>
        <v>TEN</v>
      </c>
      <c r="D267" s="139"/>
      <c r="E267" s="139"/>
      <c r="F267" s="139" t="str">
        <f>IFERROR(__xludf.DUMMYFUNCTION("""COMPUTED_VALUE"""),"Week 18")</f>
        <v>Week 18</v>
      </c>
      <c r="G267" s="139">
        <f>IFERROR(__xludf.DUMMYFUNCTION("""COMPUTED_VALUE"""),0.0)</f>
        <v>0</v>
      </c>
    </row>
    <row r="268">
      <c r="A268" s="139" t="str">
        <f>IFERROR(__xludf.DUMMYFUNCTION("""COMPUTED_VALUE"""),"20250105_KC@DEN")</f>
        <v>20250105_KC@DEN</v>
      </c>
      <c r="B268" s="139" t="str">
        <f>IFERROR(__xludf.DUMMYFUNCTION("""COMPUTED_VALUE"""),"KC")</f>
        <v>KC</v>
      </c>
      <c r="C268" s="139" t="str">
        <f>IFERROR(__xludf.DUMMYFUNCTION("""COMPUTED_VALUE"""),"DEN")</f>
        <v>DEN</v>
      </c>
      <c r="D268" s="139"/>
      <c r="E268" s="139"/>
      <c r="F268" s="139" t="str">
        <f>IFERROR(__xludf.DUMMYFUNCTION("""COMPUTED_VALUE"""),"Week 18")</f>
        <v>Week 18</v>
      </c>
      <c r="G268" s="139">
        <f>IFERROR(__xludf.DUMMYFUNCTION("""COMPUTED_VALUE"""),0.0)</f>
        <v>0</v>
      </c>
    </row>
    <row r="269">
      <c r="A269" s="139" t="str">
        <f>IFERROR(__xludf.DUMMYFUNCTION("""COMPUTED_VALUE"""),"20250105_LAC@LV")</f>
        <v>20250105_LAC@LV</v>
      </c>
      <c r="B269" s="139" t="str">
        <f>IFERROR(__xludf.DUMMYFUNCTION("""COMPUTED_VALUE"""),"LAC")</f>
        <v>LAC</v>
      </c>
      <c r="C269" s="139" t="str">
        <f>IFERROR(__xludf.DUMMYFUNCTION("""COMPUTED_VALUE"""),"LV")</f>
        <v>LV</v>
      </c>
      <c r="D269" s="139"/>
      <c r="E269" s="139"/>
      <c r="F269" s="139" t="str">
        <f>IFERROR(__xludf.DUMMYFUNCTION("""COMPUTED_VALUE"""),"Week 18")</f>
        <v>Week 18</v>
      </c>
      <c r="G269" s="139">
        <f>IFERROR(__xludf.DUMMYFUNCTION("""COMPUTED_VALUE"""),0.0)</f>
        <v>0</v>
      </c>
    </row>
    <row r="270">
      <c r="A270" s="139" t="str">
        <f>IFERROR(__xludf.DUMMYFUNCTION("""COMPUTED_VALUE"""),"20250105_CLE@BAL")</f>
        <v>20250105_CLE@BAL</v>
      </c>
      <c r="B270" s="139" t="str">
        <f>IFERROR(__xludf.DUMMYFUNCTION("""COMPUTED_VALUE"""),"CLE")</f>
        <v>CLE</v>
      </c>
      <c r="C270" s="139" t="str">
        <f>IFERROR(__xludf.DUMMYFUNCTION("""COMPUTED_VALUE"""),"BAL")</f>
        <v>BAL</v>
      </c>
      <c r="D270" s="139"/>
      <c r="E270" s="139"/>
      <c r="F270" s="139" t="str">
        <f>IFERROR(__xludf.DUMMYFUNCTION("""COMPUTED_VALUE"""),"Week 18")</f>
        <v>Week 18</v>
      </c>
      <c r="G270" s="139">
        <f>IFERROR(__xludf.DUMMYFUNCTION("""COMPUTED_VALUE"""),0.0)</f>
        <v>0</v>
      </c>
    </row>
    <row r="271">
      <c r="A271" s="139" t="str">
        <f>IFERROR(__xludf.DUMMYFUNCTION("""COMPUTED_VALUE"""),"20250105_SF@ARI")</f>
        <v>20250105_SF@ARI</v>
      </c>
      <c r="B271" s="139" t="str">
        <f>IFERROR(__xludf.DUMMYFUNCTION("""COMPUTED_VALUE"""),"SF")</f>
        <v>SF</v>
      </c>
      <c r="C271" s="139" t="str">
        <f>IFERROR(__xludf.DUMMYFUNCTION("""COMPUTED_VALUE"""),"ARI")</f>
        <v>ARI</v>
      </c>
      <c r="D271" s="139"/>
      <c r="E271" s="139"/>
      <c r="F271" s="139" t="str">
        <f>IFERROR(__xludf.DUMMYFUNCTION("""COMPUTED_VALUE"""),"Week 18")</f>
        <v>Week 18</v>
      </c>
      <c r="G271" s="139">
        <f>IFERROR(__xludf.DUMMYFUNCTION("""COMPUTED_VALUE"""),0.0)</f>
        <v>0</v>
      </c>
    </row>
    <row r="272">
      <c r="A272" s="139" t="str">
        <f>IFERROR(__xludf.DUMMYFUNCTION("""COMPUTED_VALUE"""),"20250105_WSH@DAL")</f>
        <v>20250105_WSH@DAL</v>
      </c>
      <c r="B272" s="139" t="str">
        <f>IFERROR(__xludf.DUMMYFUNCTION("""COMPUTED_VALUE"""),"WSH")</f>
        <v>WSH</v>
      </c>
      <c r="C272" s="139" t="str">
        <f>IFERROR(__xludf.DUMMYFUNCTION("""COMPUTED_VALUE"""),"DAL")</f>
        <v>DAL</v>
      </c>
      <c r="D272" s="139"/>
      <c r="E272" s="139"/>
      <c r="F272" s="139" t="str">
        <f>IFERROR(__xludf.DUMMYFUNCTION("""COMPUTED_VALUE"""),"Week 18")</f>
        <v>Week 18</v>
      </c>
      <c r="G272" s="139">
        <f>IFERROR(__xludf.DUMMYFUNCTION("""COMPUTED_VALUE"""),0.0)</f>
        <v>0</v>
      </c>
    </row>
    <row r="273">
      <c r="A273" s="139" t="str">
        <f>IFERROR(__xludf.DUMMYFUNCTION("""COMPUTED_VALUE"""),"20250105_JAX@IND")</f>
        <v>20250105_JAX@IND</v>
      </c>
      <c r="B273" s="139" t="str">
        <f>IFERROR(__xludf.DUMMYFUNCTION("""COMPUTED_VALUE"""),"JAX")</f>
        <v>JAX</v>
      </c>
      <c r="C273" s="139" t="str">
        <f>IFERROR(__xludf.DUMMYFUNCTION("""COMPUTED_VALUE"""),"IND")</f>
        <v>IND</v>
      </c>
      <c r="D273" s="139"/>
      <c r="E273" s="139"/>
      <c r="F273" s="139" t="str">
        <f>IFERROR(__xludf.DUMMYFUNCTION("""COMPUTED_VALUE"""),"Week 18")</f>
        <v>Week 18</v>
      </c>
      <c r="G273" s="139">
        <f>IFERROR(__xludf.DUMMYFUNCTION("""COMPUTED_VALUE"""),0.0)</f>
        <v>0</v>
      </c>
    </row>
    <row r="274">
      <c r="H274" s="139" t="str">
        <f t="shared" ref="H274:H481" si="3">if(E274&gt;D274,C274,if(D274&gt;E274,B274,""))</f>
        <v/>
      </c>
      <c r="I274" s="139" t="str">
        <f t="shared" ref="I274:I481" si="4">if(E274&lt;D274,C274,if(D274&lt;E274,B274,""))</f>
        <v/>
      </c>
      <c r="J274" s="139" t="str">
        <f t="shared" ref="J274:J481" si="5">CONCAT(F274,B274)</f>
        <v/>
      </c>
      <c r="L274" s="139" t="str">
        <f t="shared" ref="L274:L481" si="6">CONCAT(F274,C274)</f>
        <v/>
      </c>
      <c r="M274" s="139" t="str">
        <f t="shared" ref="M274:N274" si="2">D274</f>
        <v/>
      </c>
      <c r="N274" s="139" t="str">
        <f t="shared" si="2"/>
        <v/>
      </c>
      <c r="O274" s="139" t="str">
        <f t="shared" ref="O274:O481" si="8">CONCAT(F274,B274)</f>
        <v/>
      </c>
    </row>
    <row r="275">
      <c r="H275" s="139" t="str">
        <f t="shared" si="3"/>
        <v/>
      </c>
      <c r="I275" s="139" t="str">
        <f t="shared" si="4"/>
        <v/>
      </c>
      <c r="J275" s="139" t="str">
        <f t="shared" si="5"/>
        <v/>
      </c>
      <c r="L275" s="139" t="str">
        <f t="shared" si="6"/>
        <v/>
      </c>
      <c r="M275" s="139" t="str">
        <f t="shared" ref="M275:N275" si="7">D275</f>
        <v/>
      </c>
      <c r="N275" s="139" t="str">
        <f t="shared" si="7"/>
        <v/>
      </c>
      <c r="O275" s="139" t="str">
        <f t="shared" si="8"/>
        <v/>
      </c>
    </row>
    <row r="276">
      <c r="H276" s="139" t="str">
        <f t="shared" si="3"/>
        <v/>
      </c>
      <c r="I276" s="139" t="str">
        <f t="shared" si="4"/>
        <v/>
      </c>
      <c r="J276" s="139" t="str">
        <f t="shared" si="5"/>
        <v/>
      </c>
      <c r="L276" s="139" t="str">
        <f t="shared" si="6"/>
        <v/>
      </c>
      <c r="M276" s="139" t="str">
        <f t="shared" ref="M276:N276" si="9">D276</f>
        <v/>
      </c>
      <c r="N276" s="139" t="str">
        <f t="shared" si="9"/>
        <v/>
      </c>
      <c r="O276" s="139" t="str">
        <f t="shared" si="8"/>
        <v/>
      </c>
    </row>
    <row r="277">
      <c r="H277" s="139" t="str">
        <f t="shared" si="3"/>
        <v/>
      </c>
      <c r="I277" s="139" t="str">
        <f t="shared" si="4"/>
        <v/>
      </c>
      <c r="J277" s="139" t="str">
        <f t="shared" si="5"/>
        <v/>
      </c>
      <c r="L277" s="139" t="str">
        <f t="shared" si="6"/>
        <v/>
      </c>
      <c r="M277" s="139" t="str">
        <f t="shared" ref="M277:N277" si="10">D277</f>
        <v/>
      </c>
      <c r="N277" s="139" t="str">
        <f t="shared" si="10"/>
        <v/>
      </c>
      <c r="O277" s="139" t="str">
        <f t="shared" si="8"/>
        <v/>
      </c>
    </row>
    <row r="278">
      <c r="H278" s="139" t="str">
        <f t="shared" si="3"/>
        <v/>
      </c>
      <c r="I278" s="139" t="str">
        <f t="shared" si="4"/>
        <v/>
      </c>
      <c r="J278" s="139" t="str">
        <f t="shared" si="5"/>
        <v/>
      </c>
      <c r="L278" s="139" t="str">
        <f t="shared" si="6"/>
        <v/>
      </c>
      <c r="M278" s="139" t="str">
        <f t="shared" ref="M278:N278" si="11">D278</f>
        <v/>
      </c>
      <c r="N278" s="139" t="str">
        <f t="shared" si="11"/>
        <v/>
      </c>
      <c r="O278" s="139" t="str">
        <f t="shared" si="8"/>
        <v/>
      </c>
    </row>
    <row r="279">
      <c r="H279" s="139" t="str">
        <f t="shared" si="3"/>
        <v/>
      </c>
      <c r="I279" s="139" t="str">
        <f t="shared" si="4"/>
        <v/>
      </c>
      <c r="J279" s="139" t="str">
        <f t="shared" si="5"/>
        <v/>
      </c>
      <c r="L279" s="139" t="str">
        <f t="shared" si="6"/>
        <v/>
      </c>
      <c r="M279" s="139" t="str">
        <f t="shared" ref="M279:N279" si="12">D279</f>
        <v/>
      </c>
      <c r="N279" s="139" t="str">
        <f t="shared" si="12"/>
        <v/>
      </c>
      <c r="O279" s="139" t="str">
        <f t="shared" si="8"/>
        <v/>
      </c>
    </row>
    <row r="280">
      <c r="H280" s="139" t="str">
        <f t="shared" si="3"/>
        <v/>
      </c>
      <c r="I280" s="139" t="str">
        <f t="shared" si="4"/>
        <v/>
      </c>
      <c r="J280" s="139" t="str">
        <f t="shared" si="5"/>
        <v/>
      </c>
      <c r="L280" s="139" t="str">
        <f t="shared" si="6"/>
        <v/>
      </c>
      <c r="M280" s="139" t="str">
        <f t="shared" ref="M280:N280" si="13">D280</f>
        <v/>
      </c>
      <c r="N280" s="139" t="str">
        <f t="shared" si="13"/>
        <v/>
      </c>
      <c r="O280" s="139" t="str">
        <f t="shared" si="8"/>
        <v/>
      </c>
    </row>
    <row r="281">
      <c r="H281" s="139" t="str">
        <f t="shared" si="3"/>
        <v/>
      </c>
      <c r="I281" s="139" t="str">
        <f t="shared" si="4"/>
        <v/>
      </c>
      <c r="J281" s="139" t="str">
        <f t="shared" si="5"/>
        <v/>
      </c>
      <c r="L281" s="139" t="str">
        <f t="shared" si="6"/>
        <v/>
      </c>
      <c r="M281" s="139" t="str">
        <f t="shared" ref="M281:N281" si="14">D281</f>
        <v/>
      </c>
      <c r="N281" s="139" t="str">
        <f t="shared" si="14"/>
        <v/>
      </c>
      <c r="O281" s="139" t="str">
        <f t="shared" si="8"/>
        <v/>
      </c>
    </row>
    <row r="282">
      <c r="H282" s="139" t="str">
        <f t="shared" si="3"/>
        <v/>
      </c>
      <c r="I282" s="139" t="str">
        <f t="shared" si="4"/>
        <v/>
      </c>
      <c r="J282" s="139" t="str">
        <f t="shared" si="5"/>
        <v/>
      </c>
      <c r="L282" s="139" t="str">
        <f t="shared" si="6"/>
        <v/>
      </c>
      <c r="M282" s="139" t="str">
        <f t="shared" ref="M282:N282" si="15">D282</f>
        <v/>
      </c>
      <c r="N282" s="139" t="str">
        <f t="shared" si="15"/>
        <v/>
      </c>
      <c r="O282" s="139" t="str">
        <f t="shared" si="8"/>
        <v/>
      </c>
    </row>
    <row r="283">
      <c r="H283" s="139" t="str">
        <f t="shared" si="3"/>
        <v/>
      </c>
      <c r="I283" s="139" t="str">
        <f t="shared" si="4"/>
        <v/>
      </c>
      <c r="J283" s="139" t="str">
        <f t="shared" si="5"/>
        <v/>
      </c>
      <c r="L283" s="139" t="str">
        <f t="shared" si="6"/>
        <v/>
      </c>
      <c r="M283" s="139" t="str">
        <f t="shared" ref="M283:N283" si="16">D283</f>
        <v/>
      </c>
      <c r="N283" s="139" t="str">
        <f t="shared" si="16"/>
        <v/>
      </c>
      <c r="O283" s="139" t="str">
        <f t="shared" si="8"/>
        <v/>
      </c>
    </row>
    <row r="284">
      <c r="H284" s="139" t="str">
        <f t="shared" si="3"/>
        <v/>
      </c>
      <c r="I284" s="139" t="str">
        <f t="shared" si="4"/>
        <v/>
      </c>
      <c r="J284" s="139" t="str">
        <f t="shared" si="5"/>
        <v/>
      </c>
      <c r="L284" s="139" t="str">
        <f t="shared" si="6"/>
        <v/>
      </c>
      <c r="M284" s="139" t="str">
        <f t="shared" ref="M284:N284" si="17">D284</f>
        <v/>
      </c>
      <c r="N284" s="139" t="str">
        <f t="shared" si="17"/>
        <v/>
      </c>
      <c r="O284" s="139" t="str">
        <f t="shared" si="8"/>
        <v/>
      </c>
    </row>
    <row r="285">
      <c r="H285" s="139" t="str">
        <f t="shared" si="3"/>
        <v/>
      </c>
      <c r="I285" s="139" t="str">
        <f t="shared" si="4"/>
        <v/>
      </c>
      <c r="J285" s="139" t="str">
        <f t="shared" si="5"/>
        <v/>
      </c>
      <c r="L285" s="139" t="str">
        <f t="shared" si="6"/>
        <v/>
      </c>
      <c r="M285" s="139" t="str">
        <f t="shared" ref="M285:N285" si="18">D285</f>
        <v/>
      </c>
      <c r="N285" s="139" t="str">
        <f t="shared" si="18"/>
        <v/>
      </c>
      <c r="O285" s="139" t="str">
        <f t="shared" si="8"/>
        <v/>
      </c>
    </row>
    <row r="286">
      <c r="H286" s="139" t="str">
        <f t="shared" si="3"/>
        <v/>
      </c>
      <c r="I286" s="139" t="str">
        <f t="shared" si="4"/>
        <v/>
      </c>
      <c r="J286" s="139" t="str">
        <f t="shared" si="5"/>
        <v/>
      </c>
      <c r="L286" s="139" t="str">
        <f t="shared" si="6"/>
        <v/>
      </c>
      <c r="M286" s="139" t="str">
        <f t="shared" ref="M286:N286" si="19">D286</f>
        <v/>
      </c>
      <c r="N286" s="139" t="str">
        <f t="shared" si="19"/>
        <v/>
      </c>
      <c r="O286" s="139" t="str">
        <f t="shared" si="8"/>
        <v/>
      </c>
    </row>
    <row r="287">
      <c r="H287" s="139" t="str">
        <f t="shared" si="3"/>
        <v/>
      </c>
      <c r="I287" s="139" t="str">
        <f t="shared" si="4"/>
        <v/>
      </c>
      <c r="J287" s="139" t="str">
        <f t="shared" si="5"/>
        <v/>
      </c>
      <c r="L287" s="139" t="str">
        <f t="shared" si="6"/>
        <v/>
      </c>
      <c r="M287" s="139" t="str">
        <f t="shared" ref="M287:N287" si="20">D287</f>
        <v/>
      </c>
      <c r="N287" s="139" t="str">
        <f t="shared" si="20"/>
        <v/>
      </c>
      <c r="O287" s="139" t="str">
        <f t="shared" si="8"/>
        <v/>
      </c>
    </row>
    <row r="288">
      <c r="H288" s="139" t="str">
        <f t="shared" si="3"/>
        <v/>
      </c>
      <c r="I288" s="139" t="str">
        <f t="shared" si="4"/>
        <v/>
      </c>
      <c r="J288" s="139" t="str">
        <f t="shared" si="5"/>
        <v/>
      </c>
      <c r="L288" s="139" t="str">
        <f t="shared" si="6"/>
        <v/>
      </c>
      <c r="M288" s="139" t="str">
        <f t="shared" ref="M288:N288" si="21">D288</f>
        <v/>
      </c>
      <c r="N288" s="139" t="str">
        <f t="shared" si="21"/>
        <v/>
      </c>
      <c r="O288" s="139" t="str">
        <f t="shared" si="8"/>
        <v/>
      </c>
    </row>
    <row r="289">
      <c r="H289" s="139" t="str">
        <f t="shared" si="3"/>
        <v/>
      </c>
      <c r="I289" s="139" t="str">
        <f t="shared" si="4"/>
        <v/>
      </c>
      <c r="J289" s="139" t="str">
        <f t="shared" si="5"/>
        <v/>
      </c>
      <c r="L289" s="139" t="str">
        <f t="shared" si="6"/>
        <v/>
      </c>
      <c r="M289" s="139" t="str">
        <f t="shared" ref="M289:N289" si="22">D289</f>
        <v/>
      </c>
      <c r="N289" s="139" t="str">
        <f t="shared" si="22"/>
        <v/>
      </c>
      <c r="O289" s="139" t="str">
        <f t="shared" si="8"/>
        <v/>
      </c>
    </row>
    <row r="290">
      <c r="H290" s="139" t="str">
        <f t="shared" si="3"/>
        <v/>
      </c>
      <c r="I290" s="139" t="str">
        <f t="shared" si="4"/>
        <v/>
      </c>
      <c r="J290" s="139" t="str">
        <f t="shared" si="5"/>
        <v/>
      </c>
      <c r="L290" s="139" t="str">
        <f t="shared" si="6"/>
        <v/>
      </c>
      <c r="M290" s="139" t="str">
        <f t="shared" ref="M290:N290" si="23">D290</f>
        <v/>
      </c>
      <c r="N290" s="139" t="str">
        <f t="shared" si="23"/>
        <v/>
      </c>
      <c r="O290" s="139" t="str">
        <f t="shared" si="8"/>
        <v/>
      </c>
    </row>
    <row r="291">
      <c r="H291" s="139" t="str">
        <f t="shared" si="3"/>
        <v/>
      </c>
      <c r="I291" s="139" t="str">
        <f t="shared" si="4"/>
        <v/>
      </c>
      <c r="J291" s="139" t="str">
        <f t="shared" si="5"/>
        <v/>
      </c>
      <c r="L291" s="139" t="str">
        <f t="shared" si="6"/>
        <v/>
      </c>
      <c r="M291" s="139" t="str">
        <f t="shared" ref="M291:N291" si="24">D291</f>
        <v/>
      </c>
      <c r="N291" s="139" t="str">
        <f t="shared" si="24"/>
        <v/>
      </c>
      <c r="O291" s="139" t="str">
        <f t="shared" si="8"/>
        <v/>
      </c>
    </row>
    <row r="292">
      <c r="H292" s="139" t="str">
        <f t="shared" si="3"/>
        <v/>
      </c>
      <c r="I292" s="139" t="str">
        <f t="shared" si="4"/>
        <v/>
      </c>
      <c r="J292" s="139" t="str">
        <f t="shared" si="5"/>
        <v/>
      </c>
      <c r="L292" s="139" t="str">
        <f t="shared" si="6"/>
        <v/>
      </c>
      <c r="M292" s="139" t="str">
        <f t="shared" ref="M292:N292" si="25">D292</f>
        <v/>
      </c>
      <c r="N292" s="139" t="str">
        <f t="shared" si="25"/>
        <v/>
      </c>
      <c r="O292" s="139" t="str">
        <f t="shared" si="8"/>
        <v/>
      </c>
    </row>
    <row r="293">
      <c r="H293" s="139" t="str">
        <f t="shared" si="3"/>
        <v/>
      </c>
      <c r="I293" s="139" t="str">
        <f t="shared" si="4"/>
        <v/>
      </c>
      <c r="J293" s="139" t="str">
        <f t="shared" si="5"/>
        <v/>
      </c>
      <c r="L293" s="139" t="str">
        <f t="shared" si="6"/>
        <v/>
      </c>
      <c r="M293" s="139" t="str">
        <f t="shared" ref="M293:N293" si="26">D293</f>
        <v/>
      </c>
      <c r="N293" s="139" t="str">
        <f t="shared" si="26"/>
        <v/>
      </c>
      <c r="O293" s="139" t="str">
        <f t="shared" si="8"/>
        <v/>
      </c>
    </row>
    <row r="294">
      <c r="H294" s="139" t="str">
        <f t="shared" si="3"/>
        <v/>
      </c>
      <c r="I294" s="139" t="str">
        <f t="shared" si="4"/>
        <v/>
      </c>
      <c r="J294" s="139" t="str">
        <f t="shared" si="5"/>
        <v/>
      </c>
      <c r="L294" s="139" t="str">
        <f t="shared" si="6"/>
        <v/>
      </c>
      <c r="M294" s="139" t="str">
        <f t="shared" ref="M294:N294" si="27">D294</f>
        <v/>
      </c>
      <c r="N294" s="139" t="str">
        <f t="shared" si="27"/>
        <v/>
      </c>
      <c r="O294" s="139" t="str">
        <f t="shared" si="8"/>
        <v/>
      </c>
    </row>
    <row r="295">
      <c r="H295" s="139" t="str">
        <f t="shared" si="3"/>
        <v/>
      </c>
      <c r="I295" s="139" t="str">
        <f t="shared" si="4"/>
        <v/>
      </c>
      <c r="J295" s="139" t="str">
        <f t="shared" si="5"/>
        <v/>
      </c>
      <c r="L295" s="139" t="str">
        <f t="shared" si="6"/>
        <v/>
      </c>
      <c r="M295" s="139" t="str">
        <f t="shared" ref="M295:N295" si="28">D295</f>
        <v/>
      </c>
      <c r="N295" s="139" t="str">
        <f t="shared" si="28"/>
        <v/>
      </c>
      <c r="O295" s="139" t="str">
        <f t="shared" si="8"/>
        <v/>
      </c>
    </row>
    <row r="296">
      <c r="H296" s="139" t="str">
        <f t="shared" si="3"/>
        <v/>
      </c>
      <c r="I296" s="139" t="str">
        <f t="shared" si="4"/>
        <v/>
      </c>
      <c r="J296" s="139" t="str">
        <f t="shared" si="5"/>
        <v/>
      </c>
      <c r="L296" s="139" t="str">
        <f t="shared" si="6"/>
        <v/>
      </c>
      <c r="M296" s="139" t="str">
        <f t="shared" ref="M296:N296" si="29">D296</f>
        <v/>
      </c>
      <c r="N296" s="139" t="str">
        <f t="shared" si="29"/>
        <v/>
      </c>
      <c r="O296" s="139" t="str">
        <f t="shared" si="8"/>
        <v/>
      </c>
    </row>
    <row r="297">
      <c r="H297" s="139" t="str">
        <f t="shared" si="3"/>
        <v/>
      </c>
      <c r="I297" s="139" t="str">
        <f t="shared" si="4"/>
        <v/>
      </c>
      <c r="J297" s="139" t="str">
        <f t="shared" si="5"/>
        <v/>
      </c>
      <c r="L297" s="139" t="str">
        <f t="shared" si="6"/>
        <v/>
      </c>
      <c r="M297" s="139" t="str">
        <f t="shared" ref="M297:N297" si="30">D297</f>
        <v/>
      </c>
      <c r="N297" s="139" t="str">
        <f t="shared" si="30"/>
        <v/>
      </c>
      <c r="O297" s="139" t="str">
        <f t="shared" si="8"/>
        <v/>
      </c>
    </row>
    <row r="298">
      <c r="H298" s="139" t="str">
        <f t="shared" si="3"/>
        <v/>
      </c>
      <c r="I298" s="139" t="str">
        <f t="shared" si="4"/>
        <v/>
      </c>
      <c r="J298" s="139" t="str">
        <f t="shared" si="5"/>
        <v/>
      </c>
      <c r="L298" s="139" t="str">
        <f t="shared" si="6"/>
        <v/>
      </c>
      <c r="M298" s="139" t="str">
        <f t="shared" ref="M298:N298" si="31">D298</f>
        <v/>
      </c>
      <c r="N298" s="139" t="str">
        <f t="shared" si="31"/>
        <v/>
      </c>
      <c r="O298" s="139" t="str">
        <f t="shared" si="8"/>
        <v/>
      </c>
    </row>
    <row r="299">
      <c r="H299" s="139" t="str">
        <f t="shared" si="3"/>
        <v/>
      </c>
      <c r="I299" s="139" t="str">
        <f t="shared" si="4"/>
        <v/>
      </c>
      <c r="J299" s="139" t="str">
        <f t="shared" si="5"/>
        <v/>
      </c>
      <c r="L299" s="139" t="str">
        <f t="shared" si="6"/>
        <v/>
      </c>
      <c r="M299" s="139" t="str">
        <f t="shared" ref="M299:N299" si="32">D299</f>
        <v/>
      </c>
      <c r="N299" s="139" t="str">
        <f t="shared" si="32"/>
        <v/>
      </c>
      <c r="O299" s="139" t="str">
        <f t="shared" si="8"/>
        <v/>
      </c>
    </row>
    <row r="300">
      <c r="H300" s="139" t="str">
        <f t="shared" si="3"/>
        <v/>
      </c>
      <c r="I300" s="139" t="str">
        <f t="shared" si="4"/>
        <v/>
      </c>
      <c r="J300" s="139" t="str">
        <f t="shared" si="5"/>
        <v/>
      </c>
      <c r="L300" s="139" t="str">
        <f t="shared" si="6"/>
        <v/>
      </c>
      <c r="M300" s="139" t="str">
        <f t="shared" ref="M300:N300" si="33">D300</f>
        <v/>
      </c>
      <c r="N300" s="139" t="str">
        <f t="shared" si="33"/>
        <v/>
      </c>
      <c r="O300" s="139" t="str">
        <f t="shared" si="8"/>
        <v/>
      </c>
    </row>
    <row r="301">
      <c r="H301" s="139" t="str">
        <f t="shared" si="3"/>
        <v/>
      </c>
      <c r="I301" s="139" t="str">
        <f t="shared" si="4"/>
        <v/>
      </c>
      <c r="J301" s="139" t="str">
        <f t="shared" si="5"/>
        <v/>
      </c>
      <c r="L301" s="139" t="str">
        <f t="shared" si="6"/>
        <v/>
      </c>
      <c r="M301" s="139" t="str">
        <f t="shared" ref="M301:N301" si="34">D301</f>
        <v/>
      </c>
      <c r="N301" s="139" t="str">
        <f t="shared" si="34"/>
        <v/>
      </c>
      <c r="O301" s="139" t="str">
        <f t="shared" si="8"/>
        <v/>
      </c>
    </row>
    <row r="302">
      <c r="H302" s="139" t="str">
        <f t="shared" si="3"/>
        <v/>
      </c>
      <c r="I302" s="139" t="str">
        <f t="shared" si="4"/>
        <v/>
      </c>
      <c r="J302" s="139" t="str">
        <f t="shared" si="5"/>
        <v/>
      </c>
      <c r="L302" s="139" t="str">
        <f t="shared" si="6"/>
        <v/>
      </c>
      <c r="M302" s="139" t="str">
        <f t="shared" ref="M302:N302" si="35">D302</f>
        <v/>
      </c>
      <c r="N302" s="139" t="str">
        <f t="shared" si="35"/>
        <v/>
      </c>
      <c r="O302" s="139" t="str">
        <f t="shared" si="8"/>
        <v/>
      </c>
    </row>
    <row r="303">
      <c r="H303" s="139" t="str">
        <f t="shared" si="3"/>
        <v/>
      </c>
      <c r="I303" s="139" t="str">
        <f t="shared" si="4"/>
        <v/>
      </c>
      <c r="J303" s="139" t="str">
        <f t="shared" si="5"/>
        <v/>
      </c>
      <c r="L303" s="139" t="str">
        <f t="shared" si="6"/>
        <v/>
      </c>
      <c r="M303" s="139" t="str">
        <f t="shared" ref="M303:N303" si="36">D303</f>
        <v/>
      </c>
      <c r="N303" s="139" t="str">
        <f t="shared" si="36"/>
        <v/>
      </c>
      <c r="O303" s="139" t="str">
        <f t="shared" si="8"/>
        <v/>
      </c>
    </row>
    <row r="304">
      <c r="H304" s="139" t="str">
        <f t="shared" si="3"/>
        <v/>
      </c>
      <c r="I304" s="139" t="str">
        <f t="shared" si="4"/>
        <v/>
      </c>
      <c r="J304" s="139" t="str">
        <f t="shared" si="5"/>
        <v/>
      </c>
      <c r="L304" s="139" t="str">
        <f t="shared" si="6"/>
        <v/>
      </c>
      <c r="M304" s="139" t="str">
        <f t="shared" ref="M304:N304" si="37">D304</f>
        <v/>
      </c>
      <c r="N304" s="139" t="str">
        <f t="shared" si="37"/>
        <v/>
      </c>
      <c r="O304" s="139" t="str">
        <f t="shared" si="8"/>
        <v/>
      </c>
    </row>
    <row r="305">
      <c r="H305" s="139" t="str">
        <f t="shared" si="3"/>
        <v/>
      </c>
      <c r="I305" s="139" t="str">
        <f t="shared" si="4"/>
        <v/>
      </c>
      <c r="J305" s="139" t="str">
        <f t="shared" si="5"/>
        <v/>
      </c>
      <c r="L305" s="139" t="str">
        <f t="shared" si="6"/>
        <v/>
      </c>
      <c r="M305" s="139" t="str">
        <f t="shared" ref="M305:N305" si="38">D305</f>
        <v/>
      </c>
      <c r="N305" s="139" t="str">
        <f t="shared" si="38"/>
        <v/>
      </c>
      <c r="O305" s="139" t="str">
        <f t="shared" si="8"/>
        <v/>
      </c>
    </row>
    <row r="306">
      <c r="H306" s="139" t="str">
        <f t="shared" si="3"/>
        <v/>
      </c>
      <c r="I306" s="139" t="str">
        <f t="shared" si="4"/>
        <v/>
      </c>
      <c r="J306" s="139" t="str">
        <f t="shared" si="5"/>
        <v/>
      </c>
      <c r="L306" s="139" t="str">
        <f t="shared" si="6"/>
        <v/>
      </c>
      <c r="M306" s="139" t="str">
        <f t="shared" ref="M306:N306" si="39">D306</f>
        <v/>
      </c>
      <c r="N306" s="139" t="str">
        <f t="shared" si="39"/>
        <v/>
      </c>
      <c r="O306" s="139" t="str">
        <f t="shared" si="8"/>
        <v/>
      </c>
    </row>
    <row r="307">
      <c r="H307" s="139" t="str">
        <f t="shared" si="3"/>
        <v/>
      </c>
      <c r="I307" s="139" t="str">
        <f t="shared" si="4"/>
        <v/>
      </c>
      <c r="J307" s="139" t="str">
        <f t="shared" si="5"/>
        <v/>
      </c>
      <c r="L307" s="139" t="str">
        <f t="shared" si="6"/>
        <v/>
      </c>
      <c r="M307" s="139" t="str">
        <f t="shared" ref="M307:N307" si="40">D307</f>
        <v/>
      </c>
      <c r="N307" s="139" t="str">
        <f t="shared" si="40"/>
        <v/>
      </c>
      <c r="O307" s="139" t="str">
        <f t="shared" si="8"/>
        <v/>
      </c>
    </row>
    <row r="308">
      <c r="H308" s="139" t="str">
        <f t="shared" si="3"/>
        <v/>
      </c>
      <c r="I308" s="139" t="str">
        <f t="shared" si="4"/>
        <v/>
      </c>
      <c r="J308" s="139" t="str">
        <f t="shared" si="5"/>
        <v/>
      </c>
      <c r="L308" s="139" t="str">
        <f t="shared" si="6"/>
        <v/>
      </c>
      <c r="M308" s="139" t="str">
        <f t="shared" ref="M308:N308" si="41">D308</f>
        <v/>
      </c>
      <c r="N308" s="139" t="str">
        <f t="shared" si="41"/>
        <v/>
      </c>
      <c r="O308" s="139" t="str">
        <f t="shared" si="8"/>
        <v/>
      </c>
    </row>
    <row r="309">
      <c r="H309" s="139" t="str">
        <f t="shared" si="3"/>
        <v/>
      </c>
      <c r="I309" s="139" t="str">
        <f t="shared" si="4"/>
        <v/>
      </c>
      <c r="J309" s="139" t="str">
        <f t="shared" si="5"/>
        <v/>
      </c>
      <c r="L309" s="139" t="str">
        <f t="shared" si="6"/>
        <v/>
      </c>
      <c r="M309" s="139" t="str">
        <f t="shared" ref="M309:N309" si="42">D309</f>
        <v/>
      </c>
      <c r="N309" s="139" t="str">
        <f t="shared" si="42"/>
        <v/>
      </c>
      <c r="O309" s="139" t="str">
        <f t="shared" si="8"/>
        <v/>
      </c>
    </row>
    <row r="310">
      <c r="H310" s="139" t="str">
        <f t="shared" si="3"/>
        <v/>
      </c>
      <c r="I310" s="139" t="str">
        <f t="shared" si="4"/>
        <v/>
      </c>
      <c r="J310" s="139" t="str">
        <f t="shared" si="5"/>
        <v/>
      </c>
      <c r="L310" s="139" t="str">
        <f t="shared" si="6"/>
        <v/>
      </c>
      <c r="M310" s="139" t="str">
        <f t="shared" ref="M310:N310" si="43">D310</f>
        <v/>
      </c>
      <c r="N310" s="139" t="str">
        <f t="shared" si="43"/>
        <v/>
      </c>
      <c r="O310" s="139" t="str">
        <f t="shared" si="8"/>
        <v/>
      </c>
    </row>
    <row r="311">
      <c r="H311" s="139" t="str">
        <f t="shared" si="3"/>
        <v/>
      </c>
      <c r="I311" s="139" t="str">
        <f t="shared" si="4"/>
        <v/>
      </c>
      <c r="J311" s="139" t="str">
        <f t="shared" si="5"/>
        <v/>
      </c>
      <c r="L311" s="139" t="str">
        <f t="shared" si="6"/>
        <v/>
      </c>
      <c r="M311" s="139" t="str">
        <f t="shared" ref="M311:N311" si="44">D311</f>
        <v/>
      </c>
      <c r="N311" s="139" t="str">
        <f t="shared" si="44"/>
        <v/>
      </c>
      <c r="O311" s="139" t="str">
        <f t="shared" si="8"/>
        <v/>
      </c>
    </row>
    <row r="312">
      <c r="H312" s="139" t="str">
        <f t="shared" si="3"/>
        <v/>
      </c>
      <c r="I312" s="139" t="str">
        <f t="shared" si="4"/>
        <v/>
      </c>
      <c r="J312" s="139" t="str">
        <f t="shared" si="5"/>
        <v/>
      </c>
      <c r="L312" s="139" t="str">
        <f t="shared" si="6"/>
        <v/>
      </c>
      <c r="M312" s="139" t="str">
        <f t="shared" ref="M312:N312" si="45">D312</f>
        <v/>
      </c>
      <c r="N312" s="139" t="str">
        <f t="shared" si="45"/>
        <v/>
      </c>
      <c r="O312" s="139" t="str">
        <f t="shared" si="8"/>
        <v/>
      </c>
    </row>
    <row r="313">
      <c r="H313" s="139" t="str">
        <f t="shared" si="3"/>
        <v/>
      </c>
      <c r="I313" s="139" t="str">
        <f t="shared" si="4"/>
        <v/>
      </c>
      <c r="J313" s="139" t="str">
        <f t="shared" si="5"/>
        <v/>
      </c>
      <c r="L313" s="139" t="str">
        <f t="shared" si="6"/>
        <v/>
      </c>
      <c r="M313" s="139" t="str">
        <f t="shared" ref="M313:N313" si="46">D313</f>
        <v/>
      </c>
      <c r="N313" s="139" t="str">
        <f t="shared" si="46"/>
        <v/>
      </c>
      <c r="O313" s="139" t="str">
        <f t="shared" si="8"/>
        <v/>
      </c>
    </row>
    <row r="314">
      <c r="H314" s="139" t="str">
        <f t="shared" si="3"/>
        <v/>
      </c>
      <c r="I314" s="139" t="str">
        <f t="shared" si="4"/>
        <v/>
      </c>
      <c r="J314" s="139" t="str">
        <f t="shared" si="5"/>
        <v/>
      </c>
      <c r="L314" s="139" t="str">
        <f t="shared" si="6"/>
        <v/>
      </c>
      <c r="M314" s="139" t="str">
        <f t="shared" ref="M314:N314" si="47">D314</f>
        <v/>
      </c>
      <c r="N314" s="139" t="str">
        <f t="shared" si="47"/>
        <v/>
      </c>
      <c r="O314" s="139" t="str">
        <f t="shared" si="8"/>
        <v/>
      </c>
    </row>
    <row r="315">
      <c r="H315" s="139" t="str">
        <f t="shared" si="3"/>
        <v/>
      </c>
      <c r="I315" s="139" t="str">
        <f t="shared" si="4"/>
        <v/>
      </c>
      <c r="J315" s="139" t="str">
        <f t="shared" si="5"/>
        <v/>
      </c>
      <c r="L315" s="139" t="str">
        <f t="shared" si="6"/>
        <v/>
      </c>
      <c r="M315" s="139" t="str">
        <f t="shared" ref="M315:N315" si="48">D315</f>
        <v/>
      </c>
      <c r="N315" s="139" t="str">
        <f t="shared" si="48"/>
        <v/>
      </c>
      <c r="O315" s="139" t="str">
        <f t="shared" si="8"/>
        <v/>
      </c>
    </row>
    <row r="316">
      <c r="H316" s="139" t="str">
        <f t="shared" si="3"/>
        <v/>
      </c>
      <c r="I316" s="139" t="str">
        <f t="shared" si="4"/>
        <v/>
      </c>
      <c r="J316" s="139" t="str">
        <f t="shared" si="5"/>
        <v/>
      </c>
      <c r="L316" s="139" t="str">
        <f t="shared" si="6"/>
        <v/>
      </c>
      <c r="M316" s="139" t="str">
        <f t="shared" ref="M316:N316" si="49">D316</f>
        <v/>
      </c>
      <c r="N316" s="139" t="str">
        <f t="shared" si="49"/>
        <v/>
      </c>
      <c r="O316" s="139" t="str">
        <f t="shared" si="8"/>
        <v/>
      </c>
    </row>
    <row r="317">
      <c r="H317" s="139" t="str">
        <f t="shared" si="3"/>
        <v/>
      </c>
      <c r="I317" s="139" t="str">
        <f t="shared" si="4"/>
        <v/>
      </c>
      <c r="J317" s="139" t="str">
        <f t="shared" si="5"/>
        <v/>
      </c>
      <c r="L317" s="139" t="str">
        <f t="shared" si="6"/>
        <v/>
      </c>
      <c r="M317" s="139" t="str">
        <f t="shared" ref="M317:N317" si="50">D317</f>
        <v/>
      </c>
      <c r="N317" s="139" t="str">
        <f t="shared" si="50"/>
        <v/>
      </c>
      <c r="O317" s="139" t="str">
        <f t="shared" si="8"/>
        <v/>
      </c>
    </row>
    <row r="318">
      <c r="H318" s="139" t="str">
        <f t="shared" si="3"/>
        <v/>
      </c>
      <c r="I318" s="139" t="str">
        <f t="shared" si="4"/>
        <v/>
      </c>
      <c r="J318" s="139" t="str">
        <f t="shared" si="5"/>
        <v/>
      </c>
      <c r="L318" s="139" t="str">
        <f t="shared" si="6"/>
        <v/>
      </c>
      <c r="M318" s="139" t="str">
        <f t="shared" ref="M318:N318" si="51">D318</f>
        <v/>
      </c>
      <c r="N318" s="139" t="str">
        <f t="shared" si="51"/>
        <v/>
      </c>
      <c r="O318" s="139" t="str">
        <f t="shared" si="8"/>
        <v/>
      </c>
    </row>
    <row r="319">
      <c r="H319" s="139" t="str">
        <f t="shared" si="3"/>
        <v/>
      </c>
      <c r="I319" s="139" t="str">
        <f t="shared" si="4"/>
        <v/>
      </c>
      <c r="J319" s="139" t="str">
        <f t="shared" si="5"/>
        <v/>
      </c>
      <c r="L319" s="139" t="str">
        <f t="shared" si="6"/>
        <v/>
      </c>
      <c r="M319" s="139" t="str">
        <f t="shared" ref="M319:N319" si="52">D319</f>
        <v/>
      </c>
      <c r="N319" s="139" t="str">
        <f t="shared" si="52"/>
        <v/>
      </c>
      <c r="O319" s="139" t="str">
        <f t="shared" si="8"/>
        <v/>
      </c>
    </row>
    <row r="320">
      <c r="H320" s="139" t="str">
        <f t="shared" si="3"/>
        <v/>
      </c>
      <c r="I320" s="139" t="str">
        <f t="shared" si="4"/>
        <v/>
      </c>
      <c r="J320" s="139" t="str">
        <f t="shared" si="5"/>
        <v/>
      </c>
      <c r="L320" s="139" t="str">
        <f t="shared" si="6"/>
        <v/>
      </c>
      <c r="M320" s="139" t="str">
        <f t="shared" ref="M320:N320" si="53">D320</f>
        <v/>
      </c>
      <c r="N320" s="139" t="str">
        <f t="shared" si="53"/>
        <v/>
      </c>
      <c r="O320" s="139" t="str">
        <f t="shared" si="8"/>
        <v/>
      </c>
    </row>
    <row r="321">
      <c r="H321" s="139" t="str">
        <f t="shared" si="3"/>
        <v/>
      </c>
      <c r="I321" s="139" t="str">
        <f t="shared" si="4"/>
        <v/>
      </c>
      <c r="J321" s="139" t="str">
        <f t="shared" si="5"/>
        <v/>
      </c>
      <c r="L321" s="139" t="str">
        <f t="shared" si="6"/>
        <v/>
      </c>
      <c r="M321" s="139" t="str">
        <f t="shared" ref="M321:N321" si="54">D321</f>
        <v/>
      </c>
      <c r="N321" s="139" t="str">
        <f t="shared" si="54"/>
        <v/>
      </c>
      <c r="O321" s="139" t="str">
        <f t="shared" si="8"/>
        <v/>
      </c>
    </row>
    <row r="322">
      <c r="H322" s="139" t="str">
        <f t="shared" si="3"/>
        <v/>
      </c>
      <c r="I322" s="139" t="str">
        <f t="shared" si="4"/>
        <v/>
      </c>
      <c r="J322" s="139" t="str">
        <f t="shared" si="5"/>
        <v/>
      </c>
      <c r="L322" s="139" t="str">
        <f t="shared" si="6"/>
        <v/>
      </c>
      <c r="M322" s="139" t="str">
        <f t="shared" ref="M322:N322" si="55">D322</f>
        <v/>
      </c>
      <c r="N322" s="139" t="str">
        <f t="shared" si="55"/>
        <v/>
      </c>
      <c r="O322" s="139" t="str">
        <f t="shared" si="8"/>
        <v/>
      </c>
    </row>
    <row r="323">
      <c r="H323" s="139" t="str">
        <f t="shared" si="3"/>
        <v/>
      </c>
      <c r="I323" s="139" t="str">
        <f t="shared" si="4"/>
        <v/>
      </c>
      <c r="J323" s="139" t="str">
        <f t="shared" si="5"/>
        <v/>
      </c>
      <c r="L323" s="139" t="str">
        <f t="shared" si="6"/>
        <v/>
      </c>
      <c r="M323" s="139" t="str">
        <f t="shared" ref="M323:N323" si="56">D323</f>
        <v/>
      </c>
      <c r="N323" s="139" t="str">
        <f t="shared" si="56"/>
        <v/>
      </c>
      <c r="O323" s="139" t="str">
        <f t="shared" si="8"/>
        <v/>
      </c>
    </row>
    <row r="324">
      <c r="H324" s="139" t="str">
        <f t="shared" si="3"/>
        <v/>
      </c>
      <c r="I324" s="139" t="str">
        <f t="shared" si="4"/>
        <v/>
      </c>
      <c r="J324" s="139" t="str">
        <f t="shared" si="5"/>
        <v/>
      </c>
      <c r="L324" s="139" t="str">
        <f t="shared" si="6"/>
        <v/>
      </c>
      <c r="M324" s="139" t="str">
        <f t="shared" ref="M324:N324" si="57">D324</f>
        <v/>
      </c>
      <c r="N324" s="139" t="str">
        <f t="shared" si="57"/>
        <v/>
      </c>
      <c r="O324" s="139" t="str">
        <f t="shared" si="8"/>
        <v/>
      </c>
    </row>
    <row r="325">
      <c r="H325" s="139" t="str">
        <f t="shared" si="3"/>
        <v/>
      </c>
      <c r="I325" s="139" t="str">
        <f t="shared" si="4"/>
        <v/>
      </c>
      <c r="J325" s="139" t="str">
        <f t="shared" si="5"/>
        <v/>
      </c>
      <c r="L325" s="139" t="str">
        <f t="shared" si="6"/>
        <v/>
      </c>
      <c r="M325" s="139" t="str">
        <f t="shared" ref="M325:N325" si="58">D325</f>
        <v/>
      </c>
      <c r="N325" s="139" t="str">
        <f t="shared" si="58"/>
        <v/>
      </c>
      <c r="O325" s="139" t="str">
        <f t="shared" si="8"/>
        <v/>
      </c>
    </row>
    <row r="326">
      <c r="H326" s="139" t="str">
        <f t="shared" si="3"/>
        <v/>
      </c>
      <c r="I326" s="139" t="str">
        <f t="shared" si="4"/>
        <v/>
      </c>
      <c r="J326" s="139" t="str">
        <f t="shared" si="5"/>
        <v/>
      </c>
      <c r="L326" s="139" t="str">
        <f t="shared" si="6"/>
        <v/>
      </c>
      <c r="M326" s="139" t="str">
        <f t="shared" ref="M326:N326" si="59">D326</f>
        <v/>
      </c>
      <c r="N326" s="139" t="str">
        <f t="shared" si="59"/>
        <v/>
      </c>
      <c r="O326" s="139" t="str">
        <f t="shared" si="8"/>
        <v/>
      </c>
    </row>
    <row r="327">
      <c r="H327" s="139" t="str">
        <f t="shared" si="3"/>
        <v/>
      </c>
      <c r="I327" s="139" t="str">
        <f t="shared" si="4"/>
        <v/>
      </c>
      <c r="J327" s="139" t="str">
        <f t="shared" si="5"/>
        <v/>
      </c>
      <c r="L327" s="139" t="str">
        <f t="shared" si="6"/>
        <v/>
      </c>
      <c r="M327" s="139" t="str">
        <f t="shared" ref="M327:N327" si="60">D327</f>
        <v/>
      </c>
      <c r="N327" s="139" t="str">
        <f t="shared" si="60"/>
        <v/>
      </c>
      <c r="O327" s="139" t="str">
        <f t="shared" si="8"/>
        <v/>
      </c>
    </row>
    <row r="328">
      <c r="H328" s="139" t="str">
        <f t="shared" si="3"/>
        <v/>
      </c>
      <c r="I328" s="139" t="str">
        <f t="shared" si="4"/>
        <v/>
      </c>
      <c r="J328" s="139" t="str">
        <f t="shared" si="5"/>
        <v/>
      </c>
      <c r="L328" s="139" t="str">
        <f t="shared" si="6"/>
        <v/>
      </c>
      <c r="M328" s="139" t="str">
        <f t="shared" ref="M328:N328" si="61">D328</f>
        <v/>
      </c>
      <c r="N328" s="139" t="str">
        <f t="shared" si="61"/>
        <v/>
      </c>
      <c r="O328" s="139" t="str">
        <f t="shared" si="8"/>
        <v/>
      </c>
    </row>
    <row r="329">
      <c r="H329" s="139" t="str">
        <f t="shared" si="3"/>
        <v/>
      </c>
      <c r="I329" s="139" t="str">
        <f t="shared" si="4"/>
        <v/>
      </c>
      <c r="J329" s="139" t="str">
        <f t="shared" si="5"/>
        <v/>
      </c>
      <c r="L329" s="139" t="str">
        <f t="shared" si="6"/>
        <v/>
      </c>
      <c r="M329" s="139" t="str">
        <f t="shared" ref="M329:N329" si="62">D329</f>
        <v/>
      </c>
      <c r="N329" s="139" t="str">
        <f t="shared" si="62"/>
        <v/>
      </c>
      <c r="O329" s="139" t="str">
        <f t="shared" si="8"/>
        <v/>
      </c>
    </row>
    <row r="330">
      <c r="H330" s="139" t="str">
        <f t="shared" si="3"/>
        <v/>
      </c>
      <c r="I330" s="139" t="str">
        <f t="shared" si="4"/>
        <v/>
      </c>
      <c r="J330" s="139" t="str">
        <f t="shared" si="5"/>
        <v/>
      </c>
      <c r="L330" s="139" t="str">
        <f t="shared" si="6"/>
        <v/>
      </c>
      <c r="M330" s="139" t="str">
        <f t="shared" ref="M330:N330" si="63">D330</f>
        <v/>
      </c>
      <c r="N330" s="139" t="str">
        <f t="shared" si="63"/>
        <v/>
      </c>
      <c r="O330" s="139" t="str">
        <f t="shared" si="8"/>
        <v/>
      </c>
    </row>
    <row r="331">
      <c r="H331" s="139" t="str">
        <f t="shared" si="3"/>
        <v/>
      </c>
      <c r="I331" s="139" t="str">
        <f t="shared" si="4"/>
        <v/>
      </c>
      <c r="J331" s="139" t="str">
        <f t="shared" si="5"/>
        <v/>
      </c>
      <c r="L331" s="139" t="str">
        <f t="shared" si="6"/>
        <v/>
      </c>
      <c r="M331" s="139" t="str">
        <f t="shared" ref="M331:N331" si="64">D331</f>
        <v/>
      </c>
      <c r="N331" s="139" t="str">
        <f t="shared" si="64"/>
        <v/>
      </c>
      <c r="O331" s="139" t="str">
        <f t="shared" si="8"/>
        <v/>
      </c>
    </row>
    <row r="332">
      <c r="H332" s="139" t="str">
        <f t="shared" si="3"/>
        <v/>
      </c>
      <c r="I332" s="139" t="str">
        <f t="shared" si="4"/>
        <v/>
      </c>
      <c r="J332" s="139" t="str">
        <f t="shared" si="5"/>
        <v/>
      </c>
      <c r="L332" s="139" t="str">
        <f t="shared" si="6"/>
        <v/>
      </c>
      <c r="M332" s="139" t="str">
        <f t="shared" ref="M332:N332" si="65">D332</f>
        <v/>
      </c>
      <c r="N332" s="139" t="str">
        <f t="shared" si="65"/>
        <v/>
      </c>
      <c r="O332" s="139" t="str">
        <f t="shared" si="8"/>
        <v/>
      </c>
    </row>
    <row r="333">
      <c r="H333" s="139" t="str">
        <f t="shared" si="3"/>
        <v/>
      </c>
      <c r="I333" s="139" t="str">
        <f t="shared" si="4"/>
        <v/>
      </c>
      <c r="J333" s="139" t="str">
        <f t="shared" si="5"/>
        <v/>
      </c>
      <c r="L333" s="139" t="str">
        <f t="shared" si="6"/>
        <v/>
      </c>
      <c r="M333" s="139" t="str">
        <f t="shared" ref="M333:N333" si="66">D333</f>
        <v/>
      </c>
      <c r="N333" s="139" t="str">
        <f t="shared" si="66"/>
        <v/>
      </c>
      <c r="O333" s="139" t="str">
        <f t="shared" si="8"/>
        <v/>
      </c>
    </row>
    <row r="334">
      <c r="H334" s="139" t="str">
        <f t="shared" si="3"/>
        <v/>
      </c>
      <c r="I334" s="139" t="str">
        <f t="shared" si="4"/>
        <v/>
      </c>
      <c r="J334" s="139" t="str">
        <f t="shared" si="5"/>
        <v/>
      </c>
      <c r="L334" s="139" t="str">
        <f t="shared" si="6"/>
        <v/>
      </c>
      <c r="M334" s="139" t="str">
        <f t="shared" ref="M334:N334" si="67">D334</f>
        <v/>
      </c>
      <c r="N334" s="139" t="str">
        <f t="shared" si="67"/>
        <v/>
      </c>
      <c r="O334" s="139" t="str">
        <f t="shared" si="8"/>
        <v/>
      </c>
    </row>
    <row r="335">
      <c r="H335" s="139" t="str">
        <f t="shared" si="3"/>
        <v/>
      </c>
      <c r="I335" s="139" t="str">
        <f t="shared" si="4"/>
        <v/>
      </c>
      <c r="J335" s="139" t="str">
        <f t="shared" si="5"/>
        <v/>
      </c>
      <c r="L335" s="139" t="str">
        <f t="shared" si="6"/>
        <v/>
      </c>
      <c r="M335" s="139" t="str">
        <f t="shared" ref="M335:N335" si="68">D335</f>
        <v/>
      </c>
      <c r="N335" s="139" t="str">
        <f t="shared" si="68"/>
        <v/>
      </c>
      <c r="O335" s="139" t="str">
        <f t="shared" si="8"/>
        <v/>
      </c>
    </row>
    <row r="336">
      <c r="H336" s="139" t="str">
        <f t="shared" si="3"/>
        <v/>
      </c>
      <c r="I336" s="139" t="str">
        <f t="shared" si="4"/>
        <v/>
      </c>
      <c r="J336" s="139" t="str">
        <f t="shared" si="5"/>
        <v/>
      </c>
      <c r="L336" s="139" t="str">
        <f t="shared" si="6"/>
        <v/>
      </c>
      <c r="M336" s="139" t="str">
        <f t="shared" ref="M336:N336" si="69">D336</f>
        <v/>
      </c>
      <c r="N336" s="139" t="str">
        <f t="shared" si="69"/>
        <v/>
      </c>
      <c r="O336" s="139" t="str">
        <f t="shared" si="8"/>
        <v/>
      </c>
    </row>
    <row r="337">
      <c r="H337" s="139" t="str">
        <f t="shared" si="3"/>
        <v/>
      </c>
      <c r="I337" s="139" t="str">
        <f t="shared" si="4"/>
        <v/>
      </c>
      <c r="J337" s="139" t="str">
        <f t="shared" si="5"/>
        <v/>
      </c>
      <c r="L337" s="139" t="str">
        <f t="shared" si="6"/>
        <v/>
      </c>
      <c r="M337" s="139" t="str">
        <f t="shared" ref="M337:N337" si="70">D337</f>
        <v/>
      </c>
      <c r="N337" s="139" t="str">
        <f t="shared" si="70"/>
        <v/>
      </c>
      <c r="O337" s="139" t="str">
        <f t="shared" si="8"/>
        <v/>
      </c>
    </row>
    <row r="338">
      <c r="H338" s="139" t="str">
        <f t="shared" si="3"/>
        <v/>
      </c>
      <c r="I338" s="139" t="str">
        <f t="shared" si="4"/>
        <v/>
      </c>
      <c r="J338" s="139" t="str">
        <f t="shared" si="5"/>
        <v/>
      </c>
      <c r="L338" s="139" t="str">
        <f t="shared" si="6"/>
        <v/>
      </c>
      <c r="M338" s="139" t="str">
        <f t="shared" ref="M338:N338" si="71">D338</f>
        <v/>
      </c>
      <c r="N338" s="139" t="str">
        <f t="shared" si="71"/>
        <v/>
      </c>
      <c r="O338" s="139" t="str">
        <f t="shared" si="8"/>
        <v/>
      </c>
    </row>
    <row r="339">
      <c r="H339" s="139" t="str">
        <f t="shared" si="3"/>
        <v/>
      </c>
      <c r="I339" s="139" t="str">
        <f t="shared" si="4"/>
        <v/>
      </c>
      <c r="J339" s="139" t="str">
        <f t="shared" si="5"/>
        <v/>
      </c>
      <c r="L339" s="139" t="str">
        <f t="shared" si="6"/>
        <v/>
      </c>
      <c r="M339" s="139" t="str">
        <f t="shared" ref="M339:N339" si="72">D339</f>
        <v/>
      </c>
      <c r="N339" s="139" t="str">
        <f t="shared" si="72"/>
        <v/>
      </c>
      <c r="O339" s="139" t="str">
        <f t="shared" si="8"/>
        <v/>
      </c>
    </row>
    <row r="340">
      <c r="H340" s="139" t="str">
        <f t="shared" si="3"/>
        <v/>
      </c>
      <c r="I340" s="139" t="str">
        <f t="shared" si="4"/>
        <v/>
      </c>
      <c r="J340" s="139" t="str">
        <f t="shared" si="5"/>
        <v/>
      </c>
      <c r="L340" s="139" t="str">
        <f t="shared" si="6"/>
        <v/>
      </c>
      <c r="M340" s="139" t="str">
        <f t="shared" ref="M340:N340" si="73">D340</f>
        <v/>
      </c>
      <c r="N340" s="139" t="str">
        <f t="shared" si="73"/>
        <v/>
      </c>
      <c r="O340" s="139" t="str">
        <f t="shared" si="8"/>
        <v/>
      </c>
    </row>
    <row r="341">
      <c r="H341" s="139" t="str">
        <f t="shared" si="3"/>
        <v/>
      </c>
      <c r="I341" s="139" t="str">
        <f t="shared" si="4"/>
        <v/>
      </c>
      <c r="J341" s="139" t="str">
        <f t="shared" si="5"/>
        <v/>
      </c>
      <c r="L341" s="139" t="str">
        <f t="shared" si="6"/>
        <v/>
      </c>
      <c r="M341" s="139" t="str">
        <f t="shared" ref="M341:N341" si="74">D341</f>
        <v/>
      </c>
      <c r="N341" s="139" t="str">
        <f t="shared" si="74"/>
        <v/>
      </c>
      <c r="O341" s="139" t="str">
        <f t="shared" si="8"/>
        <v/>
      </c>
    </row>
    <row r="342">
      <c r="H342" s="139" t="str">
        <f t="shared" si="3"/>
        <v/>
      </c>
      <c r="I342" s="139" t="str">
        <f t="shared" si="4"/>
        <v/>
      </c>
      <c r="J342" s="139" t="str">
        <f t="shared" si="5"/>
        <v/>
      </c>
      <c r="L342" s="139" t="str">
        <f t="shared" si="6"/>
        <v/>
      </c>
      <c r="M342" s="139" t="str">
        <f t="shared" ref="M342:N342" si="75">D342</f>
        <v/>
      </c>
      <c r="N342" s="139" t="str">
        <f t="shared" si="75"/>
        <v/>
      </c>
      <c r="O342" s="139" t="str">
        <f t="shared" si="8"/>
        <v/>
      </c>
    </row>
    <row r="343">
      <c r="H343" s="139" t="str">
        <f t="shared" si="3"/>
        <v/>
      </c>
      <c r="I343" s="139" t="str">
        <f t="shared" si="4"/>
        <v/>
      </c>
      <c r="J343" s="139" t="str">
        <f t="shared" si="5"/>
        <v/>
      </c>
      <c r="L343" s="139" t="str">
        <f t="shared" si="6"/>
        <v/>
      </c>
      <c r="M343" s="139" t="str">
        <f t="shared" ref="M343:N343" si="76">D343</f>
        <v/>
      </c>
      <c r="N343" s="139" t="str">
        <f t="shared" si="76"/>
        <v/>
      </c>
      <c r="O343" s="139" t="str">
        <f t="shared" si="8"/>
        <v/>
      </c>
    </row>
    <row r="344">
      <c r="H344" s="139" t="str">
        <f t="shared" si="3"/>
        <v/>
      </c>
      <c r="I344" s="139" t="str">
        <f t="shared" si="4"/>
        <v/>
      </c>
      <c r="J344" s="139" t="str">
        <f t="shared" si="5"/>
        <v/>
      </c>
      <c r="L344" s="139" t="str">
        <f t="shared" si="6"/>
        <v/>
      </c>
      <c r="M344" s="139" t="str">
        <f t="shared" ref="M344:N344" si="77">D344</f>
        <v/>
      </c>
      <c r="N344" s="139" t="str">
        <f t="shared" si="77"/>
        <v/>
      </c>
      <c r="O344" s="139" t="str">
        <f t="shared" si="8"/>
        <v/>
      </c>
    </row>
    <row r="345">
      <c r="H345" s="139" t="str">
        <f t="shared" si="3"/>
        <v/>
      </c>
      <c r="I345" s="139" t="str">
        <f t="shared" si="4"/>
        <v/>
      </c>
      <c r="J345" s="139" t="str">
        <f t="shared" si="5"/>
        <v/>
      </c>
      <c r="L345" s="139" t="str">
        <f t="shared" si="6"/>
        <v/>
      </c>
      <c r="M345" s="139" t="str">
        <f t="shared" ref="M345:N345" si="78">D345</f>
        <v/>
      </c>
      <c r="N345" s="139" t="str">
        <f t="shared" si="78"/>
        <v/>
      </c>
      <c r="O345" s="139" t="str">
        <f t="shared" si="8"/>
        <v/>
      </c>
    </row>
    <row r="346">
      <c r="H346" s="139" t="str">
        <f t="shared" si="3"/>
        <v/>
      </c>
      <c r="I346" s="139" t="str">
        <f t="shared" si="4"/>
        <v/>
      </c>
      <c r="J346" s="139" t="str">
        <f t="shared" si="5"/>
        <v/>
      </c>
      <c r="L346" s="139" t="str">
        <f t="shared" si="6"/>
        <v/>
      </c>
      <c r="M346" s="139" t="str">
        <f t="shared" ref="M346:N346" si="79">D346</f>
        <v/>
      </c>
      <c r="N346" s="139" t="str">
        <f t="shared" si="79"/>
        <v/>
      </c>
      <c r="O346" s="139" t="str">
        <f t="shared" si="8"/>
        <v/>
      </c>
    </row>
    <row r="347">
      <c r="H347" s="139" t="str">
        <f t="shared" si="3"/>
        <v/>
      </c>
      <c r="I347" s="139" t="str">
        <f t="shared" si="4"/>
        <v/>
      </c>
      <c r="J347" s="139" t="str">
        <f t="shared" si="5"/>
        <v/>
      </c>
      <c r="L347" s="139" t="str">
        <f t="shared" si="6"/>
        <v/>
      </c>
      <c r="M347" s="139" t="str">
        <f t="shared" ref="M347:N347" si="80">D347</f>
        <v/>
      </c>
      <c r="N347" s="139" t="str">
        <f t="shared" si="80"/>
        <v/>
      </c>
      <c r="O347" s="139" t="str">
        <f t="shared" si="8"/>
        <v/>
      </c>
    </row>
    <row r="348">
      <c r="H348" s="139" t="str">
        <f t="shared" si="3"/>
        <v/>
      </c>
      <c r="I348" s="139" t="str">
        <f t="shared" si="4"/>
        <v/>
      </c>
      <c r="J348" s="139" t="str">
        <f t="shared" si="5"/>
        <v/>
      </c>
      <c r="L348" s="139" t="str">
        <f t="shared" si="6"/>
        <v/>
      </c>
      <c r="M348" s="139" t="str">
        <f t="shared" ref="M348:N348" si="81">D348</f>
        <v/>
      </c>
      <c r="N348" s="139" t="str">
        <f t="shared" si="81"/>
        <v/>
      </c>
      <c r="O348" s="139" t="str">
        <f t="shared" si="8"/>
        <v/>
      </c>
    </row>
    <row r="349">
      <c r="H349" s="139" t="str">
        <f t="shared" si="3"/>
        <v/>
      </c>
      <c r="I349" s="139" t="str">
        <f t="shared" si="4"/>
        <v/>
      </c>
      <c r="J349" s="139" t="str">
        <f t="shared" si="5"/>
        <v/>
      </c>
      <c r="L349" s="139" t="str">
        <f t="shared" si="6"/>
        <v/>
      </c>
      <c r="M349" s="139" t="str">
        <f t="shared" ref="M349:N349" si="82">D349</f>
        <v/>
      </c>
      <c r="N349" s="139" t="str">
        <f t="shared" si="82"/>
        <v/>
      </c>
      <c r="O349" s="139" t="str">
        <f t="shared" si="8"/>
        <v/>
      </c>
    </row>
    <row r="350">
      <c r="H350" s="139" t="str">
        <f t="shared" si="3"/>
        <v/>
      </c>
      <c r="I350" s="139" t="str">
        <f t="shared" si="4"/>
        <v/>
      </c>
      <c r="J350" s="139" t="str">
        <f t="shared" si="5"/>
        <v/>
      </c>
      <c r="L350" s="139" t="str">
        <f t="shared" si="6"/>
        <v/>
      </c>
      <c r="M350" s="139" t="str">
        <f t="shared" ref="M350:N350" si="83">D350</f>
        <v/>
      </c>
      <c r="N350" s="139" t="str">
        <f t="shared" si="83"/>
        <v/>
      </c>
      <c r="O350" s="139" t="str">
        <f t="shared" si="8"/>
        <v/>
      </c>
    </row>
    <row r="351">
      <c r="H351" s="139" t="str">
        <f t="shared" si="3"/>
        <v/>
      </c>
      <c r="I351" s="139" t="str">
        <f t="shared" si="4"/>
        <v/>
      </c>
      <c r="J351" s="139" t="str">
        <f t="shared" si="5"/>
        <v/>
      </c>
      <c r="L351" s="139" t="str">
        <f t="shared" si="6"/>
        <v/>
      </c>
      <c r="M351" s="139" t="str">
        <f t="shared" ref="M351:N351" si="84">D351</f>
        <v/>
      </c>
      <c r="N351" s="139" t="str">
        <f t="shared" si="84"/>
        <v/>
      </c>
      <c r="O351" s="139" t="str">
        <f t="shared" si="8"/>
        <v/>
      </c>
    </row>
    <row r="352">
      <c r="H352" s="139" t="str">
        <f t="shared" si="3"/>
        <v/>
      </c>
      <c r="I352" s="139" t="str">
        <f t="shared" si="4"/>
        <v/>
      </c>
      <c r="J352" s="139" t="str">
        <f t="shared" si="5"/>
        <v/>
      </c>
      <c r="L352" s="139" t="str">
        <f t="shared" si="6"/>
        <v/>
      </c>
      <c r="M352" s="139" t="str">
        <f t="shared" ref="M352:N352" si="85">D352</f>
        <v/>
      </c>
      <c r="N352" s="139" t="str">
        <f t="shared" si="85"/>
        <v/>
      </c>
      <c r="O352" s="139" t="str">
        <f t="shared" si="8"/>
        <v/>
      </c>
    </row>
    <row r="353">
      <c r="H353" s="139" t="str">
        <f t="shared" si="3"/>
        <v/>
      </c>
      <c r="I353" s="139" t="str">
        <f t="shared" si="4"/>
        <v/>
      </c>
      <c r="J353" s="139" t="str">
        <f t="shared" si="5"/>
        <v/>
      </c>
      <c r="L353" s="139" t="str">
        <f t="shared" si="6"/>
        <v/>
      </c>
      <c r="M353" s="139" t="str">
        <f t="shared" ref="M353:N353" si="86">D353</f>
        <v/>
      </c>
      <c r="N353" s="139" t="str">
        <f t="shared" si="86"/>
        <v/>
      </c>
      <c r="O353" s="139" t="str">
        <f t="shared" si="8"/>
        <v/>
      </c>
    </row>
    <row r="354">
      <c r="H354" s="139" t="str">
        <f t="shared" si="3"/>
        <v/>
      </c>
      <c r="I354" s="139" t="str">
        <f t="shared" si="4"/>
        <v/>
      </c>
      <c r="J354" s="139" t="str">
        <f t="shared" si="5"/>
        <v/>
      </c>
      <c r="L354" s="139" t="str">
        <f t="shared" si="6"/>
        <v/>
      </c>
      <c r="M354" s="139" t="str">
        <f t="shared" ref="M354:N354" si="87">D354</f>
        <v/>
      </c>
      <c r="N354" s="139" t="str">
        <f t="shared" si="87"/>
        <v/>
      </c>
      <c r="O354" s="139" t="str">
        <f t="shared" si="8"/>
        <v/>
      </c>
    </row>
    <row r="355">
      <c r="H355" s="139" t="str">
        <f t="shared" si="3"/>
        <v/>
      </c>
      <c r="I355" s="139" t="str">
        <f t="shared" si="4"/>
        <v/>
      </c>
      <c r="J355" s="139" t="str">
        <f t="shared" si="5"/>
        <v/>
      </c>
      <c r="L355" s="139" t="str">
        <f t="shared" si="6"/>
        <v/>
      </c>
      <c r="M355" s="139" t="str">
        <f t="shared" ref="M355:N355" si="88">D355</f>
        <v/>
      </c>
      <c r="N355" s="139" t="str">
        <f t="shared" si="88"/>
        <v/>
      </c>
      <c r="O355" s="139" t="str">
        <f t="shared" si="8"/>
        <v/>
      </c>
    </row>
    <row r="356">
      <c r="H356" s="139" t="str">
        <f t="shared" si="3"/>
        <v/>
      </c>
      <c r="I356" s="139" t="str">
        <f t="shared" si="4"/>
        <v/>
      </c>
      <c r="J356" s="139" t="str">
        <f t="shared" si="5"/>
        <v/>
      </c>
      <c r="L356" s="139" t="str">
        <f t="shared" si="6"/>
        <v/>
      </c>
      <c r="M356" s="139" t="str">
        <f t="shared" ref="M356:N356" si="89">D356</f>
        <v/>
      </c>
      <c r="N356" s="139" t="str">
        <f t="shared" si="89"/>
        <v/>
      </c>
      <c r="O356" s="139" t="str">
        <f t="shared" si="8"/>
        <v/>
      </c>
    </row>
    <row r="357">
      <c r="H357" s="139" t="str">
        <f t="shared" si="3"/>
        <v/>
      </c>
      <c r="I357" s="139" t="str">
        <f t="shared" si="4"/>
        <v/>
      </c>
      <c r="J357" s="139" t="str">
        <f t="shared" si="5"/>
        <v/>
      </c>
      <c r="L357" s="139" t="str">
        <f t="shared" si="6"/>
        <v/>
      </c>
      <c r="M357" s="139" t="str">
        <f t="shared" ref="M357:N357" si="90">D357</f>
        <v/>
      </c>
      <c r="N357" s="139" t="str">
        <f t="shared" si="90"/>
        <v/>
      </c>
      <c r="O357" s="139" t="str">
        <f t="shared" si="8"/>
        <v/>
      </c>
    </row>
    <row r="358">
      <c r="H358" s="139" t="str">
        <f t="shared" si="3"/>
        <v/>
      </c>
      <c r="I358" s="139" t="str">
        <f t="shared" si="4"/>
        <v/>
      </c>
      <c r="J358" s="139" t="str">
        <f t="shared" si="5"/>
        <v/>
      </c>
      <c r="L358" s="139" t="str">
        <f t="shared" si="6"/>
        <v/>
      </c>
      <c r="M358" s="139" t="str">
        <f t="shared" ref="M358:N358" si="91">D358</f>
        <v/>
      </c>
      <c r="N358" s="139" t="str">
        <f t="shared" si="91"/>
        <v/>
      </c>
      <c r="O358" s="139" t="str">
        <f t="shared" si="8"/>
        <v/>
      </c>
    </row>
    <row r="359">
      <c r="H359" s="139" t="str">
        <f t="shared" si="3"/>
        <v/>
      </c>
      <c r="I359" s="139" t="str">
        <f t="shared" si="4"/>
        <v/>
      </c>
      <c r="J359" s="139" t="str">
        <f t="shared" si="5"/>
        <v/>
      </c>
      <c r="L359" s="139" t="str">
        <f t="shared" si="6"/>
        <v/>
      </c>
      <c r="M359" s="139" t="str">
        <f t="shared" ref="M359:N359" si="92">D359</f>
        <v/>
      </c>
      <c r="N359" s="139" t="str">
        <f t="shared" si="92"/>
        <v/>
      </c>
      <c r="O359" s="139" t="str">
        <f t="shared" si="8"/>
        <v/>
      </c>
    </row>
    <row r="360">
      <c r="H360" s="139" t="str">
        <f t="shared" si="3"/>
        <v/>
      </c>
      <c r="I360" s="139" t="str">
        <f t="shared" si="4"/>
        <v/>
      </c>
      <c r="J360" s="139" t="str">
        <f t="shared" si="5"/>
        <v/>
      </c>
      <c r="L360" s="139" t="str">
        <f t="shared" si="6"/>
        <v/>
      </c>
      <c r="M360" s="139" t="str">
        <f t="shared" ref="M360:N360" si="93">D360</f>
        <v/>
      </c>
      <c r="N360" s="139" t="str">
        <f t="shared" si="93"/>
        <v/>
      </c>
      <c r="O360" s="139" t="str">
        <f t="shared" si="8"/>
        <v/>
      </c>
    </row>
    <row r="361">
      <c r="H361" s="139" t="str">
        <f t="shared" si="3"/>
        <v/>
      </c>
      <c r="I361" s="139" t="str">
        <f t="shared" si="4"/>
        <v/>
      </c>
      <c r="J361" s="139" t="str">
        <f t="shared" si="5"/>
        <v/>
      </c>
      <c r="L361" s="139" t="str">
        <f t="shared" si="6"/>
        <v/>
      </c>
      <c r="M361" s="139" t="str">
        <f t="shared" ref="M361:N361" si="94">D361</f>
        <v/>
      </c>
      <c r="N361" s="139" t="str">
        <f t="shared" si="94"/>
        <v/>
      </c>
      <c r="O361" s="139" t="str">
        <f t="shared" si="8"/>
        <v/>
      </c>
    </row>
    <row r="362">
      <c r="H362" s="139" t="str">
        <f t="shared" si="3"/>
        <v/>
      </c>
      <c r="I362" s="139" t="str">
        <f t="shared" si="4"/>
        <v/>
      </c>
      <c r="J362" s="139" t="str">
        <f t="shared" si="5"/>
        <v/>
      </c>
      <c r="L362" s="139" t="str">
        <f t="shared" si="6"/>
        <v/>
      </c>
      <c r="M362" s="139" t="str">
        <f t="shared" ref="M362:N362" si="95">D362</f>
        <v/>
      </c>
      <c r="N362" s="139" t="str">
        <f t="shared" si="95"/>
        <v/>
      </c>
      <c r="O362" s="139" t="str">
        <f t="shared" si="8"/>
        <v/>
      </c>
    </row>
    <row r="363">
      <c r="H363" s="139" t="str">
        <f t="shared" si="3"/>
        <v/>
      </c>
      <c r="I363" s="139" t="str">
        <f t="shared" si="4"/>
        <v/>
      </c>
      <c r="J363" s="139" t="str">
        <f t="shared" si="5"/>
        <v/>
      </c>
      <c r="L363" s="139" t="str">
        <f t="shared" si="6"/>
        <v/>
      </c>
      <c r="M363" s="139" t="str">
        <f t="shared" ref="M363:N363" si="96">D363</f>
        <v/>
      </c>
      <c r="N363" s="139" t="str">
        <f t="shared" si="96"/>
        <v/>
      </c>
      <c r="O363" s="139" t="str">
        <f t="shared" si="8"/>
        <v/>
      </c>
    </row>
    <row r="364">
      <c r="H364" s="139" t="str">
        <f t="shared" si="3"/>
        <v/>
      </c>
      <c r="I364" s="139" t="str">
        <f t="shared" si="4"/>
        <v/>
      </c>
      <c r="J364" s="139" t="str">
        <f t="shared" si="5"/>
        <v/>
      </c>
      <c r="L364" s="139" t="str">
        <f t="shared" si="6"/>
        <v/>
      </c>
      <c r="M364" s="139" t="str">
        <f t="shared" ref="M364:N364" si="97">D364</f>
        <v/>
      </c>
      <c r="N364" s="139" t="str">
        <f t="shared" si="97"/>
        <v/>
      </c>
      <c r="O364" s="139" t="str">
        <f t="shared" si="8"/>
        <v/>
      </c>
    </row>
    <row r="365">
      <c r="H365" s="139" t="str">
        <f t="shared" si="3"/>
        <v/>
      </c>
      <c r="I365" s="139" t="str">
        <f t="shared" si="4"/>
        <v/>
      </c>
      <c r="J365" s="139" t="str">
        <f t="shared" si="5"/>
        <v/>
      </c>
      <c r="L365" s="139" t="str">
        <f t="shared" si="6"/>
        <v/>
      </c>
      <c r="M365" s="139" t="str">
        <f t="shared" ref="M365:N365" si="98">D365</f>
        <v/>
      </c>
      <c r="N365" s="139" t="str">
        <f t="shared" si="98"/>
        <v/>
      </c>
      <c r="O365" s="139" t="str">
        <f t="shared" si="8"/>
        <v/>
      </c>
    </row>
    <row r="366">
      <c r="H366" s="139" t="str">
        <f t="shared" si="3"/>
        <v/>
      </c>
      <c r="I366" s="139" t="str">
        <f t="shared" si="4"/>
        <v/>
      </c>
      <c r="J366" s="139" t="str">
        <f t="shared" si="5"/>
        <v/>
      </c>
      <c r="L366" s="139" t="str">
        <f t="shared" si="6"/>
        <v/>
      </c>
      <c r="M366" s="139" t="str">
        <f t="shared" ref="M366:N366" si="99">D366</f>
        <v/>
      </c>
      <c r="N366" s="139" t="str">
        <f t="shared" si="99"/>
        <v/>
      </c>
      <c r="O366" s="139" t="str">
        <f t="shared" si="8"/>
        <v/>
      </c>
    </row>
    <row r="367">
      <c r="H367" s="139" t="str">
        <f t="shared" si="3"/>
        <v/>
      </c>
      <c r="I367" s="139" t="str">
        <f t="shared" si="4"/>
        <v/>
      </c>
      <c r="J367" s="139" t="str">
        <f t="shared" si="5"/>
        <v/>
      </c>
      <c r="L367" s="139" t="str">
        <f t="shared" si="6"/>
        <v/>
      </c>
      <c r="M367" s="139" t="str">
        <f t="shared" ref="M367:N367" si="100">D367</f>
        <v/>
      </c>
      <c r="N367" s="139" t="str">
        <f t="shared" si="100"/>
        <v/>
      </c>
      <c r="O367" s="139" t="str">
        <f t="shared" si="8"/>
        <v/>
      </c>
    </row>
    <row r="368">
      <c r="H368" s="139" t="str">
        <f t="shared" si="3"/>
        <v/>
      </c>
      <c r="I368" s="139" t="str">
        <f t="shared" si="4"/>
        <v/>
      </c>
      <c r="J368" s="139" t="str">
        <f t="shared" si="5"/>
        <v/>
      </c>
      <c r="L368" s="139" t="str">
        <f t="shared" si="6"/>
        <v/>
      </c>
      <c r="M368" s="139" t="str">
        <f t="shared" ref="M368:N368" si="101">D368</f>
        <v/>
      </c>
      <c r="N368" s="139" t="str">
        <f t="shared" si="101"/>
        <v/>
      </c>
      <c r="O368" s="139" t="str">
        <f t="shared" si="8"/>
        <v/>
      </c>
    </row>
    <row r="369">
      <c r="H369" s="139" t="str">
        <f t="shared" si="3"/>
        <v/>
      </c>
      <c r="I369" s="139" t="str">
        <f t="shared" si="4"/>
        <v/>
      </c>
      <c r="J369" s="139" t="str">
        <f t="shared" si="5"/>
        <v/>
      </c>
      <c r="L369" s="139" t="str">
        <f t="shared" si="6"/>
        <v/>
      </c>
      <c r="M369" s="139" t="str">
        <f t="shared" ref="M369:N369" si="102">D369</f>
        <v/>
      </c>
      <c r="N369" s="139" t="str">
        <f t="shared" si="102"/>
        <v/>
      </c>
      <c r="O369" s="139" t="str">
        <f t="shared" si="8"/>
        <v/>
      </c>
    </row>
    <row r="370">
      <c r="H370" s="139" t="str">
        <f t="shared" si="3"/>
        <v/>
      </c>
      <c r="I370" s="139" t="str">
        <f t="shared" si="4"/>
        <v/>
      </c>
      <c r="J370" s="139" t="str">
        <f t="shared" si="5"/>
        <v/>
      </c>
      <c r="L370" s="139" t="str">
        <f t="shared" si="6"/>
        <v/>
      </c>
      <c r="M370" s="139" t="str">
        <f t="shared" ref="M370:N370" si="103">D370</f>
        <v/>
      </c>
      <c r="N370" s="139" t="str">
        <f t="shared" si="103"/>
        <v/>
      </c>
      <c r="O370" s="139" t="str">
        <f t="shared" si="8"/>
        <v/>
      </c>
    </row>
    <row r="371">
      <c r="H371" s="139" t="str">
        <f t="shared" si="3"/>
        <v/>
      </c>
      <c r="I371" s="139" t="str">
        <f t="shared" si="4"/>
        <v/>
      </c>
      <c r="J371" s="139" t="str">
        <f t="shared" si="5"/>
        <v/>
      </c>
      <c r="L371" s="139" t="str">
        <f t="shared" si="6"/>
        <v/>
      </c>
      <c r="M371" s="139" t="str">
        <f t="shared" ref="M371:N371" si="104">D371</f>
        <v/>
      </c>
      <c r="N371" s="139" t="str">
        <f t="shared" si="104"/>
        <v/>
      </c>
      <c r="O371" s="139" t="str">
        <f t="shared" si="8"/>
        <v/>
      </c>
    </row>
    <row r="372">
      <c r="H372" s="139" t="str">
        <f t="shared" si="3"/>
        <v/>
      </c>
      <c r="I372" s="139" t="str">
        <f t="shared" si="4"/>
        <v/>
      </c>
      <c r="J372" s="139" t="str">
        <f t="shared" si="5"/>
        <v/>
      </c>
      <c r="L372" s="139" t="str">
        <f t="shared" si="6"/>
        <v/>
      </c>
      <c r="M372" s="139" t="str">
        <f t="shared" ref="M372:N372" si="105">D372</f>
        <v/>
      </c>
      <c r="N372" s="139" t="str">
        <f t="shared" si="105"/>
        <v/>
      </c>
      <c r="O372" s="139" t="str">
        <f t="shared" si="8"/>
        <v/>
      </c>
    </row>
    <row r="373">
      <c r="H373" s="139" t="str">
        <f t="shared" si="3"/>
        <v/>
      </c>
      <c r="I373" s="139" t="str">
        <f t="shared" si="4"/>
        <v/>
      </c>
      <c r="J373" s="139" t="str">
        <f t="shared" si="5"/>
        <v/>
      </c>
      <c r="L373" s="139" t="str">
        <f t="shared" si="6"/>
        <v/>
      </c>
      <c r="M373" s="139" t="str">
        <f t="shared" ref="M373:N373" si="106">D373</f>
        <v/>
      </c>
      <c r="N373" s="139" t="str">
        <f t="shared" si="106"/>
        <v/>
      </c>
      <c r="O373" s="139" t="str">
        <f t="shared" si="8"/>
        <v/>
      </c>
    </row>
    <row r="374">
      <c r="H374" s="139" t="str">
        <f t="shared" si="3"/>
        <v/>
      </c>
      <c r="I374" s="139" t="str">
        <f t="shared" si="4"/>
        <v/>
      </c>
      <c r="J374" s="139" t="str">
        <f t="shared" si="5"/>
        <v/>
      </c>
      <c r="L374" s="139" t="str">
        <f t="shared" si="6"/>
        <v/>
      </c>
      <c r="M374" s="139" t="str">
        <f t="shared" ref="M374:N374" si="107">D374</f>
        <v/>
      </c>
      <c r="N374" s="139" t="str">
        <f t="shared" si="107"/>
        <v/>
      </c>
      <c r="O374" s="139" t="str">
        <f t="shared" si="8"/>
        <v/>
      </c>
    </row>
    <row r="375">
      <c r="H375" s="139" t="str">
        <f t="shared" si="3"/>
        <v/>
      </c>
      <c r="I375" s="139" t="str">
        <f t="shared" si="4"/>
        <v/>
      </c>
      <c r="J375" s="139" t="str">
        <f t="shared" si="5"/>
        <v/>
      </c>
      <c r="L375" s="139" t="str">
        <f t="shared" si="6"/>
        <v/>
      </c>
      <c r="M375" s="139" t="str">
        <f t="shared" ref="M375:N375" si="108">D375</f>
        <v/>
      </c>
      <c r="N375" s="139" t="str">
        <f t="shared" si="108"/>
        <v/>
      </c>
      <c r="O375" s="139" t="str">
        <f t="shared" si="8"/>
        <v/>
      </c>
    </row>
    <row r="376">
      <c r="H376" s="139" t="str">
        <f t="shared" si="3"/>
        <v/>
      </c>
      <c r="I376" s="139" t="str">
        <f t="shared" si="4"/>
        <v/>
      </c>
      <c r="J376" s="139" t="str">
        <f t="shared" si="5"/>
        <v/>
      </c>
      <c r="L376" s="139" t="str">
        <f t="shared" si="6"/>
        <v/>
      </c>
      <c r="M376" s="139" t="str">
        <f t="shared" ref="M376:N376" si="109">D376</f>
        <v/>
      </c>
      <c r="N376" s="139" t="str">
        <f t="shared" si="109"/>
        <v/>
      </c>
      <c r="O376" s="139" t="str">
        <f t="shared" si="8"/>
        <v/>
      </c>
    </row>
    <row r="377">
      <c r="H377" s="139" t="str">
        <f t="shared" si="3"/>
        <v/>
      </c>
      <c r="I377" s="139" t="str">
        <f t="shared" si="4"/>
        <v/>
      </c>
      <c r="J377" s="139" t="str">
        <f t="shared" si="5"/>
        <v/>
      </c>
      <c r="L377" s="139" t="str">
        <f t="shared" si="6"/>
        <v/>
      </c>
      <c r="M377" s="139" t="str">
        <f t="shared" ref="M377:N377" si="110">D377</f>
        <v/>
      </c>
      <c r="N377" s="139" t="str">
        <f t="shared" si="110"/>
        <v/>
      </c>
      <c r="O377" s="139" t="str">
        <f t="shared" si="8"/>
        <v/>
      </c>
    </row>
    <row r="378">
      <c r="H378" s="139" t="str">
        <f t="shared" si="3"/>
        <v/>
      </c>
      <c r="I378" s="139" t="str">
        <f t="shared" si="4"/>
        <v/>
      </c>
      <c r="J378" s="139" t="str">
        <f t="shared" si="5"/>
        <v/>
      </c>
      <c r="L378" s="139" t="str">
        <f t="shared" si="6"/>
        <v/>
      </c>
      <c r="M378" s="139" t="str">
        <f t="shared" ref="M378:N378" si="111">D378</f>
        <v/>
      </c>
      <c r="N378" s="139" t="str">
        <f t="shared" si="111"/>
        <v/>
      </c>
      <c r="O378" s="139" t="str">
        <f t="shared" si="8"/>
        <v/>
      </c>
    </row>
    <row r="379">
      <c r="H379" s="139" t="str">
        <f t="shared" si="3"/>
        <v/>
      </c>
      <c r="I379" s="139" t="str">
        <f t="shared" si="4"/>
        <v/>
      </c>
      <c r="J379" s="139" t="str">
        <f t="shared" si="5"/>
        <v/>
      </c>
      <c r="L379" s="139" t="str">
        <f t="shared" si="6"/>
        <v/>
      </c>
      <c r="M379" s="139" t="str">
        <f t="shared" ref="M379:N379" si="112">D379</f>
        <v/>
      </c>
      <c r="N379" s="139" t="str">
        <f t="shared" si="112"/>
        <v/>
      </c>
      <c r="O379" s="139" t="str">
        <f t="shared" si="8"/>
        <v/>
      </c>
    </row>
    <row r="380">
      <c r="H380" s="139" t="str">
        <f t="shared" si="3"/>
        <v/>
      </c>
      <c r="I380" s="139" t="str">
        <f t="shared" si="4"/>
        <v/>
      </c>
      <c r="J380" s="139" t="str">
        <f t="shared" si="5"/>
        <v/>
      </c>
      <c r="L380" s="139" t="str">
        <f t="shared" si="6"/>
        <v/>
      </c>
      <c r="M380" s="139" t="str">
        <f t="shared" ref="M380:N380" si="113">D380</f>
        <v/>
      </c>
      <c r="N380" s="139" t="str">
        <f t="shared" si="113"/>
        <v/>
      </c>
      <c r="O380" s="139" t="str">
        <f t="shared" si="8"/>
        <v/>
      </c>
    </row>
    <row r="381">
      <c r="H381" s="139" t="str">
        <f t="shared" si="3"/>
        <v/>
      </c>
      <c r="I381" s="139" t="str">
        <f t="shared" si="4"/>
        <v/>
      </c>
      <c r="J381" s="139" t="str">
        <f t="shared" si="5"/>
        <v/>
      </c>
      <c r="L381" s="139" t="str">
        <f t="shared" si="6"/>
        <v/>
      </c>
      <c r="M381" s="139" t="str">
        <f t="shared" ref="M381:N381" si="114">D381</f>
        <v/>
      </c>
      <c r="N381" s="139" t="str">
        <f t="shared" si="114"/>
        <v/>
      </c>
      <c r="O381" s="139" t="str">
        <f t="shared" si="8"/>
        <v/>
      </c>
    </row>
    <row r="382">
      <c r="H382" s="139" t="str">
        <f t="shared" si="3"/>
        <v/>
      </c>
      <c r="I382" s="139" t="str">
        <f t="shared" si="4"/>
        <v/>
      </c>
      <c r="J382" s="139" t="str">
        <f t="shared" si="5"/>
        <v/>
      </c>
      <c r="L382" s="139" t="str">
        <f t="shared" si="6"/>
        <v/>
      </c>
      <c r="M382" s="139" t="str">
        <f t="shared" ref="M382:N382" si="115">D382</f>
        <v/>
      </c>
      <c r="N382" s="139" t="str">
        <f t="shared" si="115"/>
        <v/>
      </c>
      <c r="O382" s="139" t="str">
        <f t="shared" si="8"/>
        <v/>
      </c>
    </row>
    <row r="383">
      <c r="H383" s="139" t="str">
        <f t="shared" si="3"/>
        <v/>
      </c>
      <c r="I383" s="139" t="str">
        <f t="shared" si="4"/>
        <v/>
      </c>
      <c r="J383" s="139" t="str">
        <f t="shared" si="5"/>
        <v/>
      </c>
      <c r="L383" s="139" t="str">
        <f t="shared" si="6"/>
        <v/>
      </c>
      <c r="M383" s="139" t="str">
        <f t="shared" ref="M383:N383" si="116">D383</f>
        <v/>
      </c>
      <c r="N383" s="139" t="str">
        <f t="shared" si="116"/>
        <v/>
      </c>
      <c r="O383" s="139" t="str">
        <f t="shared" si="8"/>
        <v/>
      </c>
    </row>
    <row r="384">
      <c r="H384" s="139" t="str">
        <f t="shared" si="3"/>
        <v/>
      </c>
      <c r="I384" s="139" t="str">
        <f t="shared" si="4"/>
        <v/>
      </c>
      <c r="J384" s="139" t="str">
        <f t="shared" si="5"/>
        <v/>
      </c>
      <c r="L384" s="139" t="str">
        <f t="shared" si="6"/>
        <v/>
      </c>
      <c r="M384" s="139" t="str">
        <f t="shared" ref="M384:N384" si="117">D384</f>
        <v/>
      </c>
      <c r="N384" s="139" t="str">
        <f t="shared" si="117"/>
        <v/>
      </c>
      <c r="O384" s="139" t="str">
        <f t="shared" si="8"/>
        <v/>
      </c>
    </row>
    <row r="385">
      <c r="H385" s="139" t="str">
        <f t="shared" si="3"/>
        <v/>
      </c>
      <c r="I385" s="139" t="str">
        <f t="shared" si="4"/>
        <v/>
      </c>
      <c r="J385" s="139" t="str">
        <f t="shared" si="5"/>
        <v/>
      </c>
      <c r="L385" s="139" t="str">
        <f t="shared" si="6"/>
        <v/>
      </c>
      <c r="M385" s="139" t="str">
        <f t="shared" ref="M385:N385" si="118">D385</f>
        <v/>
      </c>
      <c r="N385" s="139" t="str">
        <f t="shared" si="118"/>
        <v/>
      </c>
      <c r="O385" s="139" t="str">
        <f t="shared" si="8"/>
        <v/>
      </c>
    </row>
    <row r="386">
      <c r="H386" s="139" t="str">
        <f t="shared" si="3"/>
        <v/>
      </c>
      <c r="I386" s="139" t="str">
        <f t="shared" si="4"/>
        <v/>
      </c>
      <c r="J386" s="139" t="str">
        <f t="shared" si="5"/>
        <v/>
      </c>
      <c r="L386" s="139" t="str">
        <f t="shared" si="6"/>
        <v/>
      </c>
      <c r="M386" s="139" t="str">
        <f t="shared" ref="M386:N386" si="119">D386</f>
        <v/>
      </c>
      <c r="N386" s="139" t="str">
        <f t="shared" si="119"/>
        <v/>
      </c>
      <c r="O386" s="139" t="str">
        <f t="shared" si="8"/>
        <v/>
      </c>
    </row>
    <row r="387">
      <c r="H387" s="139" t="str">
        <f t="shared" si="3"/>
        <v/>
      </c>
      <c r="I387" s="139" t="str">
        <f t="shared" si="4"/>
        <v/>
      </c>
      <c r="J387" s="139" t="str">
        <f t="shared" si="5"/>
        <v/>
      </c>
      <c r="L387" s="139" t="str">
        <f t="shared" si="6"/>
        <v/>
      </c>
      <c r="M387" s="139" t="str">
        <f t="shared" ref="M387:N387" si="120">D387</f>
        <v/>
      </c>
      <c r="N387" s="139" t="str">
        <f t="shared" si="120"/>
        <v/>
      </c>
      <c r="O387" s="139" t="str">
        <f t="shared" si="8"/>
        <v/>
      </c>
    </row>
    <row r="388">
      <c r="H388" s="139" t="str">
        <f t="shared" si="3"/>
        <v/>
      </c>
      <c r="I388" s="139" t="str">
        <f t="shared" si="4"/>
        <v/>
      </c>
      <c r="J388" s="139" t="str">
        <f t="shared" si="5"/>
        <v/>
      </c>
      <c r="L388" s="139" t="str">
        <f t="shared" si="6"/>
        <v/>
      </c>
      <c r="M388" s="139" t="str">
        <f t="shared" ref="M388:N388" si="121">D388</f>
        <v/>
      </c>
      <c r="N388" s="139" t="str">
        <f t="shared" si="121"/>
        <v/>
      </c>
      <c r="O388" s="139" t="str">
        <f t="shared" si="8"/>
        <v/>
      </c>
    </row>
    <row r="389">
      <c r="H389" s="139" t="str">
        <f t="shared" si="3"/>
        <v/>
      </c>
      <c r="I389" s="139" t="str">
        <f t="shared" si="4"/>
        <v/>
      </c>
      <c r="J389" s="139" t="str">
        <f t="shared" si="5"/>
        <v/>
      </c>
      <c r="L389" s="139" t="str">
        <f t="shared" si="6"/>
        <v/>
      </c>
      <c r="M389" s="139" t="str">
        <f t="shared" ref="M389:N389" si="122">D389</f>
        <v/>
      </c>
      <c r="N389" s="139" t="str">
        <f t="shared" si="122"/>
        <v/>
      </c>
      <c r="O389" s="139" t="str">
        <f t="shared" si="8"/>
        <v/>
      </c>
    </row>
    <row r="390">
      <c r="H390" s="139" t="str">
        <f t="shared" si="3"/>
        <v/>
      </c>
      <c r="I390" s="139" t="str">
        <f t="shared" si="4"/>
        <v/>
      </c>
      <c r="J390" s="139" t="str">
        <f t="shared" si="5"/>
        <v/>
      </c>
      <c r="L390" s="139" t="str">
        <f t="shared" si="6"/>
        <v/>
      </c>
      <c r="M390" s="139" t="str">
        <f t="shared" ref="M390:N390" si="123">D390</f>
        <v/>
      </c>
      <c r="N390" s="139" t="str">
        <f t="shared" si="123"/>
        <v/>
      </c>
      <c r="O390" s="139" t="str">
        <f t="shared" si="8"/>
        <v/>
      </c>
    </row>
    <row r="391">
      <c r="H391" s="139" t="str">
        <f t="shared" si="3"/>
        <v/>
      </c>
      <c r="I391" s="139" t="str">
        <f t="shared" si="4"/>
        <v/>
      </c>
      <c r="J391" s="139" t="str">
        <f t="shared" si="5"/>
        <v/>
      </c>
      <c r="L391" s="139" t="str">
        <f t="shared" si="6"/>
        <v/>
      </c>
      <c r="M391" s="139" t="str">
        <f t="shared" ref="M391:N391" si="124">D391</f>
        <v/>
      </c>
      <c r="N391" s="139" t="str">
        <f t="shared" si="124"/>
        <v/>
      </c>
      <c r="O391" s="139" t="str">
        <f t="shared" si="8"/>
        <v/>
      </c>
    </row>
    <row r="392">
      <c r="H392" s="139" t="str">
        <f t="shared" si="3"/>
        <v/>
      </c>
      <c r="I392" s="139" t="str">
        <f t="shared" si="4"/>
        <v/>
      </c>
      <c r="J392" s="139" t="str">
        <f t="shared" si="5"/>
        <v/>
      </c>
      <c r="L392" s="139" t="str">
        <f t="shared" si="6"/>
        <v/>
      </c>
      <c r="M392" s="139" t="str">
        <f t="shared" ref="M392:N392" si="125">D392</f>
        <v/>
      </c>
      <c r="N392" s="139" t="str">
        <f t="shared" si="125"/>
        <v/>
      </c>
      <c r="O392" s="139" t="str">
        <f t="shared" si="8"/>
        <v/>
      </c>
    </row>
    <row r="393">
      <c r="H393" s="139" t="str">
        <f t="shared" si="3"/>
        <v/>
      </c>
      <c r="I393" s="139" t="str">
        <f t="shared" si="4"/>
        <v/>
      </c>
      <c r="J393" s="139" t="str">
        <f t="shared" si="5"/>
        <v/>
      </c>
      <c r="L393" s="139" t="str">
        <f t="shared" si="6"/>
        <v/>
      </c>
      <c r="M393" s="139" t="str">
        <f t="shared" ref="M393:N393" si="126">D393</f>
        <v/>
      </c>
      <c r="N393" s="139" t="str">
        <f t="shared" si="126"/>
        <v/>
      </c>
      <c r="O393" s="139" t="str">
        <f t="shared" si="8"/>
        <v/>
      </c>
    </row>
    <row r="394">
      <c r="H394" s="139" t="str">
        <f t="shared" si="3"/>
        <v/>
      </c>
      <c r="I394" s="139" t="str">
        <f t="shared" si="4"/>
        <v/>
      </c>
      <c r="J394" s="139" t="str">
        <f t="shared" si="5"/>
        <v/>
      </c>
      <c r="L394" s="139" t="str">
        <f t="shared" si="6"/>
        <v/>
      </c>
      <c r="M394" s="139" t="str">
        <f t="shared" ref="M394:N394" si="127">D394</f>
        <v/>
      </c>
      <c r="N394" s="139" t="str">
        <f t="shared" si="127"/>
        <v/>
      </c>
      <c r="O394" s="139" t="str">
        <f t="shared" si="8"/>
        <v/>
      </c>
    </row>
    <row r="395">
      <c r="H395" s="139" t="str">
        <f t="shared" si="3"/>
        <v/>
      </c>
      <c r="I395" s="139" t="str">
        <f t="shared" si="4"/>
        <v/>
      </c>
      <c r="J395" s="139" t="str">
        <f t="shared" si="5"/>
        <v/>
      </c>
      <c r="L395" s="139" t="str">
        <f t="shared" si="6"/>
        <v/>
      </c>
      <c r="M395" s="139" t="str">
        <f t="shared" ref="M395:N395" si="128">D395</f>
        <v/>
      </c>
      <c r="N395" s="139" t="str">
        <f t="shared" si="128"/>
        <v/>
      </c>
      <c r="O395" s="139" t="str">
        <f t="shared" si="8"/>
        <v/>
      </c>
    </row>
    <row r="396">
      <c r="H396" s="139" t="str">
        <f t="shared" si="3"/>
        <v/>
      </c>
      <c r="I396" s="139" t="str">
        <f t="shared" si="4"/>
        <v/>
      </c>
      <c r="J396" s="139" t="str">
        <f t="shared" si="5"/>
        <v/>
      </c>
      <c r="L396" s="139" t="str">
        <f t="shared" si="6"/>
        <v/>
      </c>
      <c r="M396" s="139" t="str">
        <f t="shared" ref="M396:N396" si="129">D396</f>
        <v/>
      </c>
      <c r="N396" s="139" t="str">
        <f t="shared" si="129"/>
        <v/>
      </c>
      <c r="O396" s="139" t="str">
        <f t="shared" si="8"/>
        <v/>
      </c>
    </row>
    <row r="397">
      <c r="H397" s="139" t="str">
        <f t="shared" si="3"/>
        <v/>
      </c>
      <c r="I397" s="139" t="str">
        <f t="shared" si="4"/>
        <v/>
      </c>
      <c r="J397" s="139" t="str">
        <f t="shared" si="5"/>
        <v/>
      </c>
      <c r="L397" s="139" t="str">
        <f t="shared" si="6"/>
        <v/>
      </c>
      <c r="M397" s="139" t="str">
        <f t="shared" ref="M397:N397" si="130">D397</f>
        <v/>
      </c>
      <c r="N397" s="139" t="str">
        <f t="shared" si="130"/>
        <v/>
      </c>
      <c r="O397" s="139" t="str">
        <f t="shared" si="8"/>
        <v/>
      </c>
    </row>
    <row r="398">
      <c r="H398" s="139" t="str">
        <f t="shared" si="3"/>
        <v/>
      </c>
      <c r="I398" s="139" t="str">
        <f t="shared" si="4"/>
        <v/>
      </c>
      <c r="J398" s="139" t="str">
        <f t="shared" si="5"/>
        <v/>
      </c>
      <c r="L398" s="139" t="str">
        <f t="shared" si="6"/>
        <v/>
      </c>
      <c r="M398" s="139" t="str">
        <f t="shared" ref="M398:N398" si="131">D398</f>
        <v/>
      </c>
      <c r="N398" s="139" t="str">
        <f t="shared" si="131"/>
        <v/>
      </c>
      <c r="O398" s="139" t="str">
        <f t="shared" si="8"/>
        <v/>
      </c>
    </row>
    <row r="399">
      <c r="H399" s="139" t="str">
        <f t="shared" si="3"/>
        <v/>
      </c>
      <c r="I399" s="139" t="str">
        <f t="shared" si="4"/>
        <v/>
      </c>
      <c r="J399" s="139" t="str">
        <f t="shared" si="5"/>
        <v/>
      </c>
      <c r="L399" s="139" t="str">
        <f t="shared" si="6"/>
        <v/>
      </c>
      <c r="M399" s="139" t="str">
        <f t="shared" ref="M399:N399" si="132">D399</f>
        <v/>
      </c>
      <c r="N399" s="139" t="str">
        <f t="shared" si="132"/>
        <v/>
      </c>
      <c r="O399" s="139" t="str">
        <f t="shared" si="8"/>
        <v/>
      </c>
    </row>
    <row r="400">
      <c r="H400" s="139" t="str">
        <f t="shared" si="3"/>
        <v/>
      </c>
      <c r="I400" s="139" t="str">
        <f t="shared" si="4"/>
        <v/>
      </c>
      <c r="J400" s="139" t="str">
        <f t="shared" si="5"/>
        <v/>
      </c>
      <c r="L400" s="139" t="str">
        <f t="shared" si="6"/>
        <v/>
      </c>
      <c r="M400" s="139" t="str">
        <f t="shared" ref="M400:N400" si="133">D400</f>
        <v/>
      </c>
      <c r="N400" s="139" t="str">
        <f t="shared" si="133"/>
        <v/>
      </c>
      <c r="O400" s="139" t="str">
        <f t="shared" si="8"/>
        <v/>
      </c>
    </row>
    <row r="401">
      <c r="H401" s="139" t="str">
        <f t="shared" si="3"/>
        <v/>
      </c>
      <c r="I401" s="139" t="str">
        <f t="shared" si="4"/>
        <v/>
      </c>
      <c r="J401" s="139" t="str">
        <f t="shared" si="5"/>
        <v/>
      </c>
      <c r="L401" s="139" t="str">
        <f t="shared" si="6"/>
        <v/>
      </c>
      <c r="M401" s="139" t="str">
        <f t="shared" ref="M401:N401" si="134">D401</f>
        <v/>
      </c>
      <c r="N401" s="139" t="str">
        <f t="shared" si="134"/>
        <v/>
      </c>
      <c r="O401" s="139" t="str">
        <f t="shared" si="8"/>
        <v/>
      </c>
    </row>
    <row r="402">
      <c r="H402" s="139" t="str">
        <f t="shared" si="3"/>
        <v/>
      </c>
      <c r="I402" s="139" t="str">
        <f t="shared" si="4"/>
        <v/>
      </c>
      <c r="J402" s="139" t="str">
        <f t="shared" si="5"/>
        <v/>
      </c>
      <c r="L402" s="139" t="str">
        <f t="shared" si="6"/>
        <v/>
      </c>
      <c r="M402" s="139" t="str">
        <f t="shared" ref="M402:N402" si="135">D402</f>
        <v/>
      </c>
      <c r="N402" s="139" t="str">
        <f t="shared" si="135"/>
        <v/>
      </c>
      <c r="O402" s="139" t="str">
        <f t="shared" si="8"/>
        <v/>
      </c>
    </row>
    <row r="403">
      <c r="H403" s="139" t="str">
        <f t="shared" si="3"/>
        <v/>
      </c>
      <c r="I403" s="139" t="str">
        <f t="shared" si="4"/>
        <v/>
      </c>
      <c r="J403" s="139" t="str">
        <f t="shared" si="5"/>
        <v/>
      </c>
      <c r="L403" s="139" t="str">
        <f t="shared" si="6"/>
        <v/>
      </c>
      <c r="M403" s="139" t="str">
        <f t="shared" ref="M403:N403" si="136">D403</f>
        <v/>
      </c>
      <c r="N403" s="139" t="str">
        <f t="shared" si="136"/>
        <v/>
      </c>
      <c r="O403" s="139" t="str">
        <f t="shared" si="8"/>
        <v/>
      </c>
    </row>
    <row r="404">
      <c r="H404" s="139" t="str">
        <f t="shared" si="3"/>
        <v/>
      </c>
      <c r="I404" s="139" t="str">
        <f t="shared" si="4"/>
        <v/>
      </c>
      <c r="J404" s="139" t="str">
        <f t="shared" si="5"/>
        <v/>
      </c>
      <c r="L404" s="139" t="str">
        <f t="shared" si="6"/>
        <v/>
      </c>
      <c r="M404" s="139" t="str">
        <f t="shared" ref="M404:N404" si="137">D404</f>
        <v/>
      </c>
      <c r="N404" s="139" t="str">
        <f t="shared" si="137"/>
        <v/>
      </c>
      <c r="O404" s="139" t="str">
        <f t="shared" si="8"/>
        <v/>
      </c>
    </row>
    <row r="405">
      <c r="H405" s="139" t="str">
        <f t="shared" si="3"/>
        <v/>
      </c>
      <c r="I405" s="139" t="str">
        <f t="shared" si="4"/>
        <v/>
      </c>
      <c r="J405" s="139" t="str">
        <f t="shared" si="5"/>
        <v/>
      </c>
      <c r="L405" s="139" t="str">
        <f t="shared" si="6"/>
        <v/>
      </c>
      <c r="M405" s="139" t="str">
        <f t="shared" ref="M405:N405" si="138">D405</f>
        <v/>
      </c>
      <c r="N405" s="139" t="str">
        <f t="shared" si="138"/>
        <v/>
      </c>
      <c r="O405" s="139" t="str">
        <f t="shared" si="8"/>
        <v/>
      </c>
    </row>
    <row r="406">
      <c r="H406" s="139" t="str">
        <f t="shared" si="3"/>
        <v/>
      </c>
      <c r="I406" s="139" t="str">
        <f t="shared" si="4"/>
        <v/>
      </c>
      <c r="J406" s="139" t="str">
        <f t="shared" si="5"/>
        <v/>
      </c>
      <c r="L406" s="139" t="str">
        <f t="shared" si="6"/>
        <v/>
      </c>
      <c r="M406" s="139" t="str">
        <f t="shared" ref="M406:N406" si="139">D406</f>
        <v/>
      </c>
      <c r="N406" s="139" t="str">
        <f t="shared" si="139"/>
        <v/>
      </c>
      <c r="O406" s="139" t="str">
        <f t="shared" si="8"/>
        <v/>
      </c>
    </row>
    <row r="407">
      <c r="H407" s="139" t="str">
        <f t="shared" si="3"/>
        <v/>
      </c>
      <c r="I407" s="139" t="str">
        <f t="shared" si="4"/>
        <v/>
      </c>
      <c r="J407" s="139" t="str">
        <f t="shared" si="5"/>
        <v/>
      </c>
      <c r="L407" s="139" t="str">
        <f t="shared" si="6"/>
        <v/>
      </c>
      <c r="M407" s="139" t="str">
        <f t="shared" ref="M407:N407" si="140">D407</f>
        <v/>
      </c>
      <c r="N407" s="139" t="str">
        <f t="shared" si="140"/>
        <v/>
      </c>
      <c r="O407" s="139" t="str">
        <f t="shared" si="8"/>
        <v/>
      </c>
    </row>
    <row r="408">
      <c r="H408" s="139" t="str">
        <f t="shared" si="3"/>
        <v/>
      </c>
      <c r="I408" s="139" t="str">
        <f t="shared" si="4"/>
        <v/>
      </c>
      <c r="J408" s="139" t="str">
        <f t="shared" si="5"/>
        <v/>
      </c>
      <c r="L408" s="139" t="str">
        <f t="shared" si="6"/>
        <v/>
      </c>
      <c r="M408" s="139" t="str">
        <f t="shared" ref="M408:N408" si="141">D408</f>
        <v/>
      </c>
      <c r="N408" s="139" t="str">
        <f t="shared" si="141"/>
        <v/>
      </c>
      <c r="O408" s="139" t="str">
        <f t="shared" si="8"/>
        <v/>
      </c>
    </row>
    <row r="409">
      <c r="H409" s="139" t="str">
        <f t="shared" si="3"/>
        <v/>
      </c>
      <c r="I409" s="139" t="str">
        <f t="shared" si="4"/>
        <v/>
      </c>
      <c r="J409" s="139" t="str">
        <f t="shared" si="5"/>
        <v/>
      </c>
      <c r="L409" s="139" t="str">
        <f t="shared" si="6"/>
        <v/>
      </c>
      <c r="M409" s="139" t="str">
        <f t="shared" ref="M409:N409" si="142">D409</f>
        <v/>
      </c>
      <c r="N409" s="139" t="str">
        <f t="shared" si="142"/>
        <v/>
      </c>
      <c r="O409" s="139" t="str">
        <f t="shared" si="8"/>
        <v/>
      </c>
    </row>
    <row r="410">
      <c r="H410" s="139" t="str">
        <f t="shared" si="3"/>
        <v/>
      </c>
      <c r="I410" s="139" t="str">
        <f t="shared" si="4"/>
        <v/>
      </c>
      <c r="J410" s="139" t="str">
        <f t="shared" si="5"/>
        <v/>
      </c>
      <c r="L410" s="139" t="str">
        <f t="shared" si="6"/>
        <v/>
      </c>
      <c r="M410" s="139" t="str">
        <f t="shared" ref="M410:N410" si="143">D410</f>
        <v/>
      </c>
      <c r="N410" s="139" t="str">
        <f t="shared" si="143"/>
        <v/>
      </c>
      <c r="O410" s="139" t="str">
        <f t="shared" si="8"/>
        <v/>
      </c>
    </row>
    <row r="411">
      <c r="H411" s="139" t="str">
        <f t="shared" si="3"/>
        <v/>
      </c>
      <c r="I411" s="139" t="str">
        <f t="shared" si="4"/>
        <v/>
      </c>
      <c r="J411" s="139" t="str">
        <f t="shared" si="5"/>
        <v/>
      </c>
      <c r="L411" s="139" t="str">
        <f t="shared" si="6"/>
        <v/>
      </c>
      <c r="M411" s="139" t="str">
        <f t="shared" ref="M411:N411" si="144">D411</f>
        <v/>
      </c>
      <c r="N411" s="139" t="str">
        <f t="shared" si="144"/>
        <v/>
      </c>
      <c r="O411" s="139" t="str">
        <f t="shared" si="8"/>
        <v/>
      </c>
    </row>
    <row r="412">
      <c r="H412" s="139" t="str">
        <f t="shared" si="3"/>
        <v/>
      </c>
      <c r="I412" s="139" t="str">
        <f t="shared" si="4"/>
        <v/>
      </c>
      <c r="J412" s="139" t="str">
        <f t="shared" si="5"/>
        <v/>
      </c>
      <c r="L412" s="139" t="str">
        <f t="shared" si="6"/>
        <v/>
      </c>
      <c r="M412" s="139" t="str">
        <f t="shared" ref="M412:N412" si="145">D412</f>
        <v/>
      </c>
      <c r="N412" s="139" t="str">
        <f t="shared" si="145"/>
        <v/>
      </c>
      <c r="O412" s="139" t="str">
        <f t="shared" si="8"/>
        <v/>
      </c>
    </row>
    <row r="413">
      <c r="H413" s="139" t="str">
        <f t="shared" si="3"/>
        <v/>
      </c>
      <c r="I413" s="139" t="str">
        <f t="shared" si="4"/>
        <v/>
      </c>
      <c r="J413" s="139" t="str">
        <f t="shared" si="5"/>
        <v/>
      </c>
      <c r="L413" s="139" t="str">
        <f t="shared" si="6"/>
        <v/>
      </c>
      <c r="M413" s="139" t="str">
        <f t="shared" ref="M413:N413" si="146">D413</f>
        <v/>
      </c>
      <c r="N413" s="139" t="str">
        <f t="shared" si="146"/>
        <v/>
      </c>
      <c r="O413" s="139" t="str">
        <f t="shared" si="8"/>
        <v/>
      </c>
    </row>
    <row r="414">
      <c r="H414" s="139" t="str">
        <f t="shared" si="3"/>
        <v/>
      </c>
      <c r="I414" s="139" t="str">
        <f t="shared" si="4"/>
        <v/>
      </c>
      <c r="J414" s="139" t="str">
        <f t="shared" si="5"/>
        <v/>
      </c>
      <c r="L414" s="139" t="str">
        <f t="shared" si="6"/>
        <v/>
      </c>
      <c r="M414" s="139" t="str">
        <f t="shared" ref="M414:N414" si="147">D414</f>
        <v/>
      </c>
      <c r="N414" s="139" t="str">
        <f t="shared" si="147"/>
        <v/>
      </c>
      <c r="O414" s="139" t="str">
        <f t="shared" si="8"/>
        <v/>
      </c>
    </row>
    <row r="415">
      <c r="H415" s="139" t="str">
        <f t="shared" si="3"/>
        <v/>
      </c>
      <c r="I415" s="139" t="str">
        <f t="shared" si="4"/>
        <v/>
      </c>
      <c r="J415" s="139" t="str">
        <f t="shared" si="5"/>
        <v/>
      </c>
      <c r="L415" s="139" t="str">
        <f t="shared" si="6"/>
        <v/>
      </c>
      <c r="M415" s="139" t="str">
        <f t="shared" ref="M415:N415" si="148">D415</f>
        <v/>
      </c>
      <c r="N415" s="139" t="str">
        <f t="shared" si="148"/>
        <v/>
      </c>
      <c r="O415" s="139" t="str">
        <f t="shared" si="8"/>
        <v/>
      </c>
    </row>
    <row r="416">
      <c r="H416" s="139" t="str">
        <f t="shared" si="3"/>
        <v/>
      </c>
      <c r="I416" s="139" t="str">
        <f t="shared" si="4"/>
        <v/>
      </c>
      <c r="J416" s="139" t="str">
        <f t="shared" si="5"/>
        <v/>
      </c>
      <c r="L416" s="139" t="str">
        <f t="shared" si="6"/>
        <v/>
      </c>
      <c r="M416" s="139" t="str">
        <f t="shared" ref="M416:N416" si="149">D416</f>
        <v/>
      </c>
      <c r="N416" s="139" t="str">
        <f t="shared" si="149"/>
        <v/>
      </c>
      <c r="O416" s="139" t="str">
        <f t="shared" si="8"/>
        <v/>
      </c>
    </row>
    <row r="417">
      <c r="H417" s="139" t="str">
        <f t="shared" si="3"/>
        <v/>
      </c>
      <c r="I417" s="139" t="str">
        <f t="shared" si="4"/>
        <v/>
      </c>
      <c r="J417" s="139" t="str">
        <f t="shared" si="5"/>
        <v/>
      </c>
      <c r="L417" s="139" t="str">
        <f t="shared" si="6"/>
        <v/>
      </c>
      <c r="M417" s="139" t="str">
        <f t="shared" ref="M417:N417" si="150">D417</f>
        <v/>
      </c>
      <c r="N417" s="139" t="str">
        <f t="shared" si="150"/>
        <v/>
      </c>
      <c r="O417" s="139" t="str">
        <f t="shared" si="8"/>
        <v/>
      </c>
    </row>
    <row r="418">
      <c r="H418" s="139" t="str">
        <f t="shared" si="3"/>
        <v/>
      </c>
      <c r="I418" s="139" t="str">
        <f t="shared" si="4"/>
        <v/>
      </c>
      <c r="J418" s="139" t="str">
        <f t="shared" si="5"/>
        <v/>
      </c>
      <c r="L418" s="139" t="str">
        <f t="shared" si="6"/>
        <v/>
      </c>
      <c r="M418" s="139" t="str">
        <f t="shared" ref="M418:N418" si="151">D418</f>
        <v/>
      </c>
      <c r="N418" s="139" t="str">
        <f t="shared" si="151"/>
        <v/>
      </c>
      <c r="O418" s="139" t="str">
        <f t="shared" si="8"/>
        <v/>
      </c>
    </row>
    <row r="419">
      <c r="H419" s="139" t="str">
        <f t="shared" si="3"/>
        <v/>
      </c>
      <c r="I419" s="139" t="str">
        <f t="shared" si="4"/>
        <v/>
      </c>
      <c r="J419" s="139" t="str">
        <f t="shared" si="5"/>
        <v/>
      </c>
      <c r="L419" s="139" t="str">
        <f t="shared" si="6"/>
        <v/>
      </c>
      <c r="M419" s="139" t="str">
        <f t="shared" ref="M419:N419" si="152">D419</f>
        <v/>
      </c>
      <c r="N419" s="139" t="str">
        <f t="shared" si="152"/>
        <v/>
      </c>
      <c r="O419" s="139" t="str">
        <f t="shared" si="8"/>
        <v/>
      </c>
    </row>
    <row r="420">
      <c r="H420" s="139" t="str">
        <f t="shared" si="3"/>
        <v/>
      </c>
      <c r="I420" s="139" t="str">
        <f t="shared" si="4"/>
        <v/>
      </c>
      <c r="J420" s="139" t="str">
        <f t="shared" si="5"/>
        <v/>
      </c>
      <c r="L420" s="139" t="str">
        <f t="shared" si="6"/>
        <v/>
      </c>
      <c r="M420" s="139" t="str">
        <f t="shared" ref="M420:N420" si="153">D420</f>
        <v/>
      </c>
      <c r="N420" s="139" t="str">
        <f t="shared" si="153"/>
        <v/>
      </c>
      <c r="O420" s="139" t="str">
        <f t="shared" si="8"/>
        <v/>
      </c>
    </row>
    <row r="421">
      <c r="H421" s="139" t="str">
        <f t="shared" si="3"/>
        <v/>
      </c>
      <c r="I421" s="139" t="str">
        <f t="shared" si="4"/>
        <v/>
      </c>
      <c r="J421" s="139" t="str">
        <f t="shared" si="5"/>
        <v/>
      </c>
      <c r="L421" s="139" t="str">
        <f t="shared" si="6"/>
        <v/>
      </c>
      <c r="M421" s="139" t="str">
        <f t="shared" ref="M421:N421" si="154">D421</f>
        <v/>
      </c>
      <c r="N421" s="139" t="str">
        <f t="shared" si="154"/>
        <v/>
      </c>
      <c r="O421" s="139" t="str">
        <f t="shared" si="8"/>
        <v/>
      </c>
    </row>
    <row r="422">
      <c r="H422" s="139" t="str">
        <f t="shared" si="3"/>
        <v/>
      </c>
      <c r="I422" s="139" t="str">
        <f t="shared" si="4"/>
        <v/>
      </c>
      <c r="J422" s="139" t="str">
        <f t="shared" si="5"/>
        <v/>
      </c>
      <c r="L422" s="139" t="str">
        <f t="shared" si="6"/>
        <v/>
      </c>
      <c r="M422" s="139" t="str">
        <f t="shared" ref="M422:N422" si="155">D422</f>
        <v/>
      </c>
      <c r="N422" s="139" t="str">
        <f t="shared" si="155"/>
        <v/>
      </c>
      <c r="O422" s="139" t="str">
        <f t="shared" si="8"/>
        <v/>
      </c>
    </row>
    <row r="423">
      <c r="H423" s="139" t="str">
        <f t="shared" si="3"/>
        <v/>
      </c>
      <c r="I423" s="139" t="str">
        <f t="shared" si="4"/>
        <v/>
      </c>
      <c r="J423" s="139" t="str">
        <f t="shared" si="5"/>
        <v/>
      </c>
      <c r="L423" s="139" t="str">
        <f t="shared" si="6"/>
        <v/>
      </c>
      <c r="M423" s="139" t="str">
        <f t="shared" ref="M423:N423" si="156">D423</f>
        <v/>
      </c>
      <c r="N423" s="139" t="str">
        <f t="shared" si="156"/>
        <v/>
      </c>
      <c r="O423" s="139" t="str">
        <f t="shared" si="8"/>
        <v/>
      </c>
    </row>
    <row r="424">
      <c r="H424" s="139" t="str">
        <f t="shared" si="3"/>
        <v/>
      </c>
      <c r="I424" s="139" t="str">
        <f t="shared" si="4"/>
        <v/>
      </c>
      <c r="J424" s="139" t="str">
        <f t="shared" si="5"/>
        <v/>
      </c>
      <c r="L424" s="139" t="str">
        <f t="shared" si="6"/>
        <v/>
      </c>
      <c r="M424" s="139" t="str">
        <f t="shared" ref="M424:N424" si="157">D424</f>
        <v/>
      </c>
      <c r="N424" s="139" t="str">
        <f t="shared" si="157"/>
        <v/>
      </c>
      <c r="O424" s="139" t="str">
        <f t="shared" si="8"/>
        <v/>
      </c>
    </row>
    <row r="425">
      <c r="H425" s="139" t="str">
        <f t="shared" si="3"/>
        <v/>
      </c>
      <c r="I425" s="139" t="str">
        <f t="shared" si="4"/>
        <v/>
      </c>
      <c r="J425" s="139" t="str">
        <f t="shared" si="5"/>
        <v/>
      </c>
      <c r="L425" s="139" t="str">
        <f t="shared" si="6"/>
        <v/>
      </c>
      <c r="M425" s="139" t="str">
        <f t="shared" ref="M425:N425" si="158">D425</f>
        <v/>
      </c>
      <c r="N425" s="139" t="str">
        <f t="shared" si="158"/>
        <v/>
      </c>
      <c r="O425" s="139" t="str">
        <f t="shared" si="8"/>
        <v/>
      </c>
    </row>
    <row r="426">
      <c r="H426" s="139" t="str">
        <f t="shared" si="3"/>
        <v/>
      </c>
      <c r="I426" s="139" t="str">
        <f t="shared" si="4"/>
        <v/>
      </c>
      <c r="J426" s="139" t="str">
        <f t="shared" si="5"/>
        <v/>
      </c>
      <c r="L426" s="139" t="str">
        <f t="shared" si="6"/>
        <v/>
      </c>
      <c r="M426" s="139" t="str">
        <f t="shared" ref="M426:N426" si="159">D426</f>
        <v/>
      </c>
      <c r="N426" s="139" t="str">
        <f t="shared" si="159"/>
        <v/>
      </c>
      <c r="O426" s="139" t="str">
        <f t="shared" si="8"/>
        <v/>
      </c>
    </row>
    <row r="427">
      <c r="H427" s="139" t="str">
        <f t="shared" si="3"/>
        <v/>
      </c>
      <c r="I427" s="139" t="str">
        <f t="shared" si="4"/>
        <v/>
      </c>
      <c r="J427" s="139" t="str">
        <f t="shared" si="5"/>
        <v/>
      </c>
      <c r="L427" s="139" t="str">
        <f t="shared" si="6"/>
        <v/>
      </c>
      <c r="M427" s="139" t="str">
        <f t="shared" ref="M427:N427" si="160">D427</f>
        <v/>
      </c>
      <c r="N427" s="139" t="str">
        <f t="shared" si="160"/>
        <v/>
      </c>
      <c r="O427" s="139" t="str">
        <f t="shared" si="8"/>
        <v/>
      </c>
    </row>
    <row r="428">
      <c r="H428" s="139" t="str">
        <f t="shared" si="3"/>
        <v/>
      </c>
      <c r="I428" s="139" t="str">
        <f t="shared" si="4"/>
        <v/>
      </c>
      <c r="J428" s="139" t="str">
        <f t="shared" si="5"/>
        <v/>
      </c>
      <c r="L428" s="139" t="str">
        <f t="shared" si="6"/>
        <v/>
      </c>
      <c r="M428" s="139" t="str">
        <f t="shared" ref="M428:N428" si="161">D428</f>
        <v/>
      </c>
      <c r="N428" s="139" t="str">
        <f t="shared" si="161"/>
        <v/>
      </c>
      <c r="O428" s="139" t="str">
        <f t="shared" si="8"/>
        <v/>
      </c>
    </row>
    <row r="429">
      <c r="H429" s="139" t="str">
        <f t="shared" si="3"/>
        <v/>
      </c>
      <c r="I429" s="139" t="str">
        <f t="shared" si="4"/>
        <v/>
      </c>
      <c r="J429" s="139" t="str">
        <f t="shared" si="5"/>
        <v/>
      </c>
      <c r="L429" s="139" t="str">
        <f t="shared" si="6"/>
        <v/>
      </c>
      <c r="M429" s="139" t="str">
        <f t="shared" ref="M429:N429" si="162">D429</f>
        <v/>
      </c>
      <c r="N429" s="139" t="str">
        <f t="shared" si="162"/>
        <v/>
      </c>
      <c r="O429" s="139" t="str">
        <f t="shared" si="8"/>
        <v/>
      </c>
    </row>
    <row r="430">
      <c r="H430" s="139" t="str">
        <f t="shared" si="3"/>
        <v/>
      </c>
      <c r="I430" s="139" t="str">
        <f t="shared" si="4"/>
        <v/>
      </c>
      <c r="J430" s="139" t="str">
        <f t="shared" si="5"/>
        <v/>
      </c>
      <c r="L430" s="139" t="str">
        <f t="shared" si="6"/>
        <v/>
      </c>
      <c r="M430" s="139" t="str">
        <f t="shared" ref="M430:N430" si="163">D430</f>
        <v/>
      </c>
      <c r="N430" s="139" t="str">
        <f t="shared" si="163"/>
        <v/>
      </c>
      <c r="O430" s="139" t="str">
        <f t="shared" si="8"/>
        <v/>
      </c>
    </row>
    <row r="431">
      <c r="H431" s="139" t="str">
        <f t="shared" si="3"/>
        <v/>
      </c>
      <c r="I431" s="139" t="str">
        <f t="shared" si="4"/>
        <v/>
      </c>
      <c r="J431" s="139" t="str">
        <f t="shared" si="5"/>
        <v/>
      </c>
      <c r="L431" s="139" t="str">
        <f t="shared" si="6"/>
        <v/>
      </c>
      <c r="M431" s="139" t="str">
        <f t="shared" ref="M431:N431" si="164">D431</f>
        <v/>
      </c>
      <c r="N431" s="139" t="str">
        <f t="shared" si="164"/>
        <v/>
      </c>
      <c r="O431" s="139" t="str">
        <f t="shared" si="8"/>
        <v/>
      </c>
    </row>
    <row r="432">
      <c r="H432" s="139" t="str">
        <f t="shared" si="3"/>
        <v/>
      </c>
      <c r="I432" s="139" t="str">
        <f t="shared" si="4"/>
        <v/>
      </c>
      <c r="J432" s="139" t="str">
        <f t="shared" si="5"/>
        <v/>
      </c>
      <c r="L432" s="139" t="str">
        <f t="shared" si="6"/>
        <v/>
      </c>
      <c r="M432" s="139" t="str">
        <f t="shared" ref="M432:N432" si="165">D432</f>
        <v/>
      </c>
      <c r="N432" s="139" t="str">
        <f t="shared" si="165"/>
        <v/>
      </c>
      <c r="O432" s="139" t="str">
        <f t="shared" si="8"/>
        <v/>
      </c>
    </row>
    <row r="433">
      <c r="H433" s="139" t="str">
        <f t="shared" si="3"/>
        <v/>
      </c>
      <c r="I433" s="139" t="str">
        <f t="shared" si="4"/>
        <v/>
      </c>
      <c r="J433" s="139" t="str">
        <f t="shared" si="5"/>
        <v/>
      </c>
      <c r="L433" s="139" t="str">
        <f t="shared" si="6"/>
        <v/>
      </c>
      <c r="M433" s="139" t="str">
        <f t="shared" ref="M433:N433" si="166">D433</f>
        <v/>
      </c>
      <c r="N433" s="139" t="str">
        <f t="shared" si="166"/>
        <v/>
      </c>
      <c r="O433" s="139" t="str">
        <f t="shared" si="8"/>
        <v/>
      </c>
    </row>
    <row r="434">
      <c r="H434" s="139" t="str">
        <f t="shared" si="3"/>
        <v/>
      </c>
      <c r="I434" s="139" t="str">
        <f t="shared" si="4"/>
        <v/>
      </c>
      <c r="J434" s="139" t="str">
        <f t="shared" si="5"/>
        <v/>
      </c>
      <c r="L434" s="139" t="str">
        <f t="shared" si="6"/>
        <v/>
      </c>
      <c r="M434" s="139" t="str">
        <f t="shared" ref="M434:N434" si="167">D434</f>
        <v/>
      </c>
      <c r="N434" s="139" t="str">
        <f t="shared" si="167"/>
        <v/>
      </c>
      <c r="O434" s="139" t="str">
        <f t="shared" si="8"/>
        <v/>
      </c>
    </row>
    <row r="435">
      <c r="H435" s="139" t="str">
        <f t="shared" si="3"/>
        <v/>
      </c>
      <c r="I435" s="139" t="str">
        <f t="shared" si="4"/>
        <v/>
      </c>
      <c r="J435" s="139" t="str">
        <f t="shared" si="5"/>
        <v/>
      </c>
      <c r="L435" s="139" t="str">
        <f t="shared" si="6"/>
        <v/>
      </c>
      <c r="M435" s="139" t="str">
        <f t="shared" ref="M435:N435" si="168">D435</f>
        <v/>
      </c>
      <c r="N435" s="139" t="str">
        <f t="shared" si="168"/>
        <v/>
      </c>
      <c r="O435" s="139" t="str">
        <f t="shared" si="8"/>
        <v/>
      </c>
    </row>
    <row r="436">
      <c r="H436" s="139" t="str">
        <f t="shared" si="3"/>
        <v/>
      </c>
      <c r="I436" s="139" t="str">
        <f t="shared" si="4"/>
        <v/>
      </c>
      <c r="J436" s="139" t="str">
        <f t="shared" si="5"/>
        <v/>
      </c>
      <c r="L436" s="139" t="str">
        <f t="shared" si="6"/>
        <v/>
      </c>
      <c r="M436" s="139" t="str">
        <f t="shared" ref="M436:N436" si="169">D436</f>
        <v/>
      </c>
      <c r="N436" s="139" t="str">
        <f t="shared" si="169"/>
        <v/>
      </c>
      <c r="O436" s="139" t="str">
        <f t="shared" si="8"/>
        <v/>
      </c>
    </row>
    <row r="437">
      <c r="H437" s="139" t="str">
        <f t="shared" si="3"/>
        <v/>
      </c>
      <c r="I437" s="139" t="str">
        <f t="shared" si="4"/>
        <v/>
      </c>
      <c r="J437" s="139" t="str">
        <f t="shared" si="5"/>
        <v/>
      </c>
      <c r="L437" s="139" t="str">
        <f t="shared" si="6"/>
        <v/>
      </c>
      <c r="M437" s="139" t="str">
        <f t="shared" ref="M437:N437" si="170">D437</f>
        <v/>
      </c>
      <c r="N437" s="139" t="str">
        <f t="shared" si="170"/>
        <v/>
      </c>
      <c r="O437" s="139" t="str">
        <f t="shared" si="8"/>
        <v/>
      </c>
    </row>
    <row r="438">
      <c r="H438" s="139" t="str">
        <f t="shared" si="3"/>
        <v/>
      </c>
      <c r="I438" s="139" t="str">
        <f t="shared" si="4"/>
        <v/>
      </c>
      <c r="J438" s="139" t="str">
        <f t="shared" si="5"/>
        <v/>
      </c>
      <c r="L438" s="139" t="str">
        <f t="shared" si="6"/>
        <v/>
      </c>
      <c r="M438" s="139" t="str">
        <f t="shared" ref="M438:N438" si="171">D438</f>
        <v/>
      </c>
      <c r="N438" s="139" t="str">
        <f t="shared" si="171"/>
        <v/>
      </c>
      <c r="O438" s="139" t="str">
        <f t="shared" si="8"/>
        <v/>
      </c>
    </row>
    <row r="439">
      <c r="H439" s="139" t="str">
        <f t="shared" si="3"/>
        <v/>
      </c>
      <c r="I439" s="139" t="str">
        <f t="shared" si="4"/>
        <v/>
      </c>
      <c r="J439" s="139" t="str">
        <f t="shared" si="5"/>
        <v/>
      </c>
      <c r="L439" s="139" t="str">
        <f t="shared" si="6"/>
        <v/>
      </c>
      <c r="M439" s="139" t="str">
        <f t="shared" ref="M439:N439" si="172">D439</f>
        <v/>
      </c>
      <c r="N439" s="139" t="str">
        <f t="shared" si="172"/>
        <v/>
      </c>
      <c r="O439" s="139" t="str">
        <f t="shared" si="8"/>
        <v/>
      </c>
    </row>
    <row r="440">
      <c r="H440" s="139" t="str">
        <f t="shared" si="3"/>
        <v/>
      </c>
      <c r="I440" s="139" t="str">
        <f t="shared" si="4"/>
        <v/>
      </c>
      <c r="J440" s="139" t="str">
        <f t="shared" si="5"/>
        <v/>
      </c>
      <c r="L440" s="139" t="str">
        <f t="shared" si="6"/>
        <v/>
      </c>
      <c r="M440" s="139" t="str">
        <f t="shared" ref="M440:N440" si="173">D440</f>
        <v/>
      </c>
      <c r="N440" s="139" t="str">
        <f t="shared" si="173"/>
        <v/>
      </c>
      <c r="O440" s="139" t="str">
        <f t="shared" si="8"/>
        <v/>
      </c>
    </row>
    <row r="441">
      <c r="H441" s="139" t="str">
        <f t="shared" si="3"/>
        <v/>
      </c>
      <c r="I441" s="139" t="str">
        <f t="shared" si="4"/>
        <v/>
      </c>
      <c r="J441" s="139" t="str">
        <f t="shared" si="5"/>
        <v/>
      </c>
      <c r="L441" s="139" t="str">
        <f t="shared" si="6"/>
        <v/>
      </c>
      <c r="M441" s="139" t="str">
        <f t="shared" ref="M441:N441" si="174">D441</f>
        <v/>
      </c>
      <c r="N441" s="139" t="str">
        <f t="shared" si="174"/>
        <v/>
      </c>
      <c r="O441" s="139" t="str">
        <f t="shared" si="8"/>
        <v/>
      </c>
    </row>
    <row r="442">
      <c r="H442" s="139" t="str">
        <f t="shared" si="3"/>
        <v/>
      </c>
      <c r="I442" s="139" t="str">
        <f t="shared" si="4"/>
        <v/>
      </c>
      <c r="J442" s="139" t="str">
        <f t="shared" si="5"/>
        <v/>
      </c>
      <c r="L442" s="139" t="str">
        <f t="shared" si="6"/>
        <v/>
      </c>
      <c r="M442" s="139" t="str">
        <f t="shared" ref="M442:N442" si="175">D442</f>
        <v/>
      </c>
      <c r="N442" s="139" t="str">
        <f t="shared" si="175"/>
        <v/>
      </c>
      <c r="O442" s="139" t="str">
        <f t="shared" si="8"/>
        <v/>
      </c>
    </row>
    <row r="443">
      <c r="H443" s="139" t="str">
        <f t="shared" si="3"/>
        <v/>
      </c>
      <c r="I443" s="139" t="str">
        <f t="shared" si="4"/>
        <v/>
      </c>
      <c r="J443" s="139" t="str">
        <f t="shared" si="5"/>
        <v/>
      </c>
      <c r="L443" s="139" t="str">
        <f t="shared" si="6"/>
        <v/>
      </c>
      <c r="M443" s="139" t="str">
        <f t="shared" ref="M443:N443" si="176">D443</f>
        <v/>
      </c>
      <c r="N443" s="139" t="str">
        <f t="shared" si="176"/>
        <v/>
      </c>
      <c r="O443" s="139" t="str">
        <f t="shared" si="8"/>
        <v/>
      </c>
    </row>
    <row r="444">
      <c r="H444" s="139" t="str">
        <f t="shared" si="3"/>
        <v/>
      </c>
      <c r="I444" s="139" t="str">
        <f t="shared" si="4"/>
        <v/>
      </c>
      <c r="J444" s="139" t="str">
        <f t="shared" si="5"/>
        <v/>
      </c>
      <c r="L444" s="139" t="str">
        <f t="shared" si="6"/>
        <v/>
      </c>
      <c r="M444" s="139" t="str">
        <f t="shared" ref="M444:N444" si="177">D444</f>
        <v/>
      </c>
      <c r="N444" s="139" t="str">
        <f t="shared" si="177"/>
        <v/>
      </c>
      <c r="O444" s="139" t="str">
        <f t="shared" si="8"/>
        <v/>
      </c>
    </row>
    <row r="445">
      <c r="H445" s="139" t="str">
        <f t="shared" si="3"/>
        <v/>
      </c>
      <c r="I445" s="139" t="str">
        <f t="shared" si="4"/>
        <v/>
      </c>
      <c r="J445" s="139" t="str">
        <f t="shared" si="5"/>
        <v/>
      </c>
      <c r="L445" s="139" t="str">
        <f t="shared" si="6"/>
        <v/>
      </c>
      <c r="M445" s="139" t="str">
        <f t="shared" ref="M445:N445" si="178">D445</f>
        <v/>
      </c>
      <c r="N445" s="139" t="str">
        <f t="shared" si="178"/>
        <v/>
      </c>
      <c r="O445" s="139" t="str">
        <f t="shared" si="8"/>
        <v/>
      </c>
    </row>
    <row r="446">
      <c r="H446" s="139" t="str">
        <f t="shared" si="3"/>
        <v/>
      </c>
      <c r="I446" s="139" t="str">
        <f t="shared" si="4"/>
        <v/>
      </c>
      <c r="J446" s="139" t="str">
        <f t="shared" si="5"/>
        <v/>
      </c>
      <c r="L446" s="139" t="str">
        <f t="shared" si="6"/>
        <v/>
      </c>
      <c r="M446" s="139" t="str">
        <f t="shared" ref="M446:N446" si="179">D446</f>
        <v/>
      </c>
      <c r="N446" s="139" t="str">
        <f t="shared" si="179"/>
        <v/>
      </c>
      <c r="O446" s="139" t="str">
        <f t="shared" si="8"/>
        <v/>
      </c>
    </row>
    <row r="447">
      <c r="H447" s="139" t="str">
        <f t="shared" si="3"/>
        <v/>
      </c>
      <c r="I447" s="139" t="str">
        <f t="shared" si="4"/>
        <v/>
      </c>
      <c r="J447" s="139" t="str">
        <f t="shared" si="5"/>
        <v/>
      </c>
      <c r="L447" s="139" t="str">
        <f t="shared" si="6"/>
        <v/>
      </c>
      <c r="M447" s="139" t="str">
        <f t="shared" ref="M447:N447" si="180">D447</f>
        <v/>
      </c>
      <c r="N447" s="139" t="str">
        <f t="shared" si="180"/>
        <v/>
      </c>
      <c r="O447" s="139" t="str">
        <f t="shared" si="8"/>
        <v/>
      </c>
    </row>
    <row r="448">
      <c r="H448" s="139" t="str">
        <f t="shared" si="3"/>
        <v/>
      </c>
      <c r="I448" s="139" t="str">
        <f t="shared" si="4"/>
        <v/>
      </c>
      <c r="J448" s="139" t="str">
        <f t="shared" si="5"/>
        <v/>
      </c>
      <c r="L448" s="139" t="str">
        <f t="shared" si="6"/>
        <v/>
      </c>
      <c r="M448" s="139" t="str">
        <f t="shared" ref="M448:N448" si="181">D448</f>
        <v/>
      </c>
      <c r="N448" s="139" t="str">
        <f t="shared" si="181"/>
        <v/>
      </c>
      <c r="O448" s="139" t="str">
        <f t="shared" si="8"/>
        <v/>
      </c>
    </row>
    <row r="449">
      <c r="H449" s="139" t="str">
        <f t="shared" si="3"/>
        <v/>
      </c>
      <c r="I449" s="139" t="str">
        <f t="shared" si="4"/>
        <v/>
      </c>
      <c r="J449" s="139" t="str">
        <f t="shared" si="5"/>
        <v/>
      </c>
      <c r="L449" s="139" t="str">
        <f t="shared" si="6"/>
        <v/>
      </c>
      <c r="M449" s="139" t="str">
        <f t="shared" ref="M449:N449" si="182">D449</f>
        <v/>
      </c>
      <c r="N449" s="139" t="str">
        <f t="shared" si="182"/>
        <v/>
      </c>
      <c r="O449" s="139" t="str">
        <f t="shared" si="8"/>
        <v/>
      </c>
    </row>
    <row r="450">
      <c r="H450" s="139" t="str">
        <f t="shared" si="3"/>
        <v/>
      </c>
      <c r="I450" s="139" t="str">
        <f t="shared" si="4"/>
        <v/>
      </c>
      <c r="J450" s="139" t="str">
        <f t="shared" si="5"/>
        <v/>
      </c>
      <c r="L450" s="139" t="str">
        <f t="shared" si="6"/>
        <v/>
      </c>
      <c r="M450" s="139" t="str">
        <f t="shared" ref="M450:N450" si="183">D450</f>
        <v/>
      </c>
      <c r="N450" s="139" t="str">
        <f t="shared" si="183"/>
        <v/>
      </c>
      <c r="O450" s="139" t="str">
        <f t="shared" si="8"/>
        <v/>
      </c>
    </row>
    <row r="451">
      <c r="H451" s="139" t="str">
        <f t="shared" si="3"/>
        <v/>
      </c>
      <c r="I451" s="139" t="str">
        <f t="shared" si="4"/>
        <v/>
      </c>
      <c r="J451" s="139" t="str">
        <f t="shared" si="5"/>
        <v/>
      </c>
      <c r="L451" s="139" t="str">
        <f t="shared" si="6"/>
        <v/>
      </c>
      <c r="M451" s="139" t="str">
        <f t="shared" ref="M451:N451" si="184">D451</f>
        <v/>
      </c>
      <c r="N451" s="139" t="str">
        <f t="shared" si="184"/>
        <v/>
      </c>
      <c r="O451" s="139" t="str">
        <f t="shared" si="8"/>
        <v/>
      </c>
    </row>
    <row r="452">
      <c r="H452" s="139" t="str">
        <f t="shared" si="3"/>
        <v/>
      </c>
      <c r="I452" s="139" t="str">
        <f t="shared" si="4"/>
        <v/>
      </c>
      <c r="J452" s="139" t="str">
        <f t="shared" si="5"/>
        <v/>
      </c>
      <c r="L452" s="139" t="str">
        <f t="shared" si="6"/>
        <v/>
      </c>
      <c r="M452" s="139" t="str">
        <f t="shared" ref="M452:N452" si="185">D452</f>
        <v/>
      </c>
      <c r="N452" s="139" t="str">
        <f t="shared" si="185"/>
        <v/>
      </c>
      <c r="O452" s="139" t="str">
        <f t="shared" si="8"/>
        <v/>
      </c>
    </row>
    <row r="453">
      <c r="H453" s="139" t="str">
        <f t="shared" si="3"/>
        <v/>
      </c>
      <c r="I453" s="139" t="str">
        <f t="shared" si="4"/>
        <v/>
      </c>
      <c r="J453" s="139" t="str">
        <f t="shared" si="5"/>
        <v/>
      </c>
      <c r="L453" s="139" t="str">
        <f t="shared" si="6"/>
        <v/>
      </c>
      <c r="M453" s="139" t="str">
        <f t="shared" ref="M453:N453" si="186">D453</f>
        <v/>
      </c>
      <c r="N453" s="139" t="str">
        <f t="shared" si="186"/>
        <v/>
      </c>
      <c r="O453" s="139" t="str">
        <f t="shared" si="8"/>
        <v/>
      </c>
    </row>
    <row r="454">
      <c r="H454" s="139" t="str">
        <f t="shared" si="3"/>
        <v/>
      </c>
      <c r="I454" s="139" t="str">
        <f t="shared" si="4"/>
        <v/>
      </c>
      <c r="J454" s="139" t="str">
        <f t="shared" si="5"/>
        <v/>
      </c>
      <c r="L454" s="139" t="str">
        <f t="shared" si="6"/>
        <v/>
      </c>
      <c r="M454" s="139" t="str">
        <f t="shared" ref="M454:N454" si="187">D454</f>
        <v/>
      </c>
      <c r="N454" s="139" t="str">
        <f t="shared" si="187"/>
        <v/>
      </c>
      <c r="O454" s="139" t="str">
        <f t="shared" si="8"/>
        <v/>
      </c>
    </row>
    <row r="455">
      <c r="H455" s="139" t="str">
        <f t="shared" si="3"/>
        <v/>
      </c>
      <c r="I455" s="139" t="str">
        <f t="shared" si="4"/>
        <v/>
      </c>
      <c r="J455" s="139" t="str">
        <f t="shared" si="5"/>
        <v/>
      </c>
      <c r="L455" s="139" t="str">
        <f t="shared" si="6"/>
        <v/>
      </c>
      <c r="M455" s="139" t="str">
        <f t="shared" ref="M455:N455" si="188">D455</f>
        <v/>
      </c>
      <c r="N455" s="139" t="str">
        <f t="shared" si="188"/>
        <v/>
      </c>
      <c r="O455" s="139" t="str">
        <f t="shared" si="8"/>
        <v/>
      </c>
    </row>
    <row r="456">
      <c r="H456" s="139" t="str">
        <f t="shared" si="3"/>
        <v/>
      </c>
      <c r="I456" s="139" t="str">
        <f t="shared" si="4"/>
        <v/>
      </c>
      <c r="J456" s="139" t="str">
        <f t="shared" si="5"/>
        <v/>
      </c>
      <c r="L456" s="139" t="str">
        <f t="shared" si="6"/>
        <v/>
      </c>
      <c r="M456" s="139" t="str">
        <f t="shared" ref="M456:N456" si="189">D456</f>
        <v/>
      </c>
      <c r="N456" s="139" t="str">
        <f t="shared" si="189"/>
        <v/>
      </c>
      <c r="O456" s="139" t="str">
        <f t="shared" si="8"/>
        <v/>
      </c>
    </row>
    <row r="457">
      <c r="H457" s="139" t="str">
        <f t="shared" si="3"/>
        <v/>
      </c>
      <c r="I457" s="139" t="str">
        <f t="shared" si="4"/>
        <v/>
      </c>
      <c r="J457" s="139" t="str">
        <f t="shared" si="5"/>
        <v/>
      </c>
      <c r="L457" s="139" t="str">
        <f t="shared" si="6"/>
        <v/>
      </c>
      <c r="M457" s="139" t="str">
        <f t="shared" ref="M457:N457" si="190">D457</f>
        <v/>
      </c>
      <c r="N457" s="139" t="str">
        <f t="shared" si="190"/>
        <v/>
      </c>
      <c r="O457" s="139" t="str">
        <f t="shared" si="8"/>
        <v/>
      </c>
    </row>
    <row r="458">
      <c r="H458" s="139" t="str">
        <f t="shared" si="3"/>
        <v/>
      </c>
      <c r="I458" s="139" t="str">
        <f t="shared" si="4"/>
        <v/>
      </c>
      <c r="J458" s="139" t="str">
        <f t="shared" si="5"/>
        <v/>
      </c>
      <c r="L458" s="139" t="str">
        <f t="shared" si="6"/>
        <v/>
      </c>
      <c r="M458" s="139" t="str">
        <f t="shared" ref="M458:N458" si="191">D458</f>
        <v/>
      </c>
      <c r="N458" s="139" t="str">
        <f t="shared" si="191"/>
        <v/>
      </c>
      <c r="O458" s="139" t="str">
        <f t="shared" si="8"/>
        <v/>
      </c>
    </row>
    <row r="459">
      <c r="H459" s="139" t="str">
        <f t="shared" si="3"/>
        <v/>
      </c>
      <c r="I459" s="139" t="str">
        <f t="shared" si="4"/>
        <v/>
      </c>
      <c r="J459" s="139" t="str">
        <f t="shared" si="5"/>
        <v/>
      </c>
      <c r="L459" s="139" t="str">
        <f t="shared" si="6"/>
        <v/>
      </c>
      <c r="M459" s="139" t="str">
        <f t="shared" ref="M459:N459" si="192">D459</f>
        <v/>
      </c>
      <c r="N459" s="139" t="str">
        <f t="shared" si="192"/>
        <v/>
      </c>
      <c r="O459" s="139" t="str">
        <f t="shared" si="8"/>
        <v/>
      </c>
    </row>
    <row r="460">
      <c r="H460" s="139" t="str">
        <f t="shared" si="3"/>
        <v/>
      </c>
      <c r="I460" s="139" t="str">
        <f t="shared" si="4"/>
        <v/>
      </c>
      <c r="J460" s="139" t="str">
        <f t="shared" si="5"/>
        <v/>
      </c>
      <c r="L460" s="139" t="str">
        <f t="shared" si="6"/>
        <v/>
      </c>
      <c r="M460" s="139" t="str">
        <f t="shared" ref="M460:N460" si="193">D460</f>
        <v/>
      </c>
      <c r="N460" s="139" t="str">
        <f t="shared" si="193"/>
        <v/>
      </c>
      <c r="O460" s="139" t="str">
        <f t="shared" si="8"/>
        <v/>
      </c>
    </row>
    <row r="461">
      <c r="H461" s="139" t="str">
        <f t="shared" si="3"/>
        <v/>
      </c>
      <c r="I461" s="139" t="str">
        <f t="shared" si="4"/>
        <v/>
      </c>
      <c r="J461" s="139" t="str">
        <f t="shared" si="5"/>
        <v/>
      </c>
      <c r="L461" s="139" t="str">
        <f t="shared" si="6"/>
        <v/>
      </c>
      <c r="M461" s="139" t="str">
        <f t="shared" ref="M461:N461" si="194">D461</f>
        <v/>
      </c>
      <c r="N461" s="139" t="str">
        <f t="shared" si="194"/>
        <v/>
      </c>
      <c r="O461" s="139" t="str">
        <f t="shared" si="8"/>
        <v/>
      </c>
    </row>
    <row r="462">
      <c r="H462" s="139" t="str">
        <f t="shared" si="3"/>
        <v/>
      </c>
      <c r="I462" s="139" t="str">
        <f t="shared" si="4"/>
        <v/>
      </c>
      <c r="J462" s="139" t="str">
        <f t="shared" si="5"/>
        <v/>
      </c>
      <c r="L462" s="139" t="str">
        <f t="shared" si="6"/>
        <v/>
      </c>
      <c r="M462" s="139" t="str">
        <f t="shared" ref="M462:N462" si="195">D462</f>
        <v/>
      </c>
      <c r="N462" s="139" t="str">
        <f t="shared" si="195"/>
        <v/>
      </c>
      <c r="O462" s="139" t="str">
        <f t="shared" si="8"/>
        <v/>
      </c>
    </row>
    <row r="463">
      <c r="H463" s="139" t="str">
        <f t="shared" si="3"/>
        <v/>
      </c>
      <c r="I463" s="139" t="str">
        <f t="shared" si="4"/>
        <v/>
      </c>
      <c r="J463" s="139" t="str">
        <f t="shared" si="5"/>
        <v/>
      </c>
      <c r="L463" s="139" t="str">
        <f t="shared" si="6"/>
        <v/>
      </c>
      <c r="M463" s="139" t="str">
        <f t="shared" ref="M463:N463" si="196">D463</f>
        <v/>
      </c>
      <c r="N463" s="139" t="str">
        <f t="shared" si="196"/>
        <v/>
      </c>
      <c r="O463" s="139" t="str">
        <f t="shared" si="8"/>
        <v/>
      </c>
    </row>
    <row r="464">
      <c r="H464" s="139" t="str">
        <f t="shared" si="3"/>
        <v/>
      </c>
      <c r="I464" s="139" t="str">
        <f t="shared" si="4"/>
        <v/>
      </c>
      <c r="J464" s="139" t="str">
        <f t="shared" si="5"/>
        <v/>
      </c>
      <c r="L464" s="139" t="str">
        <f t="shared" si="6"/>
        <v/>
      </c>
      <c r="M464" s="139" t="str">
        <f t="shared" ref="M464:N464" si="197">D464</f>
        <v/>
      </c>
      <c r="N464" s="139" t="str">
        <f t="shared" si="197"/>
        <v/>
      </c>
      <c r="O464" s="139" t="str">
        <f t="shared" si="8"/>
        <v/>
      </c>
    </row>
    <row r="465">
      <c r="H465" s="139" t="str">
        <f t="shared" si="3"/>
        <v/>
      </c>
      <c r="I465" s="139" t="str">
        <f t="shared" si="4"/>
        <v/>
      </c>
      <c r="J465" s="139" t="str">
        <f t="shared" si="5"/>
        <v/>
      </c>
      <c r="L465" s="139" t="str">
        <f t="shared" si="6"/>
        <v/>
      </c>
      <c r="M465" s="139" t="str">
        <f t="shared" ref="M465:N465" si="198">D465</f>
        <v/>
      </c>
      <c r="N465" s="139" t="str">
        <f t="shared" si="198"/>
        <v/>
      </c>
      <c r="O465" s="139" t="str">
        <f t="shared" si="8"/>
        <v/>
      </c>
    </row>
    <row r="466">
      <c r="H466" s="139" t="str">
        <f t="shared" si="3"/>
        <v/>
      </c>
      <c r="I466" s="139" t="str">
        <f t="shared" si="4"/>
        <v/>
      </c>
      <c r="J466" s="139" t="str">
        <f t="shared" si="5"/>
        <v/>
      </c>
      <c r="L466" s="139" t="str">
        <f t="shared" si="6"/>
        <v/>
      </c>
      <c r="M466" s="139" t="str">
        <f t="shared" ref="M466:N466" si="199">D466</f>
        <v/>
      </c>
      <c r="N466" s="139" t="str">
        <f t="shared" si="199"/>
        <v/>
      </c>
      <c r="O466" s="139" t="str">
        <f t="shared" si="8"/>
        <v/>
      </c>
    </row>
    <row r="467">
      <c r="H467" s="139" t="str">
        <f t="shared" si="3"/>
        <v/>
      </c>
      <c r="I467" s="139" t="str">
        <f t="shared" si="4"/>
        <v/>
      </c>
      <c r="J467" s="139" t="str">
        <f t="shared" si="5"/>
        <v/>
      </c>
      <c r="L467" s="139" t="str">
        <f t="shared" si="6"/>
        <v/>
      </c>
      <c r="M467" s="139" t="str">
        <f t="shared" ref="M467:N467" si="200">D467</f>
        <v/>
      </c>
      <c r="N467" s="139" t="str">
        <f t="shared" si="200"/>
        <v/>
      </c>
      <c r="O467" s="139" t="str">
        <f t="shared" si="8"/>
        <v/>
      </c>
    </row>
    <row r="468">
      <c r="H468" s="139" t="str">
        <f t="shared" si="3"/>
        <v/>
      </c>
      <c r="I468" s="139" t="str">
        <f t="shared" si="4"/>
        <v/>
      </c>
      <c r="J468" s="139" t="str">
        <f t="shared" si="5"/>
        <v/>
      </c>
      <c r="L468" s="139" t="str">
        <f t="shared" si="6"/>
        <v/>
      </c>
      <c r="M468" s="139" t="str">
        <f t="shared" ref="M468:N468" si="201">D468</f>
        <v/>
      </c>
      <c r="N468" s="139" t="str">
        <f t="shared" si="201"/>
        <v/>
      </c>
      <c r="O468" s="139" t="str">
        <f t="shared" si="8"/>
        <v/>
      </c>
    </row>
    <row r="469">
      <c r="H469" s="139" t="str">
        <f t="shared" si="3"/>
        <v/>
      </c>
      <c r="I469" s="139" t="str">
        <f t="shared" si="4"/>
        <v/>
      </c>
      <c r="J469" s="139" t="str">
        <f t="shared" si="5"/>
        <v/>
      </c>
      <c r="L469" s="139" t="str">
        <f t="shared" si="6"/>
        <v/>
      </c>
      <c r="M469" s="139" t="str">
        <f t="shared" ref="M469:N469" si="202">D469</f>
        <v/>
      </c>
      <c r="N469" s="139" t="str">
        <f t="shared" si="202"/>
        <v/>
      </c>
      <c r="O469" s="139" t="str">
        <f t="shared" si="8"/>
        <v/>
      </c>
    </row>
    <row r="470">
      <c r="H470" s="139" t="str">
        <f t="shared" si="3"/>
        <v/>
      </c>
      <c r="I470" s="139" t="str">
        <f t="shared" si="4"/>
        <v/>
      </c>
      <c r="J470" s="139" t="str">
        <f t="shared" si="5"/>
        <v/>
      </c>
      <c r="L470" s="139" t="str">
        <f t="shared" si="6"/>
        <v/>
      </c>
      <c r="M470" s="139" t="str">
        <f t="shared" ref="M470:N470" si="203">D470</f>
        <v/>
      </c>
      <c r="N470" s="139" t="str">
        <f t="shared" si="203"/>
        <v/>
      </c>
      <c r="O470" s="139" t="str">
        <f t="shared" si="8"/>
        <v/>
      </c>
    </row>
    <row r="471">
      <c r="H471" s="139" t="str">
        <f t="shared" si="3"/>
        <v/>
      </c>
      <c r="I471" s="139" t="str">
        <f t="shared" si="4"/>
        <v/>
      </c>
      <c r="J471" s="139" t="str">
        <f t="shared" si="5"/>
        <v/>
      </c>
      <c r="L471" s="139" t="str">
        <f t="shared" si="6"/>
        <v/>
      </c>
      <c r="M471" s="139" t="str">
        <f t="shared" ref="M471:N471" si="204">D471</f>
        <v/>
      </c>
      <c r="N471" s="139" t="str">
        <f t="shared" si="204"/>
        <v/>
      </c>
      <c r="O471" s="139" t="str">
        <f t="shared" si="8"/>
        <v/>
      </c>
    </row>
    <row r="472">
      <c r="H472" s="139" t="str">
        <f t="shared" si="3"/>
        <v/>
      </c>
      <c r="I472" s="139" t="str">
        <f t="shared" si="4"/>
        <v/>
      </c>
      <c r="J472" s="139" t="str">
        <f t="shared" si="5"/>
        <v/>
      </c>
      <c r="L472" s="139" t="str">
        <f t="shared" si="6"/>
        <v/>
      </c>
      <c r="M472" s="139" t="str">
        <f t="shared" ref="M472:N472" si="205">D472</f>
        <v/>
      </c>
      <c r="N472" s="139" t="str">
        <f t="shared" si="205"/>
        <v/>
      </c>
      <c r="O472" s="139" t="str">
        <f t="shared" si="8"/>
        <v/>
      </c>
    </row>
    <row r="473">
      <c r="H473" s="139" t="str">
        <f t="shared" si="3"/>
        <v/>
      </c>
      <c r="I473" s="139" t="str">
        <f t="shared" si="4"/>
        <v/>
      </c>
      <c r="J473" s="139" t="str">
        <f t="shared" si="5"/>
        <v/>
      </c>
      <c r="L473" s="139" t="str">
        <f t="shared" si="6"/>
        <v/>
      </c>
      <c r="M473" s="139" t="str">
        <f t="shared" ref="M473:N473" si="206">D473</f>
        <v/>
      </c>
      <c r="N473" s="139" t="str">
        <f t="shared" si="206"/>
        <v/>
      </c>
      <c r="O473" s="139" t="str">
        <f t="shared" si="8"/>
        <v/>
      </c>
    </row>
    <row r="474">
      <c r="H474" s="139" t="str">
        <f t="shared" si="3"/>
        <v/>
      </c>
      <c r="I474" s="139" t="str">
        <f t="shared" si="4"/>
        <v/>
      </c>
      <c r="J474" s="139" t="str">
        <f t="shared" si="5"/>
        <v/>
      </c>
      <c r="L474" s="139" t="str">
        <f t="shared" si="6"/>
        <v/>
      </c>
      <c r="M474" s="139" t="str">
        <f t="shared" ref="M474:N474" si="207">D474</f>
        <v/>
      </c>
      <c r="N474" s="139" t="str">
        <f t="shared" si="207"/>
        <v/>
      </c>
      <c r="O474" s="139" t="str">
        <f t="shared" si="8"/>
        <v/>
      </c>
    </row>
    <row r="475">
      <c r="H475" s="139" t="str">
        <f t="shared" si="3"/>
        <v/>
      </c>
      <c r="I475" s="139" t="str">
        <f t="shared" si="4"/>
        <v/>
      </c>
      <c r="J475" s="139" t="str">
        <f t="shared" si="5"/>
        <v/>
      </c>
      <c r="L475" s="139" t="str">
        <f t="shared" si="6"/>
        <v/>
      </c>
      <c r="M475" s="139" t="str">
        <f t="shared" ref="M475:N475" si="208">D475</f>
        <v/>
      </c>
      <c r="N475" s="139" t="str">
        <f t="shared" si="208"/>
        <v/>
      </c>
      <c r="O475" s="139" t="str">
        <f t="shared" si="8"/>
        <v/>
      </c>
    </row>
    <row r="476">
      <c r="H476" s="139" t="str">
        <f t="shared" si="3"/>
        <v/>
      </c>
      <c r="I476" s="139" t="str">
        <f t="shared" si="4"/>
        <v/>
      </c>
      <c r="J476" s="139" t="str">
        <f t="shared" si="5"/>
        <v/>
      </c>
      <c r="L476" s="139" t="str">
        <f t="shared" si="6"/>
        <v/>
      </c>
      <c r="M476" s="139" t="str">
        <f t="shared" ref="M476:N476" si="209">D476</f>
        <v/>
      </c>
      <c r="N476" s="139" t="str">
        <f t="shared" si="209"/>
        <v/>
      </c>
      <c r="O476" s="139" t="str">
        <f t="shared" si="8"/>
        <v/>
      </c>
    </row>
    <row r="477">
      <c r="H477" s="139" t="str">
        <f t="shared" si="3"/>
        <v/>
      </c>
      <c r="I477" s="139" t="str">
        <f t="shared" si="4"/>
        <v/>
      </c>
      <c r="J477" s="139" t="str">
        <f t="shared" si="5"/>
        <v/>
      </c>
      <c r="L477" s="139" t="str">
        <f t="shared" si="6"/>
        <v/>
      </c>
      <c r="M477" s="139" t="str">
        <f t="shared" ref="M477:N477" si="210">D477</f>
        <v/>
      </c>
      <c r="N477" s="139" t="str">
        <f t="shared" si="210"/>
        <v/>
      </c>
      <c r="O477" s="139" t="str">
        <f t="shared" si="8"/>
        <v/>
      </c>
    </row>
    <row r="478">
      <c r="H478" s="139" t="str">
        <f t="shared" si="3"/>
        <v/>
      </c>
      <c r="I478" s="139" t="str">
        <f t="shared" si="4"/>
        <v/>
      </c>
      <c r="J478" s="139" t="str">
        <f t="shared" si="5"/>
        <v/>
      </c>
      <c r="L478" s="139" t="str">
        <f t="shared" si="6"/>
        <v/>
      </c>
      <c r="M478" s="139" t="str">
        <f t="shared" ref="M478:N478" si="211">D478</f>
        <v/>
      </c>
      <c r="N478" s="139" t="str">
        <f t="shared" si="211"/>
        <v/>
      </c>
      <c r="O478" s="139" t="str">
        <f t="shared" si="8"/>
        <v/>
      </c>
    </row>
    <row r="479">
      <c r="H479" s="139" t="str">
        <f t="shared" si="3"/>
        <v/>
      </c>
      <c r="I479" s="139" t="str">
        <f t="shared" si="4"/>
        <v/>
      </c>
      <c r="J479" s="139" t="str">
        <f t="shared" si="5"/>
        <v/>
      </c>
      <c r="L479" s="139" t="str">
        <f t="shared" si="6"/>
        <v/>
      </c>
      <c r="M479" s="139" t="str">
        <f t="shared" ref="M479:N479" si="212">D479</f>
        <v/>
      </c>
      <c r="N479" s="139" t="str">
        <f t="shared" si="212"/>
        <v/>
      </c>
      <c r="O479" s="139" t="str">
        <f t="shared" si="8"/>
        <v/>
      </c>
    </row>
    <row r="480">
      <c r="H480" s="139" t="str">
        <f t="shared" si="3"/>
        <v/>
      </c>
      <c r="I480" s="139" t="str">
        <f t="shared" si="4"/>
        <v/>
      </c>
      <c r="J480" s="139" t="str">
        <f t="shared" si="5"/>
        <v/>
      </c>
      <c r="L480" s="139" t="str">
        <f t="shared" si="6"/>
        <v/>
      </c>
      <c r="M480" s="139" t="str">
        <f t="shared" ref="M480:N480" si="213">D480</f>
        <v/>
      </c>
      <c r="N480" s="139" t="str">
        <f t="shared" si="213"/>
        <v/>
      </c>
      <c r="O480" s="139" t="str">
        <f t="shared" si="8"/>
        <v/>
      </c>
    </row>
    <row r="481">
      <c r="H481" s="139" t="str">
        <f t="shared" si="3"/>
        <v/>
      </c>
      <c r="I481" s="139" t="str">
        <f t="shared" si="4"/>
        <v/>
      </c>
      <c r="J481" s="139" t="str">
        <f t="shared" si="5"/>
        <v/>
      </c>
      <c r="L481" s="139" t="str">
        <f t="shared" si="6"/>
        <v/>
      </c>
      <c r="M481" s="139" t="str">
        <f t="shared" ref="M481:N481" si="214">D481</f>
        <v/>
      </c>
      <c r="N481" s="139" t="str">
        <f t="shared" si="214"/>
        <v/>
      </c>
      <c r="O481" s="139" t="str">
        <f t="shared" si="8"/>
        <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9" t="s">
        <v>198</v>
      </c>
      <c r="B1" s="99" t="s">
        <v>199</v>
      </c>
      <c r="C1" s="99" t="s">
        <v>65</v>
      </c>
    </row>
    <row r="2">
      <c r="A2" s="140">
        <v>45539.0</v>
      </c>
      <c r="B2" s="140">
        <v>45545.0</v>
      </c>
      <c r="C2" s="99">
        <v>1.0</v>
      </c>
    </row>
    <row r="3">
      <c r="A3" s="141">
        <f t="shared" ref="A3:B3" si="1">A2+7</f>
        <v>45546</v>
      </c>
      <c r="B3" s="141">
        <f t="shared" si="1"/>
        <v>45552</v>
      </c>
      <c r="C3" s="99">
        <v>2.0</v>
      </c>
    </row>
    <row r="4">
      <c r="A4" s="141">
        <f t="shared" ref="A4:B4" si="2">A3+7</f>
        <v>45553</v>
      </c>
      <c r="B4" s="141">
        <f t="shared" si="2"/>
        <v>45559</v>
      </c>
      <c r="C4" s="99">
        <v>3.0</v>
      </c>
    </row>
    <row r="5">
      <c r="A5" s="141">
        <f t="shared" ref="A5:B5" si="3">A4+7</f>
        <v>45560</v>
      </c>
      <c r="B5" s="141">
        <f t="shared" si="3"/>
        <v>45566</v>
      </c>
      <c r="C5" s="99">
        <v>4.0</v>
      </c>
    </row>
    <row r="6">
      <c r="A6" s="141">
        <f t="shared" ref="A6:B6" si="4">A5+7</f>
        <v>45567</v>
      </c>
      <c r="B6" s="141">
        <f t="shared" si="4"/>
        <v>45573</v>
      </c>
      <c r="C6" s="99">
        <v>5.0</v>
      </c>
    </row>
    <row r="7">
      <c r="A7" s="141">
        <f t="shared" ref="A7:B7" si="5">A6+7</f>
        <v>45574</v>
      </c>
      <c r="B7" s="141">
        <f t="shared" si="5"/>
        <v>45580</v>
      </c>
      <c r="C7" s="99">
        <v>6.0</v>
      </c>
    </row>
    <row r="8">
      <c r="A8" s="141">
        <f t="shared" ref="A8:B8" si="6">A7+7</f>
        <v>45581</v>
      </c>
      <c r="B8" s="141">
        <f t="shared" si="6"/>
        <v>45587</v>
      </c>
      <c r="C8" s="99">
        <v>7.0</v>
      </c>
    </row>
    <row r="9">
      <c r="A9" s="141">
        <f t="shared" ref="A9:B9" si="7">A8+7</f>
        <v>45588</v>
      </c>
      <c r="B9" s="141">
        <f t="shared" si="7"/>
        <v>45594</v>
      </c>
      <c r="C9" s="99">
        <v>8.0</v>
      </c>
    </row>
    <row r="10">
      <c r="A10" s="141">
        <f t="shared" ref="A10:B10" si="8">A9+7</f>
        <v>45595</v>
      </c>
      <c r="B10" s="141">
        <f t="shared" si="8"/>
        <v>45601</v>
      </c>
      <c r="C10" s="99">
        <v>9.0</v>
      </c>
    </row>
    <row r="11">
      <c r="A11" s="141">
        <f t="shared" ref="A11:B11" si="9">A10+7</f>
        <v>45602</v>
      </c>
      <c r="B11" s="141">
        <f t="shared" si="9"/>
        <v>45608</v>
      </c>
      <c r="C11" s="99">
        <v>10.0</v>
      </c>
    </row>
    <row r="12">
      <c r="A12" s="141">
        <f t="shared" ref="A12:B12" si="10">A11+7</f>
        <v>45609</v>
      </c>
      <c r="B12" s="141">
        <f t="shared" si="10"/>
        <v>45615</v>
      </c>
      <c r="C12" s="99">
        <v>11.0</v>
      </c>
    </row>
    <row r="13">
      <c r="A13" s="141">
        <f t="shared" ref="A13:B13" si="11">A12+7</f>
        <v>45616</v>
      </c>
      <c r="B13" s="141">
        <f t="shared" si="11"/>
        <v>45622</v>
      </c>
      <c r="C13" s="99">
        <v>12.0</v>
      </c>
    </row>
    <row r="14">
      <c r="A14" s="141">
        <f t="shared" ref="A14:B14" si="12">A13+7</f>
        <v>45623</v>
      </c>
      <c r="B14" s="141">
        <f t="shared" si="12"/>
        <v>45629</v>
      </c>
      <c r="C14" s="99">
        <v>13.0</v>
      </c>
    </row>
    <row r="15">
      <c r="A15" s="141">
        <f t="shared" ref="A15:B15" si="13">A14+7</f>
        <v>45630</v>
      </c>
      <c r="B15" s="141">
        <f t="shared" si="13"/>
        <v>45636</v>
      </c>
      <c r="C15" s="99">
        <v>14.0</v>
      </c>
    </row>
    <row r="16">
      <c r="A16" s="141">
        <f t="shared" ref="A16:B16" si="14">A15+7</f>
        <v>45637</v>
      </c>
      <c r="B16" s="141">
        <f t="shared" si="14"/>
        <v>45643</v>
      </c>
      <c r="C16" s="99">
        <v>15.0</v>
      </c>
    </row>
    <row r="17">
      <c r="A17" s="141">
        <f t="shared" ref="A17:B17" si="15">A16+7</f>
        <v>45644</v>
      </c>
      <c r="B17" s="141">
        <f t="shared" si="15"/>
        <v>45650</v>
      </c>
      <c r="C17" s="99">
        <v>16.0</v>
      </c>
    </row>
    <row r="18">
      <c r="A18" s="141">
        <f t="shared" ref="A18:B18" si="16">A17+7</f>
        <v>45651</v>
      </c>
      <c r="B18" s="141">
        <f t="shared" si="16"/>
        <v>45657</v>
      </c>
      <c r="C18" s="99">
        <v>17.0</v>
      </c>
    </row>
    <row r="19">
      <c r="A19" s="141">
        <f>A18+7</f>
        <v>45658</v>
      </c>
      <c r="B19" s="141">
        <f>B18+10</f>
        <v>45667</v>
      </c>
      <c r="C19" s="99">
        <v>18.0</v>
      </c>
    </row>
  </sheetData>
  <drawing r:id="rId1"/>
</worksheet>
</file>