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15" yWindow="-15" windowWidth="12120" windowHeight="6930" tabRatio="732"/>
  </bookViews>
  <sheets>
    <sheet name="TestSheet" sheetId="10" r:id="rId1"/>
    <sheet name="Position Interpolation" sheetId="9" r:id="rId2"/>
    <sheet name="UTM Conversion Main Page" sheetId="4" r:id="rId3"/>
    <sheet name="Datums" sheetId="3" r:id="rId4"/>
    <sheet name="Convert Lat, Long to UTM" sheetId="1" r:id="rId5"/>
    <sheet name="Convert UTM to Lat, Long" sheetId="2" r:id="rId6"/>
    <sheet name="Convert MGR to LatLong" sheetId="8" r:id="rId7"/>
    <sheet name="Batch Convert UTM to Lat-Long" sheetId="6" r:id="rId8"/>
    <sheet name="Batch Convert Lat Long To UTM" sheetId="5" r:id="rId9"/>
  </sheets>
  <definedNames>
    <definedName name="_lof1">'Convert UTM to Lat, Long'!$C$31</definedName>
    <definedName name="_lof2">'Convert UTM to Lat, Long'!$C$32</definedName>
    <definedName name="_lof3">'Convert UTM to Lat, Long'!$C$33</definedName>
    <definedName name="_phi1">'Convert UTM to Lat, Long'!$C$17</definedName>
    <definedName name="_Sin1">'Convert Lat, Long to UTM'!$C$24</definedName>
    <definedName name="a">'Convert Lat, Long to UTM'!$C$3</definedName>
    <definedName name="A0">'Convert Lat, Long to UTM'!$C$17</definedName>
    <definedName name="arc">'Convert UTM to Lat, Long'!$C$10</definedName>
    <definedName name="b">'Convert Lat, Long to UTM'!$C$4</definedName>
    <definedName name="B0">'Convert Lat, Long to UTM'!$C$18</definedName>
    <definedName name="C0">'Convert Lat, Long to UTM'!$C$19</definedName>
    <definedName name="ca">'Convert UTM to Lat, Long'!$C$13</definedName>
    <definedName name="cb">'Convert UTM to Lat, Long'!$C$14</definedName>
    <definedName name="ccc">'Convert UTM to Lat, Long'!$C$15</definedName>
    <definedName name="cd">'Convert UTM to Lat, Long'!$C$16</definedName>
    <definedName name="D0">'Convert Lat, Long to UTM'!$C$20</definedName>
    <definedName name="DatumList">Datums!$A$2:$F$15</definedName>
    <definedName name="dd0">'Convert UTM to Lat, Long'!$C$24</definedName>
    <definedName name="e">'Convert Lat, Long to UTM'!$C$10</definedName>
    <definedName name="E0">'Convert Lat, Long to UTM'!$C$21</definedName>
    <definedName name="e1sq">'Convert Lat, Long to UTM'!$C$11</definedName>
    <definedName name="east">'Convert UTM to Lat, Long'!$F$2</definedName>
    <definedName name="ec">'Convert UTM to Lat, Long'!$C$5</definedName>
    <definedName name="eesq">#REF!</definedName>
    <definedName name="ei">'Convert UTM to Lat, Long'!$C$12</definedName>
    <definedName name="eisq">'Convert UTM to Lat, Long'!$C$6</definedName>
    <definedName name="f">'Convert Lat, Long to UTM'!$C$5</definedName>
    <definedName name="fact1">'Convert UTM to Lat, Long'!$C$26</definedName>
    <definedName name="fact2">'Convert UTM to Lat, Long'!$C$27</definedName>
    <definedName name="fact3">'Convert UTM to Lat, Long'!$C$28</definedName>
    <definedName name="fact4">'Convert UTM to Lat, Long'!$C$29</definedName>
    <definedName name="k0">'Convert Lat, Long to UTM'!$C$9</definedName>
    <definedName name="Ki">'Convert Lat, Long to UTM'!$C$26</definedName>
    <definedName name="Kii">'Convert Lat, Long to UTM'!$C$27</definedName>
    <definedName name="Kiii">'Convert Lat, Long to UTM'!$C$28</definedName>
    <definedName name="Kiv">'Convert Lat, Long to UTM'!$C$29</definedName>
    <definedName name="Kv">'Convert Lat, Long to UTM'!$C$30</definedName>
    <definedName name="lat">'Convert Lat, Long to UTM'!$J$2</definedName>
    <definedName name="latd">'Convert UTM to Lat, Long'!$F$1</definedName>
    <definedName name="latdd">'Convert Lat, Long to UTM'!$F$2</definedName>
    <definedName name="latdec">'Convert Lat, Long to UTM'!$I$2</definedName>
    <definedName name="latmm">'Convert Lat, Long to UTM'!$G$2</definedName>
    <definedName name="latss">'Convert Lat, Long to UTM'!$H$2</definedName>
    <definedName name="LatZones">Datums!$H$2:$I$23</definedName>
    <definedName name="lond">'Convert UTM to Lat, Long'!$F$2</definedName>
    <definedName name="londd">'Convert Lat, Long to UTM'!$F$3</definedName>
    <definedName name="londec">'Convert Lat, Long to UTM'!$I$3</definedName>
    <definedName name="long">'Convert Lat, Long to UTM'!$J$3</definedName>
    <definedName name="lonmm">'Convert Lat, Long to UTM'!$G$3</definedName>
    <definedName name="lonss">'Convert Lat, Long to UTM'!$H$3</definedName>
    <definedName name="mu">'Convert UTM to Lat, Long'!$C$11</definedName>
    <definedName name="n">'Convert Lat, Long to UTM'!$C$12</definedName>
    <definedName name="n0">'Convert UTM to Lat, Long'!$C$22</definedName>
    <definedName name="nor">'Convert UTM to Lat, Long'!$F$1</definedName>
    <definedName name="north">'Convert UTM to Lat, Long'!$F$1</definedName>
    <definedName name="nu">'Convert Lat, Long to UTM'!$C$14</definedName>
    <definedName name="p">'Convert Lat, Long to UTM'!$C$23</definedName>
    <definedName name="q">'Convert Lat, Long to UTM'!#REF!</definedName>
    <definedName name="Q0">'Convert UTM to Lat, Long'!$C$20</definedName>
    <definedName name="r0">'Convert UTM to Lat, Long'!$C$23</definedName>
    <definedName name="rho">'Convert Lat, Long to UTM'!$C$13</definedName>
    <definedName name="rm">'Convert Lat, Long to UTM'!$C$7</definedName>
    <definedName name="S">'Convert Lat, Long to UTM'!$C$16</definedName>
    <definedName name="t0">'Convert UTM to Lat, Long'!$C$21</definedName>
    <definedName name="ZC">'Convert Lat, Long to UTM'!$J$5</definedName>
    <definedName name="ZoneCM">'Convert Lat, Long to UTM'!$F$5</definedName>
  </definedNames>
  <calcPr calcId="124519"/>
</workbook>
</file>

<file path=xl/calcChain.xml><?xml version="1.0" encoding="utf-8"?>
<calcChain xmlns="http://schemas.openxmlformats.org/spreadsheetml/2006/main">
  <c r="G3" i="9"/>
  <c r="G4"/>
  <c r="G2"/>
  <c r="F3"/>
  <c r="F4"/>
  <c r="F2"/>
  <c r="E3"/>
  <c r="E4"/>
  <c r="E2"/>
  <c r="M3" i="5"/>
  <c r="N3" s="1"/>
  <c r="M4"/>
  <c r="M2"/>
  <c r="L3"/>
  <c r="Q3" s="1"/>
  <c r="L4"/>
  <c r="L2"/>
  <c r="Q2" s="1"/>
  <c r="D4" i="9"/>
  <c r="C4"/>
  <c r="P15" i="5"/>
  <c r="P14"/>
  <c r="P13"/>
  <c r="P12"/>
  <c r="P11"/>
  <c r="P10"/>
  <c r="P9"/>
  <c r="P8"/>
  <c r="P7"/>
  <c r="P6"/>
  <c r="P5"/>
  <c r="E3" i="4"/>
  <c r="B3" i="6" s="1"/>
  <c r="F3" i="4"/>
  <c r="C3" i="1" s="1"/>
  <c r="G3" i="4"/>
  <c r="C4" i="1" s="1"/>
  <c r="F1" i="2"/>
  <c r="C10" s="1"/>
  <c r="G16" i="8"/>
  <c r="G17" s="1"/>
  <c r="G3"/>
  <c r="G4" s="1"/>
  <c r="G12"/>
  <c r="G13" s="1"/>
  <c r="G1"/>
  <c r="G2"/>
  <c r="G5"/>
  <c r="G6" s="1"/>
  <c r="G19"/>
  <c r="C7"/>
  <c r="F2" i="2"/>
  <c r="H2" s="1"/>
  <c r="G18" i="8"/>
  <c r="I5"/>
  <c r="I6" s="1"/>
  <c r="I3"/>
  <c r="I4" s="1"/>
  <c r="I1"/>
  <c r="I2" s="1"/>
  <c r="K32" i="4" s="1"/>
  <c r="J18" i="6"/>
  <c r="J12"/>
  <c r="J4"/>
  <c r="J3"/>
  <c r="K2" i="5"/>
  <c r="J2"/>
  <c r="K15"/>
  <c r="J15"/>
  <c r="K14"/>
  <c r="J14"/>
  <c r="K13"/>
  <c r="J13"/>
  <c r="K12"/>
  <c r="J12"/>
  <c r="K11"/>
  <c r="J11"/>
  <c r="K10"/>
  <c r="J10"/>
  <c r="K9"/>
  <c r="J9"/>
  <c r="K8"/>
  <c r="J8"/>
  <c r="K7"/>
  <c r="J7"/>
  <c r="K6"/>
  <c r="J6"/>
  <c r="K5"/>
  <c r="J5"/>
  <c r="K4"/>
  <c r="J4"/>
  <c r="K3"/>
  <c r="J3"/>
  <c r="Z18" i="6"/>
  <c r="I18"/>
  <c r="H18"/>
  <c r="Z17"/>
  <c r="I17"/>
  <c r="J17"/>
  <c r="H17"/>
  <c r="Z16"/>
  <c r="I16"/>
  <c r="J16"/>
  <c r="H16"/>
  <c r="Z15"/>
  <c r="I15"/>
  <c r="J15"/>
  <c r="H15"/>
  <c r="Z14"/>
  <c r="I14"/>
  <c r="J14"/>
  <c r="H14"/>
  <c r="Z13"/>
  <c r="I13"/>
  <c r="J13"/>
  <c r="H13"/>
  <c r="Z12"/>
  <c r="I12"/>
  <c r="H12"/>
  <c r="Z11"/>
  <c r="I11"/>
  <c r="J11"/>
  <c r="H11"/>
  <c r="Z10"/>
  <c r="I10"/>
  <c r="J10"/>
  <c r="H10"/>
  <c r="Z9"/>
  <c r="I9"/>
  <c r="J9"/>
  <c r="H9"/>
  <c r="Z8"/>
  <c r="I8"/>
  <c r="J8"/>
  <c r="H8"/>
  <c r="Z7"/>
  <c r="I7"/>
  <c r="J7"/>
  <c r="H7"/>
  <c r="Z6"/>
  <c r="I6"/>
  <c r="J6"/>
  <c r="H6"/>
  <c r="L9" i="4"/>
  <c r="L10"/>
  <c r="E10"/>
  <c r="I5" i="6"/>
  <c r="J5"/>
  <c r="H5"/>
  <c r="Z4"/>
  <c r="I4"/>
  <c r="H4"/>
  <c r="L6" i="4"/>
  <c r="L7"/>
  <c r="E9"/>
  <c r="H19"/>
  <c r="F3" i="2"/>
  <c r="I19" i="4"/>
  <c r="I23"/>
  <c r="I22"/>
  <c r="I3" i="6"/>
  <c r="H3"/>
  <c r="Z3"/>
  <c r="C6"/>
  <c r="Q15" i="5"/>
  <c r="N15"/>
  <c r="AG15"/>
  <c r="R15"/>
  <c r="M8"/>
  <c r="Q14"/>
  <c r="N14"/>
  <c r="AG14"/>
  <c r="O14"/>
  <c r="R14"/>
  <c r="Q13"/>
  <c r="N13"/>
  <c r="AG13"/>
  <c r="O13"/>
  <c r="R13"/>
  <c r="Q12"/>
  <c r="N12"/>
  <c r="AG12"/>
  <c r="O12"/>
  <c r="R12"/>
  <c r="Q11"/>
  <c r="N11"/>
  <c r="AG11"/>
  <c r="O11"/>
  <c r="R11"/>
  <c r="Q10"/>
  <c r="N10"/>
  <c r="AG10"/>
  <c r="O10"/>
  <c r="R10"/>
  <c r="Q9"/>
  <c r="N9"/>
  <c r="AG9"/>
  <c r="O9"/>
  <c r="R9"/>
  <c r="Q8"/>
  <c r="N8"/>
  <c r="AG8"/>
  <c r="O8"/>
  <c r="R8"/>
  <c r="N7"/>
  <c r="AG7"/>
  <c r="O7"/>
  <c r="N6"/>
  <c r="O6"/>
  <c r="N5"/>
  <c r="AG5"/>
  <c r="O5"/>
  <c r="N4"/>
  <c r="O4" s="1"/>
  <c r="Q7"/>
  <c r="Q6"/>
  <c r="Q5"/>
  <c r="Q4"/>
  <c r="B22"/>
  <c r="R7"/>
  <c r="R6"/>
  <c r="R5"/>
  <c r="I3" i="4"/>
  <c r="C8" i="5"/>
  <c r="H3" i="4"/>
  <c r="C7" i="5" s="1"/>
  <c r="J9" i="4"/>
  <c r="J10"/>
  <c r="I2" i="1"/>
  <c r="J2" s="1"/>
  <c r="I12" i="4"/>
  <c r="G9"/>
  <c r="F2" i="1"/>
  <c r="I3"/>
  <c r="J3" s="1"/>
  <c r="H12" i="4"/>
  <c r="G10"/>
  <c r="F3" i="1"/>
  <c r="C19" i="6"/>
  <c r="AG6" i="5"/>
  <c r="C19" i="2"/>
  <c r="O15" i="5"/>
  <c r="H10" i="4"/>
  <c r="G3" i="1"/>
  <c r="E5" i="6"/>
  <c r="Z5" s="1"/>
  <c r="F4" i="1"/>
  <c r="F12" s="1"/>
  <c r="H13" i="4"/>
  <c r="I10"/>
  <c r="H3" i="1"/>
  <c r="I9" i="4"/>
  <c r="H2" i="1"/>
  <c r="H9" i="4"/>
  <c r="G2" i="1"/>
  <c r="F5"/>
  <c r="J5" s="1"/>
  <c r="J6"/>
  <c r="C23" s="1"/>
  <c r="G12"/>
  <c r="O3" i="5" l="1"/>
  <c r="P3" s="1"/>
  <c r="AG3"/>
  <c r="P4"/>
  <c r="AG4"/>
  <c r="R4"/>
  <c r="R3"/>
  <c r="N2"/>
  <c r="R2"/>
  <c r="B2"/>
  <c r="C5"/>
  <c r="G7" i="8"/>
  <c r="G8" s="1"/>
  <c r="G9" s="1"/>
  <c r="F13" i="1"/>
  <c r="C10"/>
  <c r="T12" i="5" s="1"/>
  <c r="C3" i="2"/>
  <c r="C3" i="8" s="1"/>
  <c r="C12" i="5"/>
  <c r="C9"/>
  <c r="C12" i="1"/>
  <c r="B20" i="5" s="1"/>
  <c r="C7" i="6"/>
  <c r="T11" i="5"/>
  <c r="S7"/>
  <c r="C7" i="1"/>
  <c r="T14" i="5"/>
  <c r="C4" i="2"/>
  <c r="C4" i="8" s="1"/>
  <c r="C18" i="1"/>
  <c r="S11" i="5"/>
  <c r="B16"/>
  <c r="C14"/>
  <c r="C5" i="1"/>
  <c r="C6" s="1"/>
  <c r="G13"/>
  <c r="G14" i="8"/>
  <c r="G15" s="1"/>
  <c r="G20" s="1"/>
  <c r="G25" s="1"/>
  <c r="G26" s="1"/>
  <c r="B17" i="5"/>
  <c r="K5" i="6"/>
  <c r="C21" i="1"/>
  <c r="I7" i="8"/>
  <c r="K31" i="4" s="1"/>
  <c r="C6" i="5"/>
  <c r="O2" l="1"/>
  <c r="P2" s="1"/>
  <c r="AG2"/>
  <c r="K9" i="6"/>
  <c r="S9" i="5"/>
  <c r="S3"/>
  <c r="S14"/>
  <c r="K3" i="6"/>
  <c r="T2" i="5"/>
  <c r="Y2" s="1"/>
  <c r="K18" i="6"/>
  <c r="S8" i="5"/>
  <c r="K12" i="6"/>
  <c r="K11"/>
  <c r="T13" i="5"/>
  <c r="C13" i="1"/>
  <c r="T5" i="5"/>
  <c r="Y5" s="1"/>
  <c r="S5"/>
  <c r="T10"/>
  <c r="K4" i="6"/>
  <c r="S6" i="5"/>
  <c r="C19" i="1"/>
  <c r="B19" i="5"/>
  <c r="B18"/>
  <c r="N28" i="4"/>
  <c r="C17" i="1"/>
  <c r="V2" i="5" s="1"/>
  <c r="X2" s="1"/>
  <c r="C20" i="1"/>
  <c r="AA13" i="5"/>
  <c r="Y13"/>
  <c r="Y10"/>
  <c r="AA10"/>
  <c r="Y14"/>
  <c r="AA14"/>
  <c r="AA12"/>
  <c r="Y12"/>
  <c r="B13" i="6"/>
  <c r="C11" i="1"/>
  <c r="Z2" i="5" s="1"/>
  <c r="C8" i="6"/>
  <c r="C13" i="5"/>
  <c r="C5" i="2"/>
  <c r="K16" i="6"/>
  <c r="T15" i="5"/>
  <c r="K10" i="6"/>
  <c r="S15" i="5"/>
  <c r="K17" i="6"/>
  <c r="T6" i="5"/>
  <c r="K13" i="6"/>
  <c r="T7" i="5"/>
  <c r="S4"/>
  <c r="T3"/>
  <c r="K14" i="6"/>
  <c r="C14" i="1"/>
  <c r="S2" i="5"/>
  <c r="S12"/>
  <c r="K7" i="6"/>
  <c r="AC11" i="5"/>
  <c r="Y11"/>
  <c r="AA11"/>
  <c r="V8"/>
  <c r="X8" s="1"/>
  <c r="V6"/>
  <c r="X6" s="1"/>
  <c r="C10" i="8"/>
  <c r="C11" s="1"/>
  <c r="N29" i="4"/>
  <c r="T9" i="5"/>
  <c r="S13"/>
  <c r="T4"/>
  <c r="K8" i="6"/>
  <c r="S10" i="5"/>
  <c r="T8"/>
  <c r="K6" i="6"/>
  <c r="K15"/>
  <c r="AA2" i="5" l="1"/>
  <c r="AB10"/>
  <c r="AF10" s="1"/>
  <c r="V10"/>
  <c r="X10" s="1"/>
  <c r="AD10" s="1"/>
  <c r="AE10" s="1"/>
  <c r="Z11"/>
  <c r="Z12"/>
  <c r="AA5"/>
  <c r="AB13"/>
  <c r="Z5"/>
  <c r="C16" i="1"/>
  <c r="C26" s="1"/>
  <c r="AB11" i="5"/>
  <c r="AF11" s="1"/>
  <c r="V14"/>
  <c r="X14" s="1"/>
  <c r="V7"/>
  <c r="X7" s="1"/>
  <c r="V9"/>
  <c r="X9" s="1"/>
  <c r="V5"/>
  <c r="X5" s="1"/>
  <c r="V12"/>
  <c r="X12" s="1"/>
  <c r="AD12" s="1"/>
  <c r="AE12" s="1"/>
  <c r="V3"/>
  <c r="X3" s="1"/>
  <c r="AB12"/>
  <c r="AF12" s="1"/>
  <c r="AB2"/>
  <c r="AC10"/>
  <c r="Z13"/>
  <c r="V4"/>
  <c r="X4" s="1"/>
  <c r="V11"/>
  <c r="X11" s="1"/>
  <c r="V15"/>
  <c r="X15" s="1"/>
  <c r="V13"/>
  <c r="X13" s="1"/>
  <c r="AB5"/>
  <c r="Z14"/>
  <c r="AF13"/>
  <c r="Z9"/>
  <c r="AA9"/>
  <c r="AB9"/>
  <c r="AC9"/>
  <c r="Y9"/>
  <c r="AB15"/>
  <c r="AC15"/>
  <c r="Y15"/>
  <c r="Z15"/>
  <c r="AA15"/>
  <c r="AF15" s="1"/>
  <c r="AA8"/>
  <c r="AB8"/>
  <c r="AC8"/>
  <c r="Y8"/>
  <c r="Z8"/>
  <c r="C28" i="1"/>
  <c r="F8" s="1"/>
  <c r="C29"/>
  <c r="C27"/>
  <c r="C31"/>
  <c r="C30"/>
  <c r="AB7" i="5"/>
  <c r="AC7"/>
  <c r="Y7"/>
  <c r="Z7"/>
  <c r="AD7" s="1"/>
  <c r="AE7" s="1"/>
  <c r="AA7"/>
  <c r="AF7" s="1"/>
  <c r="AA4"/>
  <c r="Y4"/>
  <c r="AB4"/>
  <c r="AC4"/>
  <c r="Z4"/>
  <c r="C5" i="8"/>
  <c r="C11" i="2"/>
  <c r="C12"/>
  <c r="C12" i="8"/>
  <c r="AA3" i="5"/>
  <c r="AB3"/>
  <c r="AC3"/>
  <c r="Y3"/>
  <c r="Z3"/>
  <c r="AC6"/>
  <c r="Y6"/>
  <c r="Z6"/>
  <c r="AA6"/>
  <c r="AB6"/>
  <c r="C6" i="2"/>
  <c r="C9" i="6"/>
  <c r="AD6" i="5"/>
  <c r="AE6" s="1"/>
  <c r="AD5"/>
  <c r="AE5" s="1"/>
  <c r="AD11"/>
  <c r="AE11" s="1"/>
  <c r="AD13"/>
  <c r="AE13" s="1"/>
  <c r="AD2"/>
  <c r="AE2" s="1"/>
  <c r="AC12"/>
  <c r="AC5"/>
  <c r="AB14"/>
  <c r="AF14" s="1"/>
  <c r="AC14"/>
  <c r="AC2"/>
  <c r="Z10"/>
  <c r="AC13"/>
  <c r="AF2" l="1"/>
  <c r="AF5"/>
  <c r="AD14"/>
  <c r="AE14" s="1"/>
  <c r="F9" i="1"/>
  <c r="I12" s="1"/>
  <c r="J12" s="1"/>
  <c r="AD15" i="5"/>
  <c r="AE15" s="1"/>
  <c r="AD9"/>
  <c r="AE9" s="1"/>
  <c r="AD4"/>
  <c r="AE4" s="1"/>
  <c r="AD8"/>
  <c r="AE8" s="1"/>
  <c r="AF9"/>
  <c r="AF6"/>
  <c r="AD3"/>
  <c r="AE3" s="1"/>
  <c r="AF3"/>
  <c r="AF8"/>
  <c r="E13" i="4"/>
  <c r="H14" s="1"/>
  <c r="I13" i="1"/>
  <c r="J13" s="1"/>
  <c r="E12" i="4"/>
  <c r="G14" s="1"/>
  <c r="B16" i="6"/>
  <c r="B17"/>
  <c r="B14"/>
  <c r="B15"/>
  <c r="C15" i="2"/>
  <c r="C16"/>
  <c r="C14"/>
  <c r="C13"/>
  <c r="C6" i="8"/>
  <c r="C13"/>
  <c r="C16"/>
  <c r="C14"/>
  <c r="C15"/>
  <c r="AF4" i="5"/>
  <c r="C17" i="2" l="1"/>
  <c r="C23" s="1"/>
  <c r="L5" i="6"/>
  <c r="L4"/>
  <c r="L3"/>
  <c r="L9"/>
  <c r="L11"/>
  <c r="L18"/>
  <c r="L12"/>
  <c r="L10"/>
  <c r="L8"/>
  <c r="L13"/>
  <c r="L15"/>
  <c r="L14"/>
  <c r="L7"/>
  <c r="L6"/>
  <c r="L17"/>
  <c r="L16"/>
  <c r="C17" i="8"/>
  <c r="F14" i="4"/>
  <c r="C22" i="2" l="1"/>
  <c r="C24" s="1"/>
  <c r="C20"/>
  <c r="C21"/>
  <c r="E16"/>
  <c r="P17" i="6"/>
  <c r="M17"/>
  <c r="O17"/>
  <c r="N17"/>
  <c r="P12"/>
  <c r="M12"/>
  <c r="O12"/>
  <c r="N12"/>
  <c r="C26" i="2"/>
  <c r="M16" i="6"/>
  <c r="O16"/>
  <c r="N16"/>
  <c r="P16"/>
  <c r="P10"/>
  <c r="M10"/>
  <c r="O10"/>
  <c r="N10"/>
  <c r="C20" i="8"/>
  <c r="C21"/>
  <c r="C22"/>
  <c r="C23"/>
  <c r="M7" i="6"/>
  <c r="O7"/>
  <c r="N7"/>
  <c r="P7"/>
  <c r="P8"/>
  <c r="M8"/>
  <c r="O8"/>
  <c r="N8"/>
  <c r="M11"/>
  <c r="O11"/>
  <c r="N11"/>
  <c r="P11"/>
  <c r="M5"/>
  <c r="O5"/>
  <c r="N5"/>
  <c r="P5"/>
  <c r="F16" i="2"/>
  <c r="G16" s="1"/>
  <c r="P15" i="6"/>
  <c r="M15"/>
  <c r="O15"/>
  <c r="N15"/>
  <c r="M3"/>
  <c r="O3"/>
  <c r="N3"/>
  <c r="P3"/>
  <c r="M14"/>
  <c r="O14"/>
  <c r="N14"/>
  <c r="P14"/>
  <c r="M9"/>
  <c r="O9"/>
  <c r="N9"/>
  <c r="P9"/>
  <c r="P6"/>
  <c r="M6"/>
  <c r="O6"/>
  <c r="N6"/>
  <c r="P13"/>
  <c r="M13"/>
  <c r="O13"/>
  <c r="N13"/>
  <c r="P18"/>
  <c r="M18"/>
  <c r="O18"/>
  <c r="N18"/>
  <c r="M4"/>
  <c r="O4"/>
  <c r="N4"/>
  <c r="P4"/>
  <c r="C29" i="2" l="1"/>
  <c r="C32"/>
  <c r="C33"/>
  <c r="C28"/>
  <c r="H16"/>
  <c r="Q6" i="6"/>
  <c r="W6" s="1"/>
  <c r="R6"/>
  <c r="R7"/>
  <c r="Q7"/>
  <c r="T7" s="1"/>
  <c r="Q13"/>
  <c r="T13" s="1"/>
  <c r="R13"/>
  <c r="Q3"/>
  <c r="T3" s="1"/>
  <c r="R3"/>
  <c r="Q16"/>
  <c r="T16" s="1"/>
  <c r="R16"/>
  <c r="Q4"/>
  <c r="R4"/>
  <c r="Q18"/>
  <c r="U18" s="1"/>
  <c r="R18"/>
  <c r="Q9"/>
  <c r="R9"/>
  <c r="R14"/>
  <c r="Q14"/>
  <c r="X14" s="1"/>
  <c r="Q11"/>
  <c r="U11" s="1"/>
  <c r="R11"/>
  <c r="Q8"/>
  <c r="T8" s="1"/>
  <c r="R8"/>
  <c r="W16"/>
  <c r="Q17"/>
  <c r="X17" s="1"/>
  <c r="R17"/>
  <c r="X11"/>
  <c r="X8"/>
  <c r="C26" i="8"/>
  <c r="C24"/>
  <c r="C32" s="1"/>
  <c r="Q15" i="6"/>
  <c r="T15" s="1"/>
  <c r="R15"/>
  <c r="U9"/>
  <c r="W9"/>
  <c r="T9"/>
  <c r="U14"/>
  <c r="W14"/>
  <c r="W15"/>
  <c r="U15"/>
  <c r="R5"/>
  <c r="Q5"/>
  <c r="T5" s="1"/>
  <c r="Q10"/>
  <c r="W10" s="1"/>
  <c r="R10"/>
  <c r="C31" i="2"/>
  <c r="C27"/>
  <c r="Q12" i="6"/>
  <c r="R12"/>
  <c r="X9"/>
  <c r="X7" l="1"/>
  <c r="T11"/>
  <c r="X3"/>
  <c r="H20" i="2"/>
  <c r="E22" s="1"/>
  <c r="W11" i="6"/>
  <c r="X10"/>
  <c r="W13"/>
  <c r="X18"/>
  <c r="F6" i="2"/>
  <c r="E22" i="4" s="1"/>
  <c r="C28" i="8"/>
  <c r="U5" i="6"/>
  <c r="X16"/>
  <c r="U3"/>
  <c r="U10"/>
  <c r="U6"/>
  <c r="U13"/>
  <c r="C29" i="8"/>
  <c r="T14" i="6"/>
  <c r="U17"/>
  <c r="X13"/>
  <c r="U16"/>
  <c r="W3"/>
  <c r="T6"/>
  <c r="T18"/>
  <c r="T17"/>
  <c r="X6"/>
  <c r="X15"/>
  <c r="G6" i="2"/>
  <c r="F22" i="4" s="1"/>
  <c r="V4" i="6"/>
  <c r="S4"/>
  <c r="V12"/>
  <c r="S12"/>
  <c r="S17"/>
  <c r="AA17" s="1"/>
  <c r="AB17" s="1"/>
  <c r="V17"/>
  <c r="S7"/>
  <c r="V7"/>
  <c r="V5"/>
  <c r="S5"/>
  <c r="AA5" s="1"/>
  <c r="AB5" s="1"/>
  <c r="S11"/>
  <c r="V11"/>
  <c r="Y11" s="1"/>
  <c r="AC11" s="1"/>
  <c r="S14"/>
  <c r="AA14" s="1"/>
  <c r="AB14" s="1"/>
  <c r="V14"/>
  <c r="Y14" s="1"/>
  <c r="AC14" s="1"/>
  <c r="S18"/>
  <c r="AA18" s="1"/>
  <c r="AB18" s="1"/>
  <c r="V18"/>
  <c r="S13"/>
  <c r="V13"/>
  <c r="W4"/>
  <c r="T12"/>
  <c r="T10"/>
  <c r="W8"/>
  <c r="AA12"/>
  <c r="AB12" s="1"/>
  <c r="T4"/>
  <c r="W17"/>
  <c r="X12"/>
  <c r="X5"/>
  <c r="X4"/>
  <c r="W12"/>
  <c r="W7"/>
  <c r="W18"/>
  <c r="S8"/>
  <c r="V8"/>
  <c r="S10"/>
  <c r="AA10" s="1"/>
  <c r="AB10" s="1"/>
  <c r="V10"/>
  <c r="Y10" s="1"/>
  <c r="AC10" s="1"/>
  <c r="F22" i="2"/>
  <c r="F7"/>
  <c r="S15" i="6"/>
  <c r="AA15" s="1"/>
  <c r="AB15" s="1"/>
  <c r="V15"/>
  <c r="Y15" s="1"/>
  <c r="AC15" s="1"/>
  <c r="C27" i="8"/>
  <c r="C31"/>
  <c r="S9" i="6"/>
  <c r="AA9" s="1"/>
  <c r="AB9" s="1"/>
  <c r="V9"/>
  <c r="Y9" s="1"/>
  <c r="AC9" s="1"/>
  <c r="S16"/>
  <c r="V16"/>
  <c r="Y16" s="1"/>
  <c r="AC16" s="1"/>
  <c r="S3"/>
  <c r="AA3" s="1"/>
  <c r="AB3" s="1"/>
  <c r="V3"/>
  <c r="Y3" s="1"/>
  <c r="AC3" s="1"/>
  <c r="S6"/>
  <c r="V6"/>
  <c r="AA6"/>
  <c r="AB6" s="1"/>
  <c r="U4"/>
  <c r="AA4" s="1"/>
  <c r="AB4" s="1"/>
  <c r="W5"/>
  <c r="C33" i="8"/>
  <c r="AA11" i="6"/>
  <c r="AB11" s="1"/>
  <c r="U12"/>
  <c r="U7"/>
  <c r="AA7" s="1"/>
  <c r="AB7" s="1"/>
  <c r="U8"/>
  <c r="AA16" l="1"/>
  <c r="AB16" s="1"/>
  <c r="AD16" s="1"/>
  <c r="AE16" s="1"/>
  <c r="F28" i="8"/>
  <c r="F29" s="1"/>
  <c r="E31" i="4" s="1"/>
  <c r="F31" s="1"/>
  <c r="G31" s="1"/>
  <c r="Y6" i="6"/>
  <c r="AC6" s="1"/>
  <c r="AA8"/>
  <c r="AB8" s="1"/>
  <c r="Y8"/>
  <c r="AC8" s="1"/>
  <c r="AG8" s="1"/>
  <c r="AH8" s="1"/>
  <c r="AA13"/>
  <c r="AB13" s="1"/>
  <c r="AD13" s="1"/>
  <c r="Y5"/>
  <c r="AC5" s="1"/>
  <c r="Y4"/>
  <c r="AC4" s="1"/>
  <c r="AG4" s="1"/>
  <c r="AH4" s="1"/>
  <c r="AI4" s="1"/>
  <c r="Y13"/>
  <c r="AC13" s="1"/>
  <c r="AG13" s="1"/>
  <c r="Y17"/>
  <c r="AC17" s="1"/>
  <c r="AG17" s="1"/>
  <c r="AH17" s="1"/>
  <c r="AI17" s="1"/>
  <c r="AD4"/>
  <c r="AE4" s="1"/>
  <c r="AF4" s="1"/>
  <c r="AD14"/>
  <c r="AD3"/>
  <c r="AD9"/>
  <c r="AE9" s="1"/>
  <c r="AD15"/>
  <c r="AE15" s="1"/>
  <c r="AD5"/>
  <c r="AE5" s="1"/>
  <c r="AD18"/>
  <c r="AD7"/>
  <c r="AE7"/>
  <c r="AF7" s="1"/>
  <c r="AG9"/>
  <c r="AH9" s="1"/>
  <c r="AD10"/>
  <c r="AE10" s="1"/>
  <c r="AI14"/>
  <c r="AH14"/>
  <c r="AG14"/>
  <c r="AE6"/>
  <c r="AD6"/>
  <c r="G22" i="2"/>
  <c r="H22" s="1"/>
  <c r="Y12" i="6"/>
  <c r="AC12" s="1"/>
  <c r="AD17"/>
  <c r="AE17" s="1"/>
  <c r="AF17" s="1"/>
  <c r="AD12"/>
  <c r="AG5"/>
  <c r="AG3"/>
  <c r="AG15"/>
  <c r="AD11"/>
  <c r="AG6"/>
  <c r="AH6" s="1"/>
  <c r="AI6" s="1"/>
  <c r="AG16"/>
  <c r="H7" i="2"/>
  <c r="G23" i="4" s="1"/>
  <c r="E23"/>
  <c r="G7" i="2"/>
  <c r="F23" i="4" s="1"/>
  <c r="AH10" i="6"/>
  <c r="AG10"/>
  <c r="AG11"/>
  <c r="AH11" s="1"/>
  <c r="AI11" s="1"/>
  <c r="K10" i="8"/>
  <c r="H12" s="1"/>
  <c r="Y18" i="6"/>
  <c r="AC18" s="1"/>
  <c r="Y7"/>
  <c r="AC7" s="1"/>
  <c r="H6" i="2"/>
  <c r="AF6" i="6" l="1"/>
  <c r="AI10"/>
  <c r="H31" i="4"/>
  <c r="AD8" i="6"/>
  <c r="AI9"/>
  <c r="AF15"/>
  <c r="AH16"/>
  <c r="AI16" s="1"/>
  <c r="AH15"/>
  <c r="AI15" s="1"/>
  <c r="AF16"/>
  <c r="AF5"/>
  <c r="AI13"/>
  <c r="G22" i="4"/>
  <c r="I6" i="2"/>
  <c r="H22" i="4" s="1"/>
  <c r="I12" i="8"/>
  <c r="J12" s="1"/>
  <c r="F30"/>
  <c r="E32" i="4" s="1"/>
  <c r="AG18" i="6"/>
  <c r="AH18" s="1"/>
  <c r="AG12"/>
  <c r="AH12" s="1"/>
  <c r="AI12" s="1"/>
  <c r="AG7"/>
  <c r="AH3"/>
  <c r="AI3" s="1"/>
  <c r="AI8"/>
  <c r="AF9"/>
  <c r="AE11"/>
  <c r="AF11" s="1"/>
  <c r="AH5"/>
  <c r="AI5" s="1"/>
  <c r="AE12"/>
  <c r="AF12" s="1"/>
  <c r="AH13"/>
  <c r="AF10"/>
  <c r="AE18"/>
  <c r="AF18" s="1"/>
  <c r="AE3"/>
  <c r="AF3" s="1"/>
  <c r="AE14"/>
  <c r="AF14" s="1"/>
  <c r="AE13"/>
  <c r="AF13" s="1"/>
  <c r="I7" i="2"/>
  <c r="H23" i="4" s="1"/>
  <c r="K12" i="8" l="1"/>
  <c r="AE8" i="6"/>
  <c r="AF8" s="1"/>
  <c r="F32" i="4"/>
  <c r="H32" s="1"/>
  <c r="AI18" i="6"/>
  <c r="AH7"/>
  <c r="AI7" s="1"/>
  <c r="G32" i="4" l="1"/>
</calcChain>
</file>

<file path=xl/comments1.xml><?xml version="1.0" encoding="utf-8"?>
<comments xmlns="http://schemas.openxmlformats.org/spreadsheetml/2006/main">
  <authors>
    <author>Steven I. Dutch</author>
    <author>Steven Dutch</author>
  </authors>
  <commentList>
    <comment ref="B1" authorId="0">
      <text>
        <r>
          <rPr>
            <b/>
            <sz val="8"/>
            <color indexed="81"/>
            <rFont val="Tahoma"/>
            <family val="2"/>
          </rPr>
          <t>The datum is the mathematical model for the shape of the earth used in drafting a map. You can see the effect of datum changes by computing a conversion, then clicking different datum selections. Grid coordinates can change by several hundred meters.</t>
        </r>
        <r>
          <rPr>
            <sz val="8"/>
            <color indexed="81"/>
            <rFont val="Tahoma"/>
            <family val="2"/>
          </rPr>
          <t xml:space="preserve">
</t>
        </r>
      </text>
    </comment>
    <comment ref="D5" authorId="0">
      <text>
        <r>
          <rPr>
            <b/>
            <sz val="8"/>
            <color indexed="81"/>
            <rFont val="Tahoma"/>
            <family val="2"/>
          </rPr>
          <t xml:space="preserve">Type in the latitude and longitude, either in decimal form or degrees, minutes and seconds (DD:MM:SS). If you input both formats, only the decimal value will be used. The cells below will show coordinates converted into both formats. Input latitude and longitude as positive and select the appropriate hemisphere. </t>
        </r>
      </text>
    </comment>
    <comment ref="B15" authorId="0">
      <text>
        <r>
          <rPr>
            <b/>
            <sz val="8"/>
            <color indexed="81"/>
            <rFont val="Tahoma"/>
            <family val="2"/>
          </rPr>
          <t>The conversion from latitude and longitude to UTM is probably accurate to a meter or so. The reverse conversion is a bit less accurate, but is generally accurate within ten meters.
Check accuracy for your purposes by inputting one set of coordinates, then converting back. See how close the values are to the original values</t>
        </r>
      </text>
    </comment>
    <comment ref="D16" authorId="0">
      <text>
        <r>
          <rPr>
            <b/>
            <sz val="8"/>
            <color indexed="81"/>
            <rFont val="Tahoma"/>
            <family val="2"/>
          </rPr>
          <t>Type in the UTM Grid goordinates. For complete conversion, you must also input the zone number (see your map legend) and the hemisphere. If no zone is imput, zone 31 (0-6 degrees) will be the default.</t>
        </r>
      </text>
    </comment>
    <comment ref="B17" authorId="1">
      <text>
        <r>
          <rPr>
            <b/>
            <sz val="8"/>
            <color indexed="81"/>
            <rFont val="Tahoma"/>
            <family val="2"/>
          </rPr>
          <t>You may copy this program for your own private use and distribute copies to others provided this notice remains intact. You may modify the program as needed for your private use. For inquiries, problems, or commercial applications contact the author: 
Steven Dutch
Natural and Applied Sciences
University of Wisconsin-Green Bay
Green Bay, WI 54311-7001
dutchs@uwgb.edu</t>
        </r>
      </text>
    </comment>
  </commentList>
</comments>
</file>

<file path=xl/sharedStrings.xml><?xml version="1.0" encoding="utf-8"?>
<sst xmlns="http://schemas.openxmlformats.org/spreadsheetml/2006/main" count="500" uniqueCount="240">
  <si>
    <t>Symbol</t>
  </si>
  <si>
    <t>Value</t>
  </si>
  <si>
    <t>Degrees</t>
  </si>
  <si>
    <t>Minutes</t>
  </si>
  <si>
    <t>Seconds</t>
  </si>
  <si>
    <t>Decimal</t>
  </si>
  <si>
    <t>Radians</t>
  </si>
  <si>
    <t>equatorial radius</t>
  </si>
  <si>
    <t>a</t>
  </si>
  <si>
    <t>Latitude</t>
  </si>
  <si>
    <t>polar radius</t>
  </si>
  <si>
    <t>b</t>
  </si>
  <si>
    <t>Longitude</t>
  </si>
  <si>
    <t>flattening</t>
  </si>
  <si>
    <t>f</t>
  </si>
  <si>
    <t>Zone</t>
  </si>
  <si>
    <t>inverse flattening</t>
  </si>
  <si>
    <t>1/f</t>
  </si>
  <si>
    <t>Zone CM</t>
  </si>
  <si>
    <t>Mean radius</t>
  </si>
  <si>
    <t>rm</t>
  </si>
  <si>
    <t>scale factor</t>
  </si>
  <si>
    <t>k0</t>
  </si>
  <si>
    <t xml:space="preserve">Northing </t>
  </si>
  <si>
    <t>eccentricity</t>
  </si>
  <si>
    <t>e</t>
  </si>
  <si>
    <t>Easting</t>
  </si>
  <si>
    <t>n</t>
  </si>
  <si>
    <t>r curv 1</t>
  </si>
  <si>
    <t>rho</t>
  </si>
  <si>
    <t>r curv 2</t>
  </si>
  <si>
    <t>nu</t>
  </si>
  <si>
    <t>Meridional Arc</t>
  </si>
  <si>
    <t>S</t>
  </si>
  <si>
    <t>C1</t>
  </si>
  <si>
    <t>Sin1"</t>
  </si>
  <si>
    <t>Ki</t>
  </si>
  <si>
    <t>Kii</t>
  </si>
  <si>
    <t>Kiii</t>
  </si>
  <si>
    <t>Kiv</t>
  </si>
  <si>
    <t>Kv</t>
  </si>
  <si>
    <t>A6</t>
  </si>
  <si>
    <t>e'2</t>
  </si>
  <si>
    <t>B0</t>
  </si>
  <si>
    <t>C0</t>
  </si>
  <si>
    <t>D0</t>
  </si>
  <si>
    <t>E0</t>
  </si>
  <si>
    <t>A0</t>
  </si>
  <si>
    <t>Calculate Meridional Arc Length</t>
  </si>
  <si>
    <t>Datum Constants</t>
  </si>
  <si>
    <t>Coefficients for UTM Coordinates</t>
  </si>
  <si>
    <t>Delta Long</t>
  </si>
  <si>
    <t>Calculation Constants</t>
  </si>
  <si>
    <t>Delta-Long</t>
  </si>
  <si>
    <t>Polar Axis</t>
  </si>
  <si>
    <t>Northing</t>
  </si>
  <si>
    <t>Equ Rad</t>
  </si>
  <si>
    <t>E'</t>
  </si>
  <si>
    <t>ecc</t>
  </si>
  <si>
    <t>sin1"</t>
  </si>
  <si>
    <t>dd</t>
  </si>
  <si>
    <t>mm</t>
  </si>
  <si>
    <t>ss</t>
  </si>
  <si>
    <t>Scale</t>
  </si>
  <si>
    <t>mu</t>
  </si>
  <si>
    <t>e1</t>
  </si>
  <si>
    <t>C2</t>
  </si>
  <si>
    <t>C3</t>
  </si>
  <si>
    <t>C4</t>
  </si>
  <si>
    <t>Dec</t>
  </si>
  <si>
    <t>footprint lat</t>
  </si>
  <si>
    <t>T1</t>
  </si>
  <si>
    <t>N1</t>
  </si>
  <si>
    <t>R1</t>
  </si>
  <si>
    <t>D</t>
  </si>
  <si>
    <t>D-Long-dec</t>
  </si>
  <si>
    <t>Fact1</t>
  </si>
  <si>
    <t>Fact2</t>
  </si>
  <si>
    <t>Fact3</t>
  </si>
  <si>
    <t>Fact4</t>
  </si>
  <si>
    <t>LoFact1</t>
  </si>
  <si>
    <t>LoFact2</t>
  </si>
  <si>
    <t>LoFact3</t>
  </si>
  <si>
    <t>e1sq</t>
  </si>
  <si>
    <t>sin1</t>
  </si>
  <si>
    <t>Arc Length</t>
  </si>
  <si>
    <t>Calculate Footprint Latitude</t>
  </si>
  <si>
    <t>Constants for Formulas</t>
  </si>
  <si>
    <t>Coefficients for Calculating Latitude</t>
  </si>
  <si>
    <t>Coefficients for Calculating Longitude</t>
  </si>
  <si>
    <t>Datum</t>
  </si>
  <si>
    <t>GRS 80</t>
  </si>
  <si>
    <t>WGS 72</t>
  </si>
  <si>
    <t>Australian 1965</t>
  </si>
  <si>
    <t>Krasovsky 1940</t>
  </si>
  <si>
    <t>International 1924</t>
  </si>
  <si>
    <t>Hayford 1909</t>
  </si>
  <si>
    <t>Clarke 1880</t>
  </si>
  <si>
    <t>Clarke 1866</t>
  </si>
  <si>
    <t>Airy 1830</t>
  </si>
  <si>
    <t>Bessel 1841</t>
  </si>
  <si>
    <t>Everest 1830</t>
  </si>
  <si>
    <t>Selection #</t>
  </si>
  <si>
    <t>DD</t>
  </si>
  <si>
    <t>MM</t>
  </si>
  <si>
    <t>SS</t>
  </si>
  <si>
    <t xml:space="preserve">Zone </t>
  </si>
  <si>
    <t>Select Datum</t>
  </si>
  <si>
    <t>About Accuracy</t>
  </si>
  <si>
    <t>N/S - E/W</t>
  </si>
  <si>
    <t>N</t>
  </si>
  <si>
    <t>E</t>
  </si>
  <si>
    <t>A</t>
  </si>
  <si>
    <t>C</t>
  </si>
  <si>
    <t>F</t>
  </si>
  <si>
    <t>G</t>
  </si>
  <si>
    <t>H</t>
  </si>
  <si>
    <t>J</t>
  </si>
  <si>
    <t>K</t>
  </si>
  <si>
    <t>L</t>
  </si>
  <si>
    <t>M</t>
  </si>
  <si>
    <t>P</t>
  </si>
  <si>
    <t>Q</t>
  </si>
  <si>
    <t>R</t>
  </si>
  <si>
    <t>T</t>
  </si>
  <si>
    <t>U</t>
  </si>
  <si>
    <t>V</t>
  </si>
  <si>
    <t>W</t>
  </si>
  <si>
    <t>X</t>
  </si>
  <si>
    <t>Z</t>
  </si>
  <si>
    <t>Zone Central Longitude</t>
  </si>
  <si>
    <t>Convert UTM TO Latitude and Longitude</t>
  </si>
  <si>
    <t>North or South Latitude?</t>
  </si>
  <si>
    <t>Conditions of Use</t>
  </si>
  <si>
    <t>North American 1927</t>
  </si>
  <si>
    <t>Long. Dec</t>
  </si>
  <si>
    <t>Convert Latitude and Longitude to UTM (Choose Decimal or DD MM SS)</t>
  </si>
  <si>
    <t>Lat Dec</t>
  </si>
  <si>
    <t>LatZones</t>
  </si>
  <si>
    <t>Letter E</t>
  </si>
  <si>
    <t>B</t>
  </si>
  <si>
    <t>Y</t>
  </si>
  <si>
    <t>Letter N</t>
  </si>
  <si>
    <t>Military Grid Reference</t>
  </si>
  <si>
    <t>Long Ltr0</t>
  </si>
  <si>
    <t>Digraph</t>
  </si>
  <si>
    <t>Lat Ltr0</t>
  </si>
  <si>
    <t>Convert Military Grid References to Latitude and Longitude</t>
  </si>
  <si>
    <t>Long Zone</t>
  </si>
  <si>
    <t>Lat Zone</t>
  </si>
  <si>
    <t>UTM Easting</t>
  </si>
  <si>
    <t>UTM Northing</t>
  </si>
  <si>
    <t>Under Construction</t>
  </si>
  <si>
    <t>100K E</t>
  </si>
  <si>
    <t>100K N</t>
  </si>
  <si>
    <t>Digraph Ltr N</t>
  </si>
  <si>
    <t>Digraph Ltr E</t>
  </si>
  <si>
    <t>Index N</t>
  </si>
  <si>
    <t>Footprint Lat</t>
  </si>
  <si>
    <t>Easting Add</t>
  </si>
  <si>
    <t xml:space="preserve">Easting </t>
  </si>
  <si>
    <t>S Lat Bdy</t>
  </si>
  <si>
    <t>Letter</t>
  </si>
  <si>
    <t>S Bdy</t>
  </si>
  <si>
    <t>Northing Add</t>
  </si>
  <si>
    <t>Index E'ing</t>
  </si>
  <si>
    <t>Start E Index</t>
  </si>
  <si>
    <t>Zone Mod 3</t>
  </si>
  <si>
    <t>Start Letter Equator</t>
  </si>
  <si>
    <t>Start Index Equator</t>
  </si>
  <si>
    <t>Dist S Bdy From Equator</t>
  </si>
  <si>
    <t>Location Next Letter Zone</t>
  </si>
  <si>
    <t>Correction S Lat</t>
  </si>
  <si>
    <t>Meridional Arc S</t>
  </si>
  <si>
    <t>r curv 1 = rho</t>
  </si>
  <si>
    <t>r curv 2 = nu</t>
  </si>
  <si>
    <t>Lat DD.dddd</t>
  </si>
  <si>
    <t>Long DD.ddd</t>
  </si>
  <si>
    <t>Lat Rad</t>
  </si>
  <si>
    <t>Long Rad</t>
  </si>
  <si>
    <t>Meridional Arc Constants</t>
  </si>
  <si>
    <t>Long Zone CM</t>
  </si>
  <si>
    <t>Raw Northing</t>
  </si>
  <si>
    <t>East Prime</t>
  </si>
  <si>
    <t>Footprint Latitude (phi)</t>
  </si>
  <si>
    <t>Longitude Zone</t>
  </si>
  <si>
    <t>North or South Latitude</t>
  </si>
  <si>
    <t>Corrected Northing</t>
  </si>
  <si>
    <t>Raw Latitude</t>
  </si>
  <si>
    <t>How to Use This Spreadsheet</t>
  </si>
  <si>
    <t>Latitude Degrees</t>
  </si>
  <si>
    <t>Latitude Minutes</t>
  </si>
  <si>
    <t>Latitude Seconds</t>
  </si>
  <si>
    <t>Longitude Degrees</t>
  </si>
  <si>
    <t>Longitude Minutes</t>
  </si>
  <si>
    <t>Longitude Seconds</t>
  </si>
  <si>
    <t>Latitude Converted to DD.dddd</t>
  </si>
  <si>
    <t>Longitude Converted to DD.dddd</t>
  </si>
  <si>
    <t>Latitude-Degrees</t>
  </si>
  <si>
    <t>Latitude-Minutes</t>
  </si>
  <si>
    <t>Latitude-Seconds</t>
  </si>
  <si>
    <t>Longitude-Degrees</t>
  </si>
  <si>
    <t>Longitude-Minutes</t>
  </si>
  <si>
    <t>Longitude-Seconds</t>
  </si>
  <si>
    <t>By Steve Dutch</t>
  </si>
  <si>
    <t>University of Wisconsin-Green Bay</t>
  </si>
  <si>
    <t>Updated 19 April 2005</t>
  </si>
  <si>
    <t>Digraph 1st char</t>
  </si>
  <si>
    <t>Digraph 2nd char</t>
  </si>
  <si>
    <t>Valid?</t>
  </si>
  <si>
    <t>Error Status</t>
  </si>
  <si>
    <t>Digraph Overall Valid?</t>
  </si>
  <si>
    <t>E from ZC</t>
  </si>
  <si>
    <t>Long</t>
  </si>
  <si>
    <t>phi1</t>
  </si>
  <si>
    <t>Lat from origin</t>
  </si>
  <si>
    <t>s</t>
  </si>
  <si>
    <t>gq</t>
  </si>
  <si>
    <t>WGS 84</t>
  </si>
  <si>
    <t>NAD 83</t>
  </si>
  <si>
    <t>I Can't Save This Spreadsheet! It Asks For A Password!</t>
  </si>
  <si>
    <t>p (rad)</t>
  </si>
  <si>
    <t>Delta Long (Rad)</t>
  </si>
  <si>
    <t>TIME</t>
  </si>
  <si>
    <t>LATITUDE</t>
  </si>
  <si>
    <t>LONGITUDE</t>
  </si>
  <si>
    <t>Current Segment Reference Time &amp; Position</t>
  </si>
  <si>
    <t>Next Segment Reference Time &amp; Position</t>
  </si>
  <si>
    <t>Sound of Interest Time Stamp in Current Segment (mm:ss.s)</t>
  </si>
  <si>
    <t>UTM E</t>
  </si>
  <si>
    <t>UTM N</t>
  </si>
  <si>
    <t>UTM Zone</t>
  </si>
  <si>
    <t>Instructions:</t>
  </si>
  <si>
    <t>1. Copy &amp; Paste Current Segment reference time and position from .csv file associated with .wav file into light green fields</t>
  </si>
  <si>
    <t>2. Copy &amp; Paste Next Segment reference time and position from .csv file associated with .wav file into dark green fields</t>
  </si>
  <si>
    <t>3. Put reference time of sound of interest into yellow field, specifying time from start of recording segment using mm:ss.s format.   Be sure to specify a fractional second even if it is zero, or else Excel will mis-interprete</t>
  </si>
  <si>
    <t>4. Read interpolated position and UTM conversion of all positions in blue fields</t>
  </si>
  <si>
    <t>Citation:</t>
  </si>
  <si>
    <t>UTM Conversion by Steve Dutch,University of Wisconsin - Green Bay</t>
  </si>
  <si>
    <t>SNO</t>
  </si>
</sst>
</file>

<file path=xl/styles.xml><?xml version="1.0" encoding="utf-8"?>
<styleSheet xmlns="http://schemas.openxmlformats.org/spreadsheetml/2006/main">
  <numFmts count="5">
    <numFmt numFmtId="164" formatCode="#,##0.0"/>
    <numFmt numFmtId="165" formatCode="0.000"/>
    <numFmt numFmtId="166" formatCode="0.00000"/>
    <numFmt numFmtId="167" formatCode="00000"/>
    <numFmt numFmtId="168" formatCode="00"/>
  </numFmts>
  <fonts count="10">
    <font>
      <sz val="10"/>
      <name val="Arial"/>
    </font>
    <font>
      <sz val="10"/>
      <name val="Arial"/>
    </font>
    <font>
      <b/>
      <sz val="10"/>
      <name val="Arial"/>
      <family val="2"/>
    </font>
    <font>
      <sz val="8"/>
      <color indexed="81"/>
      <name val="Tahoma"/>
      <family val="2"/>
    </font>
    <font>
      <b/>
      <sz val="8"/>
      <color indexed="81"/>
      <name val="Tahoma"/>
      <family val="2"/>
    </font>
    <font>
      <u/>
      <sz val="10"/>
      <color indexed="12"/>
      <name val="Arial"/>
      <family val="2"/>
    </font>
    <font>
      <sz val="10"/>
      <name val="Arial"/>
      <family val="2"/>
    </font>
    <font>
      <b/>
      <sz val="10"/>
      <color indexed="13"/>
      <name val="Arial"/>
      <family val="2"/>
    </font>
    <font>
      <sz val="8"/>
      <name val="Arial"/>
      <family val="2"/>
    </font>
    <font>
      <b/>
      <u/>
      <sz val="10"/>
      <name val="Arial"/>
      <family val="2"/>
    </font>
  </fonts>
  <fills count="21">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4"/>
        <bgColor indexed="64"/>
      </patternFill>
    </fill>
    <fill>
      <patternFill patternType="solid">
        <fgColor indexed="47"/>
        <bgColor indexed="64"/>
      </patternFill>
    </fill>
    <fill>
      <patternFill patternType="solid">
        <fgColor indexed="45"/>
        <bgColor indexed="64"/>
      </patternFill>
    </fill>
    <fill>
      <patternFill patternType="solid">
        <fgColor indexed="42"/>
        <bgColor indexed="64"/>
      </patternFill>
    </fill>
    <fill>
      <patternFill patternType="solid">
        <fgColor indexed="14"/>
        <bgColor indexed="64"/>
      </patternFill>
    </fill>
    <fill>
      <patternFill patternType="solid">
        <fgColor indexed="13"/>
        <bgColor indexed="64"/>
      </patternFill>
    </fill>
    <fill>
      <patternFill patternType="solid">
        <fgColor indexed="51"/>
        <bgColor indexed="64"/>
      </patternFill>
    </fill>
    <fill>
      <patternFill patternType="solid">
        <fgColor indexed="15"/>
        <bgColor indexed="64"/>
      </patternFill>
    </fill>
    <fill>
      <patternFill patternType="solid">
        <fgColor indexed="53"/>
        <bgColor indexed="64"/>
      </patternFill>
    </fill>
    <fill>
      <patternFill patternType="solid">
        <fgColor indexed="9"/>
        <bgColor indexed="64"/>
      </patternFill>
    </fill>
    <fill>
      <patternFill patternType="solid">
        <fgColor indexed="50"/>
        <bgColor indexed="64"/>
      </patternFill>
    </fill>
    <fill>
      <patternFill patternType="solid">
        <fgColor indexed="17"/>
        <bgColor indexed="64"/>
      </patternFill>
    </fill>
    <fill>
      <patternFill patternType="solid">
        <fgColor rgb="FFFFCCFF"/>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5">
    <xf numFmtId="0" fontId="0" fillId="0" borderId="0" xfId="0"/>
    <xf numFmtId="0" fontId="0" fillId="2" borderId="0" xfId="0" applyFill="1"/>
    <xf numFmtId="0" fontId="0" fillId="3" borderId="0" xfId="0" applyFill="1"/>
    <xf numFmtId="0" fontId="2" fillId="3" borderId="0" xfId="0" applyFont="1" applyFill="1"/>
    <xf numFmtId="0" fontId="2" fillId="2" borderId="0" xfId="0" applyFont="1" applyFill="1"/>
    <xf numFmtId="0" fontId="0" fillId="4" borderId="0" xfId="0" applyFill="1"/>
    <xf numFmtId="0" fontId="2" fillId="4" borderId="0" xfId="0" applyFont="1" applyFill="1"/>
    <xf numFmtId="0" fontId="2" fillId="0" borderId="0" xfId="0" applyFont="1"/>
    <xf numFmtId="0" fontId="2" fillId="5" borderId="0" xfId="0" applyFont="1" applyFill="1"/>
    <xf numFmtId="0" fontId="0" fillId="5" borderId="0" xfId="0" applyFill="1"/>
    <xf numFmtId="0" fontId="0" fillId="6" borderId="0" xfId="0" applyFill="1"/>
    <xf numFmtId="0" fontId="0" fillId="7" borderId="0" xfId="0" applyFill="1"/>
    <xf numFmtId="4" fontId="0" fillId="7" borderId="0" xfId="0" applyNumberFormat="1" applyFill="1"/>
    <xf numFmtId="0" fontId="2" fillId="8" borderId="0" xfId="0" applyFont="1" applyFill="1"/>
    <xf numFmtId="0" fontId="0" fillId="8" borderId="0" xfId="0" applyFill="1"/>
    <xf numFmtId="4" fontId="0" fillId="8" borderId="0" xfId="0" applyNumberFormat="1" applyFill="1"/>
    <xf numFmtId="4" fontId="0" fillId="6" borderId="0" xfId="0" applyNumberFormat="1" applyFill="1"/>
    <xf numFmtId="164" fontId="0" fillId="0" borderId="0" xfId="0" applyNumberFormat="1"/>
    <xf numFmtId="0" fontId="0" fillId="0" borderId="0" xfId="0" applyFill="1"/>
    <xf numFmtId="0" fontId="2" fillId="9" borderId="0" xfId="0" applyFont="1" applyFill="1"/>
    <xf numFmtId="0" fontId="2" fillId="10" borderId="0" xfId="0" applyFont="1" applyFill="1"/>
    <xf numFmtId="0" fontId="0" fillId="10" borderId="0" xfId="0" applyFill="1"/>
    <xf numFmtId="0" fontId="0" fillId="11" borderId="0" xfId="0" applyFill="1"/>
    <xf numFmtId="0" fontId="0" fillId="9" borderId="0" xfId="0" applyFill="1"/>
    <xf numFmtId="0" fontId="0" fillId="12" borderId="0" xfId="0" applyFill="1"/>
    <xf numFmtId="4" fontId="0" fillId="0" borderId="0" xfId="0" applyNumberFormat="1" applyProtection="1">
      <protection locked="0"/>
    </xf>
    <xf numFmtId="0" fontId="0" fillId="0" borderId="0" xfId="0" applyFill="1" applyProtection="1">
      <protection locked="0"/>
    </xf>
    <xf numFmtId="165" fontId="0" fillId="0" borderId="0" xfId="0" applyNumberFormat="1"/>
    <xf numFmtId="0" fontId="0" fillId="8" borderId="0" xfId="0" applyFill="1" applyProtection="1">
      <protection locked="0"/>
    </xf>
    <xf numFmtId="0" fontId="0" fillId="8" borderId="0" xfId="0" applyFill="1" applyProtection="1"/>
    <xf numFmtId="164" fontId="0" fillId="8" borderId="0" xfId="0" applyNumberFormat="1" applyFill="1" applyProtection="1"/>
    <xf numFmtId="165" fontId="0" fillId="8" borderId="0" xfId="0" applyNumberFormat="1" applyFill="1" applyProtection="1"/>
    <xf numFmtId="0" fontId="0" fillId="13" borderId="0" xfId="0" applyFill="1"/>
    <xf numFmtId="0" fontId="0" fillId="7" borderId="0" xfId="0" applyFill="1" applyProtection="1">
      <protection locked="0"/>
    </xf>
    <xf numFmtId="0" fontId="0" fillId="8" borderId="0" xfId="0" applyFill="1" applyAlignment="1" applyProtection="1">
      <alignment wrapText="1"/>
    </xf>
    <xf numFmtId="0" fontId="0" fillId="14" borderId="1" xfId="0" applyFill="1" applyBorder="1" applyProtection="1">
      <protection locked="0"/>
    </xf>
    <xf numFmtId="0" fontId="0" fillId="14" borderId="2" xfId="0" applyFill="1" applyBorder="1" applyProtection="1">
      <protection locked="0"/>
    </xf>
    <xf numFmtId="0" fontId="0" fillId="14" borderId="3" xfId="0" applyFill="1" applyBorder="1" applyProtection="1">
      <protection locked="0"/>
    </xf>
    <xf numFmtId="0" fontId="0" fillId="14" borderId="4" xfId="0" applyFill="1" applyBorder="1" applyProtection="1">
      <protection locked="0"/>
    </xf>
    <xf numFmtId="0" fontId="0" fillId="14" borderId="5" xfId="0" applyFill="1" applyBorder="1" applyProtection="1">
      <protection locked="0"/>
    </xf>
    <xf numFmtId="0" fontId="0" fillId="14" borderId="6" xfId="0" applyFill="1" applyBorder="1" applyProtection="1">
      <protection locked="0"/>
    </xf>
    <xf numFmtId="0" fontId="0" fillId="14" borderId="7" xfId="0" applyFill="1" applyBorder="1" applyProtection="1">
      <protection locked="0"/>
    </xf>
    <xf numFmtId="0" fontId="0" fillId="0" borderId="1" xfId="0" applyFill="1" applyBorder="1" applyProtection="1">
      <protection locked="0"/>
    </xf>
    <xf numFmtId="0" fontId="0" fillId="0" borderId="8" xfId="0" applyFill="1" applyBorder="1" applyProtection="1">
      <protection locked="0"/>
    </xf>
    <xf numFmtId="0" fontId="0" fillId="15" borderId="0" xfId="0" applyFill="1"/>
    <xf numFmtId="0" fontId="1" fillId="15" borderId="0" xfId="0" applyFont="1" applyFill="1"/>
    <xf numFmtId="0" fontId="6" fillId="14" borderId="8" xfId="0" applyFont="1" applyFill="1" applyBorder="1" applyProtection="1">
      <protection locked="0"/>
    </xf>
    <xf numFmtId="0" fontId="0" fillId="16" borderId="0" xfId="0" applyFill="1"/>
    <xf numFmtId="0" fontId="7" fillId="16" borderId="0" xfId="0" applyFont="1" applyFill="1"/>
    <xf numFmtId="165" fontId="0" fillId="0" borderId="0" xfId="0" applyNumberFormat="1" applyFill="1"/>
    <xf numFmtId="167" fontId="0" fillId="0" borderId="0" xfId="0" applyNumberFormat="1" applyFill="1"/>
    <xf numFmtId="168" fontId="0" fillId="0" borderId="0" xfId="0" applyNumberFormat="1" applyFill="1"/>
    <xf numFmtId="49" fontId="0" fillId="0" borderId="0" xfId="0" applyNumberFormat="1" applyFill="1"/>
    <xf numFmtId="49" fontId="0" fillId="15" borderId="0" xfId="0" applyNumberFormat="1" applyFill="1"/>
    <xf numFmtId="0" fontId="0" fillId="0" borderId="0" xfId="0" applyAlignment="1">
      <alignment textRotation="90"/>
    </xf>
    <xf numFmtId="0" fontId="2" fillId="0" borderId="0" xfId="0" applyFont="1" applyFill="1"/>
    <xf numFmtId="4" fontId="0" fillId="0" borderId="0" xfId="0" applyNumberFormat="1"/>
    <xf numFmtId="0" fontId="0" fillId="7" borderId="0" xfId="0" applyFill="1" applyAlignment="1">
      <alignment textRotation="90"/>
    </xf>
    <xf numFmtId="4" fontId="0" fillId="9" borderId="0" xfId="0" applyNumberFormat="1" applyFill="1"/>
    <xf numFmtId="4" fontId="0" fillId="9" borderId="0" xfId="0" applyNumberFormat="1" applyFill="1" applyAlignment="1">
      <alignment textRotation="90"/>
    </xf>
    <xf numFmtId="0" fontId="0" fillId="9" borderId="0" xfId="0" applyFill="1" applyAlignment="1">
      <alignment textRotation="90"/>
    </xf>
    <xf numFmtId="0" fontId="0" fillId="6" borderId="0" xfId="0" applyFill="1" applyAlignment="1"/>
    <xf numFmtId="0" fontId="5" fillId="0" borderId="0" xfId="1" applyAlignment="1" applyProtection="1"/>
    <xf numFmtId="0" fontId="0" fillId="6" borderId="0" xfId="0" applyFill="1" applyAlignment="1">
      <alignment textRotation="90"/>
    </xf>
    <xf numFmtId="0" fontId="1" fillId="2" borderId="0" xfId="0" applyFont="1" applyFill="1"/>
    <xf numFmtId="0" fontId="1" fillId="2" borderId="0" xfId="0" applyFont="1" applyFill="1" applyAlignment="1">
      <alignment textRotation="90"/>
    </xf>
    <xf numFmtId="0" fontId="0" fillId="11" borderId="0" xfId="0" applyFill="1" applyAlignment="1">
      <alignment textRotation="90"/>
    </xf>
    <xf numFmtId="0" fontId="1" fillId="11" borderId="0" xfId="0" applyFont="1" applyFill="1"/>
    <xf numFmtId="0" fontId="0" fillId="0" borderId="0" xfId="0" applyAlignment="1">
      <alignment wrapText="1"/>
    </xf>
    <xf numFmtId="0" fontId="2" fillId="15" borderId="0" xfId="0" applyFont="1" applyFill="1"/>
    <xf numFmtId="164" fontId="6" fillId="0" borderId="0" xfId="0" applyNumberFormat="1" applyFont="1"/>
    <xf numFmtId="49" fontId="0" fillId="7" borderId="0" xfId="0" applyNumberFormat="1" applyFill="1" applyAlignment="1">
      <alignment textRotation="90"/>
    </xf>
    <xf numFmtId="0" fontId="0" fillId="17" borderId="0" xfId="0" applyFill="1" applyAlignment="1">
      <alignment textRotation="90"/>
    </xf>
    <xf numFmtId="0" fontId="0" fillId="17" borderId="0" xfId="0" applyFill="1" applyAlignment="1">
      <alignment textRotation="90" wrapText="1"/>
    </xf>
    <xf numFmtId="0" fontId="2" fillId="17" borderId="0" xfId="0" applyFont="1" applyFill="1" applyAlignment="1">
      <alignment textRotation="90" wrapText="1"/>
    </xf>
    <xf numFmtId="0" fontId="2" fillId="17" borderId="0" xfId="0" applyFont="1" applyFill="1" applyAlignment="1">
      <alignment textRotation="90"/>
    </xf>
    <xf numFmtId="0" fontId="0" fillId="17" borderId="0" xfId="0" applyFill="1"/>
    <xf numFmtId="0" fontId="6" fillId="17" borderId="0" xfId="0" applyFont="1" applyFill="1" applyAlignment="1">
      <alignment textRotation="90"/>
    </xf>
    <xf numFmtId="21" fontId="0" fillId="18" borderId="0" xfId="0" applyNumberFormat="1" applyFill="1"/>
    <xf numFmtId="166" fontId="0" fillId="18" borderId="0" xfId="0" applyNumberFormat="1" applyFill="1"/>
    <xf numFmtId="47" fontId="0" fillId="19" borderId="0" xfId="0" applyNumberFormat="1" applyFill="1"/>
    <xf numFmtId="166" fontId="0" fillId="20" borderId="0" xfId="0" applyNumberFormat="1" applyFill="1"/>
    <xf numFmtId="0" fontId="6" fillId="0" borderId="0" xfId="0" applyFont="1"/>
    <xf numFmtId="0" fontId="0" fillId="20" borderId="0" xfId="0" applyFill="1"/>
    <xf numFmtId="0" fontId="9"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ile:///C:\Users\marcoflagg\Downloads\CantSave.HTM" TargetMode="External"/><Relationship Id="rId1" Type="http://schemas.openxmlformats.org/officeDocument/2006/relationships/hyperlink" Target="http://www.uwgb.edu/dutchs/UsefulData/HowUseExcel.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uwgb.edu/dutchs/UsefulData/HowUseExcel.HT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uwgb.edu/dutchs/UsefulData/HowUseExcel.HTM" TargetMode="External"/></Relationships>
</file>

<file path=xl/worksheets/sheet1.xml><?xml version="1.0" encoding="utf-8"?>
<worksheet xmlns="http://schemas.openxmlformats.org/spreadsheetml/2006/main" xmlns:r="http://schemas.openxmlformats.org/officeDocument/2006/relationships">
  <dimension ref="A1:C2"/>
  <sheetViews>
    <sheetView tabSelected="1" workbookViewId="0"/>
  </sheetViews>
  <sheetFormatPr defaultRowHeight="12.75"/>
  <sheetData>
    <row r="1" spans="1:3">
      <c r="A1" t="s">
        <v>239</v>
      </c>
    </row>
    <row r="2" spans="1:3">
      <c r="B2" t="s">
        <v>112</v>
      </c>
      <c r="C2">
        <v>1122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6"/>
  <sheetViews>
    <sheetView workbookViewId="0">
      <selection activeCell="A22" sqref="A22"/>
    </sheetView>
  </sheetViews>
  <sheetFormatPr defaultRowHeight="12.75"/>
  <cols>
    <col min="1" max="1" width="61.5703125" customWidth="1"/>
    <col min="3" max="3" width="12.42578125" customWidth="1"/>
    <col min="4" max="4" width="14.5703125" customWidth="1"/>
    <col min="5" max="5" width="13.140625" customWidth="1"/>
    <col min="6" max="6" width="15.85546875" customWidth="1"/>
  </cols>
  <sheetData>
    <row r="1" spans="1:7">
      <c r="B1" t="s">
        <v>223</v>
      </c>
      <c r="C1" t="s">
        <v>224</v>
      </c>
      <c r="D1" t="s">
        <v>225</v>
      </c>
      <c r="E1" s="82" t="s">
        <v>229</v>
      </c>
      <c r="F1" s="82" t="s">
        <v>230</v>
      </c>
      <c r="G1" s="82" t="s">
        <v>231</v>
      </c>
    </row>
    <row r="2" spans="1:7">
      <c r="A2" t="s">
        <v>226</v>
      </c>
      <c r="B2" s="78">
        <v>0.70833333333333337</v>
      </c>
      <c r="C2" s="79">
        <v>36.790300000000002</v>
      </c>
      <c r="D2" s="79">
        <v>-121.83450000000001</v>
      </c>
      <c r="E2" s="83">
        <f>'Batch Convert Lat Long To UTM'!AF2</f>
        <v>603987.73809897806</v>
      </c>
      <c r="F2" s="83">
        <f>'Batch Convert Lat Long To UTM'!AE2</f>
        <v>4072243.8722634893</v>
      </c>
      <c r="G2" s="83">
        <f>'Batch Convert Lat Long To UTM'!AG2</f>
        <v>10</v>
      </c>
    </row>
    <row r="3" spans="1:7">
      <c r="A3" t="s">
        <v>227</v>
      </c>
      <c r="B3" s="78">
        <v>0.71180555555555547</v>
      </c>
      <c r="C3" s="79">
        <v>36.790700000000001</v>
      </c>
      <c r="D3" s="79">
        <v>-121.82980000000001</v>
      </c>
      <c r="E3" s="83">
        <f>'Batch Convert Lat Long To UTM'!AF3</f>
        <v>604406.55323230638</v>
      </c>
      <c r="F3" s="83">
        <f>'Batch Convert Lat Long To UTM'!AE3</f>
        <v>4072293.3685172126</v>
      </c>
      <c r="G3" s="83">
        <f>'Batch Convert Lat Long To UTM'!AG3</f>
        <v>10</v>
      </c>
    </row>
    <row r="4" spans="1:7">
      <c r="A4" t="s">
        <v>228</v>
      </c>
      <c r="B4" s="80">
        <v>1.736111111111111E-3</v>
      </c>
      <c r="C4" s="81">
        <f>C2+(C3-C2)*$B$4/($B$3-$B$2)</f>
        <v>36.790500000000002</v>
      </c>
      <c r="D4" s="81">
        <f>D2+(D3-D2)*$B$4/($B$3-$B$2)</f>
        <v>-121.83215</v>
      </c>
      <c r="E4" s="83">
        <f>'Batch Convert Lat Long To UTM'!AF4</f>
        <v>604197.14618655492</v>
      </c>
      <c r="F4" s="83">
        <f>'Batch Convert Lat Long To UTM'!AE4</f>
        <v>4072268.6178070498</v>
      </c>
      <c r="G4" s="83">
        <f>'Batch Convert Lat Long To UTM'!AG4</f>
        <v>10</v>
      </c>
    </row>
    <row r="8" spans="1:7">
      <c r="A8" s="84" t="s">
        <v>232</v>
      </c>
    </row>
    <row r="9" spans="1:7">
      <c r="A9" s="82" t="s">
        <v>233</v>
      </c>
    </row>
    <row r="10" spans="1:7">
      <c r="A10" s="82" t="s">
        <v>234</v>
      </c>
    </row>
    <row r="11" spans="1:7">
      <c r="A11" s="82" t="s">
        <v>235</v>
      </c>
    </row>
    <row r="12" spans="1:7">
      <c r="A12" s="82" t="s">
        <v>236</v>
      </c>
    </row>
    <row r="15" spans="1:7">
      <c r="A15" s="84" t="s">
        <v>237</v>
      </c>
    </row>
    <row r="16" spans="1:7">
      <c r="A16" s="82" t="s">
        <v>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O34"/>
  <sheetViews>
    <sheetView workbookViewId="0">
      <selection activeCell="B38" sqref="B38"/>
    </sheetView>
  </sheetViews>
  <sheetFormatPr defaultRowHeight="12.75"/>
  <cols>
    <col min="1" max="1" width="3.7109375" customWidth="1"/>
    <col min="2" max="2" width="19.28515625" customWidth="1"/>
    <col min="3" max="3" width="3.7109375" customWidth="1"/>
    <col min="4" max="4" width="10.7109375" bestFit="1" customWidth="1"/>
    <col min="5" max="5" width="13.42578125" customWidth="1"/>
    <col min="6" max="7" width="10.7109375" bestFit="1" customWidth="1"/>
    <col min="11" max="11" width="3.85546875" customWidth="1"/>
    <col min="12" max="12" width="9.140625" hidden="1" customWidth="1"/>
    <col min="13" max="13" width="12.28515625" bestFit="1" customWidth="1"/>
    <col min="14" max="14" width="13.140625" bestFit="1" customWidth="1"/>
  </cols>
  <sheetData>
    <row r="1" spans="2:14">
      <c r="B1" s="7" t="s">
        <v>107</v>
      </c>
      <c r="D1" s="62" t="s">
        <v>189</v>
      </c>
      <c r="G1" s="62" t="s">
        <v>220</v>
      </c>
    </row>
    <row r="2" spans="2:14">
      <c r="C2" s="18"/>
      <c r="D2" s="14" t="s">
        <v>102</v>
      </c>
      <c r="E2" s="14" t="s">
        <v>90</v>
      </c>
      <c r="F2" s="14" t="s">
        <v>8</v>
      </c>
      <c r="G2" s="14" t="s">
        <v>11</v>
      </c>
      <c r="H2" s="14" t="s">
        <v>14</v>
      </c>
      <c r="I2" s="14" t="s">
        <v>17</v>
      </c>
      <c r="J2" s="14"/>
      <c r="K2" s="14"/>
      <c r="M2" t="s">
        <v>204</v>
      </c>
    </row>
    <row r="3" spans="2:14">
      <c r="D3" s="28">
        <v>1</v>
      </c>
      <c r="E3" s="34" t="str">
        <f>VLOOKUP($D$3,DatumList,2)</f>
        <v>WGS 84</v>
      </c>
      <c r="F3" s="30">
        <f>VLOOKUP($D$3,DatumList,3)</f>
        <v>6378137</v>
      </c>
      <c r="G3" s="30">
        <f>VLOOKUP($D$3,DatumList,4)</f>
        <v>6356752.3141999999</v>
      </c>
      <c r="H3" s="29">
        <f>VLOOKUP($D$3,DatumList,5)</f>
        <v>3.3528106647474805E-3</v>
      </c>
      <c r="I3" s="31">
        <f>VLOOKUP($D$3,DatumList,6)</f>
        <v>298.25722356300003</v>
      </c>
      <c r="J3" s="14"/>
      <c r="K3" s="14"/>
      <c r="M3" t="s">
        <v>205</v>
      </c>
    </row>
    <row r="5" spans="2:14">
      <c r="D5" s="19" t="s">
        <v>136</v>
      </c>
      <c r="E5" s="19"/>
      <c r="F5" s="19"/>
      <c r="G5" s="23"/>
      <c r="H5" s="23"/>
      <c r="I5" s="23"/>
      <c r="J5" s="23"/>
      <c r="K5" s="23"/>
      <c r="L5" t="s">
        <v>137</v>
      </c>
      <c r="M5" t="s">
        <v>206</v>
      </c>
    </row>
    <row r="6" spans="2:14" ht="13.5" thickBot="1">
      <c r="D6" s="11"/>
      <c r="E6" s="11" t="s">
        <v>109</v>
      </c>
      <c r="F6" s="11" t="s">
        <v>5</v>
      </c>
      <c r="G6" s="11"/>
      <c r="H6" s="11" t="s">
        <v>103</v>
      </c>
      <c r="I6" s="11" t="s">
        <v>104</v>
      </c>
      <c r="J6" s="11" t="s">
        <v>105</v>
      </c>
      <c r="K6" s="11"/>
      <c r="L6">
        <f>IF(E7="N",F7,-F7)</f>
        <v>0</v>
      </c>
    </row>
    <row r="7" spans="2:14">
      <c r="D7" s="11" t="s">
        <v>9</v>
      </c>
      <c r="E7" s="42" t="s">
        <v>33</v>
      </c>
      <c r="F7" s="35"/>
      <c r="G7" s="11"/>
      <c r="H7" s="36">
        <v>36</v>
      </c>
      <c r="I7" s="37">
        <v>52</v>
      </c>
      <c r="J7" s="38">
        <v>31</v>
      </c>
      <c r="K7" s="33"/>
      <c r="L7">
        <f>IF(E7="N",H7+I7/60+J7/3600,-(H7+I7/60+J7/3600))</f>
        <v>-36.875277777777775</v>
      </c>
    </row>
    <row r="8" spans="2:14" ht="13.5" thickBot="1">
      <c r="D8" s="11" t="s">
        <v>12</v>
      </c>
      <c r="E8" s="43" t="s">
        <v>127</v>
      </c>
      <c r="F8" s="46"/>
      <c r="G8" s="11"/>
      <c r="H8" s="39">
        <v>4</v>
      </c>
      <c r="I8" s="40">
        <v>5</v>
      </c>
      <c r="J8" s="41">
        <v>16</v>
      </c>
      <c r="K8" s="33"/>
      <c r="L8" t="s">
        <v>135</v>
      </c>
    </row>
    <row r="9" spans="2:14">
      <c r="D9" s="11" t="s">
        <v>9</v>
      </c>
      <c r="E9" s="11">
        <f>IF(F7&lt;&gt;"",L6,L7)</f>
        <v>-36.875277777777775</v>
      </c>
      <c r="F9" s="11"/>
      <c r="G9" s="11">
        <f>ABS(TRUNC(E9,0))</f>
        <v>36</v>
      </c>
      <c r="H9" s="11">
        <f>ABS(TRUNC((60*(ABS(E9)-G9)),0))</f>
        <v>52</v>
      </c>
      <c r="I9" s="11">
        <f>3600*(ABS(E9)-G9-H9/60)</f>
        <v>30.999999999990457</v>
      </c>
      <c r="J9" s="11" t="str">
        <f>E7</f>
        <v>S</v>
      </c>
      <c r="K9" s="11"/>
      <c r="L9">
        <f>IF(E8="E",F8,-F8)</f>
        <v>0</v>
      </c>
    </row>
    <row r="10" spans="2:14">
      <c r="D10" s="11" t="s">
        <v>12</v>
      </c>
      <c r="E10" s="11">
        <f>IF(F8&lt;&gt;"",L9,L10)</f>
        <v>-4.0877777777777773</v>
      </c>
      <c r="F10" s="11"/>
      <c r="G10" s="11">
        <f>ABS(TRUNC(E10,0))</f>
        <v>4</v>
      </c>
      <c r="H10" s="11">
        <f>ABS(TRUNC((60*(ABS(E10)-G10)),0))</f>
        <v>5</v>
      </c>
      <c r="I10" s="11">
        <f>3600*(ABS(E10)-G10-H10/60)</f>
        <v>15.999999999998254</v>
      </c>
      <c r="J10" s="11" t="str">
        <f>E8</f>
        <v>W</v>
      </c>
      <c r="K10" s="11"/>
      <c r="L10">
        <f>IF(E8="E",H8+I8/60+J8/3600,-(H8+I8/60+J8/3600))</f>
        <v>-4.0877777777777773</v>
      </c>
      <c r="N10" s="56"/>
    </row>
    <row r="11" spans="2:14">
      <c r="D11" s="18"/>
      <c r="E11" s="18"/>
      <c r="F11" s="18"/>
      <c r="G11" s="18"/>
      <c r="H11" s="18"/>
      <c r="N11" s="56"/>
    </row>
    <row r="12" spans="2:14">
      <c r="B12" s="18"/>
      <c r="D12" s="11" t="s">
        <v>26</v>
      </c>
      <c r="E12" s="12">
        <f>'Convert Lat, Long to UTM'!F9</f>
        <v>403054.31257471786</v>
      </c>
      <c r="F12" s="11"/>
      <c r="G12" s="11" t="s">
        <v>15</v>
      </c>
      <c r="H12" s="11">
        <f>IF(E8="W",INT((180+E10)/6)+1,INT(E10/6)+31)</f>
        <v>30</v>
      </c>
      <c r="I12" s="11" t="str">
        <f>VLOOKUP(E9,LatZones,2)</f>
        <v>H</v>
      </c>
      <c r="J12" s="11"/>
      <c r="K12" s="11"/>
    </row>
    <row r="13" spans="2:14">
      <c r="B13" s="18"/>
      <c r="D13" s="11" t="s">
        <v>55</v>
      </c>
      <c r="E13" s="12">
        <f>IF(E7="N",'Convert Lat, Long to UTM'!F8,10000000+'Convert Lat, Long to UTM'!F8)</f>
        <v>5918410.9795897007</v>
      </c>
      <c r="F13" s="11"/>
      <c r="G13" s="11" t="s">
        <v>18</v>
      </c>
      <c r="H13" s="11">
        <f>6*H12-183</f>
        <v>-3</v>
      </c>
      <c r="I13" s="11"/>
      <c r="J13" s="11"/>
      <c r="K13" s="11"/>
    </row>
    <row r="14" spans="2:14">
      <c r="D14" s="45" t="s">
        <v>143</v>
      </c>
      <c r="E14" s="44"/>
      <c r="F14" s="44" t="str">
        <f>CONCATENATE(H12, " ",I12,"   ",'Convert Lat, Long to UTM'!J12,'Convert Lat, Long to UTM'!J13)</f>
        <v>30 H   VE</v>
      </c>
      <c r="G14" s="44" t="str">
        <f>RIGHT(INT(E12),5)</f>
        <v>03054</v>
      </c>
      <c r="H14" s="44" t="str">
        <f>RIGHT(INT(E13),5)</f>
        <v>18410</v>
      </c>
      <c r="I14" s="44"/>
      <c r="J14" s="44"/>
      <c r="K14" s="44"/>
      <c r="N14" s="56"/>
    </row>
    <row r="15" spans="2:14">
      <c r="B15" s="24" t="s">
        <v>108</v>
      </c>
    </row>
    <row r="16" spans="2:14">
      <c r="D16" s="20" t="s">
        <v>131</v>
      </c>
      <c r="E16" s="21"/>
      <c r="F16" s="21"/>
      <c r="G16" s="21"/>
      <c r="H16" s="21"/>
      <c r="I16" s="21"/>
      <c r="J16" s="21"/>
      <c r="K16" s="21"/>
    </row>
    <row r="17" spans="2:15">
      <c r="B17" s="32" t="s">
        <v>133</v>
      </c>
      <c r="D17" s="1" t="s">
        <v>26</v>
      </c>
      <c r="E17" s="25">
        <v>781496</v>
      </c>
      <c r="F17" s="1"/>
      <c r="G17" s="1"/>
      <c r="H17" s="1"/>
      <c r="I17" s="1"/>
      <c r="J17" s="1"/>
      <c r="K17" s="1"/>
    </row>
    <row r="18" spans="2:15">
      <c r="D18" s="1" t="s">
        <v>55</v>
      </c>
      <c r="E18" s="25">
        <v>2900000</v>
      </c>
      <c r="F18" s="1" t="s">
        <v>132</v>
      </c>
      <c r="G18" s="1"/>
      <c r="H18" s="18" t="s">
        <v>110</v>
      </c>
      <c r="I18" s="1"/>
      <c r="J18" s="1"/>
      <c r="K18" s="1"/>
    </row>
    <row r="19" spans="2:15">
      <c r="D19" s="1" t="s">
        <v>106</v>
      </c>
      <c r="E19" s="26">
        <v>10</v>
      </c>
      <c r="F19" s="1" t="s">
        <v>130</v>
      </c>
      <c r="G19" s="1"/>
      <c r="H19" s="18">
        <f>IF(E19&gt;0,6*E19-183,3)</f>
        <v>-123</v>
      </c>
      <c r="I19" s="18" t="str">
        <f>IF(E19&lt;31,"W","E")</f>
        <v>W</v>
      </c>
      <c r="J19" s="1"/>
      <c r="K19" s="1"/>
    </row>
    <row r="20" spans="2:15">
      <c r="D20" s="1"/>
      <c r="E20" s="1"/>
      <c r="F20" s="1"/>
      <c r="G20" s="1"/>
      <c r="H20" s="1"/>
      <c r="I20" s="1"/>
      <c r="J20" s="1"/>
      <c r="K20" s="1"/>
    </row>
    <row r="21" spans="2:15">
      <c r="D21" s="1"/>
      <c r="E21" s="1" t="s">
        <v>5</v>
      </c>
      <c r="F21" s="1" t="s">
        <v>103</v>
      </c>
      <c r="G21" s="1" t="s">
        <v>104</v>
      </c>
      <c r="H21" s="1" t="s">
        <v>105</v>
      </c>
      <c r="I21" s="1"/>
      <c r="J21" s="1"/>
      <c r="K21" s="1"/>
    </row>
    <row r="22" spans="2:15">
      <c r="D22" s="1" t="s">
        <v>9</v>
      </c>
      <c r="E22">
        <f>IF(I22="N",'Convert UTM to Lat, Long'!F6,-'Convert UTM to Lat, Long'!F6)</f>
        <v>26.191925870439636</v>
      </c>
      <c r="F22">
        <f>ABS('Convert UTM to Lat, Long'!G6)</f>
        <v>26</v>
      </c>
      <c r="G22">
        <f>ABS('Convert UTM to Lat, Long'!H6)</f>
        <v>11</v>
      </c>
      <c r="H22" s="27">
        <f>ABS('Convert UTM to Lat, Long'!I6)</f>
        <v>30.933133582690619</v>
      </c>
      <c r="I22" s="1" t="str">
        <f>H18</f>
        <v>N</v>
      </c>
      <c r="J22" s="1"/>
      <c r="K22" s="1"/>
    </row>
    <row r="23" spans="2:15">
      <c r="D23" s="1" t="s">
        <v>12</v>
      </c>
      <c r="E23">
        <f>'Convert UTM to Lat, Long'!F7</f>
        <v>-120.18332707439525</v>
      </c>
      <c r="F23">
        <f>ABS('Convert UTM to Lat, Long'!G7)</f>
        <v>120</v>
      </c>
      <c r="G23">
        <f>ABS('Convert UTM to Lat, Long'!H7)</f>
        <v>10</v>
      </c>
      <c r="H23" s="27">
        <f>ABS('Convert UTM to Lat, Long'!I7)</f>
        <v>59.977467822903954</v>
      </c>
      <c r="I23" s="1" t="str">
        <f>I19</f>
        <v>W</v>
      </c>
      <c r="J23" s="1"/>
      <c r="K23" s="1"/>
    </row>
    <row r="24" spans="2:15" ht="12.75" customHeight="1">
      <c r="D24" s="1"/>
      <c r="E24" s="1"/>
      <c r="F24" s="1"/>
      <c r="G24" s="1"/>
      <c r="H24" s="1"/>
      <c r="I24" s="1"/>
      <c r="J24" s="1"/>
      <c r="K24" s="1"/>
    </row>
    <row r="25" spans="2:15" ht="12.75" customHeight="1"/>
    <row r="26" spans="2:15">
      <c r="D26" s="48" t="s">
        <v>147</v>
      </c>
      <c r="E26" s="47"/>
      <c r="F26" s="47"/>
      <c r="G26" s="47"/>
      <c r="H26" s="47"/>
      <c r="I26" s="47"/>
      <c r="J26" s="47"/>
      <c r="K26" s="47"/>
      <c r="M26" s="47"/>
      <c r="N26" s="47"/>
      <c r="O26" s="47"/>
    </row>
    <row r="27" spans="2:15">
      <c r="D27" s="44"/>
      <c r="E27" s="44" t="s">
        <v>148</v>
      </c>
      <c r="F27" s="44" t="s">
        <v>149</v>
      </c>
      <c r="G27" s="44" t="s">
        <v>145</v>
      </c>
      <c r="H27" s="44" t="s">
        <v>26</v>
      </c>
      <c r="I27" s="44" t="s">
        <v>55</v>
      </c>
      <c r="J27" s="44"/>
      <c r="K27" s="44"/>
      <c r="M27" s="44"/>
      <c r="N27" s="44"/>
      <c r="O27" s="44"/>
    </row>
    <row r="28" spans="2:15">
      <c r="D28" s="44"/>
      <c r="E28" s="51">
        <v>10</v>
      </c>
      <c r="F28" s="52" t="s">
        <v>216</v>
      </c>
      <c r="G28" s="18" t="s">
        <v>217</v>
      </c>
      <c r="H28" s="50">
        <v>81496</v>
      </c>
      <c r="I28" s="50">
        <v>0</v>
      </c>
      <c r="J28" s="44"/>
      <c r="K28" s="44"/>
      <c r="M28" s="44" t="s">
        <v>150</v>
      </c>
      <c r="N28" s="18">
        <f>'Convert MGR to LatLong'!G8</f>
        <v>781496</v>
      </c>
      <c r="O28" s="44"/>
    </row>
    <row r="29" spans="2:15">
      <c r="D29" s="44" t="s">
        <v>152</v>
      </c>
      <c r="E29" s="44"/>
      <c r="F29" s="44"/>
      <c r="G29" s="44"/>
      <c r="H29" s="44"/>
      <c r="I29" s="44"/>
      <c r="J29" s="44"/>
      <c r="K29" s="44"/>
      <c r="M29" s="44" t="s">
        <v>151</v>
      </c>
      <c r="N29" s="18">
        <f>'Convert MGR to LatLong'!G26</f>
        <v>2900000</v>
      </c>
      <c r="O29" s="44"/>
    </row>
    <row r="30" spans="2:15">
      <c r="D30" s="44"/>
      <c r="E30" s="44" t="s">
        <v>5</v>
      </c>
      <c r="F30" s="44" t="s">
        <v>103</v>
      </c>
      <c r="G30" s="44" t="s">
        <v>104</v>
      </c>
      <c r="H30" s="44" t="s">
        <v>105</v>
      </c>
      <c r="I30" s="44"/>
      <c r="J30" s="44"/>
      <c r="K30" s="69" t="s">
        <v>210</v>
      </c>
      <c r="M30" s="44"/>
      <c r="N30" s="44"/>
      <c r="O30" s="44"/>
    </row>
    <row r="31" spans="2:15">
      <c r="D31" s="44" t="s">
        <v>9</v>
      </c>
      <c r="E31" s="18">
        <f>'Convert MGR to LatLong'!F29</f>
        <v>26.191925870439636</v>
      </c>
      <c r="F31" s="18">
        <f>ROUND(E31,0)</f>
        <v>26</v>
      </c>
      <c r="G31" s="18">
        <f>INT(60*ABS(E31-F31))</f>
        <v>11</v>
      </c>
      <c r="H31" s="49">
        <f>MOD(3600*ABS(E31-F31),60)</f>
        <v>30.933133582690516</v>
      </c>
      <c r="I31" s="18"/>
      <c r="J31" s="44"/>
      <c r="K31" s="44" t="str">
        <f>IF('Convert MGR to LatLong'!I7=1,"Valid Digraph","Invalid Digraph")</f>
        <v>Valid Digraph</v>
      </c>
      <c r="M31" s="44"/>
      <c r="N31" s="44"/>
      <c r="O31" s="44"/>
    </row>
    <row r="32" spans="2:15">
      <c r="D32" s="44" t="s">
        <v>12</v>
      </c>
      <c r="E32" s="18">
        <f>'Convert MGR to LatLong'!F30</f>
        <v>-120.18332707439525</v>
      </c>
      <c r="F32" s="18">
        <f>ROUND(E32,0)</f>
        <v>-120</v>
      </c>
      <c r="G32" s="18">
        <f>INT(60*ABS(E32-F32))</f>
        <v>10</v>
      </c>
      <c r="H32" s="49">
        <f>MOD(3600*ABS(E32-F32),60)</f>
        <v>59.977467822903918</v>
      </c>
      <c r="I32" s="18"/>
      <c r="J32" s="44"/>
      <c r="K32" s="44" t="str">
        <f>IF('Convert MGR to LatLong'!I2=1,"Valid Latitude Zone","Invalid Latitude Zone")</f>
        <v>Valid Latitude Zone</v>
      </c>
      <c r="M32" s="44"/>
      <c r="N32" s="44"/>
      <c r="O32" s="44"/>
    </row>
    <row r="33" spans="2:15">
      <c r="D33" s="44"/>
      <c r="E33" s="44"/>
      <c r="F33" s="44"/>
      <c r="G33" s="44"/>
      <c r="H33" s="44"/>
      <c r="I33" s="44"/>
      <c r="J33" s="44"/>
      <c r="K33" s="44"/>
      <c r="M33" s="44"/>
      <c r="N33" s="44"/>
      <c r="O33" s="44"/>
    </row>
    <row r="34" spans="2:15">
      <c r="B34" s="68"/>
    </row>
  </sheetData>
  <phoneticPr fontId="0" type="noConversion"/>
  <conditionalFormatting sqref="F28">
    <cfRule type="cellIs" priority="1" stopIfTrue="1" operator="between">
      <formula>"A"</formula>
      <formula>"Z"</formula>
    </cfRule>
  </conditionalFormatting>
  <dataValidations count="12">
    <dataValidation type="list" allowBlank="1" showInputMessage="1" showErrorMessage="1" sqref="H18 K7 E7">
      <formula1>"N,S"</formula1>
    </dataValidation>
    <dataValidation type="decimal" allowBlank="1" showInputMessage="1" showErrorMessage="1" sqref="E17">
      <formula1>100000</formula1>
      <formula2>900000</formula2>
    </dataValidation>
    <dataValidation type="decimal" allowBlank="1" showInputMessage="1" showErrorMessage="1" sqref="E18">
      <formula1>-10002000</formula1>
      <formula2>10002000</formula2>
    </dataValidation>
    <dataValidation type="whole" allowBlank="1" showInputMessage="1" showErrorMessage="1" sqref="E19 E28">
      <formula1>1</formula1>
      <formula2>60</formula2>
    </dataValidation>
    <dataValidation type="list" allowBlank="1" showInputMessage="1" showErrorMessage="1" sqref="E8 K8">
      <formula1>"E,W"</formula1>
    </dataValidation>
    <dataValidation type="whole" allowBlank="1" showInputMessage="1" showErrorMessage="1" sqref="H7">
      <formula1>0</formula1>
      <formula2>90</formula2>
    </dataValidation>
    <dataValidation type="whole" allowBlank="1" showInputMessage="1" showErrorMessage="1" sqref="H8">
      <formula1>0</formula1>
      <formula2>180</formula2>
    </dataValidation>
    <dataValidation type="whole" allowBlank="1" showInputMessage="1" showErrorMessage="1" sqref="I7:I8">
      <formula1>0</formula1>
      <formula2>60</formula2>
    </dataValidation>
    <dataValidation type="decimal" allowBlank="1" showInputMessage="1" showErrorMessage="1" sqref="J7:J8">
      <formula1>0</formula1>
      <formula2>60</formula2>
    </dataValidation>
    <dataValidation type="decimal" allowBlank="1" showInputMessage="1" showErrorMessage="1" sqref="F7">
      <formula1>0</formula1>
      <formula2>90</formula2>
    </dataValidation>
    <dataValidation type="decimal" allowBlank="1" showInputMessage="1" showErrorMessage="1" sqref="F8">
      <formula1>0</formula1>
      <formula2>180</formula2>
    </dataValidation>
    <dataValidation type="whole" allowBlank="1" showInputMessage="1" showErrorMessage="1" sqref="H28:I28">
      <formula1>0</formula1>
      <formula2>99999</formula2>
    </dataValidation>
  </dataValidations>
  <hyperlinks>
    <hyperlink ref="D1" r:id="rId1"/>
    <hyperlink ref="G1" r:id="rId2"/>
  </hyperlinks>
  <pageMargins left="0.75" right="0.75" top="1" bottom="1" header="0.5" footer="0.5"/>
  <pageSetup orientation="portrait" horizontalDpi="300" verticalDpi="300" r:id="rId3"/>
  <headerFooter alignWithMargins="0"/>
  <legacyDrawing r:id="rId4"/>
</worksheet>
</file>

<file path=xl/worksheets/sheet4.xml><?xml version="1.0" encoding="utf-8"?>
<worksheet xmlns="http://schemas.openxmlformats.org/spreadsheetml/2006/main" xmlns:r="http://schemas.openxmlformats.org/officeDocument/2006/relationships">
  <dimension ref="A1:P25"/>
  <sheetViews>
    <sheetView workbookViewId="0">
      <selection activeCell="C30" sqref="C30"/>
    </sheetView>
  </sheetViews>
  <sheetFormatPr defaultRowHeight="12.75"/>
  <cols>
    <col min="2" max="2" width="19.140625" customWidth="1"/>
    <col min="3" max="3" width="10.7109375" bestFit="1" customWidth="1"/>
    <col min="4" max="4" width="12.5703125" customWidth="1"/>
    <col min="5" max="5" width="13" customWidth="1"/>
    <col min="6" max="6" width="12.140625" customWidth="1"/>
  </cols>
  <sheetData>
    <row r="1" spans="1:16">
      <c r="B1" t="s">
        <v>90</v>
      </c>
      <c r="C1" t="s">
        <v>8</v>
      </c>
      <c r="D1" t="s">
        <v>11</v>
      </c>
      <c r="E1" t="s">
        <v>14</v>
      </c>
      <c r="F1" t="s">
        <v>17</v>
      </c>
      <c r="H1" t="s">
        <v>138</v>
      </c>
      <c r="I1" t="s">
        <v>162</v>
      </c>
      <c r="J1" t="s">
        <v>163</v>
      </c>
      <c r="K1" t="s">
        <v>153</v>
      </c>
      <c r="L1" t="s">
        <v>139</v>
      </c>
      <c r="M1" t="s">
        <v>153</v>
      </c>
      <c r="N1" t="s">
        <v>154</v>
      </c>
      <c r="O1" t="s">
        <v>142</v>
      </c>
      <c r="P1" t="s">
        <v>154</v>
      </c>
    </row>
    <row r="2" spans="1:16">
      <c r="A2">
        <v>1</v>
      </c>
      <c r="B2" t="s">
        <v>218</v>
      </c>
      <c r="C2" s="70">
        <v>6378137</v>
      </c>
      <c r="D2">
        <v>6356752.3141999999</v>
      </c>
      <c r="E2">
        <v>3.3528106647474805E-3</v>
      </c>
      <c r="F2">
        <v>298.25722356300003</v>
      </c>
      <c r="H2">
        <v>-90</v>
      </c>
      <c r="I2" t="s">
        <v>112</v>
      </c>
      <c r="J2">
        <v>-90</v>
      </c>
      <c r="K2">
        <v>1</v>
      </c>
      <c r="L2" t="s">
        <v>112</v>
      </c>
      <c r="M2">
        <v>1</v>
      </c>
      <c r="N2">
        <v>0</v>
      </c>
      <c r="O2" t="s">
        <v>126</v>
      </c>
      <c r="P2">
        <v>0</v>
      </c>
    </row>
    <row r="3" spans="1:16">
      <c r="A3">
        <v>2</v>
      </c>
      <c r="B3" t="s">
        <v>219</v>
      </c>
      <c r="C3" s="70">
        <v>6378137</v>
      </c>
      <c r="D3">
        <v>6356752.3141999999</v>
      </c>
      <c r="E3">
        <v>3.3528106647474805E-3</v>
      </c>
      <c r="F3">
        <v>298.25722356300003</v>
      </c>
      <c r="H3">
        <v>-84</v>
      </c>
      <c r="I3" t="s">
        <v>113</v>
      </c>
      <c r="J3">
        <v>-84</v>
      </c>
      <c r="K3">
        <v>2</v>
      </c>
      <c r="L3" t="s">
        <v>140</v>
      </c>
      <c r="M3">
        <v>2</v>
      </c>
      <c r="N3">
        <v>1</v>
      </c>
      <c r="O3" t="s">
        <v>112</v>
      </c>
      <c r="P3">
        <v>1</v>
      </c>
    </row>
    <row r="4" spans="1:16">
      <c r="A4">
        <v>3</v>
      </c>
      <c r="B4" t="s">
        <v>91</v>
      </c>
      <c r="C4" s="17">
        <v>6378137</v>
      </c>
      <c r="D4" s="17">
        <v>6356752.3141000001</v>
      </c>
      <c r="E4">
        <v>3.3528106875095227E-3</v>
      </c>
      <c r="F4">
        <v>298.2572215381486</v>
      </c>
      <c r="H4">
        <v>-72</v>
      </c>
      <c r="I4" t="s">
        <v>74</v>
      </c>
      <c r="J4">
        <v>-72</v>
      </c>
      <c r="K4">
        <v>3</v>
      </c>
      <c r="L4" t="s">
        <v>113</v>
      </c>
      <c r="M4">
        <v>3</v>
      </c>
      <c r="N4">
        <v>2</v>
      </c>
      <c r="O4" t="s">
        <v>140</v>
      </c>
      <c r="P4">
        <v>2</v>
      </c>
    </row>
    <row r="5" spans="1:16">
      <c r="A5">
        <v>4</v>
      </c>
      <c r="B5" t="s">
        <v>92</v>
      </c>
      <c r="C5" s="17">
        <v>6378135</v>
      </c>
      <c r="D5" s="17">
        <v>6356750.5</v>
      </c>
      <c r="E5">
        <v>3.3527825924035788E-3</v>
      </c>
      <c r="F5">
        <v>298.25972082583178</v>
      </c>
      <c r="H5">
        <v>-64</v>
      </c>
      <c r="I5" t="s">
        <v>111</v>
      </c>
      <c r="J5">
        <v>-64</v>
      </c>
      <c r="K5">
        <v>4</v>
      </c>
      <c r="L5" t="s">
        <v>74</v>
      </c>
      <c r="M5">
        <v>4</v>
      </c>
      <c r="N5">
        <v>3</v>
      </c>
      <c r="O5" t="s">
        <v>113</v>
      </c>
      <c r="P5">
        <v>3</v>
      </c>
    </row>
    <row r="6" spans="1:16">
      <c r="A6">
        <v>5</v>
      </c>
      <c r="B6" t="s">
        <v>93</v>
      </c>
      <c r="C6" s="17">
        <v>6378160</v>
      </c>
      <c r="D6" s="17">
        <v>6356774.7000000002</v>
      </c>
      <c r="E6">
        <v>3.3528948787737863E-3</v>
      </c>
      <c r="F6">
        <v>298.24973229274576</v>
      </c>
      <c r="H6">
        <v>-56</v>
      </c>
      <c r="I6" t="s">
        <v>114</v>
      </c>
      <c r="J6">
        <v>-56</v>
      </c>
      <c r="K6">
        <v>5</v>
      </c>
      <c r="L6" t="s">
        <v>111</v>
      </c>
      <c r="M6">
        <v>5</v>
      </c>
      <c r="N6">
        <v>4</v>
      </c>
      <c r="O6" t="s">
        <v>74</v>
      </c>
      <c r="P6">
        <v>4</v>
      </c>
    </row>
    <row r="7" spans="1:16">
      <c r="A7">
        <v>6</v>
      </c>
      <c r="B7" t="s">
        <v>94</v>
      </c>
      <c r="C7" s="17">
        <v>6378245</v>
      </c>
      <c r="D7" s="17">
        <v>6356863</v>
      </c>
      <c r="E7">
        <v>3.3523328125526692E-3</v>
      </c>
      <c r="F7">
        <v>298.29973809746514</v>
      </c>
      <c r="H7">
        <v>-48</v>
      </c>
      <c r="I7" t="s">
        <v>115</v>
      </c>
      <c r="J7">
        <v>-48</v>
      </c>
      <c r="K7">
        <v>6</v>
      </c>
      <c r="L7" t="s">
        <v>114</v>
      </c>
      <c r="M7">
        <v>6</v>
      </c>
      <c r="N7">
        <v>5</v>
      </c>
      <c r="O7" t="s">
        <v>111</v>
      </c>
      <c r="P7">
        <v>5</v>
      </c>
    </row>
    <row r="8" spans="1:16">
      <c r="A8">
        <v>7</v>
      </c>
      <c r="B8" t="s">
        <v>134</v>
      </c>
      <c r="C8" s="17">
        <v>6378206.4000000004</v>
      </c>
      <c r="D8" s="17">
        <v>6356583.7999999998</v>
      </c>
      <c r="E8">
        <v>3.3900753039287908E-3</v>
      </c>
      <c r="F8">
        <v>294.97869821389821</v>
      </c>
      <c r="H8">
        <v>-40</v>
      </c>
      <c r="I8" t="s">
        <v>116</v>
      </c>
      <c r="J8">
        <v>-40</v>
      </c>
      <c r="K8">
        <v>7</v>
      </c>
      <c r="L8" t="s">
        <v>115</v>
      </c>
      <c r="M8">
        <v>7</v>
      </c>
      <c r="N8">
        <v>6</v>
      </c>
      <c r="O8" t="s">
        <v>114</v>
      </c>
      <c r="P8">
        <v>6</v>
      </c>
    </row>
    <row r="9" spans="1:16">
      <c r="A9">
        <v>8</v>
      </c>
      <c r="B9" t="s">
        <v>95</v>
      </c>
      <c r="C9" s="17">
        <v>6378388</v>
      </c>
      <c r="D9" s="17">
        <v>6356911.9000000004</v>
      </c>
      <c r="E9">
        <v>3.3670105989161568E-3</v>
      </c>
      <c r="F9">
        <v>296.99936208157487</v>
      </c>
      <c r="H9">
        <v>-32</v>
      </c>
      <c r="I9" t="s">
        <v>117</v>
      </c>
      <c r="J9">
        <v>-32</v>
      </c>
      <c r="K9">
        <v>8</v>
      </c>
      <c r="L9" t="s">
        <v>116</v>
      </c>
      <c r="M9">
        <v>8</v>
      </c>
      <c r="N9">
        <v>7</v>
      </c>
      <c r="O9" t="s">
        <v>115</v>
      </c>
      <c r="P9">
        <v>7</v>
      </c>
    </row>
    <row r="10" spans="1:16">
      <c r="A10">
        <v>9</v>
      </c>
      <c r="B10" t="s">
        <v>96</v>
      </c>
      <c r="C10" s="17">
        <v>6378388</v>
      </c>
      <c r="D10" s="17">
        <v>6356911.9000000004</v>
      </c>
      <c r="E10">
        <v>3.3670105989161568E-3</v>
      </c>
      <c r="F10">
        <v>296.99936208157487</v>
      </c>
      <c r="H10">
        <v>-24</v>
      </c>
      <c r="I10" t="s">
        <v>118</v>
      </c>
      <c r="J10">
        <v>-24</v>
      </c>
      <c r="K10">
        <v>9</v>
      </c>
      <c r="L10" t="s">
        <v>117</v>
      </c>
      <c r="M10">
        <v>9</v>
      </c>
      <c r="N10">
        <v>8</v>
      </c>
      <c r="O10" t="s">
        <v>116</v>
      </c>
      <c r="P10">
        <v>8</v>
      </c>
    </row>
    <row r="11" spans="1:16">
      <c r="A11">
        <v>10</v>
      </c>
      <c r="B11" t="s">
        <v>97</v>
      </c>
      <c r="C11" s="17">
        <v>6378249.0999999996</v>
      </c>
      <c r="D11" s="17">
        <v>6356514.9000000004</v>
      </c>
      <c r="E11">
        <v>3.40754957344003E-3</v>
      </c>
      <c r="F11">
        <v>293.46601669259593</v>
      </c>
      <c r="H11">
        <v>-16</v>
      </c>
      <c r="I11" t="s">
        <v>119</v>
      </c>
      <c r="J11">
        <v>-16</v>
      </c>
      <c r="K11">
        <v>10</v>
      </c>
      <c r="L11" t="s">
        <v>118</v>
      </c>
      <c r="M11">
        <v>10</v>
      </c>
      <c r="N11">
        <v>9</v>
      </c>
      <c r="O11" t="s">
        <v>117</v>
      </c>
      <c r="P11">
        <v>9</v>
      </c>
    </row>
    <row r="12" spans="1:16">
      <c r="A12">
        <v>11</v>
      </c>
      <c r="B12" t="s">
        <v>98</v>
      </c>
      <c r="C12" s="17">
        <v>6378206.4000000004</v>
      </c>
      <c r="D12" s="17">
        <v>6356583.7999999998</v>
      </c>
      <c r="E12">
        <v>3.3900753039287908E-3</v>
      </c>
      <c r="F12">
        <v>294.97869821389821</v>
      </c>
      <c r="H12">
        <v>-8</v>
      </c>
      <c r="I12" t="s">
        <v>120</v>
      </c>
      <c r="J12">
        <v>-8</v>
      </c>
      <c r="K12">
        <v>11</v>
      </c>
      <c r="L12" t="s">
        <v>119</v>
      </c>
      <c r="M12">
        <v>11</v>
      </c>
      <c r="N12">
        <v>10</v>
      </c>
      <c r="O12" t="s">
        <v>118</v>
      </c>
      <c r="P12">
        <v>10</v>
      </c>
    </row>
    <row r="13" spans="1:16">
      <c r="A13">
        <v>12</v>
      </c>
      <c r="B13" t="s">
        <v>99</v>
      </c>
      <c r="C13" s="17">
        <v>6377563.4000000004</v>
      </c>
      <c r="D13" s="17">
        <v>6356256.9000000004</v>
      </c>
      <c r="E13">
        <v>3.3408527150039775E-3</v>
      </c>
      <c r="F13">
        <v>299.32477882336377</v>
      </c>
      <c r="H13">
        <v>0</v>
      </c>
      <c r="I13" t="s">
        <v>110</v>
      </c>
      <c r="J13">
        <v>0</v>
      </c>
      <c r="K13">
        <v>12</v>
      </c>
      <c r="L13" t="s">
        <v>120</v>
      </c>
      <c r="M13">
        <v>12</v>
      </c>
      <c r="N13">
        <v>11</v>
      </c>
      <c r="O13" t="s">
        <v>119</v>
      </c>
      <c r="P13">
        <v>11</v>
      </c>
    </row>
    <row r="14" spans="1:16">
      <c r="A14">
        <v>13</v>
      </c>
      <c r="B14" t="s">
        <v>100</v>
      </c>
      <c r="C14" s="17">
        <v>6377397.2000000002</v>
      </c>
      <c r="D14" s="17">
        <v>6356079</v>
      </c>
      <c r="E14">
        <v>3.34277438450912E-3</v>
      </c>
      <c r="F14">
        <v>299.15270520024882</v>
      </c>
      <c r="H14">
        <v>8</v>
      </c>
      <c r="I14" t="s">
        <v>121</v>
      </c>
      <c r="J14">
        <v>8</v>
      </c>
      <c r="K14">
        <v>13</v>
      </c>
      <c r="L14" t="s">
        <v>110</v>
      </c>
      <c r="M14">
        <v>13</v>
      </c>
      <c r="N14">
        <v>12</v>
      </c>
      <c r="O14" t="s">
        <v>120</v>
      </c>
      <c r="P14">
        <v>12</v>
      </c>
    </row>
    <row r="15" spans="1:16">
      <c r="A15">
        <v>14</v>
      </c>
      <c r="B15" t="s">
        <v>101</v>
      </c>
      <c r="C15" s="17">
        <v>6377276.2999999998</v>
      </c>
      <c r="D15" s="17">
        <v>6356075.4000000004</v>
      </c>
      <c r="E15">
        <v>3.3244443242955368E-3</v>
      </c>
      <c r="F15">
        <v>300.80214990873822</v>
      </c>
      <c r="H15">
        <v>16</v>
      </c>
      <c r="I15" t="s">
        <v>122</v>
      </c>
      <c r="J15">
        <v>16</v>
      </c>
      <c r="K15">
        <v>14</v>
      </c>
      <c r="L15" t="s">
        <v>121</v>
      </c>
      <c r="M15">
        <v>14</v>
      </c>
      <c r="N15">
        <v>13</v>
      </c>
      <c r="O15" t="s">
        <v>110</v>
      </c>
      <c r="P15">
        <v>13</v>
      </c>
    </row>
    <row r="16" spans="1:16">
      <c r="A16" t="s">
        <v>189</v>
      </c>
      <c r="H16">
        <v>24</v>
      </c>
      <c r="I16" t="s">
        <v>123</v>
      </c>
      <c r="J16">
        <v>24</v>
      </c>
      <c r="K16">
        <v>15</v>
      </c>
      <c r="L16" t="s">
        <v>122</v>
      </c>
      <c r="M16">
        <v>15</v>
      </c>
      <c r="N16">
        <v>14</v>
      </c>
      <c r="O16" t="s">
        <v>121</v>
      </c>
      <c r="P16">
        <v>14</v>
      </c>
    </row>
    <row r="17" spans="8:16">
      <c r="H17">
        <v>32</v>
      </c>
      <c r="I17" t="s">
        <v>33</v>
      </c>
      <c r="J17">
        <v>32</v>
      </c>
      <c r="K17">
        <v>16</v>
      </c>
      <c r="L17" t="s">
        <v>123</v>
      </c>
      <c r="M17">
        <v>16</v>
      </c>
      <c r="N17">
        <v>15</v>
      </c>
      <c r="O17" t="s">
        <v>122</v>
      </c>
      <c r="P17">
        <v>15</v>
      </c>
    </row>
    <row r="18" spans="8:16">
      <c r="H18">
        <v>40</v>
      </c>
      <c r="I18" t="s">
        <v>124</v>
      </c>
      <c r="J18">
        <v>40</v>
      </c>
      <c r="K18">
        <v>17</v>
      </c>
      <c r="L18" t="s">
        <v>33</v>
      </c>
      <c r="M18">
        <v>17</v>
      </c>
      <c r="N18">
        <v>16</v>
      </c>
      <c r="O18" t="s">
        <v>123</v>
      </c>
      <c r="P18">
        <v>16</v>
      </c>
    </row>
    <row r="19" spans="8:16">
      <c r="H19">
        <v>48</v>
      </c>
      <c r="I19" t="s">
        <v>125</v>
      </c>
      <c r="J19">
        <v>48</v>
      </c>
      <c r="K19">
        <v>18</v>
      </c>
      <c r="L19" t="s">
        <v>124</v>
      </c>
      <c r="M19">
        <v>18</v>
      </c>
      <c r="N19">
        <v>17</v>
      </c>
      <c r="O19" t="s">
        <v>33</v>
      </c>
      <c r="P19">
        <v>17</v>
      </c>
    </row>
    <row r="20" spans="8:16">
      <c r="H20">
        <v>56</v>
      </c>
      <c r="I20" t="s">
        <v>126</v>
      </c>
      <c r="J20">
        <v>56</v>
      </c>
      <c r="K20">
        <v>19</v>
      </c>
      <c r="L20" t="s">
        <v>125</v>
      </c>
      <c r="M20">
        <v>19</v>
      </c>
      <c r="N20">
        <v>18</v>
      </c>
      <c r="O20" t="s">
        <v>124</v>
      </c>
      <c r="P20">
        <v>18</v>
      </c>
    </row>
    <row r="21" spans="8:16">
      <c r="H21">
        <v>64</v>
      </c>
      <c r="I21" t="s">
        <v>127</v>
      </c>
      <c r="J21">
        <v>64</v>
      </c>
      <c r="K21">
        <v>20</v>
      </c>
      <c r="L21" t="s">
        <v>126</v>
      </c>
      <c r="M21">
        <v>20</v>
      </c>
      <c r="N21">
        <v>19</v>
      </c>
      <c r="O21" t="s">
        <v>125</v>
      </c>
      <c r="P21">
        <v>19</v>
      </c>
    </row>
    <row r="22" spans="8:16">
      <c r="H22">
        <v>72</v>
      </c>
      <c r="I22" t="s">
        <v>128</v>
      </c>
      <c r="J22">
        <v>72</v>
      </c>
      <c r="K22">
        <v>21</v>
      </c>
      <c r="L22" t="s">
        <v>127</v>
      </c>
      <c r="M22">
        <v>21</v>
      </c>
      <c r="N22">
        <v>20</v>
      </c>
      <c r="O22" t="s">
        <v>126</v>
      </c>
      <c r="P22">
        <v>20</v>
      </c>
    </row>
    <row r="23" spans="8:16">
      <c r="H23">
        <v>84</v>
      </c>
      <c r="I23" t="s">
        <v>129</v>
      </c>
      <c r="J23">
        <v>84</v>
      </c>
      <c r="K23">
        <v>22</v>
      </c>
      <c r="L23" t="s">
        <v>128</v>
      </c>
      <c r="M23">
        <v>22</v>
      </c>
    </row>
    <row r="24" spans="8:16">
      <c r="K24">
        <v>23</v>
      </c>
      <c r="L24" t="s">
        <v>141</v>
      </c>
      <c r="M24">
        <v>23</v>
      </c>
    </row>
    <row r="25" spans="8:16">
      <c r="K25">
        <v>24</v>
      </c>
      <c r="L25" t="s">
        <v>129</v>
      </c>
      <c r="M25">
        <v>24</v>
      </c>
    </row>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31"/>
  <sheetViews>
    <sheetView workbookViewId="0">
      <selection activeCell="E27" sqref="E27"/>
    </sheetView>
  </sheetViews>
  <sheetFormatPr defaultRowHeight="12.75"/>
  <cols>
    <col min="1" max="1" width="14.42578125" customWidth="1"/>
    <col min="3" max="3" width="9" bestFit="1" customWidth="1"/>
    <col min="6" max="6" width="13" customWidth="1"/>
    <col min="9" max="9" width="9.7109375" bestFit="1" customWidth="1"/>
  </cols>
  <sheetData>
    <row r="1" spans="1:10">
      <c r="B1" t="s">
        <v>0</v>
      </c>
      <c r="C1" t="s">
        <v>1</v>
      </c>
      <c r="E1" s="10"/>
      <c r="F1" s="10" t="s">
        <v>2</v>
      </c>
      <c r="G1" s="10" t="s">
        <v>3</v>
      </c>
      <c r="H1" s="10" t="s">
        <v>4</v>
      </c>
      <c r="I1" s="10" t="s">
        <v>5</v>
      </c>
      <c r="J1" s="10" t="s">
        <v>6</v>
      </c>
    </row>
    <row r="2" spans="1:10">
      <c r="A2" s="3" t="s">
        <v>49</v>
      </c>
      <c r="B2" s="2"/>
      <c r="C2" s="2"/>
      <c r="E2" s="10" t="s">
        <v>9</v>
      </c>
      <c r="F2" s="10">
        <f>'UTM Conversion Main Page'!G9</f>
        <v>36</v>
      </c>
      <c r="G2" s="10">
        <f>'UTM Conversion Main Page'!H9</f>
        <v>52</v>
      </c>
      <c r="H2" s="10">
        <f>'UTM Conversion Main Page'!I9</f>
        <v>30.999999999990457</v>
      </c>
      <c r="I2" s="10">
        <f>'UTM Conversion Main Page'!E9</f>
        <v>-36.875277777777775</v>
      </c>
      <c r="J2" s="10">
        <f>latdec*PI()/180</f>
        <v>-0.64359500980972006</v>
      </c>
    </row>
    <row r="3" spans="1:10">
      <c r="A3" s="2" t="s">
        <v>7</v>
      </c>
      <c r="B3" s="2" t="s">
        <v>8</v>
      </c>
      <c r="C3" s="2">
        <f>'UTM Conversion Main Page'!F3</f>
        <v>6378137</v>
      </c>
      <c r="E3" s="10" t="s">
        <v>12</v>
      </c>
      <c r="F3" s="10">
        <f>'UTM Conversion Main Page'!G10</f>
        <v>4</v>
      </c>
      <c r="G3" s="10">
        <f>'UTM Conversion Main Page'!H10</f>
        <v>5</v>
      </c>
      <c r="H3" s="10">
        <f>'UTM Conversion Main Page'!I10</f>
        <v>15.999999999998254</v>
      </c>
      <c r="I3" s="10">
        <f>'UTM Conversion Main Page'!E10</f>
        <v>-4.0877777777777773</v>
      </c>
      <c r="J3" s="10">
        <f>londec*PI()/180</f>
        <v>-7.1345181312079314E-2</v>
      </c>
    </row>
    <row r="4" spans="1:10">
      <c r="A4" s="2" t="s">
        <v>10</v>
      </c>
      <c r="B4" s="2" t="s">
        <v>11</v>
      </c>
      <c r="C4" s="2">
        <f>'UTM Conversion Main Page'!G3</f>
        <v>6356752.3141999999</v>
      </c>
      <c r="E4" t="s">
        <v>15</v>
      </c>
      <c r="F4">
        <f>'UTM Conversion Main Page'!H12</f>
        <v>30</v>
      </c>
    </row>
    <row r="5" spans="1:10">
      <c r="A5" s="2" t="s">
        <v>13</v>
      </c>
      <c r="B5" s="2" t="s">
        <v>14</v>
      </c>
      <c r="C5" s="2">
        <f>(a-b)/a</f>
        <v>3.3528106718309896E-3</v>
      </c>
      <c r="E5" t="s">
        <v>18</v>
      </c>
      <c r="F5">
        <f>'UTM Conversion Main Page'!H13</f>
        <v>-3</v>
      </c>
      <c r="J5">
        <f>ZoneCM*PI()/180</f>
        <v>-5.2359877559829883E-2</v>
      </c>
    </row>
    <row r="6" spans="1:10">
      <c r="A6" s="2" t="s">
        <v>16</v>
      </c>
      <c r="B6" s="2" t="s">
        <v>17</v>
      </c>
      <c r="C6" s="2">
        <f>1/f</f>
        <v>298.25722293286969</v>
      </c>
      <c r="I6" t="s">
        <v>53</v>
      </c>
      <c r="J6">
        <f>'UTM Conversion Main Page'!E10-'UTM Conversion Main Page'!H13</f>
        <v>-1.0877777777777773</v>
      </c>
    </row>
    <row r="7" spans="1:10">
      <c r="A7" s="2" t="s">
        <v>19</v>
      </c>
      <c r="B7" s="2" t="s">
        <v>20</v>
      </c>
      <c r="C7" s="2">
        <f>(a*b)^(1/2)</f>
        <v>6367435.6796935648</v>
      </c>
    </row>
    <row r="8" spans="1:10">
      <c r="A8" s="2"/>
      <c r="B8" s="2"/>
      <c r="C8" s="2"/>
      <c r="E8" s="11" t="s">
        <v>23</v>
      </c>
      <c r="F8" s="12">
        <f>(Ki+Kii*p*p+Kiii*p^4)</f>
        <v>-4081589.0204102993</v>
      </c>
    </row>
    <row r="9" spans="1:10">
      <c r="A9" s="2" t="s">
        <v>21</v>
      </c>
      <c r="B9" s="2" t="s">
        <v>22</v>
      </c>
      <c r="C9" s="2">
        <v>0.99960000000000004</v>
      </c>
      <c r="E9" s="11" t="s">
        <v>26</v>
      </c>
      <c r="F9" s="12">
        <f>500000+(Kiv*p+Kv*p^3)</f>
        <v>403054.31257471786</v>
      </c>
    </row>
    <row r="10" spans="1:10">
      <c r="A10" s="2" t="s">
        <v>24</v>
      </c>
      <c r="B10" s="2" t="s">
        <v>25</v>
      </c>
      <c r="C10" s="2">
        <f>SQRT(1-(b/a)^2)</f>
        <v>8.1819190928906924E-2</v>
      </c>
    </row>
    <row r="11" spans="1:10">
      <c r="A11" s="2"/>
      <c r="B11" s="2" t="s">
        <v>42</v>
      </c>
      <c r="C11" s="2">
        <f>e*e/(1-e*e)</f>
        <v>6.7394967565870025E-3</v>
      </c>
    </row>
    <row r="12" spans="1:10">
      <c r="A12" s="2"/>
      <c r="B12" s="2" t="s">
        <v>27</v>
      </c>
      <c r="C12" s="2">
        <f>(a-b)/(a+b)</f>
        <v>1.6792203899373642E-3</v>
      </c>
      <c r="E12" t="s">
        <v>144</v>
      </c>
      <c r="F12">
        <f>8*MOD((F4-1),3)+1</f>
        <v>17</v>
      </c>
      <c r="G12" t="str">
        <f>VLOOKUP('Convert Lat, Long to UTM'!F12,Datums!K2:L25,2)</f>
        <v>S</v>
      </c>
      <c r="H12" t="s">
        <v>145</v>
      </c>
      <c r="I12">
        <f>F12+INT((F9)/100000)-1</f>
        <v>20</v>
      </c>
      <c r="J12" t="str">
        <f>VLOOKUP(I12,Datums!K2:L25,2)</f>
        <v>V</v>
      </c>
    </row>
    <row r="13" spans="1:10">
      <c r="A13" s="2" t="s">
        <v>28</v>
      </c>
      <c r="B13" s="2" t="s">
        <v>29</v>
      </c>
      <c r="C13" s="2">
        <f>a*(1-e*e)/((1-(e*SIN(lat))^2)^(3/2))</f>
        <v>6358416.6768977707</v>
      </c>
      <c r="E13" t="s">
        <v>146</v>
      </c>
      <c r="F13">
        <f>1+5*MOD(F4-1,2)</f>
        <v>6</v>
      </c>
      <c r="G13" t="str">
        <f>VLOOKUP('Convert Lat, Long to UTM'!F13,Datums!N3:O22,2)</f>
        <v>F</v>
      </c>
      <c r="H13" t="s">
        <v>145</v>
      </c>
      <c r="I13">
        <f>MOD(F13+INT(F8/100000),20)</f>
        <v>5</v>
      </c>
      <c r="J13" t="str">
        <f>VLOOKUP(I13,Datums!N2:O22,2)</f>
        <v>E</v>
      </c>
    </row>
    <row r="14" spans="1:10">
      <c r="A14" s="2" t="s">
        <v>30</v>
      </c>
      <c r="B14" s="2" t="s">
        <v>31</v>
      </c>
      <c r="C14" s="2">
        <f>a/((1-(e*SIN(lat))^2)^(1/2))</f>
        <v>6385838.4321372742</v>
      </c>
    </row>
    <row r="15" spans="1:10">
      <c r="A15" s="4" t="s">
        <v>48</v>
      </c>
      <c r="B15" s="1"/>
      <c r="C15" s="1"/>
    </row>
    <row r="16" spans="1:10">
      <c r="A16" s="1" t="s">
        <v>32</v>
      </c>
      <c r="B16" s="1" t="s">
        <v>33</v>
      </c>
      <c r="C16" s="1">
        <f>A0*lat - B0*SIN(2*lat) + C0*SIN(4*lat) - D0*SIN(6*lat) + E0*SIN(8*lat)</f>
        <v>-4082669.8180748215</v>
      </c>
    </row>
    <row r="17" spans="1:3">
      <c r="A17" s="1"/>
      <c r="B17" s="1" t="s">
        <v>47</v>
      </c>
      <c r="C17" s="1">
        <f>a*(1-n+(5*n*n/4)*(1-n) +(81*n^4/64)*(1-n))</f>
        <v>6367449.1458008448</v>
      </c>
    </row>
    <row r="18" spans="1:3">
      <c r="A18" s="1"/>
      <c r="B18" s="1" t="s">
        <v>43</v>
      </c>
      <c r="C18" s="1">
        <f>(3*a*n/2)*(1 - n - (7*n*n/8)*(1-n) + 55*n^4/64)</f>
        <v>16038.429553159074</v>
      </c>
    </row>
    <row r="19" spans="1:3">
      <c r="A19" s="1"/>
      <c r="B19" s="1" t="s">
        <v>44</v>
      </c>
      <c r="C19" s="1">
        <f>(15*a*n*n/16)*(1 - n +(3*n*n/4)*(1-n))</f>
        <v>16.832613334334404</v>
      </c>
    </row>
    <row r="20" spans="1:3">
      <c r="A20" s="1"/>
      <c r="B20" s="1" t="s">
        <v>45</v>
      </c>
      <c r="C20" s="1">
        <f>(35*a*n^3/48)*(1 - n + 11*n*n/16)</f>
        <v>2.1984404273757349E-2</v>
      </c>
    </row>
    <row r="21" spans="1:3">
      <c r="A21" s="1"/>
      <c r="B21" s="1" t="s">
        <v>46</v>
      </c>
      <c r="C21" s="1">
        <f>(315*a*n^4/51)*(1-n)</f>
        <v>3.1270521795044842E-4</v>
      </c>
    </row>
    <row r="22" spans="1:3">
      <c r="A22" s="8" t="s">
        <v>52</v>
      </c>
      <c r="B22" s="9"/>
      <c r="C22" s="9"/>
    </row>
    <row r="23" spans="1:3">
      <c r="A23" s="9" t="s">
        <v>51</v>
      </c>
      <c r="B23" s="9" t="s">
        <v>221</v>
      </c>
      <c r="C23" s="9">
        <f>(J6)*PI()/180</f>
        <v>-1.8985303752249421E-2</v>
      </c>
    </row>
    <row r="24" spans="1:3">
      <c r="A24" s="9"/>
      <c r="B24" s="9"/>
      <c r="C24" s="9"/>
    </row>
    <row r="25" spans="1:3">
      <c r="A25" s="6" t="s">
        <v>50</v>
      </c>
      <c r="B25" s="5"/>
      <c r="C25" s="5"/>
    </row>
    <row r="26" spans="1:3">
      <c r="A26" s="5"/>
      <c r="B26" s="5" t="s">
        <v>36</v>
      </c>
      <c r="C26" s="5">
        <f>S*k0</f>
        <v>-4081036.7501475918</v>
      </c>
    </row>
    <row r="27" spans="1:3">
      <c r="A27" s="5"/>
      <c r="B27" s="5" t="s">
        <v>37</v>
      </c>
      <c r="C27" s="5">
        <f>nu*SIN(lat)*COS(lat)*k0/2</f>
        <v>-1532072.0717677432</v>
      </c>
    </row>
    <row r="28" spans="1:3">
      <c r="A28" s="5"/>
      <c r="B28" s="5" t="s">
        <v>38</v>
      </c>
      <c r="C28" s="5">
        <f>((nu*SIN(lat)*COS(lat)^3)/24)*(5-TAN(lat)^2+9*e1sq*COS(lat)^2+4*e1sq^2*COS(lat)^4)*k0</f>
        <v>-365698.48000474152</v>
      </c>
    </row>
    <row r="29" spans="1:3">
      <c r="A29" s="5"/>
      <c r="B29" s="5" t="s">
        <v>39</v>
      </c>
      <c r="C29" s="5">
        <f>nu*COS(lat)*k0</f>
        <v>5106267.6167795435</v>
      </c>
    </row>
    <row r="30" spans="1:3">
      <c r="A30" s="5"/>
      <c r="B30" s="5" t="s">
        <v>40</v>
      </c>
      <c r="C30" s="5">
        <f>(COS(lat))^3*(nu/6)*(1-TAN(lat)^2+e1sq*COS(lat)^2)*k0</f>
        <v>240487.69482766153</v>
      </c>
    </row>
    <row r="31" spans="1:3">
      <c r="A31" s="5"/>
      <c r="B31" s="5" t="s">
        <v>41</v>
      </c>
      <c r="C31" s="5">
        <f>((p*_Sin1)^6*nu*SIN(lat)*COS(lat)^5/720)*(61-58*TAN(lat)^2+TAN(lat)^4+270*e1sq*COS(lat)^2-330*e1sq*SIN(lat)^2)*k0*(1E+24)</f>
        <v>0</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I44"/>
  <sheetViews>
    <sheetView topLeftCell="A4" workbookViewId="0">
      <selection activeCell="F28" sqref="F28"/>
    </sheetView>
  </sheetViews>
  <sheetFormatPr defaultRowHeight="12.75"/>
  <cols>
    <col min="1" max="1" width="9.85546875" bestFit="1" customWidth="1"/>
    <col min="2" max="2" width="9.85546875" customWidth="1"/>
    <col min="3" max="3" width="12.28515625" customWidth="1"/>
    <col min="5" max="5" width="12" bestFit="1" customWidth="1"/>
    <col min="6" max="6" width="11.7109375" customWidth="1"/>
    <col min="8" max="8" width="19.7109375" customWidth="1"/>
  </cols>
  <sheetData>
    <row r="1" spans="1:9">
      <c r="B1" t="s">
        <v>0</v>
      </c>
      <c r="C1" t="s">
        <v>1</v>
      </c>
      <c r="E1" s="10" t="s">
        <v>55</v>
      </c>
      <c r="F1" s="16">
        <f>IF('UTM Conversion Main Page'!H18="N",'UTM Conversion Main Page'!E18,10000000-'UTM Conversion Main Page'!E18)</f>
        <v>2900000</v>
      </c>
    </row>
    <row r="2" spans="1:9">
      <c r="A2" s="3" t="s">
        <v>49</v>
      </c>
      <c r="B2" s="3"/>
      <c r="C2" s="2"/>
      <c r="E2" s="10" t="s">
        <v>26</v>
      </c>
      <c r="F2" s="16">
        <f>'UTM Conversion Main Page'!E17</f>
        <v>781496</v>
      </c>
      <c r="G2" t="s">
        <v>57</v>
      </c>
      <c r="H2">
        <f>500000-lond</f>
        <v>-281496</v>
      </c>
    </row>
    <row r="3" spans="1:9">
      <c r="A3" s="2" t="s">
        <v>54</v>
      </c>
      <c r="B3" s="2" t="s">
        <v>11</v>
      </c>
      <c r="C3" s="2">
        <f>b</f>
        <v>6356752.3141999999</v>
      </c>
      <c r="E3" s="10" t="s">
        <v>18</v>
      </c>
      <c r="F3" s="10">
        <f>'UTM Conversion Main Page'!H19</f>
        <v>-123</v>
      </c>
    </row>
    <row r="4" spans="1:9">
      <c r="A4" s="2" t="s">
        <v>56</v>
      </c>
      <c r="B4" s="2" t="s">
        <v>8</v>
      </c>
      <c r="C4" s="2">
        <f>a</f>
        <v>6378137</v>
      </c>
    </row>
    <row r="5" spans="1:9">
      <c r="A5" s="2" t="s">
        <v>58</v>
      </c>
      <c r="B5" s="2" t="s">
        <v>25</v>
      </c>
      <c r="C5" s="2">
        <f>e</f>
        <v>8.1819190928906924E-2</v>
      </c>
      <c r="E5" s="11"/>
      <c r="F5" s="11" t="s">
        <v>5</v>
      </c>
      <c r="G5" s="11" t="s">
        <v>60</v>
      </c>
      <c r="H5" s="11" t="s">
        <v>61</v>
      </c>
      <c r="I5" s="11" t="s">
        <v>62</v>
      </c>
    </row>
    <row r="6" spans="1:9">
      <c r="A6" s="2" t="s">
        <v>42</v>
      </c>
      <c r="B6" s="2" t="s">
        <v>83</v>
      </c>
      <c r="C6" s="2">
        <f>e1sq</f>
        <v>6.7394967565870025E-3</v>
      </c>
      <c r="E6" s="11" t="s">
        <v>9</v>
      </c>
      <c r="F6" s="11">
        <f>180*(_phi1-fact1*(fact2+fact3+fact4))/PI()</f>
        <v>26.191925870439636</v>
      </c>
      <c r="G6" s="11">
        <f>INT(F6)</f>
        <v>26</v>
      </c>
      <c r="H6" s="11">
        <f>INT((F6-G6)*60)</f>
        <v>11</v>
      </c>
      <c r="I6" s="11">
        <f>3600*(F6-G6-H6/60)</f>
        <v>30.933133582690619</v>
      </c>
    </row>
    <row r="7" spans="1:9">
      <c r="A7" s="2" t="s">
        <v>63</v>
      </c>
      <c r="B7" s="2" t="s">
        <v>22</v>
      </c>
      <c r="C7" s="2">
        <v>0.99960000000000004</v>
      </c>
      <c r="E7" s="11" t="s">
        <v>12</v>
      </c>
      <c r="F7" s="11">
        <f>F3-E22</f>
        <v>-120.18332707439525</v>
      </c>
      <c r="G7" s="11">
        <f>TRUNC((F7),0)</f>
        <v>-120</v>
      </c>
      <c r="H7" s="11">
        <f>TRUNC(((F7-G7)*60),0)</f>
        <v>-10</v>
      </c>
      <c r="I7" s="11">
        <f>3600*(ABS(F7-G7)-ABS(H7/60))</f>
        <v>59.977467822903954</v>
      </c>
    </row>
    <row r="9" spans="1:9">
      <c r="A9" s="13" t="s">
        <v>86</v>
      </c>
      <c r="B9" s="14"/>
      <c r="C9" s="14"/>
    </row>
    <row r="10" spans="1:9">
      <c r="A10" s="14" t="s">
        <v>85</v>
      </c>
      <c r="B10" s="14"/>
      <c r="C10" s="15">
        <f>latd/k0</f>
        <v>2901160.4641856742</v>
      </c>
    </row>
    <row r="11" spans="1:9">
      <c r="A11" s="14"/>
      <c r="B11" s="14" t="s">
        <v>64</v>
      </c>
      <c r="C11" s="14">
        <f>arc/(a*(1-ec^2/4-3*ec^4/64-5*ec^6/256))</f>
        <v>0.4556236567725564</v>
      </c>
    </row>
    <row r="12" spans="1:9">
      <c r="A12" s="14"/>
      <c r="B12" s="14" t="s">
        <v>65</v>
      </c>
      <c r="C12" s="14">
        <f>(1-(1-ec*ec)^(1/2))/(1+(1-ec*ec)^(1/2))</f>
        <v>1.6792203899373788E-3</v>
      </c>
    </row>
    <row r="13" spans="1:9">
      <c r="A13" s="14"/>
      <c r="B13" s="14" t="s">
        <v>34</v>
      </c>
      <c r="C13" s="14">
        <f>3*ei/2-27*ei^3/32</f>
        <v>2.5188265897211743E-3</v>
      </c>
    </row>
    <row r="14" spans="1:9">
      <c r="A14" s="14"/>
      <c r="B14" s="14" t="s">
        <v>66</v>
      </c>
      <c r="C14" s="14">
        <f>21*ei^2/16-55*ei^4/32</f>
        <v>3.7009490512848485E-6</v>
      </c>
      <c r="E14" t="s">
        <v>158</v>
      </c>
    </row>
    <row r="15" spans="1:9">
      <c r="A15" s="14"/>
      <c r="B15" s="14" t="s">
        <v>67</v>
      </c>
      <c r="C15" s="14">
        <f>151*ei^3/96</f>
        <v>7.4478138147885742E-9</v>
      </c>
      <c r="E15" t="s">
        <v>69</v>
      </c>
      <c r="F15" t="s">
        <v>60</v>
      </c>
      <c r="G15" t="s">
        <v>61</v>
      </c>
      <c r="H15" t="s">
        <v>62</v>
      </c>
    </row>
    <row r="16" spans="1:9">
      <c r="A16" s="14"/>
      <c r="B16" s="14" t="s">
        <v>68</v>
      </c>
      <c r="C16" s="14">
        <f>1097*ei^4/512</f>
        <v>1.7035993382806964E-11</v>
      </c>
      <c r="E16">
        <f>_phi1*180/PI()</f>
        <v>26.219568212786314</v>
      </c>
      <c r="F16">
        <f>INT(E16)</f>
        <v>26</v>
      </c>
      <c r="G16">
        <f>INT((E16-F16)*60)</f>
        <v>13</v>
      </c>
      <c r="H16">
        <f>3600*(E16-F16-G16/60)</f>
        <v>10.44556603072917</v>
      </c>
    </row>
    <row r="17" spans="1:8">
      <c r="A17" s="14" t="s">
        <v>70</v>
      </c>
      <c r="B17" s="14"/>
      <c r="C17" s="14">
        <f>mu+ca*SIN(2*mu)+cb*SIN(4*mu)+ccc*SIN(6*mu)+cd*SIN(8*mu)</f>
        <v>0.45761779376436634</v>
      </c>
    </row>
    <row r="18" spans="1:8">
      <c r="A18" s="4" t="s">
        <v>87</v>
      </c>
      <c r="B18" s="1"/>
      <c r="C18" s="1"/>
    </row>
    <row r="19" spans="1:8">
      <c r="A19" s="1" t="s">
        <v>59</v>
      </c>
      <c r="B19" s="1" t="s">
        <v>84</v>
      </c>
      <c r="C19" s="1">
        <f>_Sin1</f>
        <v>0</v>
      </c>
    </row>
    <row r="20" spans="1:8">
      <c r="A20" s="1" t="s">
        <v>34</v>
      </c>
      <c r="B20" s="1"/>
      <c r="C20" s="1">
        <f>eisq*COS(_phi1)^2</f>
        <v>5.4239599317281208E-3</v>
      </c>
      <c r="E20" t="s">
        <v>53</v>
      </c>
      <c r="H20">
        <f>(_lof1-_lof2+_lof3)/COS(_phi1)</f>
        <v>-4.9160216503584236E-2</v>
      </c>
    </row>
    <row r="21" spans="1:8">
      <c r="A21" s="1" t="s">
        <v>71</v>
      </c>
      <c r="B21" s="1"/>
      <c r="C21" s="1">
        <f>TAN(_phi1)^2</f>
        <v>0.24254176679357206</v>
      </c>
      <c r="E21" t="s">
        <v>75</v>
      </c>
      <c r="F21" t="s">
        <v>60</v>
      </c>
      <c r="G21" t="s">
        <v>61</v>
      </c>
      <c r="H21" t="s">
        <v>62</v>
      </c>
    </row>
    <row r="22" spans="1:8">
      <c r="A22" s="1" t="s">
        <v>72</v>
      </c>
      <c r="B22" s="1"/>
      <c r="C22" s="1">
        <f>a/(1-(ec*SIN(_phi1))^2)^(1/2)</f>
        <v>6382308.3404258965</v>
      </c>
      <c r="E22">
        <f>H20*180/PI()</f>
        <v>-2.8166729256047534</v>
      </c>
      <c r="F22">
        <f>INT(E22)</f>
        <v>-3</v>
      </c>
      <c r="G22">
        <f>INT((E22-F22)*60)</f>
        <v>10</v>
      </c>
      <c r="H22">
        <f>3600*(E22-F22-G22/60)</f>
        <v>59.977467822887967</v>
      </c>
    </row>
    <row r="23" spans="1:8">
      <c r="A23" s="1" t="s">
        <v>73</v>
      </c>
      <c r="B23" s="1"/>
      <c r="C23" s="1">
        <f>a*(1-ec*ec)/(1-(ec*SIN(_phi1))^2)^(3/2)</f>
        <v>6347877.7060965188</v>
      </c>
    </row>
    <row r="24" spans="1:8">
      <c r="A24" s="1" t="s">
        <v>74</v>
      </c>
      <c r="B24" s="1"/>
      <c r="C24" s="1">
        <f>H2/(n0*k0)</f>
        <v>-4.4123321600377421E-2</v>
      </c>
    </row>
    <row r="25" spans="1:8">
      <c r="A25" s="8" t="s">
        <v>88</v>
      </c>
      <c r="B25" s="9"/>
      <c r="C25" s="9"/>
    </row>
    <row r="26" spans="1:8">
      <c r="A26" s="9"/>
      <c r="B26" s="9" t="s">
        <v>76</v>
      </c>
      <c r="C26" s="9">
        <f>n0*TAN(_phi1)/r0</f>
        <v>0.49515651653019427</v>
      </c>
    </row>
    <row r="27" spans="1:8">
      <c r="A27" s="9"/>
      <c r="B27" s="9" t="s">
        <v>77</v>
      </c>
      <c r="C27" s="9">
        <f>dd0*dd0/2</f>
        <v>9.7343375452516642E-4</v>
      </c>
    </row>
    <row r="28" spans="1:8">
      <c r="A28" s="9"/>
      <c r="B28" s="9" t="s">
        <v>78</v>
      </c>
      <c r="C28" s="9">
        <f>(5+3*t0+10*Q0-4*Q0*Q0-9*eisq)*dd0^4/24</f>
        <v>9.0352560740232132E-7</v>
      </c>
    </row>
    <row r="29" spans="1:8">
      <c r="A29" s="9"/>
      <c r="B29" s="9" t="s">
        <v>79</v>
      </c>
      <c r="C29" s="9">
        <f>(61+90*t0+298*Q0+45*t0*t0-252*eisq-3*Q0*Q0)*dd0^6/720</f>
        <v>8.7519190571193756E-10</v>
      </c>
    </row>
    <row r="30" spans="1:8">
      <c r="A30" s="6" t="s">
        <v>89</v>
      </c>
      <c r="B30" s="5"/>
      <c r="C30" s="5"/>
    </row>
    <row r="31" spans="1:8">
      <c r="A31" s="5"/>
      <c r="B31" s="5" t="s">
        <v>80</v>
      </c>
      <c r="C31" s="5">
        <f>dd0</f>
        <v>-4.4123321600377421E-2</v>
      </c>
    </row>
    <row r="32" spans="1:8">
      <c r="A32" s="5"/>
      <c r="B32" s="5" t="s">
        <v>81</v>
      </c>
      <c r="C32" s="5">
        <f>(1+2*t0+Q0)*dd0^3/6</f>
        <v>-2.1339660675233655E-5</v>
      </c>
    </row>
    <row r="33" spans="1:6">
      <c r="A33" s="5"/>
      <c r="B33" s="5" t="s">
        <v>82</v>
      </c>
      <c r="C33" s="5">
        <f>(5-2*Q0+28*t0-3*Q0^2+8*e1sq+24*t0^2)*dd0^5/120</f>
        <v>-1.8460523889530224E-8</v>
      </c>
    </row>
    <row r="43" spans="1:6">
      <c r="E43" s="18"/>
      <c r="F43" s="18"/>
    </row>
    <row r="44" spans="1:6">
      <c r="E44" s="18"/>
      <c r="F44" s="18"/>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K33"/>
  <sheetViews>
    <sheetView topLeftCell="A34" workbookViewId="0">
      <selection activeCell="D25" sqref="D25"/>
    </sheetView>
  </sheetViews>
  <sheetFormatPr defaultRowHeight="12.75"/>
  <cols>
    <col min="3" max="4" width="11.7109375" bestFit="1" customWidth="1"/>
    <col min="5" max="5" width="22.85546875" customWidth="1"/>
    <col min="6" max="6" width="12.140625" customWidth="1"/>
    <col min="7" max="7" width="12.42578125" bestFit="1" customWidth="1"/>
    <col min="8" max="8" width="21.140625" customWidth="1"/>
  </cols>
  <sheetData>
    <row r="1" spans="1:11">
      <c r="B1" t="s">
        <v>0</v>
      </c>
      <c r="C1" t="s">
        <v>1</v>
      </c>
      <c r="E1" s="44" t="s">
        <v>148</v>
      </c>
      <c r="F1" s="44"/>
      <c r="G1" s="44">
        <f>'UTM Conversion Main Page'!E28</f>
        <v>10</v>
      </c>
      <c r="H1" s="44" t="s">
        <v>149</v>
      </c>
      <c r="I1" s="44" t="str">
        <f>UPPER('UTM Conversion Main Page'!F28)</f>
        <v>S</v>
      </c>
    </row>
    <row r="2" spans="1:11">
      <c r="A2" s="3" t="s">
        <v>49</v>
      </c>
      <c r="B2" s="3"/>
      <c r="C2" s="2"/>
      <c r="E2" s="44" t="s">
        <v>181</v>
      </c>
      <c r="F2" s="44"/>
      <c r="G2" s="44">
        <f>-183+6*G1</f>
        <v>-123</v>
      </c>
      <c r="H2" s="44" t="s">
        <v>209</v>
      </c>
      <c r="I2" s="44">
        <f>(I1&gt;="A")*(I1&lt;="Z")</f>
        <v>1</v>
      </c>
    </row>
    <row r="3" spans="1:11">
      <c r="A3" s="2" t="s">
        <v>54</v>
      </c>
      <c r="B3" s="2" t="s">
        <v>11</v>
      </c>
      <c r="C3" s="2">
        <f>'Convert UTM to Lat, Long'!C3</f>
        <v>6356752.3141999999</v>
      </c>
      <c r="E3" s="44" t="s">
        <v>156</v>
      </c>
      <c r="F3" s="44"/>
      <c r="G3" s="44" t="str">
        <f>LEFT('UTM Conversion Main Page'!G28,1)</f>
        <v>g</v>
      </c>
      <c r="H3" s="44" t="s">
        <v>207</v>
      </c>
      <c r="I3" s="44" t="str">
        <f>UPPER(LEFT('UTM Conversion Main Page'!G28,1))</f>
        <v>G</v>
      </c>
    </row>
    <row r="4" spans="1:11">
      <c r="A4" s="2" t="s">
        <v>56</v>
      </c>
      <c r="B4" s="2" t="s">
        <v>8</v>
      </c>
      <c r="C4" s="2">
        <f>'Convert UTM to Lat, Long'!C4</f>
        <v>6378137</v>
      </c>
      <c r="E4" s="44" t="s">
        <v>165</v>
      </c>
      <c r="F4" s="44"/>
      <c r="G4" s="44">
        <f>VLOOKUP('Convert MGR to LatLong'!G3,Datums!L2:M25,2)</f>
        <v>7</v>
      </c>
      <c r="H4" s="44" t="s">
        <v>209</v>
      </c>
      <c r="I4" s="44">
        <f>(I3&gt;="A")*(I3&lt;="Z")*(I3&lt;&gt;"I")*(I3&lt;&gt;"O")</f>
        <v>1</v>
      </c>
    </row>
    <row r="5" spans="1:11">
      <c r="A5" s="2" t="s">
        <v>58</v>
      </c>
      <c r="B5" s="2" t="s">
        <v>25</v>
      </c>
      <c r="C5" s="2">
        <f>'Convert UTM to Lat, Long'!C5</f>
        <v>8.1819190928906924E-2</v>
      </c>
      <c r="E5" s="44" t="s">
        <v>167</v>
      </c>
      <c r="F5" s="44"/>
      <c r="G5" s="44">
        <f>1+MOD('UTM Conversion Main Page'!E28,3)</f>
        <v>2</v>
      </c>
      <c r="H5" s="44" t="s">
        <v>208</v>
      </c>
      <c r="I5" s="44" t="str">
        <f>UPPER(RIGHT('UTM Conversion Main Page'!G28,1))</f>
        <v>Q</v>
      </c>
    </row>
    <row r="6" spans="1:11">
      <c r="A6" s="2" t="s">
        <v>42</v>
      </c>
      <c r="B6" s="2" t="s">
        <v>83</v>
      </c>
      <c r="C6" s="2">
        <f>'Convert UTM to Lat, Long'!C6</f>
        <v>6.7394967565870025E-3</v>
      </c>
      <c r="E6" s="44" t="s">
        <v>166</v>
      </c>
      <c r="F6" s="44"/>
      <c r="G6" s="44">
        <f>CHOOSE(G5,16,0,8)</f>
        <v>0</v>
      </c>
      <c r="H6" s="44" t="s">
        <v>209</v>
      </c>
      <c r="I6" s="44">
        <f>(I5&gt;="A")*(I5&lt;="Z")*(I5&lt;&gt;"I")*(I5&lt;&gt;"O")</f>
        <v>1</v>
      </c>
    </row>
    <row r="7" spans="1:11">
      <c r="A7" s="2" t="s">
        <v>63</v>
      </c>
      <c r="B7" s="2" t="s">
        <v>22</v>
      </c>
      <c r="C7" s="2">
        <f>'Convert UTM to Lat, Long'!C7</f>
        <v>0.99960000000000004</v>
      </c>
      <c r="E7" s="44" t="s">
        <v>159</v>
      </c>
      <c r="F7" s="44"/>
      <c r="G7" s="44">
        <f>100000*(G4-G6)</f>
        <v>700000</v>
      </c>
      <c r="H7" s="44" t="s">
        <v>211</v>
      </c>
      <c r="I7" s="44">
        <f>I6*I4</f>
        <v>1</v>
      </c>
    </row>
    <row r="8" spans="1:11">
      <c r="E8" s="44" t="s">
        <v>160</v>
      </c>
      <c r="F8" s="44"/>
      <c r="G8" s="44">
        <f>G7+'UTM Conversion Main Page'!H28</f>
        <v>781496</v>
      </c>
      <c r="H8" s="44"/>
      <c r="I8" s="44"/>
    </row>
    <row r="9" spans="1:11">
      <c r="A9" s="13" t="s">
        <v>86</v>
      </c>
      <c r="B9" s="14"/>
      <c r="C9" s="14"/>
      <c r="E9" s="44" t="s">
        <v>212</v>
      </c>
      <c r="F9" s="44"/>
      <c r="G9" s="44">
        <f>500000-G8</f>
        <v>-281496</v>
      </c>
      <c r="H9" s="44"/>
      <c r="I9" s="44"/>
    </row>
    <row r="10" spans="1:11">
      <c r="A10" s="14" t="s">
        <v>85</v>
      </c>
      <c r="B10" s="14"/>
      <c r="C10" s="15">
        <f>G26/C7</f>
        <v>2901160.4641856742</v>
      </c>
      <c r="D10" s="56"/>
      <c r="E10" s="44"/>
      <c r="F10" s="44"/>
      <c r="G10" s="44"/>
      <c r="H10" s="44" t="s">
        <v>53</v>
      </c>
      <c r="I10" s="44"/>
      <c r="J10" s="44"/>
      <c r="K10" s="44">
        <f>(C31-C32+C33)/COS(C17)</f>
        <v>-4.9160216503584236E-2</v>
      </c>
    </row>
    <row r="11" spans="1:11">
      <c r="A11" s="14"/>
      <c r="B11" s="14" t="s">
        <v>64</v>
      </c>
      <c r="C11" s="14">
        <f>C10/(a*(1-ec^2/4-3*ec^4/64-5*ec^6/256))</f>
        <v>0.4556236567725564</v>
      </c>
      <c r="D11" s="56"/>
      <c r="E11" s="44"/>
      <c r="F11" s="44"/>
      <c r="G11" s="44"/>
      <c r="H11" s="44" t="s">
        <v>75</v>
      </c>
      <c r="I11" s="44" t="s">
        <v>60</v>
      </c>
      <c r="J11" s="44" t="s">
        <v>61</v>
      </c>
      <c r="K11" s="44" t="s">
        <v>62</v>
      </c>
    </row>
    <row r="12" spans="1:11">
      <c r="A12" s="14"/>
      <c r="B12" s="14" t="s">
        <v>65</v>
      </c>
      <c r="C12" s="14">
        <f>(1-(1-ec*ec)^(1/2))/(1+(1-ec*ec)^(1/2))</f>
        <v>1.6792203899373788E-3</v>
      </c>
      <c r="D12" s="56"/>
      <c r="E12" s="44" t="s">
        <v>149</v>
      </c>
      <c r="F12" s="44"/>
      <c r="G12" s="53" t="str">
        <f>'UTM Conversion Main Page'!F28</f>
        <v>s</v>
      </c>
      <c r="H12" s="44">
        <f>K10*180/PI()</f>
        <v>-2.8166729256047534</v>
      </c>
      <c r="I12" s="44">
        <f>INT(H12)</f>
        <v>-3</v>
      </c>
      <c r="J12" s="44">
        <f>INT((H12-I12)*60)</f>
        <v>10</v>
      </c>
      <c r="K12" s="44">
        <f>3600*(H12-I12-J12/60)</f>
        <v>59.977467822887967</v>
      </c>
    </row>
    <row r="13" spans="1:11">
      <c r="A13" s="14"/>
      <c r="B13" s="14" t="s">
        <v>34</v>
      </c>
      <c r="C13" s="14">
        <f>3*C12/2-27*C12^3/32</f>
        <v>2.5188265897211743E-3</v>
      </c>
      <c r="D13" s="56"/>
      <c r="E13" s="44" t="s">
        <v>161</v>
      </c>
      <c r="F13" s="44"/>
      <c r="G13" s="44">
        <f>VLOOKUP(G12,Datums!I2:J23,2)</f>
        <v>32</v>
      </c>
    </row>
    <row r="14" spans="1:11">
      <c r="A14" s="14"/>
      <c r="B14" s="14" t="s">
        <v>66</v>
      </c>
      <c r="C14" s="14">
        <f>21*C12^2/16-55*C12^4/32</f>
        <v>3.7009490512848485E-6</v>
      </c>
      <c r="D14" s="56"/>
      <c r="E14" s="44" t="s">
        <v>170</v>
      </c>
      <c r="F14" s="44"/>
      <c r="G14" s="44">
        <f>G13*40000000/360</f>
        <v>3555555.5555555555</v>
      </c>
    </row>
    <row r="15" spans="1:11">
      <c r="A15" s="14"/>
      <c r="B15" s="14" t="s">
        <v>67</v>
      </c>
      <c r="C15" s="14">
        <f>151*C12^3/96</f>
        <v>7.4478138147885742E-9</v>
      </c>
      <c r="D15" s="56"/>
      <c r="E15" s="44" t="s">
        <v>171</v>
      </c>
      <c r="F15" s="44"/>
      <c r="G15" s="44">
        <f>2000000*INT(G14/2000000)</f>
        <v>2000000</v>
      </c>
    </row>
    <row r="16" spans="1:11">
      <c r="A16" s="14"/>
      <c r="B16" s="14" t="s">
        <v>68</v>
      </c>
      <c r="C16" s="14">
        <f>1097*C12^4/512</f>
        <v>1.7035993382806964E-11</v>
      </c>
      <c r="D16" s="56"/>
      <c r="E16" s="44" t="s">
        <v>155</v>
      </c>
      <c r="F16" s="44"/>
      <c r="G16" s="44" t="str">
        <f>RIGHT('UTM Conversion Main Page'!G28,1)</f>
        <v>q</v>
      </c>
    </row>
    <row r="17" spans="1:7">
      <c r="A17" s="14" t="s">
        <v>70</v>
      </c>
      <c r="B17" s="14" t="s">
        <v>214</v>
      </c>
      <c r="C17" s="14">
        <f>C11+C13*SIN(2*C11)+C14*SIN(4*C11)+C15*SIN(6*C11)+C16*SIN(8*C11)</f>
        <v>0.45761779376436634</v>
      </c>
      <c r="D17" s="56"/>
      <c r="E17" s="44" t="s">
        <v>157</v>
      </c>
      <c r="F17" s="44"/>
      <c r="G17" s="44">
        <f>VLOOKUP(G16,Datums!O2:P22,2)</f>
        <v>15</v>
      </c>
    </row>
    <row r="18" spans="1:7">
      <c r="A18" s="4" t="s">
        <v>87</v>
      </c>
      <c r="B18" s="1"/>
      <c r="C18" s="1"/>
      <c r="D18" s="56"/>
      <c r="E18" s="44" t="s">
        <v>168</v>
      </c>
      <c r="F18" s="44"/>
      <c r="G18" s="44" t="str">
        <f>CHOOSE(1+MOD(G1,2),"F","A")</f>
        <v>F</v>
      </c>
    </row>
    <row r="19" spans="1:7">
      <c r="A19" s="1"/>
      <c r="B19" s="1"/>
      <c r="C19" s="1"/>
      <c r="D19" s="56"/>
      <c r="E19" s="44" t="s">
        <v>169</v>
      </c>
      <c r="F19" s="44"/>
      <c r="G19" s="44">
        <f>CHOOSE(1+MOD(G1,2),6,1)</f>
        <v>6</v>
      </c>
    </row>
    <row r="20" spans="1:7">
      <c r="A20" s="1" t="s">
        <v>34</v>
      </c>
      <c r="B20" s="1"/>
      <c r="C20" s="1">
        <f>eisq*COS(C17)^2</f>
        <v>5.4239599317281208E-3</v>
      </c>
      <c r="D20" s="56"/>
      <c r="E20" s="44" t="s">
        <v>164</v>
      </c>
      <c r="F20" s="44"/>
      <c r="G20" s="44">
        <f>G15+(G17-G19)*100000</f>
        <v>2900000</v>
      </c>
    </row>
    <row r="21" spans="1:7">
      <c r="A21" s="1" t="s">
        <v>71</v>
      </c>
      <c r="B21" s="1"/>
      <c r="C21" s="1">
        <f>TAN(C17)^2</f>
        <v>0.24254176679357206</v>
      </c>
      <c r="D21" s="56"/>
    </row>
    <row r="22" spans="1:7">
      <c r="A22" s="1" t="s">
        <v>72</v>
      </c>
      <c r="B22" s="1"/>
      <c r="C22" s="1">
        <f>a/(1-(ec*SIN(C17))^2)^(1/2)</f>
        <v>6382308.3404258965</v>
      </c>
      <c r="D22" s="56"/>
    </row>
    <row r="23" spans="1:7">
      <c r="A23" s="1" t="s">
        <v>73</v>
      </c>
      <c r="B23" s="1"/>
      <c r="C23" s="1">
        <f>a*(1-ec*ec)/(1-(ec*SIN(C17))^2)^(3/2)</f>
        <v>6347877.7060965188</v>
      </c>
      <c r="D23" s="56"/>
    </row>
    <row r="24" spans="1:7">
      <c r="A24" s="1" t="s">
        <v>74</v>
      </c>
      <c r="B24" s="1"/>
      <c r="C24" s="1">
        <f>G9/(C22*C7)</f>
        <v>-4.4123321600377421E-2</v>
      </c>
      <c r="D24" s="56"/>
    </row>
    <row r="25" spans="1:7">
      <c r="A25" s="8" t="s">
        <v>88</v>
      </c>
      <c r="B25" s="9"/>
      <c r="C25" s="9"/>
      <c r="D25" s="56"/>
      <c r="E25" s="44" t="s">
        <v>172</v>
      </c>
      <c r="F25" s="44"/>
      <c r="G25" s="44">
        <f>IF(G20&gt;0,G20,10000000+G20)</f>
        <v>2900000</v>
      </c>
    </row>
    <row r="26" spans="1:7">
      <c r="A26" s="9"/>
      <c r="B26" s="9" t="s">
        <v>76</v>
      </c>
      <c r="C26" s="9">
        <f>C22*TAN(C17)/r0</f>
        <v>0.49515651653019427</v>
      </c>
      <c r="D26" s="56"/>
      <c r="E26" s="44" t="s">
        <v>23</v>
      </c>
      <c r="F26" s="44"/>
      <c r="G26" s="44">
        <f>G25+'UTM Conversion Main Page'!I28</f>
        <v>2900000</v>
      </c>
    </row>
    <row r="27" spans="1:7">
      <c r="A27" s="9"/>
      <c r="B27" s="9" t="s">
        <v>77</v>
      </c>
      <c r="C27" s="9">
        <f>C24*C24/2</f>
        <v>9.7343375452516642E-4</v>
      </c>
      <c r="D27" s="56"/>
    </row>
    <row r="28" spans="1:7">
      <c r="A28" s="9"/>
      <c r="B28" s="9" t="s">
        <v>78</v>
      </c>
      <c r="C28" s="9">
        <f>(5+3*C21+10*C20-4*C20*C20-9*eisq)*C24^4/24</f>
        <v>9.0352560740232132E-7</v>
      </c>
      <c r="D28" s="56"/>
      <c r="E28" s="44" t="s">
        <v>215</v>
      </c>
      <c r="F28" s="44">
        <f>180*(C17-C26*(C27+C28+C29))/PI()</f>
        <v>26.191925870439636</v>
      </c>
    </row>
    <row r="29" spans="1:7">
      <c r="A29" s="9"/>
      <c r="B29" s="9" t="s">
        <v>79</v>
      </c>
      <c r="C29" s="9">
        <f>(61+90*C21+298*C20+45*C21*C21-252*eisq-3*C20*C20)*C24^6/720</f>
        <v>8.7519190571193756E-10</v>
      </c>
      <c r="D29" s="56"/>
      <c r="E29" s="44" t="s">
        <v>9</v>
      </c>
      <c r="F29" s="44">
        <f>IF(G13&gt;0,F28,90-F28)</f>
        <v>26.191925870439636</v>
      </c>
    </row>
    <row r="30" spans="1:7">
      <c r="A30" s="6" t="s">
        <v>89</v>
      </c>
      <c r="B30" s="5"/>
      <c r="C30" s="5"/>
      <c r="D30" s="56"/>
      <c r="E30" s="44" t="s">
        <v>213</v>
      </c>
      <c r="F30" s="44">
        <f>G2-H12</f>
        <v>-120.18332707439525</v>
      </c>
    </row>
    <row r="31" spans="1:7">
      <c r="A31" s="5"/>
      <c r="B31" s="5" t="s">
        <v>80</v>
      </c>
      <c r="C31" s="5">
        <f>C24</f>
        <v>-4.4123321600377421E-2</v>
      </c>
      <c r="D31" s="56"/>
    </row>
    <row r="32" spans="1:7">
      <c r="A32" s="5"/>
      <c r="B32" s="5" t="s">
        <v>81</v>
      </c>
      <c r="C32" s="5">
        <f>(1+2*C21+C20)*C24^3/6</f>
        <v>-2.1339660675233655E-5</v>
      </c>
      <c r="D32" s="56"/>
    </row>
    <row r="33" spans="1:4">
      <c r="A33" s="5"/>
      <c r="B33" s="5" t="s">
        <v>82</v>
      </c>
      <c r="C33" s="5">
        <f>(5-2*C20+28*C21-3*C20^2+8*e1sq+24*C21^2)*C24^5/120</f>
        <v>-1.8460523889530224E-8</v>
      </c>
      <c r="D33" s="56"/>
    </row>
  </sheetData>
  <phoneticPr fontId="8" type="noConversion"/>
  <pageMargins left="0.75" right="0.75" top="1" bottom="1" header="0.5" footer="0.5"/>
  <headerFooter alignWithMargins="0"/>
  <ignoredErrors>
    <ignoredError sqref="I5" formula="1"/>
  </ignoredErrors>
</worksheet>
</file>

<file path=xl/worksheets/sheet8.xml><?xml version="1.0" encoding="utf-8"?>
<worksheet xmlns="http://schemas.openxmlformats.org/spreadsheetml/2006/main" xmlns:r="http://schemas.openxmlformats.org/officeDocument/2006/relationships">
  <dimension ref="A1:AI28"/>
  <sheetViews>
    <sheetView workbookViewId="0">
      <selection activeCell="O3" sqref="O3"/>
    </sheetView>
  </sheetViews>
  <sheetFormatPr defaultRowHeight="12.75"/>
  <cols>
    <col min="4" max="4" width="3.28515625" style="11" customWidth="1"/>
    <col min="5" max="5" width="3" style="11" customWidth="1"/>
    <col min="6" max="6" width="12.7109375" style="12" bestFit="1" customWidth="1"/>
    <col min="7" max="7" width="10.140625" style="12" customWidth="1"/>
    <col min="8" max="8" width="3.28515625" style="58" customWidth="1"/>
    <col min="9" max="27" width="3.28515625" style="23" customWidth="1"/>
    <col min="28" max="28" width="9.140625" style="10"/>
    <col min="29" max="29" width="12.42578125" style="10" bestFit="1" customWidth="1"/>
    <col min="30" max="30" width="3.5703125" style="64" bestFit="1" customWidth="1"/>
    <col min="31" max="31" width="3.28515625" style="64" bestFit="1" customWidth="1"/>
    <col min="32" max="32" width="9.140625" style="64"/>
    <col min="33" max="33" width="4.5703125" style="22" bestFit="1" customWidth="1"/>
    <col min="34" max="34" width="3.28515625" style="22" bestFit="1" customWidth="1"/>
    <col min="35" max="35" width="9.140625" style="22"/>
  </cols>
  <sheetData>
    <row r="1" spans="1:35">
      <c r="R1" s="19" t="s">
        <v>88</v>
      </c>
      <c r="V1" s="19" t="s">
        <v>89</v>
      </c>
    </row>
    <row r="2" spans="1:35" ht="107.25">
      <c r="A2" s="62" t="s">
        <v>189</v>
      </c>
      <c r="D2" s="57" t="s">
        <v>186</v>
      </c>
      <c r="E2" s="57" t="s">
        <v>185</v>
      </c>
      <c r="F2" s="12" t="s">
        <v>23</v>
      </c>
      <c r="G2" s="12" t="s">
        <v>26</v>
      </c>
      <c r="H2" s="59" t="s">
        <v>187</v>
      </c>
      <c r="I2" s="60" t="s">
        <v>183</v>
      </c>
      <c r="J2" s="60" t="s">
        <v>85</v>
      </c>
      <c r="K2" s="60" t="s">
        <v>64</v>
      </c>
      <c r="L2" s="60" t="s">
        <v>184</v>
      </c>
      <c r="M2" s="60" t="s">
        <v>34</v>
      </c>
      <c r="N2" s="60" t="s">
        <v>71</v>
      </c>
      <c r="O2" s="60" t="s">
        <v>72</v>
      </c>
      <c r="P2" s="60" t="s">
        <v>73</v>
      </c>
      <c r="Q2" s="60" t="s">
        <v>74</v>
      </c>
      <c r="R2" s="60" t="s">
        <v>76</v>
      </c>
      <c r="S2" s="60" t="s">
        <v>77</v>
      </c>
      <c r="T2" s="60" t="s">
        <v>78</v>
      </c>
      <c r="U2" s="60" t="s">
        <v>79</v>
      </c>
      <c r="V2" s="60" t="s">
        <v>80</v>
      </c>
      <c r="W2" s="60" t="s">
        <v>81</v>
      </c>
      <c r="X2" s="60" t="s">
        <v>82</v>
      </c>
      <c r="Y2" s="60" t="s">
        <v>53</v>
      </c>
      <c r="Z2" s="60" t="s">
        <v>18</v>
      </c>
      <c r="AA2" s="60" t="s">
        <v>188</v>
      </c>
      <c r="AB2" s="10" t="s">
        <v>9</v>
      </c>
      <c r="AC2" s="10" t="s">
        <v>12</v>
      </c>
      <c r="AD2" s="65" t="s">
        <v>198</v>
      </c>
      <c r="AE2" s="65" t="s">
        <v>199</v>
      </c>
      <c r="AF2" s="65" t="s">
        <v>200</v>
      </c>
      <c r="AG2" s="66" t="s">
        <v>201</v>
      </c>
      <c r="AH2" s="66" t="s">
        <v>202</v>
      </c>
      <c r="AI2" s="66" t="s">
        <v>203</v>
      </c>
    </row>
    <row r="3" spans="1:35">
      <c r="A3" t="s">
        <v>90</v>
      </c>
      <c r="B3" t="str">
        <f>'UTM Conversion Main Page'!E3</f>
        <v>WGS 84</v>
      </c>
      <c r="D3" s="11" t="s">
        <v>110</v>
      </c>
      <c r="E3" s="11">
        <v>14</v>
      </c>
      <c r="F3" s="12">
        <v>7020000</v>
      </c>
      <c r="G3" s="12">
        <v>300000</v>
      </c>
      <c r="H3" s="58">
        <f>IF(D3="N",F3,10000000-F3)</f>
        <v>7020000</v>
      </c>
      <c r="I3" s="23">
        <f>500000-G3</f>
        <v>200000</v>
      </c>
      <c r="J3" s="23">
        <f t="shared" ref="J3:J18" si="0">F3/k0</f>
        <v>7022809.1236494593</v>
      </c>
      <c r="K3" s="23">
        <f t="shared" ref="K3:K18" si="1">J3/(a*(1-e^2/4-3*e^4/64-5*e^6/256))</f>
        <v>1.1029234726011536</v>
      </c>
      <c r="L3" s="23">
        <f>K3+B$14*SIN(2*K3)+B$15*SIN(4*K3)+B$16*SIN(6*K3)+B$17*SIN(8*K3)</f>
        <v>1.1049477005278521</v>
      </c>
      <c r="M3" s="23">
        <f t="shared" ref="M3:M18" si="2">eisq*COS(L3)^2</f>
        <v>1.3597859015433823E-3</v>
      </c>
      <c r="N3" s="23">
        <f>TAN(L3)^2</f>
        <v>3.956292567041289</v>
      </c>
      <c r="O3" s="23">
        <f t="shared" ref="O3:O18" si="3">a/(1-(e*SIN(L3))^2)^(1/2)</f>
        <v>6395247.0195484506</v>
      </c>
      <c r="P3" s="23">
        <f t="shared" ref="P3:P18" si="4">a*(1-e*e)/(1-(e*SIN(L3))^2)^(3/2)</f>
        <v>6386562.6616817731</v>
      </c>
      <c r="Q3" s="23">
        <f t="shared" ref="Q3:Q18" si="5">I3/(O3*k0)</f>
        <v>3.1285739456383369E-2</v>
      </c>
      <c r="R3" s="23">
        <f>O3*TAN(L3)/P3</f>
        <v>1.9917478013057652</v>
      </c>
      <c r="S3" s="23">
        <f>Q3*Q3/2</f>
        <v>4.8939874666635152E-4</v>
      </c>
      <c r="T3" s="23">
        <f t="shared" ref="T3:T18" si="6">(5+3*N3+10*M3-4*M3*M3-9*eisq)*Q3^4/24</f>
        <v>6.7150190354831849E-7</v>
      </c>
      <c r="U3" s="23">
        <f t="shared" ref="U3:U18" si="7">(61+90*N3+298*M3+45*N3*N3-252*eisq-3*M3*M3)*Q3^6/720</f>
        <v>1.4588557010010903E-9</v>
      </c>
      <c r="V3" s="23">
        <f>Q3</f>
        <v>3.1285739456383369E-2</v>
      </c>
      <c r="W3" s="23">
        <f>(1+2*N3+M3)*Q3^3/6</f>
        <v>4.5494402806925065E-5</v>
      </c>
      <c r="X3" s="23">
        <f t="shared" ref="X3:X18" si="8">(5-2*M3+28*N3-3*M3^2+8*e1sq+24*N3^2)*Q3^5/120</f>
        <v>1.2276030680153097E-7</v>
      </c>
      <c r="Y3" s="23">
        <f>(V3-W3+X3)/COS(L3)</f>
        <v>6.954959506756847E-2</v>
      </c>
      <c r="Z3" s="23">
        <f>6*E3-183</f>
        <v>-99</v>
      </c>
      <c r="AA3" s="23">
        <f>180*(L3-R3*(S3+T3+U3))/PI()</f>
        <v>63.252913455763924</v>
      </c>
      <c r="AB3" s="10">
        <f>IF(D3="N",AA3,-AA3)</f>
        <v>63.252913455763924</v>
      </c>
      <c r="AC3" s="10">
        <f>Z3-Y3*180/PI()</f>
        <v>-102.98489826421556</v>
      </c>
      <c r="AD3" s="64">
        <f>TRUNC(AB3)</f>
        <v>63</v>
      </c>
      <c r="AE3" s="64">
        <f>ABS(INT(60*(AB3-AD3)))</f>
        <v>15</v>
      </c>
      <c r="AF3" s="64">
        <f>3600*(ABS(AB3)-ABS(AD3)-AE3/60)</f>
        <v>10.48844075012596</v>
      </c>
      <c r="AG3" s="22">
        <f>TRUNC(AC3)</f>
        <v>-102</v>
      </c>
      <c r="AH3" s="67">
        <f>INT(ABS((60*(AC3-AG3))))</f>
        <v>59</v>
      </c>
      <c r="AI3" s="22">
        <f>3600*(ABS(AC3)-ABS(AG3)-AH3/60)</f>
        <v>5.6337511760127246</v>
      </c>
    </row>
    <row r="4" spans="1:35">
      <c r="B4" t="s">
        <v>0</v>
      </c>
      <c r="C4" t="s">
        <v>1</v>
      </c>
      <c r="D4" s="11" t="s">
        <v>33</v>
      </c>
      <c r="E4" s="11">
        <v>45</v>
      </c>
      <c r="F4" s="12">
        <v>4041000</v>
      </c>
      <c r="G4" s="12">
        <v>310000</v>
      </c>
      <c r="H4" s="58">
        <f t="shared" ref="H4:H18" si="9">IF(D4="N",F4,10000000-F4)</f>
        <v>5959000</v>
      </c>
      <c r="I4" s="23">
        <f t="shared" ref="I4:I18" si="10">500000-G4</f>
        <v>190000</v>
      </c>
      <c r="J4" s="23">
        <f t="shared" si="0"/>
        <v>4042617.0468187272</v>
      </c>
      <c r="K4" s="23">
        <f t="shared" si="1"/>
        <v>0.63488799897168979</v>
      </c>
      <c r="L4" s="23">
        <f t="shared" ref="L4:L18" si="11">K4+B$14*SIN(2*K4)+B$15*SIN(4*K4)+B$16*SIN(6*K4)+B$17*SIN(8*K4)</f>
        <v>0.63729565648821285</v>
      </c>
      <c r="M4" s="23">
        <f t="shared" si="2"/>
        <v>4.3533529889339248E-3</v>
      </c>
      <c r="N4" s="23">
        <f t="shared" ref="N4:N18" si="12">TAN(L4)^2</f>
        <v>0.54811630798572364</v>
      </c>
      <c r="O4" s="23">
        <f t="shared" si="3"/>
        <v>6385709.0975636877</v>
      </c>
      <c r="P4" s="23">
        <f t="shared" si="4"/>
        <v>6358030.3471481986</v>
      </c>
      <c r="Q4" s="23">
        <f t="shared" si="5"/>
        <v>2.9765845500961473E-2</v>
      </c>
      <c r="R4" s="23">
        <f t="shared" ref="R4:R18" si="13">O4*TAN(L4)/P4</f>
        <v>0.74357177410599218</v>
      </c>
      <c r="S4" s="23">
        <f t="shared" ref="S4:S18" si="14">Q4*Q4/2</f>
        <v>4.430027791935542E-4</v>
      </c>
      <c r="T4" s="23">
        <f t="shared" si="6"/>
        <v>2.1676468495314184E-7</v>
      </c>
      <c r="U4" s="23">
        <f t="shared" si="7"/>
        <v>1.1925143764305088E-10</v>
      </c>
      <c r="V4" s="23">
        <f t="shared" ref="V4:V18" si="15">Q4</f>
        <v>2.9765845500961473E-2</v>
      </c>
      <c r="W4" s="23">
        <f t="shared" ref="W4:W18" si="16">(1+2*N4+M4)*Q4^3/6</f>
        <v>9.2330221950929497E-6</v>
      </c>
      <c r="X4" s="23">
        <f t="shared" si="8"/>
        <v>5.374801798368439E-9</v>
      </c>
      <c r="Y4" s="23">
        <f t="shared" ref="Y4:Y18" si="17">(V4-W4+X4)/COS(L4)</f>
        <v>3.7024172474970238E-2</v>
      </c>
      <c r="Z4" s="23">
        <f t="shared" ref="Z4:Z18" si="18">6*E4-183</f>
        <v>87</v>
      </c>
      <c r="AA4" s="23">
        <f t="shared" ref="AA4:AA18" si="19">180*(L4-R4*(S4+T4+U4))/PI()</f>
        <v>36.495468699051528</v>
      </c>
      <c r="AB4" s="10">
        <f t="shared" ref="AB4:AB18" si="20">IF(D4="N",AA4,-AA4)</f>
        <v>-36.495468699051528</v>
      </c>
      <c r="AC4" s="10">
        <f t="shared" ref="AC4:AC18" si="21">Z4-Y4*180/PI()</f>
        <v>84.878671177219772</v>
      </c>
      <c r="AD4" s="64">
        <f t="shared" ref="AD4:AD18" si="22">TRUNC(AB4)</f>
        <v>-36</v>
      </c>
      <c r="AE4" s="64">
        <f>INT(ABS(60*(AB4-AD4)))</f>
        <v>29</v>
      </c>
      <c r="AF4" s="64">
        <f t="shared" ref="AF4:AF18" si="23">3600*(ABS(AB4)-ABS(AD4)-AE4/60)</f>
        <v>43.687316585502444</v>
      </c>
      <c r="AG4" s="22">
        <f t="shared" ref="AG4:AG18" si="24">TRUNC(AC4)</f>
        <v>84</v>
      </c>
      <c r="AH4" s="67">
        <f t="shared" ref="AH4:AH18" si="25">INT(ABS((60*(AC4-AG4))))</f>
        <v>52</v>
      </c>
      <c r="AI4" s="22">
        <f t="shared" ref="AI4:AI18" si="26">3600*(ABS(AC4)-ABS(AG4)-AH4/60)</f>
        <v>43.216237991178907</v>
      </c>
    </row>
    <row r="5" spans="1:35">
      <c r="A5" s="3" t="s">
        <v>49</v>
      </c>
      <c r="B5" s="3"/>
      <c r="C5" s="2"/>
      <c r="D5" s="11" t="s">
        <v>110</v>
      </c>
      <c r="E5" s="11">
        <f>'UTM Conversion Main Page'!H12</f>
        <v>30</v>
      </c>
      <c r="F5" s="12">
        <v>1000000</v>
      </c>
      <c r="G5" s="12">
        <v>320000</v>
      </c>
      <c r="H5" s="58">
        <f t="shared" si="9"/>
        <v>1000000</v>
      </c>
      <c r="I5" s="23">
        <f t="shared" si="10"/>
        <v>180000</v>
      </c>
      <c r="J5" s="23">
        <f t="shared" si="0"/>
        <v>1000400.1600640255</v>
      </c>
      <c r="K5" s="23">
        <f t="shared" si="1"/>
        <v>0.15711160578364014</v>
      </c>
      <c r="L5" s="23">
        <f t="shared" si="11"/>
        <v>0.15789230097889953</v>
      </c>
      <c r="M5" s="23">
        <f t="shared" si="2"/>
        <v>6.5728728209056052E-3</v>
      </c>
      <c r="N5" s="23">
        <f t="shared" si="12"/>
        <v>2.5350244896179101E-2</v>
      </c>
      <c r="O5" s="23">
        <f t="shared" si="3"/>
        <v>6378664.8834452834</v>
      </c>
      <c r="P5" s="23">
        <f t="shared" si="4"/>
        <v>6337012.5061776889</v>
      </c>
      <c r="Q5" s="23">
        <f t="shared" si="5"/>
        <v>2.8230363579511801E-2</v>
      </c>
      <c r="R5" s="23">
        <f t="shared" si="13"/>
        <v>0.16026411939507873</v>
      </c>
      <c r="S5" s="23">
        <f t="shared" si="14"/>
        <v>3.9847671391571315E-4</v>
      </c>
      <c r="T5" s="23">
        <f t="shared" si="6"/>
        <v>1.3446203084858009E-7</v>
      </c>
      <c r="U5" s="23">
        <f t="shared" si="7"/>
        <v>4.4691316473241544E-11</v>
      </c>
      <c r="V5" s="23">
        <f t="shared" si="15"/>
        <v>2.8230363579511801E-2</v>
      </c>
      <c r="W5" s="23">
        <f t="shared" si="16"/>
        <v>3.9644729099922828E-6</v>
      </c>
      <c r="X5" s="23">
        <f t="shared" si="8"/>
        <v>8.6152128467630373E-10</v>
      </c>
      <c r="Y5" s="23">
        <f t="shared" si="17"/>
        <v>2.8581933927479881E-2</v>
      </c>
      <c r="Z5" s="23">
        <f t="shared" si="18"/>
        <v>-3</v>
      </c>
      <c r="AA5" s="23">
        <f t="shared" si="19"/>
        <v>9.0429022330484479</v>
      </c>
      <c r="AB5" s="10">
        <f t="shared" si="20"/>
        <v>9.0429022330484479</v>
      </c>
      <c r="AC5" s="10">
        <f t="shared" si="21"/>
        <v>-4.6376241843663744</v>
      </c>
      <c r="AD5" s="64">
        <f t="shared" si="22"/>
        <v>9</v>
      </c>
      <c r="AE5" s="64">
        <f t="shared" ref="AE5:AE18" si="27">INT(ABS(60*(AB5-AD5)))</f>
        <v>2</v>
      </c>
      <c r="AF5" s="64">
        <f t="shared" si="23"/>
        <v>34.448038974412327</v>
      </c>
      <c r="AG5" s="22">
        <f t="shared" si="24"/>
        <v>-4</v>
      </c>
      <c r="AH5" s="67">
        <f t="shared" si="25"/>
        <v>38</v>
      </c>
      <c r="AI5" s="22">
        <f t="shared" si="26"/>
        <v>15.447063718947796</v>
      </c>
    </row>
    <row r="6" spans="1:35">
      <c r="A6" s="2" t="s">
        <v>54</v>
      </c>
      <c r="B6" s="2" t="s">
        <v>11</v>
      </c>
      <c r="C6" s="2">
        <f>b</f>
        <v>6356752.3141999999</v>
      </c>
      <c r="D6" s="11" t="s">
        <v>33</v>
      </c>
      <c r="E6" s="11">
        <v>2</v>
      </c>
      <c r="F6" s="12">
        <v>2000000</v>
      </c>
      <c r="G6" s="12">
        <v>330000</v>
      </c>
      <c r="H6" s="58">
        <f t="shared" si="9"/>
        <v>8000000</v>
      </c>
      <c r="I6" s="23">
        <f t="shared" si="10"/>
        <v>170000</v>
      </c>
      <c r="J6" s="23">
        <f t="shared" si="0"/>
        <v>2000800.3201280511</v>
      </c>
      <c r="K6" s="23">
        <f t="shared" si="1"/>
        <v>0.31422321156728028</v>
      </c>
      <c r="L6" s="23">
        <f t="shared" si="11"/>
        <v>0.31570752849001249</v>
      </c>
      <c r="M6" s="23">
        <f t="shared" si="2"/>
        <v>6.0897857692904945E-3</v>
      </c>
      <c r="N6" s="23">
        <f t="shared" si="12"/>
        <v>0.10668864421682336</v>
      </c>
      <c r="O6" s="23">
        <f t="shared" si="3"/>
        <v>6380196.0989712505</v>
      </c>
      <c r="P6" s="23">
        <f t="shared" si="4"/>
        <v>6341577.2520667585</v>
      </c>
      <c r="Q6" s="23">
        <f t="shared" si="5"/>
        <v>2.6655611296697652E-2</v>
      </c>
      <c r="R6" s="23">
        <f t="shared" si="13"/>
        <v>0.32862139734372281</v>
      </c>
      <c r="S6" s="23">
        <f t="shared" si="14"/>
        <v>3.5526080680031773E-4</v>
      </c>
      <c r="T6" s="23">
        <f t="shared" si="6"/>
        <v>1.1190977868689176E-7</v>
      </c>
      <c r="U6" s="23">
        <f t="shared" si="7"/>
        <v>3.548667091044815E-11</v>
      </c>
      <c r="V6" s="23">
        <f t="shared" si="15"/>
        <v>2.6655611296697652E-2</v>
      </c>
      <c r="W6" s="23">
        <f t="shared" si="16"/>
        <v>3.8493266684384652E-6</v>
      </c>
      <c r="X6" s="23">
        <f t="shared" si="8"/>
        <v>9.3099904526835246E-10</v>
      </c>
      <c r="Y6" s="23">
        <f t="shared" si="17"/>
        <v>2.8037460056619355E-2</v>
      </c>
      <c r="Z6" s="23">
        <f t="shared" si="18"/>
        <v>-171</v>
      </c>
      <c r="AA6" s="23">
        <f t="shared" si="19"/>
        <v>18.08201776478769</v>
      </c>
      <c r="AB6" s="10">
        <f t="shared" si="20"/>
        <v>-18.08201776478769</v>
      </c>
      <c r="AC6" s="10">
        <f t="shared" si="21"/>
        <v>-172.6064281295109</v>
      </c>
      <c r="AD6" s="64">
        <f t="shared" si="22"/>
        <v>-18</v>
      </c>
      <c r="AE6" s="64">
        <f t="shared" si="27"/>
        <v>4</v>
      </c>
      <c r="AF6" s="64">
        <f t="shared" si="23"/>
        <v>55.263953235682663</v>
      </c>
      <c r="AG6" s="22">
        <f t="shared" si="24"/>
        <v>-172</v>
      </c>
      <c r="AH6" s="67">
        <f t="shared" si="25"/>
        <v>36</v>
      </c>
      <c r="AI6" s="22">
        <f t="shared" si="26"/>
        <v>23.141266239249568</v>
      </c>
    </row>
    <row r="7" spans="1:35">
      <c r="A7" s="2" t="s">
        <v>56</v>
      </c>
      <c r="B7" s="2" t="s">
        <v>8</v>
      </c>
      <c r="C7" s="2">
        <f>a</f>
        <v>6378137</v>
      </c>
      <c r="D7" s="11" t="s">
        <v>110</v>
      </c>
      <c r="E7" s="11">
        <v>22</v>
      </c>
      <c r="F7" s="12">
        <v>3000000</v>
      </c>
      <c r="G7" s="12">
        <v>340000</v>
      </c>
      <c r="H7" s="58">
        <f t="shared" si="9"/>
        <v>3000000</v>
      </c>
      <c r="I7" s="23">
        <f t="shared" si="10"/>
        <v>160000</v>
      </c>
      <c r="J7" s="23">
        <f t="shared" si="0"/>
        <v>3001200.4801920769</v>
      </c>
      <c r="K7" s="23">
        <f t="shared" si="1"/>
        <v>0.47133481735092042</v>
      </c>
      <c r="L7" s="23">
        <f t="shared" si="11"/>
        <v>0.47337639651311825</v>
      </c>
      <c r="M7" s="23">
        <f t="shared" si="2"/>
        <v>5.3387642883623646E-3</v>
      </c>
      <c r="N7" s="23">
        <f t="shared" si="12"/>
        <v>0.26237016518560402</v>
      </c>
      <c r="O7" s="23">
        <f t="shared" si="3"/>
        <v>6382578.7633745335</v>
      </c>
      <c r="P7" s="23">
        <f t="shared" si="4"/>
        <v>6348684.63258004</v>
      </c>
      <c r="Q7" s="23">
        <f t="shared" si="5"/>
        <v>2.5078268760073495E-2</v>
      </c>
      <c r="R7" s="23">
        <f t="shared" si="13"/>
        <v>0.51495544302641583</v>
      </c>
      <c r="S7" s="23">
        <f t="shared" si="14"/>
        <v>3.1445978200123911E-4</v>
      </c>
      <c r="T7" s="23">
        <f t="shared" si="6"/>
        <v>9.5254700891424593E-8</v>
      </c>
      <c r="U7" s="23">
        <f t="shared" si="7"/>
        <v>3.0267356114817853E-11</v>
      </c>
      <c r="V7" s="23">
        <f t="shared" si="15"/>
        <v>2.5078268760073495E-2</v>
      </c>
      <c r="W7" s="23">
        <f t="shared" si="16"/>
        <v>4.02212244921746E-6</v>
      </c>
      <c r="X7" s="23">
        <f t="shared" si="8"/>
        <v>1.1607110103600409E-9</v>
      </c>
      <c r="Y7" s="23">
        <f t="shared" si="17"/>
        <v>2.8172233184935096E-2</v>
      </c>
      <c r="Z7" s="23">
        <f t="shared" si="18"/>
        <v>-51</v>
      </c>
      <c r="AA7" s="23">
        <f t="shared" si="19"/>
        <v>27.113188765301704</v>
      </c>
      <c r="AB7" s="10">
        <f t="shared" si="20"/>
        <v>27.113188765301704</v>
      </c>
      <c r="AC7" s="10">
        <f t="shared" si="21"/>
        <v>-52.614150060955183</v>
      </c>
      <c r="AD7" s="64">
        <f t="shared" si="22"/>
        <v>27</v>
      </c>
      <c r="AE7" s="64">
        <f t="shared" si="27"/>
        <v>6</v>
      </c>
      <c r="AF7" s="64">
        <f t="shared" si="23"/>
        <v>47.47955508613385</v>
      </c>
      <c r="AG7" s="22">
        <f t="shared" si="24"/>
        <v>-52</v>
      </c>
      <c r="AH7" s="67">
        <f t="shared" si="25"/>
        <v>36</v>
      </c>
      <c r="AI7" s="22">
        <f t="shared" si="26"/>
        <v>50.940219438657628</v>
      </c>
    </row>
    <row r="8" spans="1:35">
      <c r="A8" s="2" t="s">
        <v>58</v>
      </c>
      <c r="B8" s="2" t="s">
        <v>25</v>
      </c>
      <c r="C8" s="2">
        <f>e</f>
        <v>8.1819190928906924E-2</v>
      </c>
      <c r="D8" s="11" t="s">
        <v>33</v>
      </c>
      <c r="E8" s="11">
        <v>43</v>
      </c>
      <c r="F8" s="12">
        <v>4000000</v>
      </c>
      <c r="G8" s="12">
        <v>350000</v>
      </c>
      <c r="H8" s="58">
        <f t="shared" si="9"/>
        <v>6000000</v>
      </c>
      <c r="I8" s="23">
        <f t="shared" si="10"/>
        <v>150000</v>
      </c>
      <c r="J8" s="23">
        <f t="shared" si="0"/>
        <v>4001600.6402561022</v>
      </c>
      <c r="K8" s="23">
        <f t="shared" si="1"/>
        <v>0.62844642313456056</v>
      </c>
      <c r="L8" s="23">
        <f t="shared" si="11"/>
        <v>0.63084433802325091</v>
      </c>
      <c r="M8" s="23">
        <f t="shared" si="2"/>
        <v>4.3948551549849845E-3</v>
      </c>
      <c r="N8" s="23">
        <f t="shared" si="12"/>
        <v>0.533496900106604</v>
      </c>
      <c r="O8" s="23">
        <f t="shared" si="3"/>
        <v>6385577.165636857</v>
      </c>
      <c r="P8" s="23">
        <f t="shared" si="4"/>
        <v>6357636.2750798026</v>
      </c>
      <c r="Q8" s="23">
        <f t="shared" si="5"/>
        <v>2.349983722961365E-2</v>
      </c>
      <c r="R8" s="23">
        <f t="shared" si="13"/>
        <v>0.73361876180345709</v>
      </c>
      <c r="S8" s="23">
        <f t="shared" si="14"/>
        <v>2.7612117490916787E-4</v>
      </c>
      <c r="T8" s="23">
        <f t="shared" si="6"/>
        <v>8.36601498794675E-8</v>
      </c>
      <c r="U8" s="23">
        <f t="shared" si="7"/>
        <v>2.8405099717885807E-11</v>
      </c>
      <c r="V8" s="23">
        <f t="shared" si="15"/>
        <v>2.349983722961365E-2</v>
      </c>
      <c r="W8" s="23">
        <f t="shared" si="16"/>
        <v>4.4802774097688728E-6</v>
      </c>
      <c r="X8" s="23">
        <f t="shared" si="8"/>
        <v>1.601407934041151E-9</v>
      </c>
      <c r="Y8" s="23">
        <f t="shared" si="17"/>
        <v>2.9095346137631078E-2</v>
      </c>
      <c r="Z8" s="23">
        <f t="shared" si="18"/>
        <v>75</v>
      </c>
      <c r="AA8" s="23">
        <f t="shared" si="19"/>
        <v>36.133108307942415</v>
      </c>
      <c r="AB8" s="10">
        <f t="shared" si="20"/>
        <v>-36.133108307942415</v>
      </c>
      <c r="AC8" s="10">
        <f t="shared" si="21"/>
        <v>73.332959462841472</v>
      </c>
      <c r="AD8" s="64">
        <f t="shared" si="22"/>
        <v>-36</v>
      </c>
      <c r="AE8" s="64">
        <f t="shared" si="27"/>
        <v>7</v>
      </c>
      <c r="AF8" s="64">
        <f t="shared" si="23"/>
        <v>59.189908592692852</v>
      </c>
      <c r="AG8" s="22">
        <f t="shared" si="24"/>
        <v>73</v>
      </c>
      <c r="AH8" s="67">
        <f t="shared" si="25"/>
        <v>19</v>
      </c>
      <c r="AI8" s="22">
        <f t="shared" si="26"/>
        <v>58.654066229301009</v>
      </c>
    </row>
    <row r="9" spans="1:35">
      <c r="A9" s="2" t="s">
        <v>42</v>
      </c>
      <c r="B9" s="2" t="s">
        <v>83</v>
      </c>
      <c r="C9" s="2">
        <f>e1sq</f>
        <v>6.7394967565870025E-3</v>
      </c>
      <c r="D9" s="11" t="s">
        <v>110</v>
      </c>
      <c r="E9" s="11">
        <v>32</v>
      </c>
      <c r="F9" s="12">
        <v>5000000</v>
      </c>
      <c r="G9" s="12">
        <v>360000</v>
      </c>
      <c r="H9" s="58">
        <f t="shared" si="9"/>
        <v>5000000</v>
      </c>
      <c r="I9" s="23">
        <f t="shared" si="10"/>
        <v>140000</v>
      </c>
      <c r="J9" s="23">
        <f t="shared" si="0"/>
        <v>5002000.800320128</v>
      </c>
      <c r="K9" s="23">
        <f t="shared" si="1"/>
        <v>0.7855580289182007</v>
      </c>
      <c r="L9" s="23">
        <f t="shared" si="11"/>
        <v>0.78807684556476953</v>
      </c>
      <c r="M9" s="23">
        <f t="shared" si="2"/>
        <v>3.3516954948722305E-3</v>
      </c>
      <c r="N9" s="23">
        <f t="shared" si="12"/>
        <v>1.0107723887500459</v>
      </c>
      <c r="O9" s="23">
        <f t="shared" si="3"/>
        <v>6388895.7657201709</v>
      </c>
      <c r="P9" s="23">
        <f t="shared" si="4"/>
        <v>6367553.6647885414</v>
      </c>
      <c r="Q9" s="23">
        <f t="shared" si="5"/>
        <v>2.1921788607107782E-2</v>
      </c>
      <c r="R9" s="23">
        <f t="shared" si="13"/>
        <v>1.0087414664579335</v>
      </c>
      <c r="S9" s="23">
        <f t="shared" si="14"/>
        <v>2.4028240786736028E-4</v>
      </c>
      <c r="T9" s="23">
        <f t="shared" si="6"/>
        <v>7.7030247089819484E-8</v>
      </c>
      <c r="U9" s="23">
        <f t="shared" si="7"/>
        <v>3.0403857880659535E-11</v>
      </c>
      <c r="V9" s="23">
        <f t="shared" si="15"/>
        <v>2.1921788607107782E-2</v>
      </c>
      <c r="W9" s="23">
        <f t="shared" si="16"/>
        <v>5.3111335457915733E-6</v>
      </c>
      <c r="X9" s="23">
        <f t="shared" si="8"/>
        <v>2.4414180366693312E-9</v>
      </c>
      <c r="Y9" s="23">
        <f t="shared" si="17"/>
        <v>3.1077942463266849E-2</v>
      </c>
      <c r="Z9" s="23">
        <f t="shared" si="18"/>
        <v>9</v>
      </c>
      <c r="AA9" s="23">
        <f t="shared" si="19"/>
        <v>45.13958521590051</v>
      </c>
      <c r="AB9" s="10">
        <f t="shared" si="20"/>
        <v>45.13958521590051</v>
      </c>
      <c r="AC9" s="10">
        <f t="shared" si="21"/>
        <v>7.219365060904404</v>
      </c>
      <c r="AD9" s="64">
        <f t="shared" si="22"/>
        <v>45</v>
      </c>
      <c r="AE9" s="64">
        <f t="shared" si="27"/>
        <v>8</v>
      </c>
      <c r="AF9" s="64">
        <f t="shared" si="23"/>
        <v>22.506777241836751</v>
      </c>
      <c r="AG9" s="22">
        <f t="shared" si="24"/>
        <v>7</v>
      </c>
      <c r="AH9" s="67">
        <f t="shared" si="25"/>
        <v>13</v>
      </c>
      <c r="AI9" s="22">
        <f t="shared" si="26"/>
        <v>9.7142192558543616</v>
      </c>
    </row>
    <row r="10" spans="1:35">
      <c r="A10" s="2" t="s">
        <v>63</v>
      </c>
      <c r="B10" s="2" t="s">
        <v>22</v>
      </c>
      <c r="C10" s="2">
        <v>0.99960000000000004</v>
      </c>
      <c r="D10" s="11" t="s">
        <v>33</v>
      </c>
      <c r="E10" s="11">
        <v>51</v>
      </c>
      <c r="F10" s="12">
        <v>6000000</v>
      </c>
      <c r="G10" s="12">
        <v>370000</v>
      </c>
      <c r="H10" s="58">
        <f t="shared" si="9"/>
        <v>4000000</v>
      </c>
      <c r="I10" s="23">
        <f t="shared" si="10"/>
        <v>130000</v>
      </c>
      <c r="J10" s="23">
        <f t="shared" si="0"/>
        <v>6002400.9603841538</v>
      </c>
      <c r="K10" s="23">
        <f t="shared" si="1"/>
        <v>0.94266963470184084</v>
      </c>
      <c r="L10" s="23">
        <f t="shared" si="11"/>
        <v>0.94506270031323125</v>
      </c>
      <c r="M10" s="23">
        <f t="shared" si="2"/>
        <v>2.3118845403512591E-3</v>
      </c>
      <c r="N10" s="23">
        <f t="shared" si="12"/>
        <v>1.915152828334165</v>
      </c>
      <c r="O10" s="23">
        <f t="shared" si="3"/>
        <v>6392208.8670880599</v>
      </c>
      <c r="P10" s="23">
        <f t="shared" si="4"/>
        <v>6377464.9045685567</v>
      </c>
      <c r="Q10" s="23">
        <f t="shared" si="5"/>
        <v>2.0345396014502869E-2</v>
      </c>
      <c r="R10" s="23">
        <f t="shared" si="13"/>
        <v>1.387089863309104</v>
      </c>
      <c r="S10" s="23">
        <f t="shared" si="14"/>
        <v>2.0696756949347461E-4</v>
      </c>
      <c r="T10" s="23">
        <f t="shared" si="6"/>
        <v>7.6446512035536062E-8</v>
      </c>
      <c r="U10" s="23">
        <f t="shared" si="7"/>
        <v>3.9147008741701739E-11</v>
      </c>
      <c r="V10" s="23">
        <f t="shared" si="15"/>
        <v>2.0345396014502869E-2</v>
      </c>
      <c r="W10" s="23">
        <f t="shared" si="16"/>
        <v>6.7831218465074246E-6</v>
      </c>
      <c r="X10" s="23">
        <f t="shared" si="8"/>
        <v>4.2616970893205811E-9</v>
      </c>
      <c r="Y10" s="23">
        <f t="shared" si="17"/>
        <v>3.4725786061142572E-2</v>
      </c>
      <c r="Z10" s="23">
        <f t="shared" si="18"/>
        <v>123</v>
      </c>
      <c r="AA10" s="23">
        <f t="shared" si="19"/>
        <v>54.131649402169103</v>
      </c>
      <c r="AB10" s="10">
        <f t="shared" si="20"/>
        <v>-54.131649402169103</v>
      </c>
      <c r="AC10" s="10">
        <f t="shared" si="21"/>
        <v>121.01035901842231</v>
      </c>
      <c r="AD10" s="64">
        <f t="shared" si="22"/>
        <v>-54</v>
      </c>
      <c r="AE10" s="64">
        <f t="shared" si="27"/>
        <v>7</v>
      </c>
      <c r="AF10" s="64">
        <f t="shared" si="23"/>
        <v>53.937847808770123</v>
      </c>
      <c r="AG10" s="22">
        <f t="shared" si="24"/>
        <v>121</v>
      </c>
      <c r="AH10" s="67">
        <f t="shared" si="25"/>
        <v>0</v>
      </c>
      <c r="AI10" s="22">
        <f t="shared" si="26"/>
        <v>37.292466320303674</v>
      </c>
    </row>
    <row r="11" spans="1:35">
      <c r="D11" s="11" t="s">
        <v>110</v>
      </c>
      <c r="E11" s="11">
        <v>23</v>
      </c>
      <c r="F11" s="12">
        <v>7000000</v>
      </c>
      <c r="G11" s="12">
        <v>380000</v>
      </c>
      <c r="H11" s="58">
        <f t="shared" si="9"/>
        <v>7000000</v>
      </c>
      <c r="I11" s="23">
        <f t="shared" si="10"/>
        <v>120000</v>
      </c>
      <c r="J11" s="23">
        <f t="shared" si="0"/>
        <v>7002801.1204481786</v>
      </c>
      <c r="K11" s="23">
        <f t="shared" si="1"/>
        <v>1.099781240485481</v>
      </c>
      <c r="L11" s="23">
        <f t="shared" si="11"/>
        <v>1.1018148325655983</v>
      </c>
      <c r="M11" s="23">
        <f t="shared" si="2"/>
        <v>1.3767720110852576E-3</v>
      </c>
      <c r="N11" s="23">
        <f t="shared" si="12"/>
        <v>3.8951436420286547</v>
      </c>
      <c r="O11" s="23">
        <f t="shared" si="3"/>
        <v>6395192.7788120322</v>
      </c>
      <c r="P11" s="23">
        <f t="shared" si="4"/>
        <v>6386400.1618176512</v>
      </c>
      <c r="Q11" s="23">
        <f t="shared" si="5"/>
        <v>1.8771602883562038E-2</v>
      </c>
      <c r="R11" s="23">
        <f t="shared" si="13"/>
        <v>1.9763290401066802</v>
      </c>
      <c r="S11" s="23">
        <f t="shared" si="14"/>
        <v>1.7618653740907731E-4</v>
      </c>
      <c r="T11" s="23">
        <f t="shared" si="6"/>
        <v>8.6081393863218964E-8</v>
      </c>
      <c r="U11" s="23">
        <f t="shared" si="7"/>
        <v>6.6420828394159292E-11</v>
      </c>
      <c r="V11" s="23">
        <f t="shared" si="15"/>
        <v>1.8771602883562038E-2</v>
      </c>
      <c r="W11" s="23">
        <f t="shared" si="16"/>
        <v>9.6922343940002805E-6</v>
      </c>
      <c r="X11" s="23">
        <f t="shared" si="8"/>
        <v>9.2891818899073309E-9</v>
      </c>
      <c r="Y11" s="23">
        <f t="shared" si="17"/>
        <v>4.1510694405994406E-2</v>
      </c>
      <c r="Z11" s="23">
        <f t="shared" si="18"/>
        <v>-45</v>
      </c>
      <c r="AA11" s="23">
        <f t="shared" si="19"/>
        <v>63.109379418250398</v>
      </c>
      <c r="AB11" s="10">
        <f t="shared" si="20"/>
        <v>63.109379418250398</v>
      </c>
      <c r="AC11" s="10">
        <f t="shared" si="21"/>
        <v>-47.378387594120795</v>
      </c>
      <c r="AD11" s="64">
        <f t="shared" si="22"/>
        <v>63</v>
      </c>
      <c r="AE11" s="64">
        <f t="shared" si="27"/>
        <v>6</v>
      </c>
      <c r="AF11" s="64">
        <f t="shared" si="23"/>
        <v>33.765905701434328</v>
      </c>
      <c r="AG11" s="22">
        <f t="shared" si="24"/>
        <v>-47</v>
      </c>
      <c r="AH11" s="67">
        <f t="shared" si="25"/>
        <v>22</v>
      </c>
      <c r="AI11" s="22">
        <f t="shared" si="26"/>
        <v>42.195338834863016</v>
      </c>
    </row>
    <row r="12" spans="1:35">
      <c r="A12" s="13" t="s">
        <v>86</v>
      </c>
      <c r="B12" s="14"/>
      <c r="C12" s="14"/>
      <c r="D12" s="11" t="s">
        <v>33</v>
      </c>
      <c r="E12" s="11">
        <v>27</v>
      </c>
      <c r="F12" s="12">
        <v>8000000</v>
      </c>
      <c r="G12" s="12">
        <v>390000</v>
      </c>
      <c r="H12" s="58">
        <f t="shared" si="9"/>
        <v>2000000</v>
      </c>
      <c r="I12" s="23">
        <f t="shared" si="10"/>
        <v>110000</v>
      </c>
      <c r="J12" s="23">
        <f t="shared" si="0"/>
        <v>8003201.2805122044</v>
      </c>
      <c r="K12" s="23">
        <f t="shared" si="1"/>
        <v>1.2568928462691211</v>
      </c>
      <c r="L12" s="23">
        <f t="shared" si="11"/>
        <v>1.2583688211718624</v>
      </c>
      <c r="M12" s="23">
        <f t="shared" si="2"/>
        <v>6.3672088594747675E-4</v>
      </c>
      <c r="N12" s="23">
        <f t="shared" si="12"/>
        <v>9.5846955947710892</v>
      </c>
      <c r="O12" s="23">
        <f t="shared" si="3"/>
        <v>6397557.2207570504</v>
      </c>
      <c r="P12" s="23">
        <f t="shared" si="4"/>
        <v>6393486.3544611456</v>
      </c>
      <c r="Q12" s="23">
        <f t="shared" si="5"/>
        <v>1.7200943080274762E-2</v>
      </c>
      <c r="R12" s="23">
        <f t="shared" si="13"/>
        <v>3.0978871884362134</v>
      </c>
      <c r="S12" s="23">
        <f t="shared" si="14"/>
        <v>1.4793622142542611E-4</v>
      </c>
      <c r="T12" s="23">
        <f t="shared" si="6"/>
        <v>1.229207146985231E-7</v>
      </c>
      <c r="U12" s="23">
        <f t="shared" si="7"/>
        <v>1.8188498219326712E-10</v>
      </c>
      <c r="V12" s="23">
        <f t="shared" si="15"/>
        <v>1.7200943080274762E-2</v>
      </c>
      <c r="W12" s="23">
        <f t="shared" si="16"/>
        <v>1.7108503578726095E-5</v>
      </c>
      <c r="X12" s="23">
        <f t="shared" si="8"/>
        <v>3.1097069314333036E-8</v>
      </c>
      <c r="Y12" s="23">
        <f t="shared" si="17"/>
        <v>5.5906210510757982E-2</v>
      </c>
      <c r="Z12" s="23">
        <f t="shared" si="18"/>
        <v>-21</v>
      </c>
      <c r="AA12" s="23">
        <f t="shared" si="19"/>
        <v>72.072942606758275</v>
      </c>
      <c r="AB12" s="10">
        <f t="shared" si="20"/>
        <v>-72.072942606758275</v>
      </c>
      <c r="AC12" s="10">
        <f t="shared" si="21"/>
        <v>-24.203189910836354</v>
      </c>
      <c r="AD12" s="64">
        <f t="shared" si="22"/>
        <v>-72</v>
      </c>
      <c r="AE12" s="64">
        <f t="shared" si="27"/>
        <v>4</v>
      </c>
      <c r="AF12" s="64">
        <f t="shared" si="23"/>
        <v>22.593384329790073</v>
      </c>
      <c r="AG12" s="22">
        <f t="shared" si="24"/>
        <v>-24</v>
      </c>
      <c r="AH12" s="67">
        <f t="shared" si="25"/>
        <v>12</v>
      </c>
      <c r="AI12" s="22">
        <f t="shared" si="26"/>
        <v>11.483679010874216</v>
      </c>
    </row>
    <row r="13" spans="1:35">
      <c r="A13" s="14" t="s">
        <v>65</v>
      </c>
      <c r="B13" s="14">
        <f>(1-(1-e*e)^(1/2))/(1+(1-e*e)^(1/2))</f>
        <v>1.6792203899373788E-3</v>
      </c>
      <c r="D13" s="11" t="s">
        <v>110</v>
      </c>
      <c r="E13" s="11">
        <v>18</v>
      </c>
      <c r="F13" s="12">
        <v>1000000</v>
      </c>
      <c r="G13" s="12">
        <v>400000</v>
      </c>
      <c r="H13" s="58">
        <f t="shared" si="9"/>
        <v>1000000</v>
      </c>
      <c r="I13" s="23">
        <f t="shared" si="10"/>
        <v>100000</v>
      </c>
      <c r="J13" s="23">
        <f t="shared" si="0"/>
        <v>1000400.1600640255</v>
      </c>
      <c r="K13" s="23">
        <f t="shared" si="1"/>
        <v>0.15711160578364014</v>
      </c>
      <c r="L13" s="23">
        <f t="shared" si="11"/>
        <v>0.15789230097889953</v>
      </c>
      <c r="M13" s="23">
        <f t="shared" si="2"/>
        <v>6.5728728209056052E-3</v>
      </c>
      <c r="N13" s="23">
        <f t="shared" si="12"/>
        <v>2.5350244896179101E-2</v>
      </c>
      <c r="O13" s="23">
        <f t="shared" si="3"/>
        <v>6378664.8834452834</v>
      </c>
      <c r="P13" s="23">
        <f t="shared" si="4"/>
        <v>6337012.5061776889</v>
      </c>
      <c r="Q13" s="23">
        <f t="shared" si="5"/>
        <v>1.5683535321950999E-2</v>
      </c>
      <c r="R13" s="23">
        <f t="shared" si="13"/>
        <v>0.16026411939507873</v>
      </c>
      <c r="S13" s="23">
        <f t="shared" si="14"/>
        <v>1.2298664009744231E-4</v>
      </c>
      <c r="T13" s="23">
        <f t="shared" si="6"/>
        <v>1.2808835433678178E-8</v>
      </c>
      <c r="U13" s="23">
        <f t="shared" si="7"/>
        <v>1.3139780707442568E-12</v>
      </c>
      <c r="V13" s="23">
        <f t="shared" si="15"/>
        <v>1.5683535321950999E-2</v>
      </c>
      <c r="W13" s="23">
        <f t="shared" si="16"/>
        <v>6.7977930555423222E-7</v>
      </c>
      <c r="X13" s="23">
        <f t="shared" si="8"/>
        <v>4.5593558140077699E-11</v>
      </c>
      <c r="Y13" s="23">
        <f t="shared" si="17"/>
        <v>1.5880393628782755E-2</v>
      </c>
      <c r="Z13" s="23">
        <f t="shared" si="18"/>
        <v>-75</v>
      </c>
      <c r="AA13" s="23">
        <f t="shared" si="19"/>
        <v>9.0454330264575518</v>
      </c>
      <c r="AB13" s="10">
        <f t="shared" si="20"/>
        <v>9.0454330264575518</v>
      </c>
      <c r="AC13" s="10">
        <f t="shared" si="21"/>
        <v>-75.909879531935701</v>
      </c>
      <c r="AD13" s="64">
        <f t="shared" si="22"/>
        <v>9</v>
      </c>
      <c r="AE13" s="64">
        <f t="shared" si="27"/>
        <v>2</v>
      </c>
      <c r="AF13" s="64">
        <f t="shared" si="23"/>
        <v>43.558895247186342</v>
      </c>
      <c r="AG13" s="22">
        <f t="shared" si="24"/>
        <v>-75</v>
      </c>
      <c r="AH13" s="67">
        <f t="shared" si="25"/>
        <v>54</v>
      </c>
      <c r="AI13" s="22">
        <f t="shared" si="26"/>
        <v>35.566314968523251</v>
      </c>
    </row>
    <row r="14" spans="1:35">
      <c r="A14" s="14" t="s">
        <v>34</v>
      </c>
      <c r="B14" s="14">
        <f>3*ei/2-27*ei^3/32</f>
        <v>2.5188265897211743E-3</v>
      </c>
      <c r="D14" s="11" t="s">
        <v>33</v>
      </c>
      <c r="E14" s="11">
        <v>52</v>
      </c>
      <c r="F14" s="12">
        <v>2000000</v>
      </c>
      <c r="G14" s="12">
        <v>410000</v>
      </c>
      <c r="H14" s="58">
        <f t="shared" si="9"/>
        <v>8000000</v>
      </c>
      <c r="I14" s="23">
        <f t="shared" si="10"/>
        <v>90000</v>
      </c>
      <c r="J14" s="23">
        <f t="shared" si="0"/>
        <v>2000800.3201280511</v>
      </c>
      <c r="K14" s="23">
        <f t="shared" si="1"/>
        <v>0.31422321156728028</v>
      </c>
      <c r="L14" s="23">
        <f t="shared" si="11"/>
        <v>0.31570752849001249</v>
      </c>
      <c r="M14" s="23">
        <f t="shared" si="2"/>
        <v>6.0897857692904945E-3</v>
      </c>
      <c r="N14" s="23">
        <f t="shared" si="12"/>
        <v>0.10668864421682336</v>
      </c>
      <c r="O14" s="23">
        <f t="shared" si="3"/>
        <v>6380196.0989712505</v>
      </c>
      <c r="P14" s="23">
        <f t="shared" si="4"/>
        <v>6341577.2520667585</v>
      </c>
      <c r="Q14" s="23">
        <f t="shared" si="5"/>
        <v>1.4111794215898758E-2</v>
      </c>
      <c r="R14" s="23">
        <f t="shared" si="13"/>
        <v>0.32862139734372281</v>
      </c>
      <c r="S14" s="23">
        <f t="shared" si="14"/>
        <v>9.9571367995936809E-5</v>
      </c>
      <c r="T14" s="23">
        <f t="shared" si="6"/>
        <v>8.7910831762634179E-9</v>
      </c>
      <c r="U14" s="23">
        <f t="shared" si="7"/>
        <v>7.8131612488894306E-13</v>
      </c>
      <c r="V14" s="23">
        <f t="shared" si="15"/>
        <v>1.4111794215898758E-2</v>
      </c>
      <c r="W14" s="23">
        <f t="shared" si="16"/>
        <v>5.7117018955661351E-7</v>
      </c>
      <c r="X14" s="23">
        <f t="shared" si="8"/>
        <v>3.8718379825609878E-11</v>
      </c>
      <c r="Y14" s="23">
        <f t="shared" si="17"/>
        <v>1.4844903695448186E-2</v>
      </c>
      <c r="Z14" s="23">
        <f t="shared" si="18"/>
        <v>129</v>
      </c>
      <c r="AA14" s="23">
        <f t="shared" si="19"/>
        <v>18.086833986081448</v>
      </c>
      <c r="AB14" s="10">
        <f t="shared" si="20"/>
        <v>-18.086833986081448</v>
      </c>
      <c r="AC14" s="10">
        <f t="shared" si="21"/>
        <v>128.14944967097267</v>
      </c>
      <c r="AD14" s="64">
        <f t="shared" si="22"/>
        <v>-18</v>
      </c>
      <c r="AE14" s="64">
        <f t="shared" si="27"/>
        <v>5</v>
      </c>
      <c r="AF14" s="64">
        <f t="shared" si="23"/>
        <v>12.602349893212777</v>
      </c>
      <c r="AG14" s="22">
        <f t="shared" si="24"/>
        <v>128</v>
      </c>
      <c r="AH14" s="67">
        <f t="shared" si="25"/>
        <v>8</v>
      </c>
      <c r="AI14" s="22">
        <f t="shared" si="26"/>
        <v>58.018815501618526</v>
      </c>
    </row>
    <row r="15" spans="1:35">
      <c r="A15" s="14" t="s">
        <v>66</v>
      </c>
      <c r="B15" s="14">
        <f>21*ei^2/16-55*ei^4/32</f>
        <v>3.7009490512848485E-6</v>
      </c>
      <c r="D15" s="11" t="s">
        <v>110</v>
      </c>
      <c r="E15" s="11">
        <v>37</v>
      </c>
      <c r="F15" s="12">
        <v>3000000</v>
      </c>
      <c r="G15" s="12">
        <v>420000</v>
      </c>
      <c r="H15" s="58">
        <f t="shared" si="9"/>
        <v>3000000</v>
      </c>
      <c r="I15" s="23">
        <f t="shared" si="10"/>
        <v>80000</v>
      </c>
      <c r="J15" s="23">
        <f t="shared" si="0"/>
        <v>3001200.4801920769</v>
      </c>
      <c r="K15" s="23">
        <f t="shared" si="1"/>
        <v>0.47133481735092042</v>
      </c>
      <c r="L15" s="23">
        <f t="shared" si="11"/>
        <v>0.47337639651311825</v>
      </c>
      <c r="M15" s="23">
        <f t="shared" si="2"/>
        <v>5.3387642883623646E-3</v>
      </c>
      <c r="N15" s="23">
        <f t="shared" si="12"/>
        <v>0.26237016518560402</v>
      </c>
      <c r="O15" s="23">
        <f t="shared" si="3"/>
        <v>6382578.7633745335</v>
      </c>
      <c r="P15" s="23">
        <f t="shared" si="4"/>
        <v>6348684.63258004</v>
      </c>
      <c r="Q15" s="23">
        <f t="shared" si="5"/>
        <v>1.2539134380036747E-2</v>
      </c>
      <c r="R15" s="23">
        <f t="shared" si="13"/>
        <v>0.51495544302641583</v>
      </c>
      <c r="S15" s="23">
        <f t="shared" si="14"/>
        <v>7.8614945500309776E-5</v>
      </c>
      <c r="T15" s="23">
        <f t="shared" si="6"/>
        <v>5.953418805714037E-9</v>
      </c>
      <c r="U15" s="23">
        <f t="shared" si="7"/>
        <v>4.7292743929402896E-13</v>
      </c>
      <c r="V15" s="23">
        <f t="shared" si="15"/>
        <v>1.2539134380036747E-2</v>
      </c>
      <c r="W15" s="23">
        <f t="shared" si="16"/>
        <v>5.0276530615218251E-7</v>
      </c>
      <c r="X15" s="23">
        <f t="shared" si="8"/>
        <v>3.6272219073751277E-11</v>
      </c>
      <c r="Y15" s="23">
        <f t="shared" si="17"/>
        <v>1.4087810630774382E-2</v>
      </c>
      <c r="Z15" s="23">
        <f t="shared" si="18"/>
        <v>39</v>
      </c>
      <c r="AA15" s="23">
        <f t="shared" si="19"/>
        <v>27.120149949482339</v>
      </c>
      <c r="AB15" s="10">
        <f t="shared" si="20"/>
        <v>27.120149949482339</v>
      </c>
      <c r="AC15" s="10">
        <f t="shared" si="21"/>
        <v>38.192827908277096</v>
      </c>
      <c r="AD15" s="64">
        <f t="shared" si="22"/>
        <v>27</v>
      </c>
      <c r="AE15" s="64">
        <f t="shared" si="27"/>
        <v>7</v>
      </c>
      <c r="AF15" s="64">
        <f t="shared" si="23"/>
        <v>12.53981813642212</v>
      </c>
      <c r="AG15" s="22">
        <f t="shared" si="24"/>
        <v>38</v>
      </c>
      <c r="AH15" s="67">
        <f t="shared" si="25"/>
        <v>11</v>
      </c>
      <c r="AI15" s="22">
        <f t="shared" si="26"/>
        <v>34.180469797544269</v>
      </c>
    </row>
    <row r="16" spans="1:35">
      <c r="A16" s="14" t="s">
        <v>67</v>
      </c>
      <c r="B16" s="14">
        <f>151*ei^3/96</f>
        <v>7.4478138147885742E-9</v>
      </c>
      <c r="D16" s="11" t="s">
        <v>33</v>
      </c>
      <c r="E16" s="11">
        <v>28</v>
      </c>
      <c r="F16" s="12">
        <v>3000000</v>
      </c>
      <c r="G16" s="12">
        <v>430000</v>
      </c>
      <c r="H16" s="58">
        <f t="shared" si="9"/>
        <v>7000000</v>
      </c>
      <c r="I16" s="23">
        <f t="shared" si="10"/>
        <v>70000</v>
      </c>
      <c r="J16" s="23">
        <f t="shared" si="0"/>
        <v>3001200.4801920769</v>
      </c>
      <c r="K16" s="23">
        <f t="shared" si="1"/>
        <v>0.47133481735092042</v>
      </c>
      <c r="L16" s="23">
        <f t="shared" si="11"/>
        <v>0.47337639651311825</v>
      </c>
      <c r="M16" s="23">
        <f t="shared" si="2"/>
        <v>5.3387642883623646E-3</v>
      </c>
      <c r="N16" s="23">
        <f t="shared" si="12"/>
        <v>0.26237016518560402</v>
      </c>
      <c r="O16" s="23">
        <f t="shared" si="3"/>
        <v>6382578.7633745335</v>
      </c>
      <c r="P16" s="23">
        <f t="shared" si="4"/>
        <v>6348684.63258004</v>
      </c>
      <c r="Q16" s="23">
        <f t="shared" si="5"/>
        <v>1.0971742582532154E-2</v>
      </c>
      <c r="R16" s="23">
        <f t="shared" si="13"/>
        <v>0.51495544302641583</v>
      </c>
      <c r="S16" s="23">
        <f t="shared" si="14"/>
        <v>6.018956764867467E-5</v>
      </c>
      <c r="T16" s="23">
        <f t="shared" si="6"/>
        <v>3.489784802861182E-9</v>
      </c>
      <c r="U16" s="23">
        <f t="shared" si="7"/>
        <v>2.1224762079430849E-13</v>
      </c>
      <c r="V16" s="23">
        <f t="shared" si="15"/>
        <v>1.0971742582532154E-2</v>
      </c>
      <c r="W16" s="23">
        <f t="shared" si="16"/>
        <v>3.3681347658241908E-7</v>
      </c>
      <c r="X16" s="23">
        <f t="shared" si="8"/>
        <v>1.8604345275040827E-11</v>
      </c>
      <c r="Y16" s="23">
        <f t="shared" si="17"/>
        <v>1.2326950132359404E-2</v>
      </c>
      <c r="Z16" s="23">
        <f t="shared" si="18"/>
        <v>-15</v>
      </c>
      <c r="AA16" s="23">
        <f t="shared" si="19"/>
        <v>27.120693658779579</v>
      </c>
      <c r="AB16" s="10">
        <f t="shared" si="20"/>
        <v>-27.120693658779579</v>
      </c>
      <c r="AC16" s="10">
        <f t="shared" si="21"/>
        <v>-15.706282216852426</v>
      </c>
      <c r="AD16" s="64">
        <f t="shared" si="22"/>
        <v>-27</v>
      </c>
      <c r="AE16" s="64">
        <f t="shared" si="27"/>
        <v>7</v>
      </c>
      <c r="AF16" s="64">
        <f t="shared" si="23"/>
        <v>14.49717160648617</v>
      </c>
      <c r="AG16" s="22">
        <f t="shared" si="24"/>
        <v>-15</v>
      </c>
      <c r="AH16" s="67">
        <f t="shared" si="25"/>
        <v>42</v>
      </c>
      <c r="AI16" s="22">
        <f t="shared" si="26"/>
        <v>22.615980668732494</v>
      </c>
    </row>
    <row r="17" spans="1:35">
      <c r="A17" s="14" t="s">
        <v>68</v>
      </c>
      <c r="B17" s="14">
        <f>1097*ei^4/512</f>
        <v>1.7035993382806964E-11</v>
      </c>
      <c r="D17" s="11" t="s">
        <v>110</v>
      </c>
      <c r="E17" s="11">
        <v>19</v>
      </c>
      <c r="F17" s="12">
        <v>4000000</v>
      </c>
      <c r="G17" s="12">
        <v>440000</v>
      </c>
      <c r="H17" s="58">
        <f t="shared" si="9"/>
        <v>4000000</v>
      </c>
      <c r="I17" s="23">
        <f t="shared" si="10"/>
        <v>60000</v>
      </c>
      <c r="J17" s="23">
        <f t="shared" si="0"/>
        <v>4001600.6402561022</v>
      </c>
      <c r="K17" s="23">
        <f t="shared" si="1"/>
        <v>0.62844642313456056</v>
      </c>
      <c r="L17" s="23">
        <f t="shared" si="11"/>
        <v>0.63084433802325091</v>
      </c>
      <c r="M17" s="23">
        <f t="shared" si="2"/>
        <v>4.3948551549849845E-3</v>
      </c>
      <c r="N17" s="23">
        <f t="shared" si="12"/>
        <v>0.533496900106604</v>
      </c>
      <c r="O17" s="23">
        <f t="shared" si="3"/>
        <v>6385577.165636857</v>
      </c>
      <c r="P17" s="23">
        <f t="shared" si="4"/>
        <v>6357636.2750798026</v>
      </c>
      <c r="Q17" s="23">
        <f t="shared" si="5"/>
        <v>9.3999348918454607E-3</v>
      </c>
      <c r="R17" s="23">
        <f t="shared" si="13"/>
        <v>0.73361876180345709</v>
      </c>
      <c r="S17" s="23">
        <f t="shared" si="14"/>
        <v>4.4179387985466866E-5</v>
      </c>
      <c r="T17" s="23">
        <f t="shared" si="6"/>
        <v>2.1416998369143684E-9</v>
      </c>
      <c r="U17" s="23">
        <f t="shared" si="7"/>
        <v>1.163472884444603E-13</v>
      </c>
      <c r="V17" s="23">
        <f t="shared" si="15"/>
        <v>9.3999348918454607E-3</v>
      </c>
      <c r="W17" s="23">
        <f t="shared" si="16"/>
        <v>2.8673775422520784E-7</v>
      </c>
      <c r="X17" s="23">
        <f t="shared" si="8"/>
        <v>1.6398417244581394E-11</v>
      </c>
      <c r="Y17" s="23">
        <f t="shared" si="17"/>
        <v>1.1640001852634236E-2</v>
      </c>
      <c r="Z17" s="23">
        <f t="shared" si="18"/>
        <v>-69</v>
      </c>
      <c r="AA17" s="23">
        <f t="shared" si="19"/>
        <v>36.142861004779206</v>
      </c>
      <c r="AB17" s="10">
        <f t="shared" si="20"/>
        <v>36.142861004779206</v>
      </c>
      <c r="AC17" s="10">
        <f t="shared" si="21"/>
        <v>-69.666922979680407</v>
      </c>
      <c r="AD17" s="64">
        <f t="shared" si="22"/>
        <v>36</v>
      </c>
      <c r="AE17" s="64">
        <f t="shared" si="27"/>
        <v>8</v>
      </c>
      <c r="AF17" s="64">
        <f t="shared" si="23"/>
        <v>34.299617205142575</v>
      </c>
      <c r="AG17" s="22">
        <f t="shared" si="24"/>
        <v>-69</v>
      </c>
      <c r="AH17" s="67">
        <f t="shared" si="25"/>
        <v>40</v>
      </c>
      <c r="AI17" s="22">
        <f t="shared" si="26"/>
        <v>0.9227268494670593</v>
      </c>
    </row>
    <row r="18" spans="1:35">
      <c r="A18" s="4" t="s">
        <v>87</v>
      </c>
      <c r="B18" s="1"/>
      <c r="C18" s="1"/>
      <c r="D18" s="11" t="s">
        <v>33</v>
      </c>
      <c r="E18" s="11">
        <v>16</v>
      </c>
      <c r="F18" s="12">
        <v>5002000</v>
      </c>
      <c r="G18" s="12">
        <v>450000</v>
      </c>
      <c r="H18" s="58">
        <f t="shared" si="9"/>
        <v>4998000</v>
      </c>
      <c r="I18" s="23">
        <f t="shared" si="10"/>
        <v>50000</v>
      </c>
      <c r="J18" s="23">
        <f t="shared" si="0"/>
        <v>5004001.600640256</v>
      </c>
      <c r="K18" s="23">
        <f t="shared" si="1"/>
        <v>0.78587225212976797</v>
      </c>
      <c r="L18" s="23">
        <f t="shared" si="11"/>
        <v>0.78839106312119778</v>
      </c>
      <c r="M18" s="23">
        <f t="shared" si="2"/>
        <v>3.3495778607639231E-3</v>
      </c>
      <c r="N18" s="23">
        <f t="shared" si="12"/>
        <v>1.0120436176545409</v>
      </c>
      <c r="O18" s="23">
        <f t="shared" si="3"/>
        <v>6388902.5078052571</v>
      </c>
      <c r="P18" s="23">
        <f t="shared" si="4"/>
        <v>6367573.8234992838</v>
      </c>
      <c r="Q18" s="23">
        <f t="shared" si="5"/>
        <v>7.829201954810289E-3</v>
      </c>
      <c r="R18" s="23">
        <f t="shared" si="13"/>
        <v>1.0093734741132592</v>
      </c>
      <c r="S18" s="23">
        <f t="shared" si="14"/>
        <v>3.0648201624602622E-5</v>
      </c>
      <c r="T18" s="23">
        <f t="shared" si="6"/>
        <v>1.2538137781320731E-9</v>
      </c>
      <c r="U18" s="23">
        <f t="shared" si="7"/>
        <v>6.316591135476738E-14</v>
      </c>
      <c r="V18" s="23">
        <f t="shared" si="15"/>
        <v>7.829201954810289E-3</v>
      </c>
      <c r="W18" s="23">
        <f t="shared" si="16"/>
        <v>2.421454566245542E-7</v>
      </c>
      <c r="X18" s="23">
        <f t="shared" si="8"/>
        <v>1.4209520092582824E-11</v>
      </c>
      <c r="Y18" s="23">
        <f t="shared" si="17"/>
        <v>1.1105107321450485E-2</v>
      </c>
      <c r="Z18" s="23">
        <f t="shared" si="18"/>
        <v>-87</v>
      </c>
      <c r="AA18" s="23">
        <f t="shared" si="19"/>
        <v>45.169707977620014</v>
      </c>
      <c r="AB18" s="10">
        <f t="shared" si="20"/>
        <v>-45.169707977620014</v>
      </c>
      <c r="AC18" s="10">
        <f t="shared" si="21"/>
        <v>-87.636275780558947</v>
      </c>
      <c r="AD18" s="64">
        <f t="shared" si="22"/>
        <v>-45</v>
      </c>
      <c r="AE18" s="64">
        <f t="shared" si="27"/>
        <v>10</v>
      </c>
      <c r="AF18" s="64">
        <f t="shared" si="23"/>
        <v>10.948719432050813</v>
      </c>
      <c r="AG18" s="22">
        <f t="shared" si="24"/>
        <v>-87</v>
      </c>
      <c r="AH18" s="67">
        <f t="shared" si="25"/>
        <v>38</v>
      </c>
      <c r="AI18" s="22">
        <f t="shared" si="26"/>
        <v>10.592810012208353</v>
      </c>
    </row>
    <row r="19" spans="1:35">
      <c r="A19" s="1" t="s">
        <v>59</v>
      </c>
      <c r="B19" s="1" t="s">
        <v>84</v>
      </c>
      <c r="C19" s="1">
        <f>_Sin1</f>
        <v>0</v>
      </c>
    </row>
    <row r="20" spans="1:35">
      <c r="A20" s="55"/>
      <c r="B20" s="18"/>
      <c r="C20" s="18"/>
    </row>
    <row r="21" spans="1:35">
      <c r="A21" s="18"/>
      <c r="B21" s="18"/>
      <c r="C21" s="18"/>
    </row>
    <row r="22" spans="1:35">
      <c r="A22" s="18"/>
      <c r="B22" s="18"/>
      <c r="C22" s="18"/>
    </row>
    <row r="23" spans="1:35">
      <c r="A23" s="18"/>
      <c r="B23" s="18"/>
      <c r="C23" s="18"/>
    </row>
    <row r="24" spans="1:35">
      <c r="A24" s="18"/>
      <c r="B24" s="18"/>
      <c r="C24" s="18"/>
    </row>
    <row r="25" spans="1:35">
      <c r="A25" s="55"/>
      <c r="B25" s="18"/>
      <c r="C25" s="18"/>
    </row>
    <row r="26" spans="1:35">
      <c r="A26" s="18"/>
      <c r="B26" s="18"/>
      <c r="C26" s="18"/>
    </row>
    <row r="27" spans="1:35">
      <c r="A27" s="18"/>
      <c r="B27" s="18"/>
      <c r="C27" s="18"/>
    </row>
    <row r="28" spans="1:35">
      <c r="A28" s="18"/>
      <c r="B28" s="18"/>
      <c r="C28" s="18"/>
    </row>
  </sheetData>
  <phoneticPr fontId="8" type="noConversion"/>
  <hyperlinks>
    <hyperlink ref="A2" r:id="rId1"/>
  </hyperlink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dimension ref="A1:AG22"/>
  <sheetViews>
    <sheetView workbookViewId="0">
      <selection activeCell="M2" sqref="M2:M4"/>
    </sheetView>
  </sheetViews>
  <sheetFormatPr defaultRowHeight="12.75"/>
  <cols>
    <col min="1" max="1" width="16.85546875" customWidth="1"/>
    <col min="4" max="4" width="3.5703125" hidden="1" customWidth="1"/>
    <col min="5" max="5" width="3.28515625" hidden="1" customWidth="1"/>
    <col min="6" max="6" width="9.140625" hidden="1" customWidth="1"/>
    <col min="7" max="8" width="3.28515625" hidden="1" customWidth="1"/>
    <col min="9" max="11" width="9.140625" hidden="1" customWidth="1"/>
    <col min="12" max="12" width="8.42578125" style="11" customWidth="1"/>
    <col min="13" max="13" width="16.85546875" style="11" customWidth="1"/>
    <col min="14" max="14" width="3.7109375" style="76" customWidth="1"/>
    <col min="15" max="30" width="3.28515625" style="76" customWidth="1"/>
    <col min="31" max="31" width="11.7109375" style="10" customWidth="1"/>
    <col min="32" max="32" width="12.42578125" style="10" customWidth="1"/>
    <col min="33" max="33" width="6.140625" style="10" customWidth="1"/>
  </cols>
  <sheetData>
    <row r="1" spans="1:33" ht="164.25">
      <c r="A1" s="62" t="s">
        <v>189</v>
      </c>
      <c r="D1" s="54" t="s">
        <v>190</v>
      </c>
      <c r="E1" s="54" t="s">
        <v>191</v>
      </c>
      <c r="F1" s="54" t="s">
        <v>192</v>
      </c>
      <c r="G1" s="54" t="s">
        <v>193</v>
      </c>
      <c r="H1" s="54" t="s">
        <v>194</v>
      </c>
      <c r="I1" s="54" t="s">
        <v>195</v>
      </c>
      <c r="J1" s="54" t="s">
        <v>196</v>
      </c>
      <c r="K1" s="54" t="s">
        <v>197</v>
      </c>
      <c r="L1" s="71" t="s">
        <v>176</v>
      </c>
      <c r="M1" s="71" t="s">
        <v>177</v>
      </c>
      <c r="N1" s="72" t="s">
        <v>148</v>
      </c>
      <c r="O1" s="72" t="s">
        <v>181</v>
      </c>
      <c r="P1" s="77" t="s">
        <v>222</v>
      </c>
      <c r="Q1" s="72" t="s">
        <v>178</v>
      </c>
      <c r="R1" s="72" t="s">
        <v>179</v>
      </c>
      <c r="S1" s="73" t="s">
        <v>174</v>
      </c>
      <c r="T1" s="73" t="s">
        <v>175</v>
      </c>
      <c r="U1" s="74" t="s">
        <v>48</v>
      </c>
      <c r="V1" s="73" t="s">
        <v>173</v>
      </c>
      <c r="W1" s="75" t="s">
        <v>50</v>
      </c>
      <c r="X1" s="72" t="s">
        <v>36</v>
      </c>
      <c r="Y1" s="72" t="s">
        <v>37</v>
      </c>
      <c r="Z1" s="72" t="s">
        <v>38</v>
      </c>
      <c r="AA1" s="72" t="s">
        <v>39</v>
      </c>
      <c r="AB1" s="72" t="s">
        <v>40</v>
      </c>
      <c r="AC1" s="72" t="s">
        <v>41</v>
      </c>
      <c r="AD1" s="72" t="s">
        <v>182</v>
      </c>
      <c r="AE1" s="61" t="s">
        <v>55</v>
      </c>
      <c r="AF1" s="10" t="s">
        <v>26</v>
      </c>
      <c r="AG1" s="63" t="s">
        <v>148</v>
      </c>
    </row>
    <row r="2" spans="1:33">
      <c r="A2" t="s">
        <v>90</v>
      </c>
      <c r="B2" t="str">
        <f>'UTM Conversion Main Page'!E3</f>
        <v>WGS 84</v>
      </c>
      <c r="D2">
        <v>-79</v>
      </c>
      <c r="E2">
        <v>60</v>
      </c>
      <c r="G2">
        <v>-179</v>
      </c>
      <c r="H2">
        <v>60</v>
      </c>
      <c r="J2">
        <f>(ABS(D2)+E2/60+F2/3600)*SIGN(D2)</f>
        <v>-80</v>
      </c>
      <c r="K2">
        <f>(ABS(G2)+H2/60+I2/3600)*SIGN(G2)</f>
        <v>-180</v>
      </c>
      <c r="L2" s="11">
        <f>'Position Interpolation'!C2</f>
        <v>36.790300000000002</v>
      </c>
      <c r="M2" s="11">
        <f>'Position Interpolation'!D2</f>
        <v>-121.83450000000001</v>
      </c>
      <c r="N2" s="76">
        <f>31+INT(M2/6)</f>
        <v>10</v>
      </c>
      <c r="O2" s="76">
        <f>6*N2-183</f>
        <v>-123</v>
      </c>
      <c r="P2" s="76">
        <f>(M2-O2)*PI()/180</f>
        <v>2.0341812431993813E-2</v>
      </c>
      <c r="Q2" s="76">
        <f>L2*PI()/180</f>
        <v>0.64211186779646989</v>
      </c>
      <c r="R2" s="76">
        <f>M2*PI()/180</f>
        <v>-2.1264131675210316</v>
      </c>
      <c r="S2" s="76">
        <f t="shared" ref="S2:S7" si="0">a*(1-e*e)/((1-(e*SIN(Q2))^2)^(3/2))</f>
        <v>6358325.5843347786</v>
      </c>
      <c r="T2" s="76">
        <f t="shared" ref="T2:T7" si="1">a/((1-(e*SIN(Q2))^2)^(1/2))</f>
        <v>6385807.9368532486</v>
      </c>
      <c r="V2" s="76">
        <f t="shared" ref="V2:V7" si="2">A0*Q2 - B0*SIN(2*Q2) + C0*SIN(4*Q2) - D0*SIN(6*Q2) + E0*SIN(8*Q2)</f>
        <v>4073239.4506578031</v>
      </c>
      <c r="X2" s="76">
        <f t="shared" ref="X2:X7" si="3">V2*k0</f>
        <v>4071610.1548775402</v>
      </c>
      <c r="Y2" s="76">
        <f>T2*SIN(Q2)*COS(Q2)/2</f>
        <v>1531345.9909974062</v>
      </c>
      <c r="Z2" s="76">
        <f t="shared" ref="Z2:Z15" si="4">((T2*SIN(Q2)*COS(Q2)^3)/24)*(5-TAN(Q2)^2+9*e1sq*COS(Q2)^2+4*e1sq^2*COS(Q2)^4)*k0</f>
        <v>366482.43648370885</v>
      </c>
      <c r="AA2" s="76">
        <f t="shared" ref="AA2:AA15" si="5">T2*COS(Q2)*k0</f>
        <v>5111918.6879523648</v>
      </c>
      <c r="AB2" s="76">
        <f t="shared" ref="AB2:AB15" si="6">(COS(Q2))^3*(T2/6)*(1-TAN(Q2)^2+e1sq*COS(Q2)^2)*k0</f>
        <v>243189.5366289214</v>
      </c>
      <c r="AC2" s="76">
        <f t="shared" ref="AC2:AC15" si="7">((P2)^6*T2*SIN(Q2)*COS(Q2)^5/720)*(61-58*TAN(Q2)^2+TAN(Q2)^4+270*e1sq*COS(Q2)^2-330*e1sq*SIN(Q2)^2)*k0</f>
        <v>3.6237719511700918E-6</v>
      </c>
      <c r="AD2" s="76">
        <f>(X2+Y2*P2*P2+Z2*P2^4)</f>
        <v>4072243.8722634893</v>
      </c>
      <c r="AE2" s="10">
        <f>IF(AD2&lt;0, 10000000+AD2,AD2)</f>
        <v>4072243.8722634893</v>
      </c>
      <c r="AF2" s="10">
        <f>500000+(AA2*P2+AB2*P2^3)</f>
        <v>603987.73809897806</v>
      </c>
      <c r="AG2" s="10">
        <f>N2</f>
        <v>10</v>
      </c>
    </row>
    <row r="3" spans="1:33">
      <c r="J3">
        <f t="shared" ref="J3:J15" si="8">D3+E3/60+F3/3600</f>
        <v>0</v>
      </c>
      <c r="K3">
        <f t="shared" ref="K3:K15" si="9">G3+H3/60+I3/3600</f>
        <v>0</v>
      </c>
      <c r="L3" s="11">
        <f>'Position Interpolation'!C3</f>
        <v>36.790700000000001</v>
      </c>
      <c r="M3" s="11">
        <f>'Position Interpolation'!D3</f>
        <v>-121.82980000000001</v>
      </c>
      <c r="N3" s="76">
        <f t="shared" ref="N3:N15" si="10">31+INT(M3/6)</f>
        <v>10</v>
      </c>
      <c r="O3" s="76">
        <f t="shared" ref="O3:O15" si="11">6*N3-183</f>
        <v>-123</v>
      </c>
      <c r="P3" s="76">
        <f t="shared" ref="P3:P15" si="12">(M3-O3)*PI()/180</f>
        <v>2.042384290683754E-2</v>
      </c>
      <c r="Q3" s="76">
        <f t="shared" ref="Q3:Q14" si="13">L3*PI()/180</f>
        <v>0.64211884911347783</v>
      </c>
      <c r="R3" s="76">
        <f t="shared" ref="R3:R14" si="14">M3*PI()/180</f>
        <v>-2.1263311370461877</v>
      </c>
      <c r="S3" s="76">
        <f t="shared" si="0"/>
        <v>6358326.0129268588</v>
      </c>
      <c r="T3" s="76">
        <f t="shared" si="1"/>
        <v>6385808.0803347686</v>
      </c>
      <c r="V3" s="76">
        <f t="shared" si="2"/>
        <v>4073283.8401461621</v>
      </c>
      <c r="X3" s="76">
        <f t="shared" si="3"/>
        <v>4071654.5266101039</v>
      </c>
      <c r="Y3" s="76">
        <f t="shared" ref="Y3:Y15" si="15">T3*SIN(Q3)*COS(Q3)/2</f>
        <v>1531352.3260774401</v>
      </c>
      <c r="Z3" s="76">
        <f t="shared" si="4"/>
        <v>366478.76055493148</v>
      </c>
      <c r="AA3" s="76">
        <f t="shared" si="5"/>
        <v>5111892.1141290795</v>
      </c>
      <c r="AB3" s="76">
        <f t="shared" si="6"/>
        <v>243176.81230973694</v>
      </c>
      <c r="AC3" s="76">
        <f t="shared" si="7"/>
        <v>3.7121569214768123E-6</v>
      </c>
      <c r="AD3" s="76">
        <f t="shared" ref="AD3:AD15" si="16">(X3+Y3*P3*P3+Z3*P3^4)</f>
        <v>4072293.3685172126</v>
      </c>
      <c r="AE3" s="10">
        <f t="shared" ref="AE3:AE15" si="17">IF(AD3&lt;0, 10000000+AD3,AD3)</f>
        <v>4072293.3685172126</v>
      </c>
      <c r="AF3" s="10">
        <f t="shared" ref="AF3:AF14" si="18">500000+(AA3*P3+AB3*P3^3)</f>
        <v>604406.55323230638</v>
      </c>
      <c r="AG3" s="10">
        <f t="shared" ref="AG3:AG15" si="19">N3</f>
        <v>10</v>
      </c>
    </row>
    <row r="4" spans="1:33">
      <c r="A4" s="3" t="s">
        <v>49</v>
      </c>
      <c r="B4" s="3" t="s">
        <v>0</v>
      </c>
      <c r="C4" s="3" t="s">
        <v>1</v>
      </c>
      <c r="D4" s="55"/>
      <c r="E4" s="55"/>
      <c r="F4" s="55"/>
      <c r="G4" s="55"/>
      <c r="H4" s="55"/>
      <c r="I4" s="55"/>
      <c r="J4">
        <f t="shared" si="8"/>
        <v>0</v>
      </c>
      <c r="K4">
        <f t="shared" si="9"/>
        <v>0</v>
      </c>
      <c r="L4" s="11">
        <f>'Position Interpolation'!C4</f>
        <v>36.790500000000002</v>
      </c>
      <c r="M4" s="11">
        <f>'Position Interpolation'!D4</f>
        <v>-121.83215</v>
      </c>
      <c r="N4" s="76">
        <f t="shared" si="10"/>
        <v>10</v>
      </c>
      <c r="O4" s="76">
        <f t="shared" si="11"/>
        <v>-123</v>
      </c>
      <c r="P4" s="76">
        <f t="shared" si="12"/>
        <v>2.03828276694158E-2</v>
      </c>
      <c r="Q4" s="76">
        <f t="shared" si="13"/>
        <v>0.64211535845497381</v>
      </c>
      <c r="R4" s="76">
        <f t="shared" si="14"/>
        <v>-2.1263721522836097</v>
      </c>
      <c r="S4" s="76">
        <f t="shared" si="0"/>
        <v>6358325.7986305924</v>
      </c>
      <c r="T4" s="76">
        <f t="shared" si="1"/>
        <v>6385808.0085939337</v>
      </c>
      <c r="V4" s="76">
        <f t="shared" si="2"/>
        <v>4073261.6454016082</v>
      </c>
      <c r="X4" s="76">
        <f t="shared" si="3"/>
        <v>4071632.3407434477</v>
      </c>
      <c r="Y4" s="76">
        <f t="shared" si="15"/>
        <v>1531349.1585746878</v>
      </c>
      <c r="Z4" s="76">
        <f t="shared" si="4"/>
        <v>366480.59853619128</v>
      </c>
      <c r="AA4" s="76">
        <f t="shared" si="5"/>
        <v>5111905.4010719564</v>
      </c>
      <c r="AB4" s="76">
        <f t="shared" si="6"/>
        <v>243183.17446175119</v>
      </c>
      <c r="AC4" s="76">
        <f t="shared" si="7"/>
        <v>3.6677427604012231E-6</v>
      </c>
      <c r="AD4" s="76">
        <f t="shared" si="16"/>
        <v>4072268.6178070498</v>
      </c>
      <c r="AE4" s="10">
        <f t="shared" si="17"/>
        <v>4072268.6178070498</v>
      </c>
      <c r="AF4" s="10">
        <f t="shared" si="18"/>
        <v>604197.14618655492</v>
      </c>
      <c r="AG4" s="10">
        <f t="shared" si="19"/>
        <v>10</v>
      </c>
    </row>
    <row r="5" spans="1:33">
      <c r="A5" s="2" t="s">
        <v>7</v>
      </c>
      <c r="B5" s="2" t="s">
        <v>8</v>
      </c>
      <c r="C5" s="2">
        <f>'UTM Conversion Main Page'!F3</f>
        <v>6378137</v>
      </c>
      <c r="D5" s="18"/>
      <c r="E5" s="18"/>
      <c r="F5" s="18"/>
      <c r="G5" s="18"/>
      <c r="H5" s="18"/>
      <c r="I5" s="18"/>
      <c r="J5">
        <f t="shared" si="8"/>
        <v>0</v>
      </c>
      <c r="K5">
        <f t="shared" si="9"/>
        <v>0</v>
      </c>
      <c r="L5" s="11">
        <v>30</v>
      </c>
      <c r="M5" s="11">
        <v>77</v>
      </c>
      <c r="N5" s="76">
        <f t="shared" si="10"/>
        <v>43</v>
      </c>
      <c r="O5" s="76">
        <f t="shared" si="11"/>
        <v>75</v>
      </c>
      <c r="P5" s="76">
        <f t="shared" si="12"/>
        <v>3.4906585039886591E-2</v>
      </c>
      <c r="Q5" s="76">
        <f t="shared" si="13"/>
        <v>0.52359877559829882</v>
      </c>
      <c r="R5" s="76">
        <f t="shared" si="14"/>
        <v>1.3439035240356338</v>
      </c>
      <c r="S5" s="76">
        <f t="shared" si="0"/>
        <v>6351377.1036589164</v>
      </c>
      <c r="T5" s="76">
        <f t="shared" si="1"/>
        <v>6383480.9177013943</v>
      </c>
      <c r="V5" s="76">
        <f t="shared" si="2"/>
        <v>3320113.4661958618</v>
      </c>
      <c r="X5" s="76">
        <f t="shared" si="3"/>
        <v>3318785.4208093835</v>
      </c>
      <c r="Y5" s="76">
        <f t="shared" si="15"/>
        <v>1382064.1598256521</v>
      </c>
      <c r="Z5" s="76">
        <f t="shared" si="4"/>
        <v>406877.57775906636</v>
      </c>
      <c r="AA5" s="76">
        <f t="shared" si="5"/>
        <v>5526045.3366468884</v>
      </c>
      <c r="AB5" s="76">
        <f t="shared" si="6"/>
        <v>463995.28723732161</v>
      </c>
      <c r="AC5" s="76">
        <f t="shared" si="7"/>
        <v>1.6629943891075454E-4</v>
      </c>
      <c r="AD5" s="76">
        <f t="shared" si="16"/>
        <v>3320470.0281610326</v>
      </c>
      <c r="AE5" s="10">
        <f t="shared" si="17"/>
        <v>3320470.0281610326</v>
      </c>
      <c r="AF5" s="10">
        <f t="shared" si="18"/>
        <v>692915.10641106695</v>
      </c>
      <c r="AG5" s="10">
        <f t="shared" si="19"/>
        <v>43</v>
      </c>
    </row>
    <row r="6" spans="1:33">
      <c r="A6" s="2" t="s">
        <v>10</v>
      </c>
      <c r="B6" s="2" t="s">
        <v>11</v>
      </c>
      <c r="C6" s="2">
        <f>'UTM Conversion Main Page'!G3</f>
        <v>6356752.3141999999</v>
      </c>
      <c r="D6" s="18"/>
      <c r="E6" s="18"/>
      <c r="F6" s="18"/>
      <c r="G6" s="18"/>
      <c r="H6" s="18"/>
      <c r="I6" s="18"/>
      <c r="J6">
        <f t="shared" si="8"/>
        <v>0</v>
      </c>
      <c r="K6">
        <f t="shared" si="9"/>
        <v>0</v>
      </c>
      <c r="L6" s="11">
        <v>60</v>
      </c>
      <c r="M6" s="11">
        <v>121</v>
      </c>
      <c r="N6" s="76">
        <f t="shared" si="10"/>
        <v>51</v>
      </c>
      <c r="O6" s="76">
        <f t="shared" si="11"/>
        <v>123</v>
      </c>
      <c r="P6" s="76">
        <f t="shared" si="12"/>
        <v>-3.4906585039886591E-2</v>
      </c>
      <c r="Q6" s="76">
        <f t="shared" si="13"/>
        <v>1.0471975511965976</v>
      </c>
      <c r="R6" s="76">
        <f t="shared" si="14"/>
        <v>2.1118483949131388</v>
      </c>
      <c r="S6" s="76">
        <f t="shared" si="0"/>
        <v>6383453.8572402485</v>
      </c>
      <c r="T6" s="76">
        <f t="shared" si="1"/>
        <v>6394209.1738819219</v>
      </c>
      <c r="V6" s="76">
        <f t="shared" si="2"/>
        <v>6654072.8882217202</v>
      </c>
      <c r="X6" s="76">
        <f t="shared" si="3"/>
        <v>6651411.2590664318</v>
      </c>
      <c r="Y6" s="76">
        <f t="shared" si="15"/>
        <v>1384386.8954233134</v>
      </c>
      <c r="Z6" s="76">
        <f t="shared" si="4"/>
        <v>58097.213702192166</v>
      </c>
      <c r="AA6" s="76">
        <f t="shared" si="5"/>
        <v>3195825.7451061858</v>
      </c>
      <c r="AB6" s="76">
        <f t="shared" si="6"/>
        <v>-266094.45524589281</v>
      </c>
      <c r="AC6" s="76">
        <f t="shared" si="7"/>
        <v>-4.5727270515819365E-5</v>
      </c>
      <c r="AD6" s="76">
        <f t="shared" si="16"/>
        <v>6653098.1787778083</v>
      </c>
      <c r="AE6" s="10">
        <f t="shared" si="17"/>
        <v>6653098.1787778083</v>
      </c>
      <c r="AF6" s="10">
        <f t="shared" si="18"/>
        <v>388455.95454893663</v>
      </c>
      <c r="AG6" s="10">
        <f t="shared" si="19"/>
        <v>51</v>
      </c>
    </row>
    <row r="7" spans="1:33">
      <c r="A7" s="2" t="s">
        <v>13</v>
      </c>
      <c r="B7" s="2" t="s">
        <v>14</v>
      </c>
      <c r="C7" s="2">
        <f>'UTM Conversion Main Page'!H3</f>
        <v>3.3528106647474805E-3</v>
      </c>
      <c r="D7" s="18"/>
      <c r="E7" s="18"/>
      <c r="F7" s="18"/>
      <c r="G7" s="18"/>
      <c r="H7" s="18"/>
      <c r="I7" s="18"/>
      <c r="J7">
        <f t="shared" si="8"/>
        <v>0</v>
      </c>
      <c r="K7">
        <f t="shared" si="9"/>
        <v>0</v>
      </c>
      <c r="L7" s="11">
        <v>40</v>
      </c>
      <c r="M7" s="11">
        <v>149</v>
      </c>
      <c r="N7" s="76">
        <f t="shared" si="10"/>
        <v>55</v>
      </c>
      <c r="O7" s="76">
        <f t="shared" si="11"/>
        <v>147</v>
      </c>
      <c r="P7" s="76">
        <f t="shared" si="12"/>
        <v>3.4906585039886591E-2</v>
      </c>
      <c r="Q7" s="76">
        <f t="shared" si="13"/>
        <v>0.69813170079773179</v>
      </c>
      <c r="R7" s="76">
        <f t="shared" si="14"/>
        <v>2.6005405854715509</v>
      </c>
      <c r="S7" s="76">
        <f t="shared" si="0"/>
        <v>6361815.8263990274</v>
      </c>
      <c r="T7" s="76">
        <f t="shared" si="1"/>
        <v>6386976.1657250142</v>
      </c>
      <c r="V7" s="76">
        <f t="shared" si="2"/>
        <v>4429529.1080617914</v>
      </c>
      <c r="X7" s="76">
        <f t="shared" si="3"/>
        <v>4427757.2964185672</v>
      </c>
      <c r="Y7" s="76">
        <f t="shared" si="15"/>
        <v>1572485.9115775446</v>
      </c>
      <c r="Z7" s="76">
        <f t="shared" si="4"/>
        <v>332954.49389900803</v>
      </c>
      <c r="AA7" s="76">
        <f t="shared" si="5"/>
        <v>4890750.5170469694</v>
      </c>
      <c r="AB7" s="76">
        <f t="shared" si="6"/>
        <v>143436.75256101185</v>
      </c>
      <c r="AC7" s="76">
        <f t="shared" si="7"/>
        <v>5.6596698449473616E-5</v>
      </c>
      <c r="AD7" s="76">
        <f t="shared" si="16"/>
        <v>4429673.8171497118</v>
      </c>
      <c r="AE7" s="10">
        <f t="shared" si="17"/>
        <v>4429673.8171497118</v>
      </c>
      <c r="AF7" s="10">
        <f t="shared" si="18"/>
        <v>670725.49957241083</v>
      </c>
      <c r="AG7" s="10">
        <f t="shared" si="19"/>
        <v>55</v>
      </c>
    </row>
    <row r="8" spans="1:33">
      <c r="A8" s="2" t="s">
        <v>16</v>
      </c>
      <c r="B8" s="2" t="s">
        <v>17</v>
      </c>
      <c r="C8" s="2">
        <f>'UTM Conversion Main Page'!I3</f>
        <v>298.25722356300003</v>
      </c>
      <c r="D8" s="18"/>
      <c r="E8" s="18"/>
      <c r="F8" s="18"/>
      <c r="G8" s="18"/>
      <c r="H8" s="18"/>
      <c r="I8" s="18"/>
      <c r="J8">
        <f t="shared" si="8"/>
        <v>0</v>
      </c>
      <c r="K8">
        <f t="shared" si="9"/>
        <v>0</v>
      </c>
      <c r="L8" s="11">
        <v>-38</v>
      </c>
      <c r="M8" s="11">
        <f>133</f>
        <v>133</v>
      </c>
      <c r="N8" s="76">
        <f t="shared" si="10"/>
        <v>53</v>
      </c>
      <c r="O8" s="76">
        <f t="shared" si="11"/>
        <v>135</v>
      </c>
      <c r="P8" s="76">
        <f t="shared" si="12"/>
        <v>-3.4906585039886591E-2</v>
      </c>
      <c r="Q8" s="76">
        <f t="shared" si="13"/>
        <v>-0.66322511575784515</v>
      </c>
      <c r="R8" s="76">
        <f t="shared" si="14"/>
        <v>2.3212879051524582</v>
      </c>
      <c r="S8" s="76">
        <f t="shared" ref="S8:S14" si="20">a*(1-e*e)/((1-(e*SIN(Q8))^2)^(3/2))</f>
        <v>6359629.6520876084</v>
      </c>
      <c r="T8" s="76">
        <f t="shared" ref="T8:T14" si="21">a/((1-(e*SIN(Q8))^2)^(1/2))</f>
        <v>6386244.4751025224</v>
      </c>
      <c r="V8" s="76">
        <f t="shared" ref="V8:V14" si="22">A0*Q8 - B0*SIN(2*Q8) + C0*SIN(4*Q8) - D0*SIN(6*Q8) + E0*SIN(8*Q8)</f>
        <v>-4207498.0956659885</v>
      </c>
      <c r="X8" s="76">
        <f t="shared" ref="X8:X14" si="23">V8*k0</f>
        <v>-4205815.0964277219</v>
      </c>
      <c r="Y8" s="76">
        <f t="shared" si="15"/>
        <v>-1549136.4302864179</v>
      </c>
      <c r="Z8" s="76">
        <f t="shared" si="4"/>
        <v>-354764.8685411326</v>
      </c>
      <c r="AA8" s="76">
        <f t="shared" si="5"/>
        <v>5030416.3498136876</v>
      </c>
      <c r="AB8" s="76">
        <f t="shared" si="6"/>
        <v>205006.73315397292</v>
      </c>
      <c r="AC8" s="76">
        <f t="shared" si="7"/>
        <v>-7.8779541365016264E-5</v>
      </c>
      <c r="AD8" s="76">
        <f t="shared" si="16"/>
        <v>-4207703.1989050629</v>
      </c>
      <c r="AE8" s="10">
        <f t="shared" si="17"/>
        <v>5792296.8010949371</v>
      </c>
      <c r="AF8" s="10">
        <f t="shared" si="18"/>
        <v>324396.62442664185</v>
      </c>
      <c r="AG8" s="10">
        <f t="shared" si="19"/>
        <v>53</v>
      </c>
    </row>
    <row r="9" spans="1:33">
      <c r="A9" s="2" t="s">
        <v>19</v>
      </c>
      <c r="B9" s="2" t="s">
        <v>20</v>
      </c>
      <c r="C9" s="2">
        <f>(a*b)^(1/2)</f>
        <v>6367435.6796935648</v>
      </c>
      <c r="D9" s="18"/>
      <c r="E9" s="18"/>
      <c r="F9" s="18"/>
      <c r="G9" s="18"/>
      <c r="H9" s="18"/>
      <c r="I9" s="18"/>
      <c r="J9">
        <f t="shared" si="8"/>
        <v>0</v>
      </c>
      <c r="K9">
        <f t="shared" si="9"/>
        <v>0</v>
      </c>
      <c r="L9" s="11">
        <v>-44</v>
      </c>
      <c r="M9" s="11">
        <v>32</v>
      </c>
      <c r="N9" s="76">
        <f t="shared" si="10"/>
        <v>36</v>
      </c>
      <c r="O9" s="76">
        <f t="shared" si="11"/>
        <v>33</v>
      </c>
      <c r="P9" s="76">
        <f t="shared" si="12"/>
        <v>-1.7453292519943295E-2</v>
      </c>
      <c r="Q9" s="76">
        <f t="shared" si="13"/>
        <v>-0.76794487087750496</v>
      </c>
      <c r="R9" s="76">
        <f t="shared" si="14"/>
        <v>0.55850536063818546</v>
      </c>
      <c r="S9" s="76">
        <f t="shared" si="20"/>
        <v>6366262.5216330066</v>
      </c>
      <c r="T9" s="76">
        <f t="shared" si="21"/>
        <v>6388463.912971979</v>
      </c>
      <c r="V9" s="76">
        <f t="shared" si="22"/>
        <v>-4873822.448720092</v>
      </c>
      <c r="X9" s="76">
        <f t="shared" si="23"/>
        <v>-4871872.9197406042</v>
      </c>
      <c r="Y9" s="76">
        <f t="shared" si="15"/>
        <v>-1596143.0583416785</v>
      </c>
      <c r="Z9" s="76">
        <f t="shared" si="4"/>
        <v>-282000.70781884901</v>
      </c>
      <c r="AA9" s="76">
        <f t="shared" si="5"/>
        <v>4593638.165085691</v>
      </c>
      <c r="AB9" s="76">
        <f t="shared" si="6"/>
        <v>28100.835428634244</v>
      </c>
      <c r="AC9" s="76">
        <f t="shared" si="7"/>
        <v>-2.5659571084444474E-7</v>
      </c>
      <c r="AD9" s="76">
        <f t="shared" si="16"/>
        <v>-4872359.1588879917</v>
      </c>
      <c r="AE9" s="10">
        <f t="shared" si="17"/>
        <v>5127640.8411120083</v>
      </c>
      <c r="AF9" s="10">
        <f t="shared" si="18"/>
        <v>419825.73997373041</v>
      </c>
      <c r="AG9" s="10">
        <f t="shared" si="19"/>
        <v>36</v>
      </c>
    </row>
    <row r="10" spans="1:33">
      <c r="A10" s="2"/>
      <c r="B10" s="2"/>
      <c r="C10" s="2"/>
      <c r="D10" s="18"/>
      <c r="E10" s="18"/>
      <c r="F10" s="18"/>
      <c r="G10" s="18"/>
      <c r="H10" s="18"/>
      <c r="I10" s="18"/>
      <c r="J10">
        <f t="shared" si="8"/>
        <v>0</v>
      </c>
      <c r="K10">
        <f t="shared" si="9"/>
        <v>0</v>
      </c>
      <c r="L10" s="11">
        <v>-77</v>
      </c>
      <c r="M10" s="11">
        <v>142</v>
      </c>
      <c r="N10" s="76">
        <f t="shared" si="10"/>
        <v>54</v>
      </c>
      <c r="O10" s="76">
        <f t="shared" si="11"/>
        <v>141</v>
      </c>
      <c r="P10" s="76">
        <f t="shared" si="12"/>
        <v>1.7453292519943295E-2</v>
      </c>
      <c r="Q10" s="76">
        <f t="shared" si="13"/>
        <v>-1.3439035240356338</v>
      </c>
      <c r="R10" s="76">
        <f t="shared" si="14"/>
        <v>2.4783675378319479</v>
      </c>
      <c r="S10" s="76">
        <f t="shared" si="20"/>
        <v>6396321.2581879003</v>
      </c>
      <c r="T10" s="76">
        <f t="shared" si="21"/>
        <v>6398502.6506244335</v>
      </c>
      <c r="V10" s="76">
        <f t="shared" si="22"/>
        <v>-8550193.2753157988</v>
      </c>
      <c r="X10" s="76">
        <f t="shared" si="23"/>
        <v>-8546773.1980056725</v>
      </c>
      <c r="Y10" s="76">
        <f t="shared" si="15"/>
        <v>-701229.73617179599</v>
      </c>
      <c r="Z10" s="76">
        <f t="shared" si="4"/>
        <v>40668.303947632194</v>
      </c>
      <c r="AA10" s="76">
        <f t="shared" si="5"/>
        <v>1438774.1775129889</v>
      </c>
      <c r="AB10" s="76">
        <f t="shared" si="6"/>
        <v>-215522.80582900366</v>
      </c>
      <c r="AC10" s="76">
        <f t="shared" si="7"/>
        <v>9.5436603131081974E-8</v>
      </c>
      <c r="AD10" s="76">
        <f t="shared" si="16"/>
        <v>-8546986.8010248989</v>
      </c>
      <c r="AE10" s="10">
        <f t="shared" si="17"/>
        <v>1453013.1989751011</v>
      </c>
      <c r="AF10" s="10">
        <f t="shared" si="18"/>
        <v>525110.20074669679</v>
      </c>
      <c r="AG10" s="10">
        <f t="shared" si="19"/>
        <v>54</v>
      </c>
    </row>
    <row r="11" spans="1:33">
      <c r="A11" s="2" t="s">
        <v>21</v>
      </c>
      <c r="B11" s="2" t="s">
        <v>22</v>
      </c>
      <c r="C11" s="2">
        <v>0.99960000000000004</v>
      </c>
      <c r="D11" s="18"/>
      <c r="E11" s="18"/>
      <c r="F11" s="18"/>
      <c r="G11" s="18"/>
      <c r="H11" s="18"/>
      <c r="I11" s="18"/>
      <c r="J11">
        <f t="shared" si="8"/>
        <v>0</v>
      </c>
      <c r="K11">
        <f t="shared" si="9"/>
        <v>0</v>
      </c>
      <c r="L11" s="11">
        <v>-65</v>
      </c>
      <c r="M11" s="11">
        <v>-142</v>
      </c>
      <c r="N11" s="76">
        <f t="shared" si="10"/>
        <v>7</v>
      </c>
      <c r="O11" s="76">
        <f t="shared" si="11"/>
        <v>-141</v>
      </c>
      <c r="P11" s="76">
        <f t="shared" si="12"/>
        <v>-1.7453292519943295E-2</v>
      </c>
      <c r="Q11" s="76">
        <f t="shared" si="13"/>
        <v>-1.1344640137963142</v>
      </c>
      <c r="R11" s="76">
        <f t="shared" si="14"/>
        <v>-2.4783675378319479</v>
      </c>
      <c r="S11" s="76">
        <f t="shared" si="20"/>
        <v>6388056.0488580726</v>
      </c>
      <c r="T11" s="76">
        <f t="shared" si="21"/>
        <v>6395745.4533214737</v>
      </c>
      <c r="V11" s="76">
        <f t="shared" si="22"/>
        <v>-7211339.1779802199</v>
      </c>
      <c r="X11" s="76">
        <f t="shared" si="23"/>
        <v>-7208454.6423090277</v>
      </c>
      <c r="Y11" s="76">
        <f t="shared" si="15"/>
        <v>-1224856.316030096</v>
      </c>
      <c r="Z11" s="76">
        <f t="shared" si="4"/>
        <v>-7506.7051327688459</v>
      </c>
      <c r="AA11" s="76">
        <f t="shared" si="5"/>
        <v>2701877.6424882957</v>
      </c>
      <c r="AB11" s="76">
        <f t="shared" si="6"/>
        <v>-289358.76530023047</v>
      </c>
      <c r="AC11" s="76">
        <f t="shared" si="7"/>
        <v>5.7067115696140005E-7</v>
      </c>
      <c r="AD11" s="76">
        <f t="shared" si="16"/>
        <v>-7208827.7555761868</v>
      </c>
      <c r="AE11" s="10">
        <f t="shared" si="17"/>
        <v>2791172.2444238132</v>
      </c>
      <c r="AF11" s="10">
        <f t="shared" si="18"/>
        <v>452844.87755069433</v>
      </c>
      <c r="AG11" s="10">
        <f t="shared" si="19"/>
        <v>7</v>
      </c>
    </row>
    <row r="12" spans="1:33">
      <c r="A12" s="2" t="s">
        <v>24</v>
      </c>
      <c r="B12" s="2" t="s">
        <v>25</v>
      </c>
      <c r="C12" s="2">
        <f>SQRT(1-(b/a)^2)</f>
        <v>8.1819190928906924E-2</v>
      </c>
      <c r="D12" s="18"/>
      <c r="E12" s="18"/>
      <c r="F12" s="18"/>
      <c r="G12" s="18"/>
      <c r="H12" s="18"/>
      <c r="I12" s="18"/>
      <c r="J12">
        <f t="shared" si="8"/>
        <v>0</v>
      </c>
      <c r="K12">
        <f t="shared" si="9"/>
        <v>0</v>
      </c>
      <c r="L12" s="11">
        <v>-10</v>
      </c>
      <c r="M12" s="11">
        <v>-20</v>
      </c>
      <c r="N12" s="76">
        <f t="shared" si="10"/>
        <v>27</v>
      </c>
      <c r="O12" s="76">
        <f t="shared" si="11"/>
        <v>-21</v>
      </c>
      <c r="P12" s="76">
        <f t="shared" si="12"/>
        <v>1.7453292519943295E-2</v>
      </c>
      <c r="Q12" s="76">
        <f t="shared" si="13"/>
        <v>-0.17453292519943295</v>
      </c>
      <c r="R12" s="76">
        <f t="shared" si="14"/>
        <v>-0.3490658503988659</v>
      </c>
      <c r="S12" s="76">
        <f t="shared" si="20"/>
        <v>6337358.1214689128</v>
      </c>
      <c r="T12" s="76">
        <f t="shared" si="21"/>
        <v>6378780.8436627109</v>
      </c>
      <c r="V12" s="76">
        <f t="shared" si="22"/>
        <v>-1105854.8605649539</v>
      </c>
      <c r="X12" s="76">
        <f t="shared" si="23"/>
        <v>-1105412.518620728</v>
      </c>
      <c r="Y12" s="76">
        <f t="shared" si="15"/>
        <v>-545417.88459813746</v>
      </c>
      <c r="Z12" s="76">
        <f t="shared" si="4"/>
        <v>-221546.2781385188</v>
      </c>
      <c r="AA12" s="76">
        <f t="shared" si="5"/>
        <v>6279360.080472949</v>
      </c>
      <c r="AB12" s="76">
        <f t="shared" si="6"/>
        <v>990079.05749260611</v>
      </c>
      <c r="AC12" s="76">
        <f t="shared" si="7"/>
        <v>-2.4519279887232345E-6</v>
      </c>
      <c r="AD12" s="76">
        <f t="shared" si="16"/>
        <v>-1105578.6829671117</v>
      </c>
      <c r="AE12" s="10">
        <f t="shared" si="17"/>
        <v>8894421.3170328885</v>
      </c>
      <c r="AF12" s="10">
        <f t="shared" si="18"/>
        <v>609600.77215402911</v>
      </c>
      <c r="AG12" s="10">
        <f t="shared" si="19"/>
        <v>27</v>
      </c>
    </row>
    <row r="13" spans="1:33">
      <c r="A13" s="2"/>
      <c r="B13" s="2" t="s">
        <v>42</v>
      </c>
      <c r="C13" s="2">
        <f>e*e/(1-e*e)</f>
        <v>6.7394967565870025E-3</v>
      </c>
      <c r="D13" s="18"/>
      <c r="E13" s="18"/>
      <c r="F13" s="18"/>
      <c r="G13" s="18"/>
      <c r="H13" s="18"/>
      <c r="I13" s="18"/>
      <c r="J13">
        <f t="shared" si="8"/>
        <v>0</v>
      </c>
      <c r="K13">
        <f t="shared" si="9"/>
        <v>0</v>
      </c>
      <c r="L13" s="11">
        <v>-55</v>
      </c>
      <c r="M13" s="11">
        <v>-79</v>
      </c>
      <c r="N13" s="76">
        <f t="shared" si="10"/>
        <v>17</v>
      </c>
      <c r="O13" s="76">
        <f t="shared" si="11"/>
        <v>-81</v>
      </c>
      <c r="P13" s="76">
        <f t="shared" si="12"/>
        <v>3.4906585039886591E-2</v>
      </c>
      <c r="Q13" s="76">
        <f t="shared" si="13"/>
        <v>-0.95993108859688125</v>
      </c>
      <c r="R13" s="76">
        <f t="shared" si="14"/>
        <v>-1.3788101090755203</v>
      </c>
      <c r="S13" s="76">
        <f t="shared" si="20"/>
        <v>6378368.4395770831</v>
      </c>
      <c r="T13" s="76">
        <f t="shared" si="21"/>
        <v>6392510.7274587471</v>
      </c>
      <c r="V13" s="76">
        <f t="shared" si="22"/>
        <v>-6097230.3877186552</v>
      </c>
      <c r="X13" s="76">
        <f t="shared" si="23"/>
        <v>-6094791.4955635676</v>
      </c>
      <c r="Y13" s="76">
        <f t="shared" si="15"/>
        <v>-1501748.789721936</v>
      </c>
      <c r="Z13" s="76">
        <f t="shared" si="4"/>
        <v>-122657.69037571609</v>
      </c>
      <c r="AA13" s="76">
        <f t="shared" si="5"/>
        <v>3665126.8849826655</v>
      </c>
      <c r="AB13" s="76">
        <f t="shared" si="6"/>
        <v>-208478.95221249858</v>
      </c>
      <c r="AC13" s="76">
        <f t="shared" si="7"/>
        <v>4.411360652054527E-5</v>
      </c>
      <c r="AD13" s="76">
        <f t="shared" si="16"/>
        <v>-6096621.5130355312</v>
      </c>
      <c r="AE13" s="10">
        <f t="shared" si="17"/>
        <v>3903378.4869644688</v>
      </c>
      <c r="AF13" s="10">
        <f t="shared" si="18"/>
        <v>627928.19613751327</v>
      </c>
      <c r="AG13" s="10">
        <f t="shared" si="19"/>
        <v>17</v>
      </c>
    </row>
    <row r="14" spans="1:33">
      <c r="A14" s="2"/>
      <c r="B14" s="2" t="s">
        <v>27</v>
      </c>
      <c r="C14" s="2">
        <f>(a-b)/(a+b)</f>
        <v>1.6792203899373642E-3</v>
      </c>
      <c r="D14" s="18"/>
      <c r="E14" s="18"/>
      <c r="F14" s="18"/>
      <c r="G14" s="18"/>
      <c r="H14" s="18"/>
      <c r="I14" s="18"/>
      <c r="J14">
        <f t="shared" si="8"/>
        <v>0</v>
      </c>
      <c r="K14">
        <f t="shared" si="9"/>
        <v>0</v>
      </c>
      <c r="L14" s="11">
        <v>0</v>
      </c>
      <c r="M14" s="11">
        <v>3</v>
      </c>
      <c r="N14" s="76">
        <f t="shared" si="10"/>
        <v>31</v>
      </c>
      <c r="O14" s="76">
        <f t="shared" si="11"/>
        <v>3</v>
      </c>
      <c r="P14" s="76">
        <f t="shared" si="12"/>
        <v>0</v>
      </c>
      <c r="Q14" s="76">
        <f t="shared" si="13"/>
        <v>0</v>
      </c>
      <c r="R14" s="76">
        <f t="shared" si="14"/>
        <v>5.2359877559829883E-2</v>
      </c>
      <c r="S14" s="76">
        <f t="shared" si="20"/>
        <v>6335439.3272027634</v>
      </c>
      <c r="T14" s="76">
        <f t="shared" si="21"/>
        <v>6378137</v>
      </c>
      <c r="V14" s="76">
        <f t="shared" si="22"/>
        <v>0</v>
      </c>
      <c r="X14" s="76">
        <f t="shared" si="23"/>
        <v>0</v>
      </c>
      <c r="Y14" s="76">
        <f t="shared" si="15"/>
        <v>0</v>
      </c>
      <c r="Z14" s="76">
        <f t="shared" si="4"/>
        <v>0</v>
      </c>
      <c r="AA14" s="76">
        <f t="shared" si="5"/>
        <v>6375585.7452000007</v>
      </c>
      <c r="AB14" s="76">
        <f t="shared" si="6"/>
        <v>1069758.9974418529</v>
      </c>
      <c r="AC14" s="76">
        <f t="shared" si="7"/>
        <v>0</v>
      </c>
      <c r="AD14" s="76">
        <f t="shared" si="16"/>
        <v>0</v>
      </c>
      <c r="AE14" s="10">
        <f t="shared" si="17"/>
        <v>0</v>
      </c>
      <c r="AF14" s="10">
        <f t="shared" si="18"/>
        <v>500000</v>
      </c>
      <c r="AG14" s="10">
        <f t="shared" si="19"/>
        <v>31</v>
      </c>
    </row>
    <row r="15" spans="1:33">
      <c r="A15" s="4" t="s">
        <v>180</v>
      </c>
      <c r="B15" s="4"/>
      <c r="D15" s="18"/>
      <c r="E15" s="18"/>
      <c r="F15" s="18"/>
      <c r="G15" s="18"/>
      <c r="H15" s="18"/>
      <c r="I15" s="18"/>
      <c r="J15">
        <f t="shared" si="8"/>
        <v>0</v>
      </c>
      <c r="K15">
        <f t="shared" si="9"/>
        <v>0</v>
      </c>
      <c r="L15" s="11">
        <v>0</v>
      </c>
      <c r="M15" s="11">
        <v>0</v>
      </c>
      <c r="N15" s="76">
        <f t="shared" si="10"/>
        <v>31</v>
      </c>
      <c r="O15" s="76">
        <f t="shared" si="11"/>
        <v>3</v>
      </c>
      <c r="P15" s="76">
        <f t="shared" si="12"/>
        <v>-5.2359877559829883E-2</v>
      </c>
      <c r="Q15" s="76">
        <f>L15*PI()/180</f>
        <v>0</v>
      </c>
      <c r="R15" s="76">
        <f>M15*PI()/180</f>
        <v>0</v>
      </c>
      <c r="S15" s="76">
        <f>a*(1-e*e)/((1-(e*SIN(Q15))^2)^(3/2))</f>
        <v>6335439.3272027634</v>
      </c>
      <c r="T15" s="76">
        <f>a/((1-(e*SIN(Q15))^2)^(1/2))</f>
        <v>6378137</v>
      </c>
      <c r="V15" s="76">
        <f>A0*Q15 - B0*SIN(2*Q15) + C0*SIN(4*Q15) - D0*SIN(6*Q15) + E0*SIN(8*Q15)</f>
        <v>0</v>
      </c>
      <c r="X15" s="76">
        <f>V15*k0</f>
        <v>0</v>
      </c>
      <c r="Y15" s="76">
        <f t="shared" si="15"/>
        <v>0</v>
      </c>
      <c r="Z15" s="76">
        <f t="shared" si="4"/>
        <v>0</v>
      </c>
      <c r="AA15" s="76">
        <f t="shared" si="5"/>
        <v>6375585.7452000007</v>
      </c>
      <c r="AB15" s="76">
        <f t="shared" si="6"/>
        <v>1069758.9974418529</v>
      </c>
      <c r="AC15" s="76">
        <f t="shared" si="7"/>
        <v>0</v>
      </c>
      <c r="AD15" s="76">
        <f t="shared" si="16"/>
        <v>0</v>
      </c>
      <c r="AE15" s="10">
        <f t="shared" si="17"/>
        <v>0</v>
      </c>
      <c r="AF15" s="10">
        <f>500000+(AA15*P15+AB15*P15^3)</f>
        <v>166021.54969683522</v>
      </c>
      <c r="AG15" s="10">
        <f t="shared" si="19"/>
        <v>31</v>
      </c>
    </row>
    <row r="16" spans="1:33">
      <c r="A16" s="1" t="s">
        <v>47</v>
      </c>
      <c r="B16" s="1">
        <f>a*(1-n+(5*n*n/4)*(1-n) +(81*n^4/64)*(1-n))</f>
        <v>6367449.1458008448</v>
      </c>
    </row>
    <row r="17" spans="1:11">
      <c r="A17" s="1" t="s">
        <v>43</v>
      </c>
      <c r="B17" s="1">
        <f>(3*a*n/2)*(1 - n - (7*n*n/8)*(1-n) + 55*n^4/64)</f>
        <v>16038.429553159074</v>
      </c>
    </row>
    <row r="18" spans="1:11">
      <c r="A18" s="1" t="s">
        <v>44</v>
      </c>
      <c r="B18" s="1">
        <f>(15*a*n*n/16)*(1 - n +(3*n*n/4)*(1-n))</f>
        <v>16.832613334334404</v>
      </c>
    </row>
    <row r="19" spans="1:11">
      <c r="A19" s="1" t="s">
        <v>45</v>
      </c>
      <c r="B19" s="1">
        <f>(35*a*n^3/48)*(1 - n + 11*n*n/16)</f>
        <v>2.1984404273757349E-2</v>
      </c>
    </row>
    <row r="20" spans="1:11">
      <c r="A20" s="1" t="s">
        <v>46</v>
      </c>
      <c r="B20" s="1">
        <f>(315*a*n^4/51)*(1-n)</f>
        <v>3.1270521795044842E-4</v>
      </c>
      <c r="C20" s="18"/>
      <c r="D20" s="18"/>
      <c r="E20" s="18"/>
      <c r="F20" s="18"/>
      <c r="G20" s="18"/>
      <c r="H20" s="18"/>
      <c r="I20" s="18"/>
      <c r="J20" s="18"/>
      <c r="K20" s="18"/>
    </row>
    <row r="21" spans="1:11">
      <c r="A21" s="8" t="s">
        <v>52</v>
      </c>
      <c r="B21" s="9"/>
      <c r="C21" s="18"/>
      <c r="D21" s="18"/>
      <c r="E21" s="18"/>
      <c r="F21" s="18"/>
      <c r="G21" s="18"/>
      <c r="H21" s="18"/>
      <c r="I21" s="18"/>
      <c r="J21" s="18"/>
      <c r="K21" s="18"/>
    </row>
    <row r="22" spans="1:11">
      <c r="A22" s="9" t="s">
        <v>35</v>
      </c>
      <c r="B22" s="9">
        <f>PI()/(180*3600)</f>
        <v>4.8481368110953598E-6</v>
      </c>
      <c r="C22" s="18"/>
      <c r="D22" s="18"/>
      <c r="E22" s="18"/>
      <c r="F22" s="18"/>
      <c r="G22" s="18"/>
      <c r="H22" s="18"/>
      <c r="I22" s="18"/>
      <c r="J22" s="18"/>
      <c r="K22" s="18"/>
    </row>
  </sheetData>
  <phoneticPr fontId="8" type="noConversion"/>
  <hyperlinks>
    <hyperlink ref="A1" r:id="rId1"/>
  </hyperlinks>
  <pageMargins left="0.75" right="0.75" top="1" bottom="1" header="0.5" footer="0.5"/>
  <pageSetup orientation="portrait" horizontalDpi="4294967293"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64</vt:i4>
      </vt:variant>
    </vt:vector>
  </HeadingPairs>
  <TitlesOfParts>
    <vt:vector size="73" baseType="lpstr">
      <vt:lpstr>TestSheet</vt:lpstr>
      <vt:lpstr>Position Interpolation</vt:lpstr>
      <vt:lpstr>UTM Conversion Main Page</vt:lpstr>
      <vt:lpstr>Datums</vt:lpstr>
      <vt:lpstr>Convert Lat, Long to UTM</vt:lpstr>
      <vt:lpstr>Convert UTM to Lat, Long</vt:lpstr>
      <vt:lpstr>Convert MGR to LatLong</vt:lpstr>
      <vt:lpstr>Batch Convert UTM to Lat-Long</vt:lpstr>
      <vt:lpstr>Batch Convert Lat Long To UTM</vt:lpstr>
      <vt:lpstr>_lof1</vt:lpstr>
      <vt:lpstr>_lof2</vt:lpstr>
      <vt:lpstr>_lof3</vt:lpstr>
      <vt:lpstr>_phi1</vt:lpstr>
      <vt:lpstr>_Sin1</vt:lpstr>
      <vt:lpstr>a</vt:lpstr>
      <vt:lpstr>A0</vt:lpstr>
      <vt:lpstr>arc</vt:lpstr>
      <vt:lpstr>b</vt:lpstr>
      <vt:lpstr>B0</vt:lpstr>
      <vt:lpstr>C0</vt:lpstr>
      <vt:lpstr>ca</vt:lpstr>
      <vt:lpstr>cb</vt:lpstr>
      <vt:lpstr>ccc</vt:lpstr>
      <vt:lpstr>cd</vt:lpstr>
      <vt:lpstr>D0</vt:lpstr>
      <vt:lpstr>DatumList</vt:lpstr>
      <vt:lpstr>dd0</vt:lpstr>
      <vt:lpstr>e</vt:lpstr>
      <vt:lpstr>E0</vt:lpstr>
      <vt:lpstr>e1sq</vt:lpstr>
      <vt:lpstr>east</vt:lpstr>
      <vt:lpstr>ec</vt:lpstr>
      <vt:lpstr>ei</vt:lpstr>
      <vt:lpstr>eisq</vt:lpstr>
      <vt:lpstr>f</vt:lpstr>
      <vt:lpstr>fact1</vt:lpstr>
      <vt:lpstr>fact2</vt:lpstr>
      <vt:lpstr>fact3</vt:lpstr>
      <vt:lpstr>fact4</vt:lpstr>
      <vt:lpstr>k0</vt:lpstr>
      <vt:lpstr>Ki</vt:lpstr>
      <vt:lpstr>Kii</vt:lpstr>
      <vt:lpstr>Kiii</vt:lpstr>
      <vt:lpstr>Kiv</vt:lpstr>
      <vt:lpstr>Kv</vt:lpstr>
      <vt:lpstr>lat</vt:lpstr>
      <vt:lpstr>latd</vt:lpstr>
      <vt:lpstr>latdd</vt:lpstr>
      <vt:lpstr>latdec</vt:lpstr>
      <vt:lpstr>latmm</vt:lpstr>
      <vt:lpstr>latss</vt:lpstr>
      <vt:lpstr>LatZones</vt:lpstr>
      <vt:lpstr>lond</vt:lpstr>
      <vt:lpstr>londd</vt:lpstr>
      <vt:lpstr>londec</vt:lpstr>
      <vt:lpstr>long</vt:lpstr>
      <vt:lpstr>lonmm</vt:lpstr>
      <vt:lpstr>lonss</vt:lpstr>
      <vt:lpstr>mu</vt:lpstr>
      <vt:lpstr>n</vt:lpstr>
      <vt:lpstr>n0</vt:lpstr>
      <vt:lpstr>nor</vt:lpstr>
      <vt:lpstr>north</vt:lpstr>
      <vt:lpstr>nu</vt:lpstr>
      <vt:lpstr>p</vt:lpstr>
      <vt:lpstr>Q0</vt:lpstr>
      <vt:lpstr>r0</vt:lpstr>
      <vt:lpstr>rho</vt:lpstr>
      <vt:lpstr>rm</vt:lpstr>
      <vt:lpstr>S</vt:lpstr>
      <vt:lpstr>t0</vt:lpstr>
      <vt:lpstr>ZC</vt:lpstr>
      <vt:lpstr>ZoneCM</vt:lpstr>
    </vt:vector>
  </TitlesOfParts>
  <Company>University of Wisconsin-Green Bay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I. Dutch</dc:creator>
  <cp:lastModifiedBy>sage hornung</cp:lastModifiedBy>
  <dcterms:created xsi:type="dcterms:W3CDTF">2003-09-13T20:44:16Z</dcterms:created>
  <dcterms:modified xsi:type="dcterms:W3CDTF">2017-09-03T04:03:02Z</dcterms:modified>
</cp:coreProperties>
</file>