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udentlaccd-my.sharepoint.com/personal/yuwanas5694_student_laccd_edu/Documents/"/>
    </mc:Choice>
  </mc:AlternateContent>
  <xr:revisionPtr revIDLastSave="217" documentId="8_{E88978F0-3A0A-4BF0-BBA8-3905C3963736}" xr6:coauthVersionLast="45" xr6:coauthVersionMax="45" xr10:uidLastSave="{4C006CDB-35A9-4A73-A52C-744509DA8F77}"/>
  <bookViews>
    <workbookView xWindow="-108" yWindow="-108" windowWidth="23256" windowHeight="12576" firstSheet="2" activeTab="2" xr2:uid="{D8FFA4B3-4829-47B5-A769-0797E7A5C16D}"/>
  </bookViews>
  <sheets>
    <sheet name="Benny Data" sheetId="5" state="veryHidden" r:id="rId1"/>
    <sheet name="Read me!" sheetId="1" r:id="rId2"/>
    <sheet name="Kinetics data" sheetId="7" r:id="rId3"/>
    <sheet name="0th Order Grp Here" sheetId="11" r:id="rId4"/>
    <sheet name="1st Order Grp Here" sheetId="9" r:id="rId5"/>
    <sheet name="2nd Order Grp Here" sheetId="10" r:id="rId6"/>
    <sheet name="Benny kinetics data" sheetId="8" state="very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7" i="7" l="1"/>
  <c r="T7" i="7"/>
  <c r="S7" i="7"/>
  <c r="U4" i="7"/>
  <c r="T4" i="7"/>
  <c r="S4" i="7"/>
  <c r="L5" i="7" l="1"/>
  <c r="L9" i="7"/>
  <c r="L13" i="7"/>
  <c r="L17" i="7"/>
  <c r="K17" i="7"/>
  <c r="M17" i="7" s="1"/>
  <c r="K16" i="7"/>
  <c r="M16" i="7" s="1"/>
  <c r="K15" i="7"/>
  <c r="M15" i="7" s="1"/>
  <c r="K14" i="7"/>
  <c r="M14" i="7" s="1"/>
  <c r="K13" i="7"/>
  <c r="M13" i="7" s="1"/>
  <c r="K12" i="7"/>
  <c r="M12" i="7" s="1"/>
  <c r="K11" i="7"/>
  <c r="M11" i="7" s="1"/>
  <c r="K10" i="7"/>
  <c r="M10" i="7" s="1"/>
  <c r="K9" i="7"/>
  <c r="M9" i="7" s="1"/>
  <c r="K8" i="7"/>
  <c r="L8" i="7" s="1"/>
  <c r="K7" i="7"/>
  <c r="M7" i="7" s="1"/>
  <c r="K6" i="7"/>
  <c r="M6" i="7" s="1"/>
  <c r="K5" i="7"/>
  <c r="K4" i="7"/>
  <c r="M4" i="7" s="1"/>
  <c r="K3" i="7"/>
  <c r="M3" i="7" s="1"/>
  <c r="M5" i="7"/>
  <c r="M8" i="7"/>
  <c r="I6" i="7"/>
  <c r="I4" i="7"/>
  <c r="I3" i="7"/>
  <c r="I5" i="7"/>
  <c r="I7" i="7"/>
  <c r="I8" i="7"/>
  <c r="I9" i="7"/>
  <c r="I10" i="7"/>
  <c r="I11" i="7"/>
  <c r="I12" i="7"/>
  <c r="I13" i="7"/>
  <c r="I14" i="7"/>
  <c r="I15" i="7"/>
  <c r="I16" i="7"/>
  <c r="I17" i="7"/>
  <c r="G5" i="7"/>
  <c r="G6" i="7"/>
  <c r="G7" i="7"/>
  <c r="G8" i="7"/>
  <c r="G9" i="7" s="1"/>
  <c r="G4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3" i="7"/>
  <c r="L16" i="7" l="1"/>
  <c r="L12" i="7"/>
  <c r="L3" i="7"/>
  <c r="L15" i="7"/>
  <c r="L11" i="7"/>
  <c r="L7" i="7"/>
  <c r="L4" i="7"/>
  <c r="L14" i="7"/>
  <c r="L10" i="7"/>
  <c r="L6" i="7"/>
  <c r="G10" i="7"/>
  <c r="H20" i="7"/>
  <c r="G11" i="7" l="1"/>
  <c r="B3" i="11"/>
  <c r="B4" i="11"/>
  <c r="B5" i="11"/>
  <c r="B6" i="11"/>
  <c r="B9" i="11"/>
  <c r="B10" i="11"/>
  <c r="B11" i="11"/>
  <c r="B12" i="11"/>
  <c r="B13" i="11"/>
  <c r="B16" i="11"/>
  <c r="B2" i="11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2" i="11"/>
  <c r="G12" i="7" l="1"/>
  <c r="B15" i="10"/>
  <c r="B15" i="9"/>
  <c r="B14" i="10"/>
  <c r="B14" i="9"/>
  <c r="B12" i="9"/>
  <c r="B12" i="10"/>
  <c r="B8" i="9"/>
  <c r="B8" i="10"/>
  <c r="B4" i="9"/>
  <c r="B4" i="10"/>
  <c r="B7" i="10"/>
  <c r="B7" i="9"/>
  <c r="B13" i="9"/>
  <c r="B13" i="10"/>
  <c r="B5" i="9"/>
  <c r="B5" i="10"/>
  <c r="B11" i="9"/>
  <c r="B11" i="10"/>
  <c r="B8" i="11"/>
  <c r="B6" i="9"/>
  <c r="B6" i="10"/>
  <c r="B3" i="9"/>
  <c r="B3" i="10"/>
  <c r="B15" i="11"/>
  <c r="B7" i="11"/>
  <c r="B10" i="9"/>
  <c r="B10" i="10"/>
  <c r="B2" i="9"/>
  <c r="B2" i="10"/>
  <c r="B14" i="11"/>
  <c r="B16" i="9"/>
  <c r="B16" i="10"/>
  <c r="B9" i="9"/>
  <c r="B9" i="10"/>
  <c r="P16" i="8"/>
  <c r="O16" i="8"/>
  <c r="P13" i="8"/>
  <c r="Q13" i="8"/>
  <c r="O13" i="8"/>
  <c r="P10" i="8"/>
  <c r="Q10" i="8"/>
  <c r="O10" i="8"/>
  <c r="P7" i="8"/>
  <c r="Q7" i="8"/>
  <c r="O7" i="8"/>
  <c r="P4" i="8"/>
  <c r="Q4" i="8"/>
  <c r="O4" i="8"/>
  <c r="F20" i="8"/>
  <c r="E20" i="8"/>
  <c r="H2" i="8"/>
  <c r="H20" i="8" s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3" i="8"/>
  <c r="E2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3" i="8"/>
  <c r="C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3" i="8"/>
  <c r="G13" i="7" l="1"/>
  <c r="D15" i="8"/>
  <c r="D8" i="8"/>
  <c r="D7" i="8"/>
  <c r="G15" i="8"/>
  <c r="I15" i="8" s="1"/>
  <c r="G16" i="8"/>
  <c r="I16" i="8" s="1"/>
  <c r="D6" i="8"/>
  <c r="D12" i="8"/>
  <c r="D4" i="8"/>
  <c r="D14" i="8"/>
  <c r="G20" i="8"/>
  <c r="I20" i="8" s="1"/>
  <c r="D3" i="8"/>
  <c r="D11" i="8"/>
  <c r="D13" i="8"/>
  <c r="D5" i="8"/>
  <c r="G4" i="8"/>
  <c r="I4" i="8" s="1"/>
  <c r="G8" i="8"/>
  <c r="I8" i="8" s="1"/>
  <c r="G7" i="8"/>
  <c r="I7" i="8" s="1"/>
  <c r="G12" i="8"/>
  <c r="I12" i="8" s="1"/>
  <c r="G17" i="8"/>
  <c r="I17" i="8" s="1"/>
  <c r="G3" i="8"/>
  <c r="I3" i="8" s="1"/>
  <c r="G13" i="8"/>
  <c r="I13" i="8" s="1"/>
  <c r="G5" i="8"/>
  <c r="I5" i="8" s="1"/>
  <c r="G14" i="8"/>
  <c r="I14" i="8" s="1"/>
  <c r="G9" i="8"/>
  <c r="I9" i="8" s="1"/>
  <c r="G10" i="8"/>
  <c r="I10" i="8" s="1"/>
  <c r="G6" i="8"/>
  <c r="I6" i="8" s="1"/>
  <c r="G11" i="8"/>
  <c r="I11" i="8" s="1"/>
  <c r="D10" i="8"/>
  <c r="D17" i="8"/>
  <c r="D9" i="8"/>
  <c r="D16" i="8"/>
  <c r="G14" i="7" l="1"/>
  <c r="J2" i="8"/>
  <c r="K14" i="8" s="1"/>
  <c r="L14" i="8" s="1"/>
  <c r="G15" i="7" l="1"/>
  <c r="K16" i="8"/>
  <c r="L16" i="8" s="1"/>
  <c r="K8" i="8"/>
  <c r="L8" i="8" s="1"/>
  <c r="K17" i="8"/>
  <c r="L17" i="8" s="1"/>
  <c r="K5" i="8"/>
  <c r="M5" i="8" s="1"/>
  <c r="K4" i="8"/>
  <c r="L4" i="8" s="1"/>
  <c r="K7" i="8"/>
  <c r="L7" i="8" s="1"/>
  <c r="K11" i="8"/>
  <c r="L11" i="8" s="1"/>
  <c r="K9" i="8"/>
  <c r="M9" i="8" s="1"/>
  <c r="K3" i="8"/>
  <c r="L3" i="8" s="1"/>
  <c r="K6" i="8"/>
  <c r="L6" i="8" s="1"/>
  <c r="K15" i="8"/>
  <c r="K10" i="8"/>
  <c r="L10" i="8" s="1"/>
  <c r="K13" i="8"/>
  <c r="M13" i="8" s="1"/>
  <c r="K12" i="8"/>
  <c r="L12" i="8" s="1"/>
  <c r="M14" i="8"/>
  <c r="M7" i="8" l="1"/>
  <c r="G16" i="7"/>
  <c r="M16" i="8"/>
  <c r="M17" i="8"/>
  <c r="L5" i="8"/>
  <c r="L9" i="8"/>
  <c r="T7" i="8"/>
  <c r="T10" i="8"/>
  <c r="T4" i="8"/>
  <c r="M3" i="8"/>
  <c r="S7" i="8"/>
  <c r="S10" i="8"/>
  <c r="S4" i="8"/>
  <c r="L13" i="8"/>
  <c r="M8" i="8"/>
  <c r="M10" i="8"/>
  <c r="M11" i="8"/>
  <c r="M6" i="8"/>
  <c r="M4" i="8"/>
  <c r="M12" i="8"/>
  <c r="M15" i="8"/>
  <c r="L15" i="8"/>
  <c r="G17" i="7" l="1"/>
  <c r="T13" i="8"/>
  <c r="T16" i="8"/>
  <c r="T17" i="8" s="1"/>
  <c r="S16" i="8"/>
  <c r="S17" i="8" s="1"/>
  <c r="S13" i="8"/>
  <c r="U7" i="8"/>
  <c r="U10" i="8"/>
  <c r="U4" i="8"/>
  <c r="E35" i="5"/>
  <c r="E32" i="5"/>
  <c r="E31" i="5"/>
  <c r="H24" i="5"/>
  <c r="H22" i="5"/>
  <c r="F17" i="5"/>
  <c r="G17" i="5" s="1"/>
  <c r="F18" i="5"/>
  <c r="G18" i="5" s="1"/>
  <c r="F19" i="5"/>
  <c r="F20" i="5"/>
  <c r="G20" i="5" s="1"/>
  <c r="F21" i="5"/>
  <c r="G21" i="5" s="1"/>
  <c r="F22" i="5"/>
  <c r="G22" i="5" s="1"/>
  <c r="F23" i="5"/>
  <c r="G23" i="5" s="1"/>
  <c r="F24" i="5"/>
  <c r="G24" i="5" s="1"/>
  <c r="F25" i="5"/>
  <c r="G25" i="5" s="1"/>
  <c r="F26" i="5"/>
  <c r="G26" i="5" s="1"/>
  <c r="F27" i="5"/>
  <c r="F16" i="5"/>
  <c r="G16" i="5" s="1"/>
  <c r="G19" i="5"/>
  <c r="G27" i="5"/>
  <c r="L13" i="5"/>
  <c r="I9" i="5"/>
  <c r="I10" i="5" s="1"/>
  <c r="G9" i="5"/>
  <c r="G10" i="5" s="1"/>
  <c r="E9" i="5"/>
  <c r="E10" i="5" s="1"/>
  <c r="G32" i="5"/>
  <c r="H16" i="5"/>
  <c r="H18" i="5" s="1"/>
  <c r="U16" i="8" l="1"/>
  <c r="U17" i="8" s="1"/>
  <c r="U13" i="8"/>
  <c r="E34" i="5"/>
  <c r="F32" i="5"/>
  <c r="E33" i="5"/>
  <c r="I18" i="5"/>
  <c r="H20" i="5"/>
  <c r="I20" i="5" s="1"/>
  <c r="G12" i="5"/>
  <c r="I13" i="5"/>
  <c r="G13" i="5"/>
  <c r="E36" i="5" s="1"/>
  <c r="E12" i="5"/>
  <c r="I12" i="5"/>
  <c r="E13" i="5"/>
  <c r="Q16" i="8" l="1"/>
</calcChain>
</file>

<file path=xl/sharedStrings.xml><?xml version="1.0" encoding="utf-8"?>
<sst xmlns="http://schemas.openxmlformats.org/spreadsheetml/2006/main" count="173" uniqueCount="105">
  <si>
    <t>Your First Name</t>
  </si>
  <si>
    <t>Your Last Name</t>
  </si>
  <si>
    <t>Trial #1</t>
  </si>
  <si>
    <t>Trial #2</t>
  </si>
  <si>
    <t>Solution</t>
  </si>
  <si>
    <t>%error</t>
  </si>
  <si>
    <t>DI Water</t>
  </si>
  <si>
    <t>0.1 M HCl</t>
  </si>
  <si>
    <t>0.1 M HAc</t>
  </si>
  <si>
    <t>0.1 M NH4Ac</t>
  </si>
  <si>
    <t>0.1 M NH4Cl</t>
  </si>
  <si>
    <t>0.1 M KH2PO4</t>
  </si>
  <si>
    <t>Ka1_ref</t>
  </si>
  <si>
    <t>0.1 M H3BO3</t>
  </si>
  <si>
    <t>0.1 M Na2CO3</t>
  </si>
  <si>
    <t>Ka2_ref</t>
  </si>
  <si>
    <t>0.1 M NaHCO3</t>
  </si>
  <si>
    <t>0.1 M Na2CO3 &amp; 0.1 M NaHCO</t>
  </si>
  <si>
    <t>Buffer 7</t>
  </si>
  <si>
    <t>Buffer 4</t>
  </si>
  <si>
    <t>Trial #3 if necessary</t>
  </si>
  <si>
    <r>
      <t xml:space="preserve">Mass KHP (g)
</t>
    </r>
    <r>
      <rPr>
        <b/>
        <sz val="11"/>
        <color rgb="FFFF0000"/>
        <rFont val="Calibri"/>
        <family val="2"/>
        <scheme val="minor"/>
      </rPr>
      <t>Remember: 3 decimal places</t>
    </r>
  </si>
  <si>
    <r>
      <t xml:space="preserve">Initial Buret Reading of NaOH (mL)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</si>
  <si>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Final Buret Reading of NaOH (mL)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</si>
  <si>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Volume NaOH Used (mL)
</t>
    </r>
    <r>
      <rPr>
        <b/>
        <sz val="11"/>
        <color rgb="FFFF0000"/>
        <rFont val="Calibri"/>
        <family val="2"/>
        <scheme val="minor"/>
      </rPr>
      <t>Remember: 2 decimal places</t>
    </r>
  </si>
  <si>
    <t>pH given by Benny</t>
  </si>
  <si>
    <t>Your measured pH</t>
  </si>
  <si>
    <r>
      <t>Your Calculated K</t>
    </r>
    <r>
      <rPr>
        <b/>
        <vertAlign val="subscript"/>
        <sz val="11"/>
        <color theme="1"/>
        <rFont val="Calibri"/>
        <family val="2"/>
        <scheme val="minor"/>
      </rPr>
      <t>b2</t>
    </r>
    <r>
      <rPr>
        <b/>
        <sz val="11"/>
        <color theme="1"/>
        <rFont val="Calibri"/>
        <family val="2"/>
        <scheme val="minor"/>
      </rPr>
      <t xml:space="preserve"> value</t>
    </r>
  </si>
  <si>
    <r>
      <t>Your Calculated K</t>
    </r>
    <r>
      <rPr>
        <b/>
        <vertAlign val="subscript"/>
        <sz val="11"/>
        <color theme="1"/>
        <rFont val="Calibri"/>
        <family val="2"/>
        <scheme val="minor"/>
      </rPr>
      <t>a2</t>
    </r>
    <r>
      <rPr>
        <b/>
        <sz val="11"/>
        <color theme="1"/>
        <rFont val="Calibri"/>
        <family val="2"/>
        <scheme val="minor"/>
      </rPr>
      <t xml:space="preserve"> value</t>
    </r>
  </si>
  <si>
    <r>
      <t>Your Calculated K</t>
    </r>
    <r>
      <rPr>
        <b/>
        <vertAlign val="subscript"/>
        <sz val="11"/>
        <color theme="1"/>
        <rFont val="Calibri"/>
        <family val="2"/>
        <scheme val="minor"/>
      </rPr>
      <t>a1</t>
    </r>
    <r>
      <rPr>
        <b/>
        <sz val="11"/>
        <color theme="1"/>
        <rFont val="Calibri"/>
        <family val="2"/>
        <scheme val="minor"/>
      </rPr>
      <t xml:space="preserve"> value</t>
    </r>
  </si>
  <si>
    <r>
      <t xml:space="preserve">Molarity of NaOH (M)
</t>
    </r>
    <r>
      <rPr>
        <b/>
        <sz val="11"/>
        <color rgb="FFFF0000"/>
        <rFont val="Calibri"/>
        <family val="2"/>
        <scheme val="minor"/>
      </rPr>
      <t>Remember to report proper sig. fig. w/ 3 additional digits</t>
    </r>
  </si>
  <si>
    <r>
      <t xml:space="preserve">Difference in Molarity (M) 
between T1 and T2
</t>
    </r>
    <r>
      <rPr>
        <b/>
        <sz val="11"/>
        <color rgb="FFFF0000"/>
        <rFont val="Calibri"/>
        <family val="2"/>
        <scheme val="minor"/>
      </rPr>
      <t xml:space="preserve">Remember to report proper sig. fig. </t>
    </r>
  </si>
  <si>
    <r>
      <rPr>
        <b/>
        <sz val="11"/>
        <color rgb="FFFF0000"/>
        <rFont val="Calibri"/>
        <family val="2"/>
        <scheme val="minor"/>
      </rPr>
      <t>If necessary</t>
    </r>
    <r>
      <rPr>
        <b/>
        <sz val="11"/>
        <color theme="1"/>
        <rFont val="Calibri"/>
        <family val="2"/>
        <scheme val="minor"/>
      </rPr>
      <t xml:space="preserve">, difference in Molarity (M) 
between T2 and T3
</t>
    </r>
    <r>
      <rPr>
        <b/>
        <sz val="11"/>
        <color rgb="FFFF0000"/>
        <rFont val="Calibri"/>
        <family val="2"/>
        <scheme val="minor"/>
      </rPr>
      <t xml:space="preserve">Remember to report proper sig. fig. </t>
    </r>
  </si>
  <si>
    <r>
      <rPr>
        <b/>
        <sz val="11"/>
        <color rgb="FFFF0000"/>
        <rFont val="Calibri"/>
        <family val="2"/>
        <scheme val="minor"/>
      </rPr>
      <t>If necessary</t>
    </r>
    <r>
      <rPr>
        <b/>
        <sz val="11"/>
        <color theme="1"/>
        <rFont val="Calibri"/>
        <family val="2"/>
        <scheme val="minor"/>
      </rPr>
      <t xml:space="preserve">, difference in Molarity (M) 
between T1 and T3
</t>
    </r>
    <r>
      <rPr>
        <b/>
        <sz val="11"/>
        <color rgb="FFFF0000"/>
        <rFont val="Calibri"/>
        <family val="2"/>
        <scheme val="minor"/>
      </rPr>
      <t xml:space="preserve">Remember to report proper sig. fig. </t>
    </r>
  </si>
  <si>
    <r>
      <t xml:space="preserve">Avg Molarity of NaOH (M) 
between T1 and T2
</t>
    </r>
    <r>
      <rPr>
        <b/>
        <sz val="11"/>
        <color rgb="FFFF0000"/>
        <rFont val="Calibri"/>
        <family val="2"/>
        <scheme val="minor"/>
      </rPr>
      <t xml:space="preserve">Remember to report proper sig. fig. </t>
    </r>
  </si>
  <si>
    <r>
      <t xml:space="preserve">Avg Molarity of NaOH (M) 
between T2 and T3
</t>
    </r>
    <r>
      <rPr>
        <b/>
        <sz val="11"/>
        <color rgb="FFFF0000"/>
        <rFont val="Calibri"/>
        <family val="2"/>
        <scheme val="minor"/>
      </rPr>
      <t xml:space="preserve">Remember to report proper sig. fig. </t>
    </r>
  </si>
  <si>
    <r>
      <rPr>
        <b/>
        <sz val="11"/>
        <rFont val="Calibri"/>
        <family val="2"/>
        <scheme val="minor"/>
      </rPr>
      <t>Avg Molarity of NaOH (M) 
between T1 and T3</t>
    </r>
    <r>
      <rPr>
        <b/>
        <sz val="11"/>
        <color rgb="FFFF0000"/>
        <rFont val="Calibri"/>
        <family val="2"/>
        <scheme val="minor"/>
      </rPr>
      <t xml:space="preserve">
Remember to report proper sig. fig. </t>
    </r>
  </si>
  <si>
    <r>
      <t xml:space="preserve">Equivalence Volume (mL)
</t>
    </r>
    <r>
      <rPr>
        <b/>
        <sz val="11"/>
        <color rgb="FFFF0000"/>
        <rFont val="Calibri"/>
        <family val="2"/>
        <scheme val="minor"/>
      </rPr>
      <t xml:space="preserve">Remember to report proper sig. fig. </t>
    </r>
  </si>
  <si>
    <r>
      <t xml:space="preserve">Half Equivalence Volume (mL)
</t>
    </r>
    <r>
      <rPr>
        <b/>
        <sz val="11"/>
        <color rgb="FFFF0000"/>
        <rFont val="Calibri"/>
        <family val="2"/>
        <scheme val="minor"/>
      </rPr>
      <t xml:space="preserve">Remember to report proper sig. fig. </t>
    </r>
  </si>
  <si>
    <r>
      <t xml:space="preserve">Molarity of unk acid as received (M)
</t>
    </r>
    <r>
      <rPr>
        <b/>
        <sz val="11"/>
        <color rgb="FFFF0000"/>
        <rFont val="Calibri"/>
        <family val="2"/>
        <scheme val="minor"/>
      </rPr>
      <t xml:space="preserve">Remember to report proper sig. fig. </t>
    </r>
  </si>
  <si>
    <r>
      <t xml:space="preserve">Molarity of Salt, A-, at equivalence pt (M)
</t>
    </r>
    <r>
      <rPr>
        <b/>
        <sz val="11"/>
        <color rgb="FFFF0000"/>
        <rFont val="Calibri"/>
        <family val="2"/>
        <scheme val="minor"/>
      </rPr>
      <t>Remember to report proper sig. fig.</t>
    </r>
    <r>
      <rPr>
        <b/>
        <sz val="11"/>
        <color theme="1"/>
        <rFont val="Calibri"/>
        <family val="2"/>
        <scheme val="minor"/>
      </rPr>
      <t xml:space="preserve"> 
</t>
    </r>
  </si>
  <si>
    <t>pKa of your unknown acid</t>
  </si>
  <si>
    <t>Week 1</t>
  </si>
  <si>
    <t>Week 2</t>
  </si>
  <si>
    <r>
      <t xml:space="preserve">Buret Reading (mL)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</si>
  <si>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rPr>
        <b/>
        <sz val="11"/>
        <color theme="1"/>
        <rFont val="Calibri"/>
        <family val="2"/>
        <scheme val="minor"/>
      </rPr>
      <t>Avg Molarirty of NaOH (M) used for Week 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FF0000"/>
        <rFont val="Calibri"/>
        <family val="2"/>
        <scheme val="minor"/>
      </rPr>
      <t>Note: Recopy the value of Avg [NaOH] here</t>
    </r>
  </si>
  <si>
    <t>MW of KHP (g/mol)</t>
  </si>
  <si>
    <t>Initial pH Value of Trial 2</t>
  </si>
  <si>
    <t>0th Order</t>
  </si>
  <si>
    <t>1st Order</t>
  </si>
  <si>
    <t>2nd Order</t>
  </si>
  <si>
    <t>Hours</t>
  </si>
  <si>
    <t>Minutes</t>
  </si>
  <si>
    <t>Seconds</t>
  </si>
  <si>
    <t>Total Time (s)</t>
  </si>
  <si>
    <t>ln[RCl]t</t>
  </si>
  <si>
    <t>1/[RCl]</t>
  </si>
  <si>
    <t>Slope</t>
  </si>
  <si>
    <t>y-intercept, [A]o</t>
  </si>
  <si>
    <t>y-intercept</t>
  </si>
  <si>
    <t>y-intercept, 1/[A]o</t>
  </si>
  <si>
    <t>Half-life</t>
  </si>
  <si>
    <r>
      <t xml:space="preserve">Molarity of NaOH from the bottle (M)
</t>
    </r>
    <r>
      <rPr>
        <b/>
        <sz val="11"/>
        <color rgb="FFFF0000"/>
        <rFont val="Calibri"/>
        <family val="2"/>
        <scheme val="minor"/>
      </rPr>
      <t>Remember: 4 decimal places</t>
    </r>
  </si>
  <si>
    <r>
      <t xml:space="preserve">Initial buret reading 30 mins of heating (mL) 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</si>
  <si>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Initial buret reading when you filled the buret (mL) 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</si>
  <si>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Final buret reading 30 mins of heating (mL) 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</si>
  <si>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mL NaOH added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</si>
  <si>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Moles OH- Added
</t>
    </r>
    <r>
      <rPr>
        <b/>
        <sz val="11"/>
        <color rgb="FFFF0000"/>
        <rFont val="Calibri"/>
        <family val="2"/>
        <scheme val="minor"/>
      </rPr>
      <t>Remember: adjust proper sig. fig.</t>
    </r>
  </si>
  <si>
    <r>
      <t xml:space="preserve">Total moles of RCl from Part 1 and Part 2 (mol)
</t>
    </r>
    <r>
      <rPr>
        <b/>
        <sz val="11"/>
        <color rgb="FFFF0000"/>
        <rFont val="Calibri"/>
        <family val="2"/>
        <scheme val="minor"/>
      </rPr>
      <t>Remember: adjust to proper sig. fig.</t>
    </r>
  </si>
  <si>
    <r>
      <t xml:space="preserve">Moles OH- Added (mol)
</t>
    </r>
    <r>
      <rPr>
        <b/>
        <sz val="11"/>
        <color rgb="FFFF0000"/>
        <rFont val="Calibri"/>
        <family val="2"/>
        <scheme val="minor"/>
      </rPr>
      <t>Remember: adjust to proper sig. fig.</t>
    </r>
  </si>
  <si>
    <r>
      <t>[RCl]</t>
    </r>
    <r>
      <rPr>
        <b/>
        <vertAlign val="subscript"/>
        <sz val="11"/>
        <color theme="1"/>
        <rFont val="Calibri"/>
        <family val="2"/>
        <scheme val="minor"/>
      </rPr>
      <t xml:space="preserve">t
</t>
    </r>
    <r>
      <rPr>
        <b/>
        <sz val="11"/>
        <color rgb="FFFF0000"/>
        <rFont val="Calibri"/>
        <family val="2"/>
        <scheme val="minor"/>
      </rPr>
      <t>It's actually mole of RCl at time t</t>
    </r>
  </si>
  <si>
    <t>Part 2</t>
  </si>
  <si>
    <t>Benny's</t>
  </si>
  <si>
    <t>1/[RCl] (1/M)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</si>
  <si>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</si>
  <si>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t_95% hydrolyzed (s)</t>
  </si>
  <si>
    <t>Your Summary Table</t>
  </si>
  <si>
    <r>
      <t xml:space="preserve">Half-life (s)
</t>
    </r>
    <r>
      <rPr>
        <b/>
        <sz val="11"/>
        <color rgb="FFFF0000"/>
        <rFont val="Calibri"/>
        <family val="2"/>
        <scheme val="minor"/>
      </rPr>
      <t>Remember: Proper sig. fig.</t>
    </r>
  </si>
  <si>
    <r>
      <t xml:space="preserve">t_95% hydrolyzed (s)
</t>
    </r>
    <r>
      <rPr>
        <b/>
        <sz val="11"/>
        <color rgb="FFFF0000"/>
        <rFont val="Calibri"/>
        <family val="2"/>
        <scheme val="minor"/>
      </rPr>
      <t>Remember: Proper sig. fig.</t>
    </r>
  </si>
  <si>
    <r>
      <t>y-intercept, [A]</t>
    </r>
    <r>
      <rPr>
        <b/>
        <vertAlign val="subscript"/>
        <sz val="11"/>
        <color theme="1"/>
        <rFont val="Calibri"/>
        <family val="2"/>
        <scheme val="minor"/>
      </rPr>
      <t>o</t>
    </r>
  </si>
  <si>
    <r>
      <t>y-intercept, ln [A]</t>
    </r>
    <r>
      <rPr>
        <b/>
        <vertAlign val="subscript"/>
        <sz val="11"/>
        <color theme="1"/>
        <rFont val="Calibri"/>
        <family val="2"/>
        <scheme val="minor"/>
      </rPr>
      <t>o</t>
    </r>
  </si>
  <si>
    <r>
      <t>y-intercept, 1/[A]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</si>
  <si>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Half-life (s)</t>
  </si>
  <si>
    <t>Your Partner's First Name</t>
  </si>
  <si>
    <t>Your Partner's Last Name</t>
  </si>
  <si>
    <r>
      <t xml:space="preserve">Based on your </t>
    </r>
    <r>
      <rPr>
        <b/>
        <sz val="11"/>
        <color rgb="FFFF0000"/>
        <rFont val="Calibri"/>
        <family val="2"/>
        <scheme val="minor"/>
      </rPr>
      <t>experimentially determined</t>
    </r>
    <r>
      <rPr>
        <b/>
        <sz val="11"/>
        <color theme="1"/>
        <rFont val="Calibri"/>
        <family val="2"/>
        <scheme val="minor"/>
      </rPr>
      <t xml:space="preserve"> reaction order, calculate the half-life and t_95% hydrolyzed.  Put your answer into the appropriate boxes.</t>
    </r>
  </si>
  <si>
    <r>
      <t xml:space="preserve">Your exp. rxn order is 
</t>
    </r>
    <r>
      <rPr>
        <b/>
        <sz val="11"/>
        <color rgb="FFFF0000"/>
        <rFont val="Calibri"/>
        <family val="2"/>
        <scheme val="minor"/>
      </rPr>
      <t>select from the drop down menu</t>
    </r>
  </si>
  <si>
    <r>
      <t>[RCl]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(M)</t>
    </r>
    <r>
      <rPr>
        <b/>
        <vertAlign val="subscript"/>
        <sz val="11"/>
        <color theme="1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It's actually mole of RCl at time t, but ignore it at the moment</t>
    </r>
  </si>
  <si>
    <r>
      <t xml:space="preserve">Seconds
</t>
    </r>
    <r>
      <rPr>
        <b/>
        <sz val="11"/>
        <color rgb="FFFF0000"/>
        <rFont val="Calibri"/>
        <family val="2"/>
        <scheme val="minor"/>
      </rPr>
      <t>integer</t>
    </r>
  </si>
  <si>
    <r>
      <t xml:space="preserve">Minutes
</t>
    </r>
    <r>
      <rPr>
        <b/>
        <sz val="11"/>
        <color rgb="FFFF0000"/>
        <rFont val="Calibri"/>
        <family val="2"/>
        <scheme val="minor"/>
      </rPr>
      <t>Integer</t>
    </r>
  </si>
  <si>
    <r>
      <t xml:space="preserve">Hours
</t>
    </r>
    <r>
      <rPr>
        <b/>
        <sz val="11"/>
        <color rgb="FFFF0000"/>
        <rFont val="Calibri"/>
        <family val="2"/>
        <scheme val="minor"/>
      </rPr>
      <t>Integer</t>
    </r>
  </si>
  <si>
    <r>
      <t xml:space="preserve">Total Time (s) </t>
    </r>
    <r>
      <rPr>
        <b/>
        <sz val="11"/>
        <color rgb="FFFF0000"/>
        <rFont val="Calibri"/>
        <family val="2"/>
        <scheme val="minor"/>
      </rPr>
      <t>since its inception</t>
    </r>
  </si>
  <si>
    <r>
      <t xml:space="preserve">Initial buret reading (mL) when you filled the buret before the experiment 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</si>
  <si>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Total Volume of NaOH added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</si>
  <si>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Initial buret reading 
after 30 mins of heating (mL) 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</si>
  <si>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Final buret reading 
after 30 mins of heating (mL) 
</t>
    </r>
    <r>
      <rPr>
        <b/>
        <sz val="11"/>
        <color rgb="FFFF0000"/>
        <rFont val="Calibri"/>
        <family val="2"/>
        <scheme val="minor"/>
      </rPr>
      <t>Remember: 2 decimal places</t>
    </r>
  </si>
  <si>
    <r>
      <t xml:space="preserve">Moles OH- Added (mol)
</t>
    </r>
    <r>
      <rPr>
        <b/>
        <sz val="11"/>
        <color rgb="FFFF0000"/>
        <rFont val="Calibri"/>
        <family val="2"/>
        <scheme val="minor"/>
      </rPr>
      <t>Remember: proper sig. fig. w/ 3 additional digits</t>
    </r>
  </si>
  <si>
    <r>
      <t xml:space="preserve">Total moles of RCl from Part 1 and Part 2 (mol)
</t>
    </r>
    <r>
      <rPr>
        <b/>
        <sz val="11"/>
        <color rgb="FFFF0000"/>
        <rFont val="Calibri"/>
        <family val="2"/>
        <scheme val="minor"/>
      </rPr>
      <t>Remember: proper sig. fig. w/3 additional digits</t>
    </r>
  </si>
  <si>
    <r>
      <t>[RCl]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(M)</t>
    </r>
    <r>
      <rPr>
        <b/>
        <vertAlign val="subscript"/>
        <sz val="11"/>
        <color theme="1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It's actually mole of RCl at time t
No need to convert M</t>
    </r>
  </si>
  <si>
    <r>
      <t xml:space="preserve">Slope
</t>
    </r>
    <r>
      <rPr>
        <b/>
        <sz val="11"/>
        <color rgb="FFFF0000"/>
        <rFont val="Calibri"/>
        <family val="2"/>
        <scheme val="minor"/>
      </rPr>
      <t>Remember: 5 sig. fig</t>
    </r>
  </si>
  <si>
    <r>
      <t>y-intercept, [A]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Remember: 5 sig. fig</t>
    </r>
  </si>
  <si>
    <r>
      <t>y-intercept, ln [A]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Remember: 5 sig. fig</t>
    </r>
  </si>
  <si>
    <r>
      <t>y-intercept, 1/[A]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Remember: 5 sig. fig</t>
    </r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</si>
  <si>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1"/>
        <color rgb="FFFF0000"/>
        <rFont val="Calibri"/>
        <family val="2"/>
        <scheme val="minor"/>
      </rPr>
      <t>Remember: 5 sig. fig</t>
    </r>
  </si>
  <si>
    <r>
      <t xml:space="preserve">Your Calculation Score
 (3 pts)
</t>
    </r>
    <r>
      <rPr>
        <b/>
        <sz val="12"/>
        <color rgb="FFFF0000"/>
        <rFont val="Calibri"/>
        <family val="2"/>
        <scheme val="minor"/>
      </rPr>
      <t>Do Not Temper Your Calculation Score 
(Academic Integrity)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</si>
</sst>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"/>
    <numFmt numFmtId="166" formatCode="0.00000"/>
    <numFmt numFmtId="167" formatCode="0.0000E+00"/>
    <numFmt numFmtId="168" formatCode="0.000E+00"/>
    <numFmt numFmtId="173" formatCode="0.00000000000"/>
    <numFmt numFmtId="174" formatCode="0.000000000000"/>
    <numFmt numFmtId="175" formatCode="0.00000000"/>
    <numFmt numFmtId="177" formatCode="0.000000"/>
    <numFmt numFmtId="178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</borders>
  <cellStyleXfs count="2">
    <xf numFmtId="0" fontId="0" fillId="0" borderId="0"/>
    <xf numFmtId="0" fontId="4" fillId="0" borderId="0" applyNumberFormat="0" applyFill="0" applyBorder="0" applyProtection="0"/>
  </cellStyleXfs>
  <cellXfs count="15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Border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1" fillId="0" borderId="0" xfId="0" applyFont="1" applyFill="1" applyBorder="1" applyAlignment="1" applyProtection="1">
      <alignment horizontal="right" wrapText="1"/>
    </xf>
    <xf numFmtId="0" fontId="0" fillId="0" borderId="0" xfId="0" applyFill="1" applyBorder="1" applyProtection="1"/>
    <xf numFmtId="0" fontId="0" fillId="0" borderId="0" xfId="0" applyProtection="1"/>
    <xf numFmtId="0" fontId="5" fillId="0" borderId="0" xfId="1" applyNumberFormat="1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right"/>
    </xf>
    <xf numFmtId="164" fontId="0" fillId="0" borderId="0" xfId="0" applyNumberFormat="1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2" fillId="0" borderId="0" xfId="0" applyFont="1" applyProtection="1"/>
    <xf numFmtId="0" fontId="0" fillId="0" borderId="0" xfId="0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right"/>
    </xf>
    <xf numFmtId="0" fontId="0" fillId="0" borderId="0" xfId="0" applyFill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11" fontId="7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/>
    <xf numFmtId="11" fontId="0" fillId="2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0" fillId="3" borderId="0" xfId="0" applyFill="1" applyProtection="1"/>
    <xf numFmtId="0" fontId="0" fillId="3" borderId="0" xfId="0" applyFill="1" applyBorder="1" applyAlignment="1" applyProtection="1">
      <alignment horizontal="center"/>
      <protection locked="0"/>
    </xf>
    <xf numFmtId="0" fontId="0" fillId="3" borderId="0" xfId="0" applyFill="1" applyBorder="1" applyProtection="1"/>
    <xf numFmtId="0" fontId="8" fillId="3" borderId="0" xfId="0" applyFont="1" applyFill="1" applyBorder="1" applyAlignment="1" applyProtection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/>
    </xf>
    <xf numFmtId="0" fontId="0" fillId="0" borderId="1" xfId="0" applyFill="1" applyBorder="1" applyAlignment="1" applyProtection="1">
      <alignment wrapText="1"/>
    </xf>
    <xf numFmtId="0" fontId="0" fillId="2" borderId="1" xfId="0" applyFill="1" applyBorder="1" applyProtection="1"/>
    <xf numFmtId="0" fontId="1" fillId="4" borderId="1" xfId="0" applyFont="1" applyFill="1" applyBorder="1" applyAlignment="1" applyProtection="1">
      <alignment horizontal="center"/>
    </xf>
    <xf numFmtId="0" fontId="1" fillId="4" borderId="1" xfId="0" applyFont="1" applyFill="1" applyBorder="1" applyAlignment="1">
      <alignment horizontal="center"/>
    </xf>
    <xf numFmtId="11" fontId="0" fillId="4" borderId="1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164" fontId="9" fillId="2" borderId="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8" fillId="0" borderId="0" xfId="0" applyFont="1" applyFill="1" applyBorder="1" applyAlignment="1" applyProtection="1">
      <alignment horizontal="center" wrapText="1"/>
    </xf>
    <xf numFmtId="0" fontId="1" fillId="0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164" fontId="0" fillId="0" borderId="0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3" fillId="0" borderId="0" xfId="0" applyFont="1" applyFill="1" applyBorder="1" applyAlignment="1">
      <alignment horizontal="center" wrapText="1"/>
    </xf>
    <xf numFmtId="0" fontId="0" fillId="0" borderId="0" xfId="0" applyFill="1" applyBorder="1" applyAlignment="1" applyProtection="1">
      <alignment wrapText="1"/>
    </xf>
    <xf numFmtId="11" fontId="7" fillId="0" borderId="0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 vertical="center"/>
    </xf>
    <xf numFmtId="11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0" fillId="5" borderId="0" xfId="0" applyFill="1"/>
    <xf numFmtId="0" fontId="1" fillId="5" borderId="0" xfId="0" applyFont="1" applyFill="1" applyAlignment="1">
      <alignment horizontal="center"/>
    </xf>
    <xf numFmtId="164" fontId="0" fillId="5" borderId="0" xfId="0" applyNumberFormat="1" applyFill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0" fillId="5" borderId="0" xfId="0" applyFill="1" applyAlignment="1">
      <alignment wrapText="1"/>
    </xf>
    <xf numFmtId="164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wrapText="1"/>
    </xf>
    <xf numFmtId="0" fontId="0" fillId="0" borderId="1" xfId="0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1" fontId="0" fillId="6" borderId="5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1" fontId="0" fillId="0" borderId="5" xfId="0" applyNumberFormat="1" applyBorder="1" applyAlignment="1">
      <alignment horizontal="center"/>
    </xf>
    <xf numFmtId="11" fontId="0" fillId="6" borderId="5" xfId="0" applyNumberFormat="1" applyFill="1" applyBorder="1" applyAlignment="1">
      <alignment horizontal="center"/>
    </xf>
    <xf numFmtId="0" fontId="0" fillId="0" borderId="5" xfId="0" applyBorder="1"/>
    <xf numFmtId="0" fontId="1" fillId="0" borderId="5" xfId="0" applyFont="1" applyBorder="1"/>
    <xf numFmtId="2" fontId="0" fillId="2" borderId="1" xfId="0" applyNumberFormat="1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2" fontId="9" fillId="2" borderId="1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 wrapText="1"/>
    </xf>
    <xf numFmtId="11" fontId="0" fillId="2" borderId="1" xfId="0" applyNumberFormat="1" applyFont="1" applyFill="1" applyBorder="1" applyAlignment="1">
      <alignment horizontal="center" wrapText="1"/>
    </xf>
    <xf numFmtId="0" fontId="1" fillId="0" borderId="7" xfId="0" applyFont="1" applyBorder="1" applyAlignment="1">
      <alignment horizontal="center"/>
    </xf>
    <xf numFmtId="11" fontId="0" fillId="3" borderId="7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11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7" xfId="0" applyNumberFormat="1" applyFill="1" applyBorder="1" applyAlignment="1">
      <alignment horizontal="center"/>
    </xf>
    <xf numFmtId="0" fontId="0" fillId="0" borderId="7" xfId="0" applyBorder="1"/>
    <xf numFmtId="0" fontId="1" fillId="0" borderId="7" xfId="0" applyFont="1" applyBorder="1"/>
    <xf numFmtId="0" fontId="0" fillId="3" borderId="7" xfId="0" applyFill="1" applyBorder="1"/>
    <xf numFmtId="0" fontId="0" fillId="6" borderId="5" xfId="0" applyFill="1" applyBorder="1" applyAlignment="1">
      <alignment horizontal="center"/>
    </xf>
    <xf numFmtId="0" fontId="0" fillId="6" borderId="5" xfId="0" applyNumberFormat="1" applyFill="1" applyBorder="1" applyAlignment="1">
      <alignment horizontal="center"/>
    </xf>
    <xf numFmtId="0" fontId="0" fillId="6" borderId="5" xfId="0" applyFill="1" applyBorder="1"/>
    <xf numFmtId="167" fontId="0" fillId="6" borderId="5" xfId="0" applyNumberFormat="1" applyFill="1" applyBorder="1"/>
    <xf numFmtId="0" fontId="0" fillId="6" borderId="5" xfId="0" applyNumberFormat="1" applyFill="1" applyBorder="1"/>
    <xf numFmtId="0" fontId="1" fillId="0" borderId="5" xfId="0" applyFont="1" applyBorder="1" applyAlignment="1">
      <alignment horizontal="center" wrapText="1"/>
    </xf>
    <xf numFmtId="167" fontId="0" fillId="0" borderId="0" xfId="0" applyNumberFormat="1" applyFill="1" applyBorder="1"/>
    <xf numFmtId="0" fontId="0" fillId="0" borderId="0" xfId="0" applyNumberFormat="1" applyFill="1" applyBorder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2" fillId="0" borderId="1" xfId="0" applyFont="1" applyBorder="1" applyAlignment="1" applyProtection="1">
      <alignment horizontal="right"/>
    </xf>
    <xf numFmtId="0" fontId="1" fillId="0" borderId="5" xfId="0" applyFont="1" applyBorder="1" applyAlignment="1">
      <alignment wrapText="1"/>
    </xf>
    <xf numFmtId="164" fontId="0" fillId="0" borderId="1" xfId="0" applyNumberFormat="1" applyFont="1" applyFill="1" applyBorder="1" applyAlignment="1">
      <alignment horizontal="center" wrapText="1"/>
    </xf>
    <xf numFmtId="168" fontId="0" fillId="6" borderId="5" xfId="0" applyNumberFormat="1" applyFill="1" applyBorder="1" applyAlignment="1">
      <alignment horizontal="center"/>
    </xf>
    <xf numFmtId="0" fontId="12" fillId="0" borderId="0" xfId="0" applyFont="1" applyFill="1" applyBorder="1" applyAlignment="1">
      <alignment horizontal="center" wrapText="1"/>
    </xf>
    <xf numFmtId="0" fontId="11" fillId="4" borderId="0" xfId="0" applyFont="1" applyFill="1" applyBorder="1" applyAlignment="1" applyProtection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6" borderId="8" xfId="0" applyFont="1" applyFill="1" applyBorder="1" applyAlignment="1">
      <alignment horizontal="center" wrapText="1"/>
    </xf>
    <xf numFmtId="0" fontId="1" fillId="6" borderId="9" xfId="0" applyFont="1" applyFill="1" applyBorder="1" applyAlignment="1">
      <alignment horizontal="center" wrapText="1"/>
    </xf>
    <xf numFmtId="0" fontId="1" fillId="6" borderId="10" xfId="0" applyFont="1" applyFill="1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1" fontId="0" fillId="0" borderId="1" xfId="0" applyNumberFormat="1" applyFill="1" applyBorder="1" applyAlignment="1">
      <alignment horizontal="center"/>
    </xf>
    <xf numFmtId="0" fontId="11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1" fillId="3" borderId="7" xfId="0" applyFont="1" applyFill="1" applyBorder="1" applyAlignment="1">
      <alignment horizontal="center"/>
    </xf>
    <xf numFmtId="173" fontId="0" fillId="0" borderId="0" xfId="0" applyNumberFormat="1"/>
    <xf numFmtId="174" fontId="0" fillId="0" borderId="8" xfId="0" applyNumberFormat="1" applyBorder="1" applyAlignment="1">
      <alignment horizontal="center"/>
    </xf>
    <xf numFmtId="174" fontId="0" fillId="0" borderId="9" xfId="0" applyNumberFormat="1" applyBorder="1" applyAlignment="1">
      <alignment horizontal="center"/>
    </xf>
    <xf numFmtId="174" fontId="0" fillId="0" borderId="10" xfId="0" applyNumberFormat="1" applyBorder="1" applyAlignment="1">
      <alignment horizontal="center"/>
    </xf>
    <xf numFmtId="175" fontId="0" fillId="6" borderId="5" xfId="0" applyNumberFormat="1" applyFont="1" applyFill="1" applyBorder="1" applyAlignment="1">
      <alignment horizontal="center"/>
    </xf>
    <xf numFmtId="177" fontId="0" fillId="6" borderId="5" xfId="0" applyNumberFormat="1" applyFont="1" applyFill="1" applyBorder="1" applyAlignment="1">
      <alignment horizontal="center"/>
    </xf>
    <xf numFmtId="178" fontId="0" fillId="6" borderId="5" xfId="0" applyNumberFormat="1" applyFill="1" applyBorder="1" applyAlignment="1">
      <alignment horizontal="center"/>
    </xf>
    <xf numFmtId="1" fontId="0" fillId="6" borderId="5" xfId="0" applyNumberForma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0th Order Kinetics Graph ([</a:t>
            </a:r>
            <a:r>
              <a:rPr lang="en-US" sz="1400" b="0" i="0" u="none" strike="noStrike" baseline="0">
                <a:effectLst/>
              </a:rPr>
              <a:t>RCl] M vs Time</a:t>
            </a:r>
            <a:r>
              <a:rPr lang="en-US" baseline="0"/>
              <a:t>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'0th Order Grp Here'!$A$2:$A$16</c:f>
              <c:numCache>
                <c:formatCode>General</c:formatCode>
                <c:ptCount val="15"/>
                <c:pt idx="0">
                  <c:v>265</c:v>
                </c:pt>
                <c:pt idx="1">
                  <c:v>546</c:v>
                </c:pt>
                <c:pt idx="2">
                  <c:v>800</c:v>
                </c:pt>
                <c:pt idx="3">
                  <c:v>1105</c:v>
                </c:pt>
                <c:pt idx="4">
                  <c:v>1410</c:v>
                </c:pt>
                <c:pt idx="5">
                  <c:v>1723</c:v>
                </c:pt>
                <c:pt idx="6">
                  <c:v>2074</c:v>
                </c:pt>
                <c:pt idx="7">
                  <c:v>2345</c:v>
                </c:pt>
                <c:pt idx="8">
                  <c:v>2673</c:v>
                </c:pt>
                <c:pt idx="9">
                  <c:v>2923</c:v>
                </c:pt>
                <c:pt idx="10">
                  <c:v>3279</c:v>
                </c:pt>
                <c:pt idx="11">
                  <c:v>3530</c:v>
                </c:pt>
                <c:pt idx="12">
                  <c:v>3910</c:v>
                </c:pt>
                <c:pt idx="13">
                  <c:v>4188</c:v>
                </c:pt>
                <c:pt idx="14">
                  <c:v>4465</c:v>
                </c:pt>
              </c:numCache>
            </c:numRef>
          </c:xVal>
          <c:yVal>
            <c:numRef>
              <c:f>'0th Order Grp Here'!$B$2:$B$16</c:f>
              <c:numCache>
                <c:formatCode>General</c:formatCode>
                <c:ptCount val="15"/>
                <c:pt idx="0">
                  <c:v>6.3652300000000004E-3</c:v>
                </c:pt>
                <c:pt idx="1">
                  <c:v>6.0817600000000003E-3</c:v>
                </c:pt>
                <c:pt idx="2">
                  <c:v>5.8498300000000003E-3</c:v>
                </c:pt>
                <c:pt idx="3">
                  <c:v>5.5921300000000007E-3</c:v>
                </c:pt>
                <c:pt idx="4">
                  <c:v>5.3344300000000002E-3</c:v>
                </c:pt>
                <c:pt idx="5">
                  <c:v>5.0767299999999998E-3</c:v>
                </c:pt>
                <c:pt idx="6">
                  <c:v>4.8061449999999995E-3</c:v>
                </c:pt>
                <c:pt idx="7">
                  <c:v>4.5871000000000002E-3</c:v>
                </c:pt>
                <c:pt idx="8">
                  <c:v>4.3551700000000002E-3</c:v>
                </c:pt>
                <c:pt idx="9">
                  <c:v>4.1490099999999999E-3</c:v>
                </c:pt>
                <c:pt idx="10">
                  <c:v>3.8913099999999998E-3</c:v>
                </c:pt>
                <c:pt idx="11">
                  <c:v>3.7109199999999999E-3</c:v>
                </c:pt>
                <c:pt idx="12">
                  <c:v>3.4532200000000003E-3</c:v>
                </c:pt>
                <c:pt idx="13">
                  <c:v>3.27283E-3</c:v>
                </c:pt>
                <c:pt idx="14">
                  <c:v>3.0666700000000001E-3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F6-4A0B-BB7D-1370597CE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775327"/>
        <c:axId val="771419647"/>
      </c:scatterChart>
      <c:valAx>
        <c:axId val="544775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0.48098490813648292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19647"/>
        <c:crosses val="autoZero"/>
        <c:crossBetween val="midCat"/>
      </c:valAx>
      <c:valAx>
        <c:axId val="77141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[RCl]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775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1st Order Kinetics</a:t>
            </a:r>
            <a:r>
              <a:rPr lang="en-US" sz="1600" baseline="0"/>
              <a:t> Graph (</a:t>
            </a:r>
            <a:r>
              <a:rPr lang="en-US" sz="1600"/>
              <a:t>ln</a:t>
            </a:r>
            <a:r>
              <a:rPr lang="en-US"/>
              <a:t>[RCl]t vs</a:t>
            </a:r>
            <a:r>
              <a:rPr lang="en-US" baseline="0"/>
              <a:t> T</a:t>
            </a:r>
            <a:r>
              <a:rPr lang="en-US"/>
              <a:t>ime)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'1st Order Grp Here'!$B$1</c:f>
              <c:strCache>
                <c:ptCount val="1"/>
                <c:pt idx="0">
                  <c:v>ln[RCl]t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8779965004374453E-2"/>
                  <c:y val="-0.3451053514144065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'1st Order Grp Here'!$A$2:$A$16</c:f>
              <c:numCache>
                <c:formatCode>General</c:formatCode>
                <c:ptCount val="15"/>
                <c:pt idx="0">
                  <c:v>265</c:v>
                </c:pt>
                <c:pt idx="1">
                  <c:v>546</c:v>
                </c:pt>
                <c:pt idx="2">
                  <c:v>800</c:v>
                </c:pt>
                <c:pt idx="3">
                  <c:v>1105</c:v>
                </c:pt>
                <c:pt idx="4">
                  <c:v>1410</c:v>
                </c:pt>
                <c:pt idx="5">
                  <c:v>1723</c:v>
                </c:pt>
                <c:pt idx="6">
                  <c:v>2074</c:v>
                </c:pt>
                <c:pt idx="7">
                  <c:v>2345</c:v>
                </c:pt>
                <c:pt idx="8">
                  <c:v>2673</c:v>
                </c:pt>
                <c:pt idx="9">
                  <c:v>2923</c:v>
                </c:pt>
                <c:pt idx="10">
                  <c:v>3279</c:v>
                </c:pt>
                <c:pt idx="11">
                  <c:v>3530</c:v>
                </c:pt>
                <c:pt idx="12">
                  <c:v>3910</c:v>
                </c:pt>
                <c:pt idx="13">
                  <c:v>4188</c:v>
                </c:pt>
                <c:pt idx="14">
                  <c:v>4465</c:v>
                </c:pt>
              </c:numCache>
            </c:numRef>
          </c:xVal>
          <c:yVal>
            <c:numRef>
              <c:f>'1st Order Grp Here'!$B$2:$B$16</c:f>
              <c:numCache>
                <c:formatCode>General</c:formatCode>
                <c:ptCount val="15"/>
                <c:pt idx="0">
                  <c:v>-5.0569049125117207</c:v>
                </c:pt>
                <c:pt idx="1">
                  <c:v>-5.1024611512092743</c:v>
                </c:pt>
                <c:pt idx="2">
                  <c:v>-5.1413426779896767</c:v>
                </c:pt>
                <c:pt idx="3">
                  <c:v>-5.1863950268244228</c:v>
                </c:pt>
                <c:pt idx="4">
                  <c:v>-5.2335732415483882</c:v>
                </c:pt>
                <c:pt idx="5">
                  <c:v>-5.2830879254434491</c:v>
                </c:pt>
                <c:pt idx="6">
                  <c:v>-5.337859971502926</c:v>
                </c:pt>
                <c:pt idx="7">
                  <c:v>-5.3845072628635098</c:v>
                </c:pt>
                <c:pt idx="8">
                  <c:v>-5.436391633848265</c:v>
                </c:pt>
                <c:pt idx="9">
                  <c:v>-5.4848855274149813</c:v>
                </c:pt>
                <c:pt idx="10">
                  <c:v>-5.5490094171175652</c:v>
                </c:pt>
                <c:pt idx="11">
                  <c:v>-5.596475454667706</c:v>
                </c:pt>
                <c:pt idx="12">
                  <c:v>-5.6684481498902679</c:v>
                </c:pt>
                <c:pt idx="13">
                  <c:v>-5.7221002249281296</c:v>
                </c:pt>
                <c:pt idx="14">
                  <c:v>-5.7871629966393208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05-44DC-A44F-0B488002A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591295"/>
        <c:axId val="818759167"/>
      </c:scatterChart>
      <c:valAx>
        <c:axId val="131159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8759167"/>
        <c:crosses val="autoZero"/>
        <c:crossBetween val="midCat"/>
      </c:valAx>
      <c:valAx>
        <c:axId val="81875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ln[RCl]t M</a:t>
                </a:r>
              </a:p>
            </c:rich>
          </c:tx>
          <c:layout>
            <c:manualLayout>
              <c:xMode val="edge"/>
              <c:yMode val="edge"/>
              <c:x val="3.3333333333333333E-2"/>
              <c:y val="0.432766112569262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159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Second</a:t>
            </a:r>
            <a:r>
              <a:rPr lang="en-US" baseline="0"/>
              <a:t> Order Kinetics Graph </a:t>
            </a:r>
            <a:r>
              <a:rPr lang="en-US"/>
              <a:t>1/[RCl] (1/M)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'2nd Order Grp Here'!$B$1</c:f>
              <c:strCache>
                <c:ptCount val="1"/>
                <c:pt idx="0">
                  <c:v>1/[RCl] (1/M)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0501531058617672E-2"/>
                  <c:y val="0.28199074074074076"/>
                </c:manualLayout>
              </c:layout>
              <c:numFmt formatCode="#,##0.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'2nd Order Grp Here'!$A$2:$A$16</c:f>
              <c:numCache>
                <c:formatCode>General</c:formatCode>
                <c:ptCount val="15"/>
                <c:pt idx="0">
                  <c:v>265</c:v>
                </c:pt>
                <c:pt idx="1">
                  <c:v>546</c:v>
                </c:pt>
                <c:pt idx="2">
                  <c:v>800</c:v>
                </c:pt>
                <c:pt idx="3">
                  <c:v>1105</c:v>
                </c:pt>
                <c:pt idx="4">
                  <c:v>1410</c:v>
                </c:pt>
                <c:pt idx="5">
                  <c:v>1723</c:v>
                </c:pt>
                <c:pt idx="6">
                  <c:v>2074</c:v>
                </c:pt>
                <c:pt idx="7">
                  <c:v>2345</c:v>
                </c:pt>
                <c:pt idx="8">
                  <c:v>2673</c:v>
                </c:pt>
                <c:pt idx="9">
                  <c:v>2923</c:v>
                </c:pt>
                <c:pt idx="10">
                  <c:v>3279</c:v>
                </c:pt>
                <c:pt idx="11">
                  <c:v>3530</c:v>
                </c:pt>
                <c:pt idx="12">
                  <c:v>3910</c:v>
                </c:pt>
                <c:pt idx="13">
                  <c:v>4188</c:v>
                </c:pt>
                <c:pt idx="14">
                  <c:v>4465</c:v>
                </c:pt>
              </c:numCache>
            </c:numRef>
          </c:xVal>
          <c:yVal>
            <c:numRef>
              <c:f>'2nd Order Grp Here'!$B$2:$B$16</c:f>
              <c:numCache>
                <c:formatCode>General</c:formatCode>
                <c:ptCount val="15"/>
                <c:pt idx="0">
                  <c:v>157.10351393429616</c:v>
                </c:pt>
                <c:pt idx="1">
                  <c:v>164.42608718528845</c:v>
                </c:pt>
                <c:pt idx="2">
                  <c:v>170.94513857667658</c:v>
                </c:pt>
                <c:pt idx="3">
                  <c:v>178.82273838412195</c:v>
                </c:pt>
                <c:pt idx="4">
                  <c:v>187.46145323867779</c:v>
                </c:pt>
                <c:pt idx="5">
                  <c:v>196.97718807184941</c:v>
                </c:pt>
                <c:pt idx="6">
                  <c:v>208.06696427178125</c:v>
                </c:pt>
                <c:pt idx="7">
                  <c:v>218.00265963244752</c:v>
                </c:pt>
                <c:pt idx="8">
                  <c:v>229.61216209700194</c:v>
                </c:pt>
                <c:pt idx="9">
                  <c:v>241.02135208158091</c:v>
                </c:pt>
                <c:pt idx="10">
                  <c:v>256.98286695226028</c:v>
                </c:pt>
                <c:pt idx="11">
                  <c:v>269.47495499768252</c:v>
                </c:pt>
                <c:pt idx="12">
                  <c:v>289.58479332333297</c:v>
                </c:pt>
                <c:pt idx="13">
                  <c:v>305.5459648072158</c:v>
                </c:pt>
                <c:pt idx="14">
                  <c:v>326.08660207978033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6-4D0C-A021-258D0F571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607295"/>
        <c:axId val="980969167"/>
      </c:scatterChart>
      <c:valAx>
        <c:axId val="131160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969167"/>
        <c:crosses val="autoZero"/>
        <c:crossBetween val="midCat"/>
      </c:valAx>
      <c:valAx>
        <c:axId val="98096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1/[RCl] (1/M)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1607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0th</a:t>
            </a:r>
            <a:r>
              <a:rPr lang="en-US" baseline="0"/>
              <a:t> Rxn of the Hydrolysis of Tert-butyl chloride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'Benny kinetics data'!$K$1</c:f>
              <c:strCache>
                <c:ptCount val="1"/>
                <c:pt idx="0">
                  <c:v>[RCl]t
It's actually mole of RCl at time t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0415719281275108"/>
                  <c:y val="-0.41343977836103818"/>
                </c:manualLayout>
              </c:layout>
              <c:numFmt formatCode="0.00E+00" sourceLinked="0"/>
            </c:trendlineLbl>
          </c:trendline>
          <c:xVal>
            <c:numRef>
              <c:f>'Benny kinetics data'!$D$3:$D$17</c:f>
              <c:numCache>
                <c:formatCode>General</c:formatCode>
                <c:ptCount val="15"/>
                <c:pt idx="0">
                  <c:v>265</c:v>
                </c:pt>
                <c:pt idx="1">
                  <c:v>546</c:v>
                </c:pt>
                <c:pt idx="2">
                  <c:v>800</c:v>
                </c:pt>
                <c:pt idx="3">
                  <c:v>1105</c:v>
                </c:pt>
                <c:pt idx="4">
                  <c:v>1410</c:v>
                </c:pt>
                <c:pt idx="5">
                  <c:v>1723</c:v>
                </c:pt>
                <c:pt idx="6">
                  <c:v>2074</c:v>
                </c:pt>
                <c:pt idx="7">
                  <c:v>2345</c:v>
                </c:pt>
                <c:pt idx="8">
                  <c:v>2673</c:v>
                </c:pt>
                <c:pt idx="9">
                  <c:v>2923</c:v>
                </c:pt>
                <c:pt idx="10">
                  <c:v>3279</c:v>
                </c:pt>
                <c:pt idx="11">
                  <c:v>3530</c:v>
                </c:pt>
                <c:pt idx="12">
                  <c:v>3910</c:v>
                </c:pt>
                <c:pt idx="13">
                  <c:v>4188</c:v>
                </c:pt>
                <c:pt idx="14">
                  <c:v>4465</c:v>
                </c:pt>
              </c:numCache>
            </c:numRef>
          </c:xVal>
          <c:yVal>
            <c:numRef>
              <c:f>'Benny kinetics data'!$K$3:$K$17</c:f>
              <c:numCache>
                <c:formatCode>0.00000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A-4BD6-B17F-F6D7F8E4A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025792"/>
        <c:axId val="306307072"/>
      </c:scatterChart>
      <c:valAx>
        <c:axId val="33502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Time [s]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6307072"/>
        <c:crosses val="autoZero"/>
        <c:crossBetween val="midCat"/>
      </c:valAx>
      <c:valAx>
        <c:axId val="306307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[RCl]t</a:t>
                </a:r>
              </a:p>
            </c:rich>
          </c:tx>
          <c:overlay val="0"/>
        </c:title>
        <c:numFmt formatCode="0.00000" sourceLinked="1"/>
        <c:majorTickMark val="out"/>
        <c:minorTickMark val="none"/>
        <c:tickLblPos val="nextTo"/>
        <c:crossAx val="33502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</a:t>
            </a:r>
            <a:r>
              <a:rPr lang="en-US" baseline="0"/>
              <a:t> Rxn of the Hydrolysis of Tert-butyl chloride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'Benny kinetics data'!$L$1</c:f>
              <c:strCache>
                <c:ptCount val="1"/>
                <c:pt idx="0">
                  <c:v>ln[RCl]t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4229313359473658"/>
                  <c:y val="-0.37681722076407115"/>
                </c:manualLayout>
              </c:layout>
              <c:numFmt formatCode="0.00E+00" sourceLinked="0"/>
            </c:trendlineLbl>
          </c:trendline>
          <c:xVal>
            <c:numRef>
              <c:f>'Benny kinetics data'!$D$3:$D$17</c:f>
              <c:numCache>
                <c:formatCode>General</c:formatCode>
                <c:ptCount val="15"/>
                <c:pt idx="0">
                  <c:v>265</c:v>
                </c:pt>
                <c:pt idx="1">
                  <c:v>546</c:v>
                </c:pt>
                <c:pt idx="2">
                  <c:v>800</c:v>
                </c:pt>
                <c:pt idx="3">
                  <c:v>1105</c:v>
                </c:pt>
                <c:pt idx="4">
                  <c:v>1410</c:v>
                </c:pt>
                <c:pt idx="5">
                  <c:v>1723</c:v>
                </c:pt>
                <c:pt idx="6">
                  <c:v>2074</c:v>
                </c:pt>
                <c:pt idx="7">
                  <c:v>2345</c:v>
                </c:pt>
                <c:pt idx="8">
                  <c:v>2673</c:v>
                </c:pt>
                <c:pt idx="9">
                  <c:v>2923</c:v>
                </c:pt>
                <c:pt idx="10">
                  <c:v>3279</c:v>
                </c:pt>
                <c:pt idx="11">
                  <c:v>3530</c:v>
                </c:pt>
                <c:pt idx="12">
                  <c:v>3910</c:v>
                </c:pt>
                <c:pt idx="13">
                  <c:v>4188</c:v>
                </c:pt>
                <c:pt idx="14">
                  <c:v>4465</c:v>
                </c:pt>
              </c:numCache>
            </c:numRef>
          </c:xVal>
          <c:yVal>
            <c:numRef>
              <c:f>'Benny kinetics data'!$L$3:$L$17</c:f>
              <c:numCache>
                <c:formatCode>0.000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F4-4925-B96B-0ABD561F8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08800"/>
        <c:axId val="306309376"/>
      </c:scatterChart>
      <c:valAx>
        <c:axId val="306308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Time [s]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6309376"/>
        <c:crosses val="autoZero"/>
        <c:crossBetween val="midCat"/>
      </c:valAx>
      <c:valAx>
        <c:axId val="306309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ln[RCl]t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30630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2nd Rxn of the Hydrolysis of Tert-butyl chloride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'Benny kinetics data'!$M$1</c:f>
              <c:strCache>
                <c:ptCount val="1"/>
                <c:pt idx="0">
                  <c:v>1/[RCl]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25512493991106128"/>
                  <c:y val="-2.8720472440944882E-2"/>
                </c:manualLayout>
              </c:layout>
              <c:numFmt formatCode="0.00E+00" sourceLinked="0"/>
            </c:trendlineLbl>
          </c:trendline>
          <c:xVal>
            <c:numRef>
              <c:f>'Benny kinetics data'!$D$3:$D$17</c:f>
              <c:numCache>
                <c:formatCode>General</c:formatCode>
                <c:ptCount val="15"/>
                <c:pt idx="0">
                  <c:v>265</c:v>
                </c:pt>
                <c:pt idx="1">
                  <c:v>546</c:v>
                </c:pt>
                <c:pt idx="2">
                  <c:v>800</c:v>
                </c:pt>
                <c:pt idx="3">
                  <c:v>1105</c:v>
                </c:pt>
                <c:pt idx="4">
                  <c:v>1410</c:v>
                </c:pt>
                <c:pt idx="5">
                  <c:v>1723</c:v>
                </c:pt>
                <c:pt idx="6">
                  <c:v>2074</c:v>
                </c:pt>
                <c:pt idx="7">
                  <c:v>2345</c:v>
                </c:pt>
                <c:pt idx="8">
                  <c:v>2673</c:v>
                </c:pt>
                <c:pt idx="9">
                  <c:v>2923</c:v>
                </c:pt>
                <c:pt idx="10">
                  <c:v>3279</c:v>
                </c:pt>
                <c:pt idx="11">
                  <c:v>3530</c:v>
                </c:pt>
                <c:pt idx="12">
                  <c:v>3910</c:v>
                </c:pt>
                <c:pt idx="13">
                  <c:v>4188</c:v>
                </c:pt>
                <c:pt idx="14">
                  <c:v>4465</c:v>
                </c:pt>
              </c:numCache>
            </c:numRef>
          </c:xVal>
          <c:yVal>
            <c:numRef>
              <c:f>'Benny kinetics data'!$M$3:$M$17</c:f>
              <c:numCache>
                <c:formatCode>0.000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F3-48CA-BDFD-9E568D68A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11104"/>
        <c:axId val="306311680"/>
      </c:scatterChart>
      <c:valAx>
        <c:axId val="306311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</a:t>
                </a:r>
                <a:r>
                  <a:rPr lang="en-US" baseline="0"/>
                  <a:t> Time [s]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6311680"/>
        <c:crosses val="autoZero"/>
        <c:crossBetween val="midCat"/>
      </c:valAx>
      <c:valAx>
        <c:axId val="306311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ln[RCl]t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30631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70556</xdr:colOff>
      <xdr:row>0</xdr:row>
      <xdr:rowOff>42333</xdr:rowOff>
    </xdr:from>
    <xdr:to>
      <xdr:col>2</xdr:col>
      <xdr:colOff>507999</xdr:colOff>
      <xdr:row>12</xdr:row>
      <xdr:rowOff>49893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8E53B86-F5ED-4A8D-A6A8-1DBD1A51E3BB}"/>
            </a:ext>
          </a:extLst>
        </xdr:cNvPr>
        <xdr:cNvSpPr txBox="1"/>
      </xdr:nvSpPr>
      <xdr:spPr>
        <a:xfrm>
          <a:off x="70556" y="42333"/>
          <a:ext cx="6025443" cy="40207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Instructions:</a:t>
          </a:r>
        </a:p>
        <a:p>
          <a:r>
            <a:rPr lang="en-US" sz="1600"/>
            <a:t>1. No need to input units in the yellow boxes; </a:t>
          </a:r>
        </a:p>
        <a:p>
          <a:r>
            <a:rPr lang="en-US" sz="1600"/>
            <a:t>2. Do not change the format of this Excel file;</a:t>
          </a:r>
        </a:p>
        <a:p>
          <a:r>
            <a:rPr lang="en-US" sz="1600"/>
            <a:t>3a. Proper scientific notation input in Excel: </a:t>
          </a:r>
        </a:p>
        <a:p>
          <a:r>
            <a:rPr lang="en-US" sz="1600"/>
            <a:t>       Enter "</a:t>
          </a:r>
          <a:r>
            <a:rPr lang="en-US" sz="1600" b="1"/>
            <a:t>1e-10</a:t>
          </a:r>
          <a:r>
            <a:rPr lang="en-US" sz="1600"/>
            <a:t>" for 1x10</a:t>
          </a:r>
          <a:r>
            <a:rPr lang="en-US" sz="1600" baseline="30000"/>
            <a:t>-10</a:t>
          </a:r>
          <a:r>
            <a:rPr lang="en-US" sz="1600"/>
            <a:t> and "</a:t>
          </a:r>
          <a:r>
            <a:rPr lang="en-US" sz="1600" b="1"/>
            <a:t>1.3e9</a:t>
          </a:r>
          <a:r>
            <a:rPr lang="en-US" sz="1600"/>
            <a:t>" for 1.3x10</a:t>
          </a:r>
          <a:r>
            <a:rPr lang="en-US" sz="1600" baseline="30000"/>
            <a:t>9</a:t>
          </a:r>
          <a:r>
            <a:rPr lang="en-US" sz="1600"/>
            <a:t> </a:t>
          </a:r>
        </a:p>
        <a:p>
          <a:r>
            <a:rPr lang="en-US" sz="1600"/>
            <a:t>3b. If you are not comfortable with inputting scientific notation, </a:t>
          </a:r>
        </a:p>
        <a:p>
          <a:r>
            <a:rPr lang="en-US" sz="1600"/>
            <a:t>       please input your values in standard notation (decimal format) </a:t>
          </a:r>
        </a:p>
        <a:p>
          <a:r>
            <a:rPr lang="en-US" sz="1600"/>
            <a:t>       instead of scientific notation;</a:t>
          </a:r>
        </a:p>
        <a:p>
          <a:r>
            <a:rPr lang="en-US" sz="1600"/>
            <a:t>4a. Make sure you have the </a:t>
          </a:r>
          <a:r>
            <a:rPr lang="en-US" sz="1600" b="1">
              <a:solidFill>
                <a:srgbClr val="FF0000"/>
              </a:solidFill>
            </a:rPr>
            <a:t>correct number of significant figures</a:t>
          </a:r>
        </a:p>
        <a:p>
          <a:r>
            <a:rPr lang="en-US" sz="1600"/>
            <a:t>     (See pictures below to adjust the decimal places);</a:t>
          </a:r>
        </a:p>
        <a:p>
          <a:r>
            <a:rPr lang="en-US" sz="1600"/>
            <a:t>4b. Not having the proper</a:t>
          </a:r>
          <a:r>
            <a:rPr lang="en-US" sz="1600" baseline="0"/>
            <a:t> number of significant figures in the Excel file will result points deduction in the lab report.</a:t>
          </a:r>
          <a:endParaRPr lang="en-US" sz="1600"/>
        </a:p>
        <a:p>
          <a:r>
            <a:rPr lang="en-US" sz="1600"/>
            <a:t>5. Change</a:t>
          </a:r>
          <a:r>
            <a:rPr lang="en-US" sz="1600" baseline="0"/>
            <a:t> the file name as "</a:t>
          </a:r>
          <a:r>
            <a:rPr lang="en-US" sz="1600" baseline="0">
              <a:solidFill>
                <a:srgbClr val="FF0000"/>
              </a:solidFill>
            </a:rPr>
            <a:t>Chem102pHData_LastName</a:t>
          </a:r>
          <a:r>
            <a:rPr lang="en-US" sz="1600" baseline="0"/>
            <a:t>" and </a:t>
          </a:r>
          <a:r>
            <a:rPr lang="en-US" sz="1600"/>
            <a:t>Upload this Excel file on Canvas by the night before your next lab session by 11:59 pm  </a:t>
          </a:r>
        </a:p>
      </xdr:txBody>
    </xdr:sp>
    <xdr:clientData/>
  </xdr:twoCellAnchor>
  <xdr:twoCellAnchor>
    <xdr:from>
      <xdr:col>0</xdr:col>
      <xdr:colOff>70555</xdr:colOff>
      <xdr:row>12</xdr:row>
      <xdr:rowOff>135772</xdr:rowOff>
    </xdr:from>
    <xdr:to>
      <xdr:col>2</xdr:col>
      <xdr:colOff>531519</xdr:colOff>
      <xdr:row>33</xdr:row>
      <xdr:rowOff>326573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AA1EBEE-E0C5-4F23-980B-CBDE2C693803}"/>
            </a:ext>
          </a:extLst>
        </xdr:cNvPr>
        <xdr:cNvGrpSpPr/>
      </xdr:nvGrpSpPr>
      <xdr:grpSpPr>
        <a:xfrm>
          <a:off x="70555" y="4076401"/>
          <a:ext cx="5947364" cy="5383286"/>
          <a:chOff x="5117628" y="13090"/>
          <a:chExt cx="5360935" cy="263407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E8D9BCB-A211-469C-9842-5B7021411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117628" y="13090"/>
            <a:ext cx="5360935" cy="2634074"/>
          </a:xfrm>
          <a:prstGeom prst="rect">
            <a:avLst/>
          </a:prstGeom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CC6E05E2-E35E-4154-A75A-BBB4F8E88893}"/>
              </a:ext>
            </a:extLst>
          </xdr:cNvPr>
          <xdr:cNvSpPr txBox="1"/>
        </xdr:nvSpPr>
        <xdr:spPr>
          <a:xfrm>
            <a:off x="8349073" y="1720535"/>
            <a:ext cx="1684879" cy="377238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How</a:t>
            </a:r>
            <a:r>
              <a:rPr lang="en-US" sz="1100" baseline="0"/>
              <a:t> to add/remove decimal places</a:t>
            </a:r>
            <a:endParaRPr lang="en-US" sz="1100"/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A5718AF5-1073-48B1-9483-8EA28D2FC1BF}"/>
              </a:ext>
            </a:extLst>
          </xdr:cNvPr>
          <xdr:cNvCxnSpPr>
            <a:stCxn id="5" idx="0"/>
          </xdr:cNvCxnSpPr>
        </xdr:nvCxnSpPr>
        <xdr:spPr>
          <a:xfrm flipV="1">
            <a:off x="9191513" y="826831"/>
            <a:ext cx="963783" cy="893703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66020</xdr:colOff>
      <xdr:row>0</xdr:row>
      <xdr:rowOff>213179</xdr:rowOff>
    </xdr:from>
    <xdr:to>
      <xdr:col>2</xdr:col>
      <xdr:colOff>503463</xdr:colOff>
      <xdr:row>28</xdr:row>
      <xdr:rowOff>90714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020" y="213179"/>
          <a:ext cx="6025443" cy="542924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Instructions:</a:t>
          </a:r>
        </a:p>
        <a:p>
          <a:r>
            <a:rPr lang="en-US" sz="1600"/>
            <a:t>1. No need to input units in the yellow AND orange</a:t>
          </a:r>
          <a:r>
            <a:rPr lang="en-US" sz="1600" baseline="0"/>
            <a:t> </a:t>
          </a:r>
          <a:r>
            <a:rPr lang="en-US" sz="1600"/>
            <a:t>boxes; </a:t>
          </a:r>
        </a:p>
        <a:p>
          <a:r>
            <a:rPr lang="en-US" sz="1600"/>
            <a:t>2. Do not change the format of this Excel file (do </a:t>
          </a:r>
          <a:r>
            <a:rPr lang="en-US" sz="1600" b="1"/>
            <a:t>NOT</a:t>
          </a:r>
          <a:r>
            <a:rPr lang="en-US" sz="1600"/>
            <a:t> delete/insert a row/column);</a:t>
          </a:r>
        </a:p>
        <a:p>
          <a:r>
            <a:rPr lang="en-US" sz="1600"/>
            <a:t>3a. Proper scientific notation input in Excel: </a:t>
          </a:r>
        </a:p>
        <a:p>
          <a:r>
            <a:rPr lang="en-US" sz="1600"/>
            <a:t>       Enter "</a:t>
          </a:r>
          <a:r>
            <a:rPr lang="en-US" sz="1600" b="1"/>
            <a:t>1e-10</a:t>
          </a:r>
          <a:r>
            <a:rPr lang="en-US" sz="1600"/>
            <a:t>" for 1x10</a:t>
          </a:r>
          <a:r>
            <a:rPr lang="en-US" sz="1600" baseline="30000"/>
            <a:t>-10</a:t>
          </a:r>
          <a:r>
            <a:rPr lang="en-US" sz="1600"/>
            <a:t> and "</a:t>
          </a:r>
          <a:r>
            <a:rPr lang="en-US" sz="1600" b="1"/>
            <a:t>1.3e9</a:t>
          </a:r>
          <a:r>
            <a:rPr lang="en-US" sz="1600"/>
            <a:t>" for 1.3x10</a:t>
          </a:r>
          <a:r>
            <a:rPr lang="en-US" sz="1600" baseline="30000"/>
            <a:t>9</a:t>
          </a:r>
          <a:r>
            <a:rPr lang="en-US" sz="1600"/>
            <a:t> </a:t>
          </a:r>
        </a:p>
        <a:p>
          <a:r>
            <a:rPr lang="en-US" sz="1600"/>
            <a:t>3b. If you are not comfortable with inputting scientific notation, </a:t>
          </a:r>
        </a:p>
        <a:p>
          <a:r>
            <a:rPr lang="en-US" sz="1600"/>
            <a:t>       please input your values in standard notation (decimal format) </a:t>
          </a:r>
        </a:p>
        <a:p>
          <a:r>
            <a:rPr lang="en-US" sz="1600"/>
            <a:t>       instead of scientific notation;</a:t>
          </a:r>
        </a:p>
        <a:p>
          <a:r>
            <a:rPr lang="en-US" sz="1600"/>
            <a:t>4a. Make sure you have the </a:t>
          </a:r>
          <a:r>
            <a:rPr lang="en-US" sz="1600" b="1">
              <a:solidFill>
                <a:srgbClr val="FF0000"/>
              </a:solidFill>
            </a:rPr>
            <a:t>correct number of significant figures</a:t>
          </a:r>
        </a:p>
        <a:p>
          <a:r>
            <a:rPr lang="en-US" sz="1600"/>
            <a:t>     (See pictures on the right to adjust the decimal places);</a:t>
          </a:r>
        </a:p>
        <a:p>
          <a:r>
            <a:rPr lang="en-US" sz="1600"/>
            <a:t>4b. Not having the proper</a:t>
          </a:r>
          <a:r>
            <a:rPr lang="en-US" sz="1600" baseline="0"/>
            <a:t> number of significant figures in the Excel file will result points deduction in the lab report;</a:t>
          </a:r>
        </a:p>
        <a:p>
          <a:r>
            <a:rPr lang="en-US" sz="1600" baseline="0"/>
            <a:t>5. </a:t>
          </a:r>
          <a:r>
            <a:rPr lang="en-US" sz="1600" b="1" baseline="0">
              <a:solidFill>
                <a:srgbClr val="FF0000"/>
              </a:solidFill>
            </a:rPr>
            <a:t>Since some of the columns have been revised from the lab manual in this template, please double check the cell referencing calculations;</a:t>
          </a:r>
        </a:p>
        <a:p>
          <a:r>
            <a:rPr lang="en-US" sz="1600" b="1" baseline="0">
              <a:solidFill>
                <a:sysClr val="windowText" lastClr="000000"/>
              </a:solidFill>
            </a:rPr>
            <a:t>6.  Your graphs should have a proper title, x-axis title and unit, y-axis and unit, linear fit trendline displaying the equation and r</a:t>
          </a:r>
          <a:r>
            <a:rPr lang="en-US" sz="1600" b="1" baseline="30000">
              <a:solidFill>
                <a:sysClr val="windowText" lastClr="000000"/>
              </a:solidFill>
            </a:rPr>
            <a:t>2</a:t>
          </a:r>
          <a:r>
            <a:rPr lang="en-US" sz="1600" b="1" baseline="0">
              <a:solidFill>
                <a:sysClr val="windowText" lastClr="000000"/>
              </a:solidFill>
            </a:rPr>
            <a:t>;</a:t>
          </a:r>
          <a:r>
            <a:rPr lang="en-US" sz="1600" b="1" baseline="0">
              <a:solidFill>
                <a:srgbClr val="FF0000"/>
              </a:solidFill>
            </a:rPr>
            <a:t>  </a:t>
          </a:r>
          <a:endParaRPr lang="en-US" sz="1600" b="1">
            <a:solidFill>
              <a:srgbClr val="FF0000"/>
            </a:solidFill>
          </a:endParaRPr>
        </a:p>
        <a:p>
          <a:r>
            <a:rPr lang="en-US" sz="1600"/>
            <a:t>7. Change</a:t>
          </a:r>
          <a:r>
            <a:rPr lang="en-US" sz="1600" baseline="0"/>
            <a:t> the file name as "</a:t>
          </a:r>
          <a:r>
            <a:rPr lang="en-US" sz="1600" baseline="0">
              <a:solidFill>
                <a:srgbClr val="FF0000"/>
              </a:solidFill>
            </a:rPr>
            <a:t>Chem102KineticsData_LastName</a:t>
          </a:r>
          <a:r>
            <a:rPr lang="en-US" sz="1600" baseline="0"/>
            <a:t>" and </a:t>
          </a:r>
          <a:r>
            <a:rPr lang="en-US" sz="1600"/>
            <a:t>Upload this Excel file on Canvas by the night before your next lab session by 11:59 pm  </a:t>
          </a:r>
        </a:p>
      </xdr:txBody>
    </xdr:sp>
    <xdr:clientData/>
  </xdr:twoCellAnchor>
  <xdr:twoCellAnchor>
    <xdr:from>
      <xdr:col>2</xdr:col>
      <xdr:colOff>505981</xdr:colOff>
      <xdr:row>9</xdr:row>
      <xdr:rowOff>154214</xdr:rowOff>
    </xdr:from>
    <xdr:to>
      <xdr:col>5</xdr:col>
      <xdr:colOff>1629159</xdr:colOff>
      <xdr:row>28</xdr:row>
      <xdr:rowOff>13608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992381" y="2080985"/>
          <a:ext cx="5956435" cy="3440794"/>
          <a:chOff x="5117628" y="13090"/>
          <a:chExt cx="5360935" cy="263407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117628" y="13090"/>
            <a:ext cx="5360935" cy="2634074"/>
          </a:xfrm>
          <a:prstGeom prst="rect">
            <a:avLst/>
          </a:prstGeom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49073" y="1720535"/>
            <a:ext cx="1684879" cy="377238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How</a:t>
            </a:r>
            <a:r>
              <a:rPr lang="en-US" sz="1100" baseline="0"/>
              <a:t> to add/remove decimal places</a:t>
            </a:r>
            <a:endParaRPr lang="en-US" sz="1100"/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CxnSpPr>
            <a:stCxn id="5" idx="0"/>
          </xdr:cNvCxnSpPr>
        </xdr:nvCxnSpPr>
        <xdr:spPr>
          <a:xfrm flipV="1">
            <a:off x="9191513" y="826831"/>
            <a:ext cx="963783" cy="893703"/>
          </a:xfrm>
          <a:prstGeom prst="straightConnector1">
            <a:avLst/>
          </a:prstGeom>
          <a:ln w="3810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</xdr:row>
          <xdr:rowOff>175260</xdr:rowOff>
        </xdr:from>
        <xdr:to>
          <xdr:col>21</xdr:col>
          <xdr:colOff>0</xdr:colOff>
          <xdr:row>11</xdr:row>
          <xdr:rowOff>114300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2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Your Calculation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</xdr:colOff>
          <xdr:row>11</xdr:row>
          <xdr:rowOff>525780</xdr:rowOff>
        </xdr:from>
        <xdr:to>
          <xdr:col>21</xdr:col>
          <xdr:colOff>22860</xdr:colOff>
          <xdr:row>16</xdr:row>
          <xdr:rowOff>144780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Benny's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129540</xdr:colOff>
      <xdr:row>0</xdr:row>
      <xdr:rowOff>95250</xdr:rowOff>
    </xdr:from>
    <xdr:to>
      <xdr:col>11</xdr:col>
      <xdr:colOff>597463</xdr:colOff>
      <xdr:row>2</xdr:row>
      <xdr:rowOff>106680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1F9B84E-8C6B-4BAA-8466-8B0F8133AF74}"/>
            </a:ext>
          </a:extLst>
        </xdr:cNvPr>
        <xdr:cNvSpPr txBox="1"/>
      </xdr:nvSpPr>
      <xdr:spPr>
        <a:xfrm>
          <a:off x="2209800" y="95250"/>
          <a:ext cx="6228643" cy="113919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/>
            <a:t>Ins</a:t>
          </a:r>
          <a:r>
            <a:rPr lang="en-US" sz="1600" b="0">
              <a:solidFill>
                <a:sysClr val="windowText" lastClr="000000"/>
              </a:solidFill>
            </a:rPr>
            <a:t>tructions:</a:t>
          </a:r>
        </a:p>
        <a:p>
          <a:r>
            <a:rPr lang="en-US" sz="1600" b="0">
              <a:solidFill>
                <a:sysClr val="windowText" lastClr="000000"/>
              </a:solidFill>
            </a:rPr>
            <a:t>1. </a:t>
          </a:r>
          <a:r>
            <a:rPr lang="en-US" sz="1600" b="0" baseline="0">
              <a:solidFill>
                <a:sysClr val="windowText" lastClr="000000"/>
              </a:solidFill>
            </a:rPr>
            <a:t>Your graphs should have a </a:t>
          </a:r>
          <a:r>
            <a:rPr lang="en-US" sz="1600" b="1" baseline="0">
              <a:solidFill>
                <a:sysClr val="windowText" lastClr="000000"/>
              </a:solidFill>
            </a:rPr>
            <a:t>proper title, x-axis title and unit, y-axis and unit, linear fit trendline displaying the equation and r</a:t>
          </a:r>
          <a:r>
            <a:rPr lang="en-US" sz="1600" b="1" baseline="30000">
              <a:solidFill>
                <a:sysClr val="windowText" lastClr="000000"/>
              </a:solidFill>
            </a:rPr>
            <a:t>2</a:t>
          </a:r>
          <a:r>
            <a:rPr lang="en-US" sz="1600" b="1" baseline="0">
              <a:solidFill>
                <a:sysClr val="windowText" lastClr="000000"/>
              </a:solidFill>
            </a:rPr>
            <a:t>;  </a:t>
          </a:r>
        </a:p>
        <a:p>
          <a:r>
            <a:rPr lang="en-US" sz="1600" b="0" baseline="0">
              <a:solidFill>
                <a:sysClr val="windowText" lastClr="000000"/>
              </a:solidFill>
            </a:rPr>
            <a:t>2. Your </a:t>
          </a:r>
          <a:r>
            <a:rPr lang="en-US" sz="1600" b="1" baseline="0">
              <a:solidFill>
                <a:sysClr val="windowText" lastClr="000000"/>
              </a:solidFill>
            </a:rPr>
            <a:t>slope</a:t>
          </a:r>
          <a:r>
            <a:rPr lang="en-US" sz="1600" b="0" baseline="0">
              <a:solidFill>
                <a:sysClr val="windowText" lastClr="000000"/>
              </a:solidFill>
            </a:rPr>
            <a:t> and </a:t>
          </a:r>
          <a:r>
            <a:rPr lang="en-US" sz="1600" b="1" baseline="0">
              <a:solidFill>
                <a:sysClr val="windowText" lastClr="000000"/>
              </a:solidFill>
            </a:rPr>
            <a:t>y-intercept</a:t>
          </a:r>
          <a:r>
            <a:rPr lang="en-US" sz="1600" b="0" baseline="0">
              <a:solidFill>
                <a:sysClr val="windowText" lastClr="000000"/>
              </a:solidFill>
            </a:rPr>
            <a:t> should have</a:t>
          </a:r>
          <a:r>
            <a:rPr lang="en-US" sz="1600" b="1" baseline="0">
              <a:solidFill>
                <a:sysClr val="windowText" lastClr="000000"/>
              </a:solidFill>
            </a:rPr>
            <a:t> 5 sig. fig.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388620</xdr:colOff>
      <xdr:row>2</xdr:row>
      <xdr:rowOff>160020</xdr:rowOff>
    </xdr:from>
    <xdr:to>
      <xdr:col>14</xdr:col>
      <xdr:colOff>83820</xdr:colOff>
      <xdr:row>17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A87E33-371C-4B14-8BD4-BD68103B9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621030</xdr:colOff>
      <xdr:row>0</xdr:row>
      <xdr:rowOff>22860</xdr:rowOff>
    </xdr:from>
    <xdr:to>
      <xdr:col>12</xdr:col>
      <xdr:colOff>448873</xdr:colOff>
      <xdr:row>6</xdr:row>
      <xdr:rowOff>64770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959257B-5B4E-4CFE-8E6F-29BD1CEF7632}"/>
            </a:ext>
          </a:extLst>
        </xdr:cNvPr>
        <xdr:cNvSpPr txBox="1"/>
      </xdr:nvSpPr>
      <xdr:spPr>
        <a:xfrm>
          <a:off x="2137410" y="22860"/>
          <a:ext cx="6228643" cy="113919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/>
            <a:t>Ins</a:t>
          </a:r>
          <a:r>
            <a:rPr lang="en-US" sz="1600" b="0">
              <a:solidFill>
                <a:sysClr val="windowText" lastClr="000000"/>
              </a:solidFill>
            </a:rPr>
            <a:t>tructions:</a:t>
          </a:r>
        </a:p>
        <a:p>
          <a:r>
            <a:rPr lang="en-US" sz="1600" b="0">
              <a:solidFill>
                <a:sysClr val="windowText" lastClr="000000"/>
              </a:solidFill>
            </a:rPr>
            <a:t>1. </a:t>
          </a:r>
          <a:r>
            <a:rPr lang="en-US" sz="1600" b="0" baseline="0">
              <a:solidFill>
                <a:sysClr val="windowText" lastClr="000000"/>
              </a:solidFill>
            </a:rPr>
            <a:t>Your graphs should have a </a:t>
          </a:r>
          <a:r>
            <a:rPr lang="en-US" sz="1600" b="1" baseline="0">
              <a:solidFill>
                <a:sysClr val="windowText" lastClr="000000"/>
              </a:solidFill>
            </a:rPr>
            <a:t>proper title, x-axis title and unit, y-axis and unit, linear fit trendline displaying the equation and r</a:t>
          </a:r>
          <a:r>
            <a:rPr lang="en-US" sz="1600" b="1" baseline="30000">
              <a:solidFill>
                <a:sysClr val="windowText" lastClr="000000"/>
              </a:solidFill>
            </a:rPr>
            <a:t>2</a:t>
          </a:r>
          <a:r>
            <a:rPr lang="en-US" sz="1600" b="1" baseline="0">
              <a:solidFill>
                <a:sysClr val="windowText" lastClr="000000"/>
              </a:solidFill>
            </a:rPr>
            <a:t>;  </a:t>
          </a:r>
        </a:p>
        <a:p>
          <a:r>
            <a:rPr lang="en-US" sz="1600" b="0" baseline="0">
              <a:solidFill>
                <a:sysClr val="windowText" lastClr="000000"/>
              </a:solidFill>
            </a:rPr>
            <a:t>2. Your </a:t>
          </a:r>
          <a:r>
            <a:rPr lang="en-US" sz="1600" b="1" baseline="0">
              <a:solidFill>
                <a:sysClr val="windowText" lastClr="000000"/>
              </a:solidFill>
            </a:rPr>
            <a:t>slope</a:t>
          </a:r>
          <a:r>
            <a:rPr lang="en-US" sz="1600" b="0" baseline="0">
              <a:solidFill>
                <a:sysClr val="windowText" lastClr="000000"/>
              </a:solidFill>
            </a:rPr>
            <a:t> and </a:t>
          </a:r>
          <a:r>
            <a:rPr lang="en-US" sz="1600" b="1" baseline="0">
              <a:solidFill>
                <a:sysClr val="windowText" lastClr="000000"/>
              </a:solidFill>
            </a:rPr>
            <a:t>y-intercept</a:t>
          </a:r>
          <a:r>
            <a:rPr lang="en-US" sz="1600" b="0" baseline="0">
              <a:solidFill>
                <a:sysClr val="windowText" lastClr="000000"/>
              </a:solidFill>
            </a:rPr>
            <a:t> should have</a:t>
          </a:r>
          <a:r>
            <a:rPr lang="en-US" sz="1600" b="1" baseline="0">
              <a:solidFill>
                <a:sysClr val="windowText" lastClr="000000"/>
              </a:solidFill>
            </a:rPr>
            <a:t> 5 sig. fig.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175260</xdr:colOff>
      <xdr:row>6</xdr:row>
      <xdr:rowOff>175260</xdr:rowOff>
    </xdr:from>
    <xdr:to>
      <xdr:col>12</xdr:col>
      <xdr:colOff>480060</xdr:colOff>
      <xdr:row>21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44F933-7D70-42DD-963A-5DCABF3216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41910</xdr:rowOff>
    </xdr:from>
    <xdr:to>
      <xdr:col>12</xdr:col>
      <xdr:colOff>486973</xdr:colOff>
      <xdr:row>6</xdr:row>
      <xdr:rowOff>83820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EE3DA93-E8F1-41E2-9DD4-7662BE9CBF4D}"/>
            </a:ext>
          </a:extLst>
        </xdr:cNvPr>
        <xdr:cNvSpPr txBox="1"/>
      </xdr:nvSpPr>
      <xdr:spPr>
        <a:xfrm>
          <a:off x="2388870" y="41910"/>
          <a:ext cx="6228643" cy="113919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/>
            <a:t>Ins</a:t>
          </a:r>
          <a:r>
            <a:rPr lang="en-US" sz="1600" b="0">
              <a:solidFill>
                <a:sysClr val="windowText" lastClr="000000"/>
              </a:solidFill>
            </a:rPr>
            <a:t>tructions:</a:t>
          </a:r>
        </a:p>
        <a:p>
          <a:r>
            <a:rPr lang="en-US" sz="1600" b="0">
              <a:solidFill>
                <a:sysClr val="windowText" lastClr="000000"/>
              </a:solidFill>
            </a:rPr>
            <a:t>1. </a:t>
          </a:r>
          <a:r>
            <a:rPr lang="en-US" sz="1600" b="0" baseline="0">
              <a:solidFill>
                <a:sysClr val="windowText" lastClr="000000"/>
              </a:solidFill>
            </a:rPr>
            <a:t>Your graphs should have a </a:t>
          </a:r>
          <a:r>
            <a:rPr lang="en-US" sz="1600" b="1" baseline="0">
              <a:solidFill>
                <a:sysClr val="windowText" lastClr="000000"/>
              </a:solidFill>
            </a:rPr>
            <a:t>proper title, x-axis title and unit, y-axis and unit, linear fit trendline displaying the equation and r</a:t>
          </a:r>
          <a:r>
            <a:rPr lang="en-US" sz="1600" b="1" baseline="30000">
              <a:solidFill>
                <a:sysClr val="windowText" lastClr="000000"/>
              </a:solidFill>
            </a:rPr>
            <a:t>2</a:t>
          </a:r>
          <a:r>
            <a:rPr lang="en-US" sz="1600" b="1" baseline="0">
              <a:solidFill>
                <a:sysClr val="windowText" lastClr="000000"/>
              </a:solidFill>
            </a:rPr>
            <a:t>;  </a:t>
          </a:r>
        </a:p>
        <a:p>
          <a:r>
            <a:rPr lang="en-US" sz="1600" b="0" baseline="0">
              <a:solidFill>
                <a:sysClr val="windowText" lastClr="000000"/>
              </a:solidFill>
            </a:rPr>
            <a:t>2. Your </a:t>
          </a:r>
          <a:r>
            <a:rPr lang="en-US" sz="1600" b="1" baseline="0">
              <a:solidFill>
                <a:sysClr val="windowText" lastClr="000000"/>
              </a:solidFill>
            </a:rPr>
            <a:t>slope</a:t>
          </a:r>
          <a:r>
            <a:rPr lang="en-US" sz="1600" b="0" baseline="0">
              <a:solidFill>
                <a:sysClr val="windowText" lastClr="000000"/>
              </a:solidFill>
            </a:rPr>
            <a:t> and </a:t>
          </a:r>
          <a:r>
            <a:rPr lang="en-US" sz="1600" b="1" baseline="0">
              <a:solidFill>
                <a:sysClr val="windowText" lastClr="000000"/>
              </a:solidFill>
            </a:rPr>
            <a:t>y-intercept</a:t>
          </a:r>
          <a:r>
            <a:rPr lang="en-US" sz="1600" b="0" baseline="0">
              <a:solidFill>
                <a:sysClr val="windowText" lastClr="000000"/>
              </a:solidFill>
            </a:rPr>
            <a:t> should have</a:t>
          </a:r>
          <a:r>
            <a:rPr lang="en-US" sz="1600" b="1" baseline="0">
              <a:solidFill>
                <a:sysClr val="windowText" lastClr="000000"/>
              </a:solidFill>
            </a:rPr>
            <a:t> 5 sig. fig.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586740</xdr:colOff>
      <xdr:row>6</xdr:row>
      <xdr:rowOff>175260</xdr:rowOff>
    </xdr:from>
    <xdr:to>
      <xdr:col>12</xdr:col>
      <xdr:colOff>281940</xdr:colOff>
      <xdr:row>21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585F86-819B-4AA7-A37D-66F95B0582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166782</xdr:rowOff>
    </xdr:from>
    <xdr:to>
      <xdr:col>6</xdr:col>
      <xdr:colOff>238125</xdr:colOff>
      <xdr:row>43</xdr:row>
      <xdr:rowOff>52481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979D68-1AB5-4B09-9288-B37507EF9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292847</xdr:colOff>
      <xdr:row>29</xdr:row>
      <xdr:rowOff>11952</xdr:rowOff>
    </xdr:from>
    <xdr:to>
      <xdr:col>14</xdr:col>
      <xdr:colOff>530972</xdr:colOff>
      <xdr:row>43</xdr:row>
      <xdr:rowOff>88152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E2C1B2-38A2-4A47-859A-5B454D68B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548715</xdr:colOff>
      <xdr:row>28</xdr:row>
      <xdr:rowOff>174251</xdr:rowOff>
    </xdr:from>
    <xdr:to>
      <xdr:col>22</xdr:col>
      <xdr:colOff>243915</xdr:colOff>
      <xdr:row>43</xdr:row>
      <xdr:rowOff>63686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32084EA-FF92-44DD-A1B8-B7B6070C29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9ECB3-3098-42F9-BC80-CD15D229114F}">
  <sheetPr codeName="Sheet3"/>
  <dimension ref="A1:N47"/>
  <sheetViews>
    <sheetView topLeftCell="B14" zoomScale="70" zoomScaleNormal="70" zoomScaleSheetLayoutView="100" workbookViewId="0">
      <selection activeCell="H33" sqref="H33"/>
    </sheetView>
  </sheetViews>
  <sheetFormatPr defaultColWidth="9" defaultRowHeight="14.4" x14ac:dyDescent="0.3"/>
  <cols>
    <col min="1" max="1" width="71" style="10" bestFit="1" customWidth="1"/>
    <col min="2" max="3" width="9" style="10"/>
    <col min="4" max="4" width="35.77734375" style="10" customWidth="1"/>
    <col min="5" max="5" width="25.77734375" style="10" customWidth="1"/>
    <col min="6" max="6" width="33.77734375" style="10" bestFit="1" customWidth="1"/>
    <col min="7" max="7" width="19.77734375" style="10" customWidth="1"/>
    <col min="8" max="8" width="33.77734375" style="9" customWidth="1"/>
    <col min="9" max="9" width="18" style="9" customWidth="1"/>
    <col min="10" max="10" width="16.6640625" style="9" bestFit="1" customWidth="1"/>
    <col min="11" max="11" width="23.6640625" style="9" customWidth="1"/>
    <col min="12" max="12" width="19.77734375" style="9" customWidth="1"/>
    <col min="13" max="14" width="9" style="9"/>
    <col min="15" max="16384" width="9" style="10"/>
  </cols>
  <sheetData>
    <row r="1" spans="1:14" ht="18" x14ac:dyDescent="0.35">
      <c r="A1" s="17"/>
      <c r="D1" s="12" t="s">
        <v>0</v>
      </c>
      <c r="E1" s="6"/>
      <c r="I1" s="14"/>
    </row>
    <row r="2" spans="1:14" x14ac:dyDescent="0.3">
      <c r="D2" s="12" t="s">
        <v>1</v>
      </c>
      <c r="E2" s="6"/>
    </row>
    <row r="3" spans="1:14" x14ac:dyDescent="0.3">
      <c r="D3" s="19"/>
      <c r="E3" s="14"/>
    </row>
    <row r="4" spans="1:14" s="40" customFormat="1" x14ac:dyDescent="0.3">
      <c r="D4" s="43" t="s">
        <v>42</v>
      </c>
      <c r="E4" s="41"/>
      <c r="H4" s="42"/>
      <c r="I4" s="42"/>
      <c r="J4" s="42"/>
      <c r="K4" s="42"/>
      <c r="L4" s="42"/>
      <c r="M4" s="42"/>
      <c r="N4" s="42"/>
    </row>
    <row r="5" spans="1:14" x14ac:dyDescent="0.3">
      <c r="D5" s="1"/>
      <c r="E5" s="21" t="s">
        <v>2</v>
      </c>
      <c r="F5" s="22"/>
      <c r="G5" s="21" t="s">
        <v>3</v>
      </c>
      <c r="H5" s="21"/>
      <c r="I5" s="30" t="s">
        <v>20</v>
      </c>
    </row>
    <row r="6" spans="1:14" ht="28.8" x14ac:dyDescent="0.3">
      <c r="C6" s="9"/>
      <c r="D6" s="24" t="s">
        <v>21</v>
      </c>
      <c r="E6" s="25">
        <v>0.41299999999999998</v>
      </c>
      <c r="F6" s="24" t="s">
        <v>21</v>
      </c>
      <c r="G6" s="25">
        <v>0.40300000000000002</v>
      </c>
      <c r="H6" s="24" t="s">
        <v>21</v>
      </c>
      <c r="I6" s="25">
        <v>0.41199999999999998</v>
      </c>
      <c r="K6" s="53" t="s">
        <v>46</v>
      </c>
      <c r="L6" s="53">
        <v>204.23</v>
      </c>
    </row>
    <row r="7" spans="1:14" ht="32.1" customHeight="1" x14ac:dyDescent="0.3">
      <c r="C7" s="9"/>
      <c r="D7" s="24" t="s">
        <v>22</v>
      </c>
      <c r="E7" s="25">
        <v>2.5299999999999998</v>
      </c>
      <c r="F7" s="24" t="s">
        <v>22</v>
      </c>
      <c r="G7" s="25">
        <v>21.99</v>
      </c>
      <c r="H7" s="24" t="s">
        <v>22</v>
      </c>
      <c r="I7" s="25">
        <v>23.85</v>
      </c>
      <c r="J7" s="16"/>
    </row>
    <row r="8" spans="1:14" ht="28.8" x14ac:dyDescent="0.3">
      <c r="C8" s="9"/>
      <c r="D8" s="24" t="s">
        <v>23</v>
      </c>
      <c r="E8" s="25">
        <v>21.99</v>
      </c>
      <c r="F8" s="24" t="s">
        <v>23</v>
      </c>
      <c r="G8" s="25">
        <v>40.9</v>
      </c>
      <c r="H8" s="24" t="s">
        <v>23</v>
      </c>
      <c r="I8" s="25">
        <v>40.200000000000003</v>
      </c>
      <c r="J8" s="16"/>
    </row>
    <row r="9" spans="1:14" ht="28.8" x14ac:dyDescent="0.3">
      <c r="C9" s="9"/>
      <c r="D9" s="24" t="s">
        <v>24</v>
      </c>
      <c r="E9" s="25">
        <f>E8-E7</f>
        <v>19.459999999999997</v>
      </c>
      <c r="F9" s="24" t="s">
        <v>24</v>
      </c>
      <c r="G9" s="25">
        <f>G8-G7</f>
        <v>18.91</v>
      </c>
      <c r="H9" s="24" t="s">
        <v>24</v>
      </c>
      <c r="I9" s="25">
        <f>I8-I7</f>
        <v>16.350000000000001</v>
      </c>
      <c r="J9" s="16"/>
    </row>
    <row r="10" spans="1:14" s="7" customFormat="1" ht="43.2" x14ac:dyDescent="0.3">
      <c r="C10" s="9"/>
      <c r="D10" s="24" t="s">
        <v>30</v>
      </c>
      <c r="E10" s="25">
        <f>(E6/204.23)/(E9/1000)</f>
        <v>0.10391725790889594</v>
      </c>
      <c r="F10" s="24" t="s">
        <v>30</v>
      </c>
      <c r="G10" s="25">
        <f>(G6/204.23)/(G9/1000)</f>
        <v>0.10435036679153929</v>
      </c>
      <c r="H10" s="24" t="s">
        <v>30</v>
      </c>
      <c r="I10" s="25">
        <f>(I6/204.23)/(I9/1000)</f>
        <v>0.12338430572594518</v>
      </c>
      <c r="J10" s="9"/>
      <c r="K10" s="9"/>
      <c r="L10" s="9"/>
      <c r="M10" s="9"/>
      <c r="N10" s="9"/>
    </row>
    <row r="11" spans="1:14" s="7" customFormat="1" x14ac:dyDescent="0.3">
      <c r="C11" s="9"/>
      <c r="D11" s="4"/>
      <c r="E11" s="5"/>
      <c r="F11" s="4"/>
      <c r="G11" s="5"/>
      <c r="H11" s="4"/>
      <c r="I11" s="5"/>
      <c r="J11" s="9"/>
      <c r="K11" s="9"/>
      <c r="L11" s="9"/>
      <c r="M11" s="9"/>
      <c r="N11" s="9"/>
    </row>
    <row r="12" spans="1:14" s="15" customFormat="1" ht="57.6" x14ac:dyDescent="0.3">
      <c r="C12" s="14"/>
      <c r="D12" s="24" t="s">
        <v>31</v>
      </c>
      <c r="E12" s="25">
        <f>ABS(E10-G10)</f>
        <v>4.3310888264334879E-4</v>
      </c>
      <c r="F12" s="24" t="s">
        <v>32</v>
      </c>
      <c r="G12" s="28">
        <f>ABS(I10-G10)</f>
        <v>1.9033938934405886E-2</v>
      </c>
      <c r="H12" s="24" t="s">
        <v>33</v>
      </c>
      <c r="I12" s="29">
        <f>ABS(I10-E10)</f>
        <v>1.9467047817049235E-2</v>
      </c>
      <c r="J12" s="9"/>
      <c r="K12" s="14"/>
      <c r="L12" s="14"/>
      <c r="M12" s="14"/>
      <c r="N12" s="14"/>
    </row>
    <row r="13" spans="1:14" ht="57.6" x14ac:dyDescent="0.3">
      <c r="C13" s="9"/>
      <c r="D13" s="24" t="s">
        <v>34</v>
      </c>
      <c r="E13" s="25">
        <f>AVERAGE(E10,G10)</f>
        <v>0.10413381235021762</v>
      </c>
      <c r="F13" s="24" t="s">
        <v>35</v>
      </c>
      <c r="G13" s="25">
        <f>AVERAGE(G10, I10)</f>
        <v>0.11386733625874224</v>
      </c>
      <c r="H13" s="39" t="s">
        <v>36</v>
      </c>
      <c r="I13" s="25">
        <f>AVERAGE(E10, I10)</f>
        <v>0.11365078181742055</v>
      </c>
      <c r="K13" s="51" t="s">
        <v>45</v>
      </c>
      <c r="L13" s="52">
        <f>'Read me!'!L13</f>
        <v>0</v>
      </c>
    </row>
    <row r="14" spans="1:14" s="7" customFormat="1" x14ac:dyDescent="0.3">
      <c r="C14" s="9"/>
      <c r="D14" s="1"/>
      <c r="E14" s="1"/>
      <c r="F14" s="23"/>
      <c r="G14" s="23"/>
      <c r="H14" s="1"/>
      <c r="I14"/>
      <c r="J14" s="9"/>
      <c r="K14" s="9"/>
      <c r="L14" s="9"/>
      <c r="M14" s="9"/>
      <c r="N14" s="9"/>
    </row>
    <row r="15" spans="1:14" s="7" customFormat="1" ht="15.6" x14ac:dyDescent="0.35">
      <c r="C15" s="9"/>
      <c r="D15" s="26" t="s">
        <v>4</v>
      </c>
      <c r="E15" s="26" t="s">
        <v>25</v>
      </c>
      <c r="F15" s="31" t="s">
        <v>26</v>
      </c>
      <c r="G15" s="31" t="s">
        <v>5</v>
      </c>
      <c r="H15" s="26" t="s">
        <v>27</v>
      </c>
      <c r="I15" s="26" t="s">
        <v>5</v>
      </c>
      <c r="J15" s="9"/>
      <c r="K15" s="9"/>
      <c r="L15" s="9"/>
      <c r="M15" s="9"/>
      <c r="N15" s="9"/>
    </row>
    <row r="16" spans="1:14" s="7" customFormat="1" x14ac:dyDescent="0.3">
      <c r="C16" s="9"/>
      <c r="D16" s="26" t="s">
        <v>6</v>
      </c>
      <c r="E16" s="56">
        <v>7</v>
      </c>
      <c r="F16" s="32">
        <f>'Read me!'!F16</f>
        <v>0</v>
      </c>
      <c r="G16" s="33">
        <f>ABS(E16-F16)*100/E16</f>
        <v>100</v>
      </c>
      <c r="H16" s="34">
        <f>(10^(-(14-F23)))^2/0.1</f>
        <v>9.9999999999999986E-28</v>
      </c>
      <c r="I16" s="126"/>
      <c r="J16" s="9"/>
      <c r="K16" s="9"/>
      <c r="L16" s="9"/>
      <c r="M16" s="9"/>
      <c r="N16" s="9"/>
    </row>
    <row r="17" spans="3:14" s="7" customFormat="1" ht="15.6" x14ac:dyDescent="0.35">
      <c r="C17" s="9"/>
      <c r="D17" s="26" t="s">
        <v>7</v>
      </c>
      <c r="E17" s="56">
        <v>1</v>
      </c>
      <c r="F17" s="32">
        <f>'Read me!'!F17</f>
        <v>0</v>
      </c>
      <c r="G17" s="33">
        <f t="shared" ref="G17:G27" si="0">ABS(E17-F17)*100/E17</f>
        <v>100</v>
      </c>
      <c r="H17" s="26" t="s">
        <v>28</v>
      </c>
      <c r="I17" s="127"/>
      <c r="J17" s="9"/>
      <c r="K17" s="9"/>
      <c r="L17" s="9"/>
      <c r="M17" s="9"/>
      <c r="N17" s="9"/>
    </row>
    <row r="18" spans="3:14" s="7" customFormat="1" x14ac:dyDescent="0.3">
      <c r="C18" s="9"/>
      <c r="D18" s="26" t="s">
        <v>8</v>
      </c>
      <c r="E18" s="56">
        <v>2.87</v>
      </c>
      <c r="F18" s="32">
        <f>'Read me!'!F18</f>
        <v>0</v>
      </c>
      <c r="G18" s="33">
        <f t="shared" si="0"/>
        <v>100</v>
      </c>
      <c r="H18" s="34">
        <f>(0.00000000000001)/H16</f>
        <v>10000000000000.002</v>
      </c>
      <c r="I18" s="36" t="e">
        <f>((ABS(H18-H24))/H24)*100</f>
        <v>#DIV/0!</v>
      </c>
      <c r="J18" s="9"/>
      <c r="K18" s="9"/>
      <c r="L18" s="9"/>
      <c r="M18" s="9"/>
      <c r="N18" s="9"/>
    </row>
    <row r="19" spans="3:14" s="7" customFormat="1" ht="15.6" x14ac:dyDescent="0.35">
      <c r="C19" s="9"/>
      <c r="D19" s="26" t="s">
        <v>9</v>
      </c>
      <c r="E19" s="56">
        <v>7</v>
      </c>
      <c r="F19" s="32">
        <f>'Read me!'!F19</f>
        <v>0</v>
      </c>
      <c r="G19" s="33">
        <f t="shared" si="0"/>
        <v>100</v>
      </c>
      <c r="H19" s="26" t="s">
        <v>29</v>
      </c>
      <c r="I19" s="35"/>
      <c r="J19" s="9"/>
      <c r="L19" s="9"/>
      <c r="M19" s="9"/>
      <c r="N19" s="9"/>
    </row>
    <row r="20" spans="3:14" s="7" customFormat="1" x14ac:dyDescent="0.3">
      <c r="C20" s="9"/>
      <c r="D20" s="26" t="s">
        <v>10</v>
      </c>
      <c r="E20" s="56">
        <v>5.13</v>
      </c>
      <c r="F20" s="32">
        <f>'Read me!'!F20</f>
        <v>0</v>
      </c>
      <c r="G20" s="33">
        <f t="shared" si="0"/>
        <v>100</v>
      </c>
      <c r="H20" s="34">
        <f>0.00000000000001/((10^(-(14-F24)))^2/0.1)</f>
        <v>10000000000000.002</v>
      </c>
      <c r="I20" s="36" t="e">
        <f>((ABS(H20-H22))/H22)*100</f>
        <v>#DIV/0!</v>
      </c>
      <c r="J20" s="9"/>
      <c r="L20" s="9"/>
      <c r="M20" s="9"/>
      <c r="N20" s="9"/>
    </row>
    <row r="21" spans="3:14" x14ac:dyDescent="0.3">
      <c r="C21" s="9"/>
      <c r="D21" s="26" t="s">
        <v>11</v>
      </c>
      <c r="E21" s="56">
        <v>4.0999999999999996</v>
      </c>
      <c r="F21" s="32">
        <f>'Read me!'!F21</f>
        <v>0</v>
      </c>
      <c r="G21" s="33">
        <f t="shared" si="0"/>
        <v>100</v>
      </c>
      <c r="H21" s="26" t="s">
        <v>12</v>
      </c>
      <c r="I21" s="126"/>
      <c r="K21" s="54" t="s">
        <v>12</v>
      </c>
    </row>
    <row r="22" spans="3:14" x14ac:dyDescent="0.3">
      <c r="C22" s="9"/>
      <c r="D22" s="26" t="s">
        <v>13</v>
      </c>
      <c r="E22" s="56">
        <v>5.13</v>
      </c>
      <c r="F22" s="32">
        <f>'Read me!'!F22</f>
        <v>0</v>
      </c>
      <c r="G22" s="33">
        <f t="shared" si="0"/>
        <v>100</v>
      </c>
      <c r="H22" s="37">
        <f>'Read me!'!H22</f>
        <v>0</v>
      </c>
      <c r="I22" s="128"/>
      <c r="K22" s="55">
        <v>4.3000000000000001E-7</v>
      </c>
    </row>
    <row r="23" spans="3:14" x14ac:dyDescent="0.3">
      <c r="C23" s="9"/>
      <c r="D23" s="26" t="s">
        <v>14</v>
      </c>
      <c r="E23" s="56">
        <v>11.63</v>
      </c>
      <c r="F23" s="32">
        <f>'Read me!'!F23</f>
        <v>0</v>
      </c>
      <c r="G23" s="33">
        <f t="shared" si="0"/>
        <v>100</v>
      </c>
      <c r="H23" s="26" t="s">
        <v>15</v>
      </c>
      <c r="I23" s="128"/>
      <c r="K23" s="54" t="s">
        <v>15</v>
      </c>
    </row>
    <row r="24" spans="3:14" ht="20.25" customHeight="1" x14ac:dyDescent="0.3">
      <c r="C24" s="9"/>
      <c r="D24" s="26" t="s">
        <v>16</v>
      </c>
      <c r="E24" s="56">
        <v>9.68</v>
      </c>
      <c r="F24" s="32">
        <f>'Read me!'!F24</f>
        <v>0</v>
      </c>
      <c r="G24" s="33">
        <f t="shared" si="0"/>
        <v>100</v>
      </c>
      <c r="H24" s="37">
        <f>'Read me!'!H24</f>
        <v>0</v>
      </c>
      <c r="I24" s="128"/>
      <c r="J24" s="11"/>
      <c r="K24" s="55">
        <v>5.6E-11</v>
      </c>
      <c r="L24" s="11"/>
      <c r="M24" s="11"/>
      <c r="N24" s="11"/>
    </row>
    <row r="25" spans="3:14" x14ac:dyDescent="0.3">
      <c r="C25" s="9"/>
      <c r="D25" s="26" t="s">
        <v>17</v>
      </c>
      <c r="E25" s="56">
        <v>10.25</v>
      </c>
      <c r="F25" s="32">
        <f>'Read me!'!F25</f>
        <v>0</v>
      </c>
      <c r="G25" s="33">
        <f t="shared" si="0"/>
        <v>100</v>
      </c>
      <c r="H25" s="126"/>
      <c r="I25" s="128"/>
    </row>
    <row r="26" spans="3:14" x14ac:dyDescent="0.3">
      <c r="C26" s="9"/>
      <c r="D26" s="26" t="s">
        <v>18</v>
      </c>
      <c r="E26" s="56">
        <v>7</v>
      </c>
      <c r="F26" s="32">
        <f>'Read me!'!F26</f>
        <v>0</v>
      </c>
      <c r="G26" s="33">
        <f t="shared" si="0"/>
        <v>100</v>
      </c>
      <c r="H26" s="128"/>
      <c r="I26" s="128"/>
    </row>
    <row r="27" spans="3:14" x14ac:dyDescent="0.3">
      <c r="C27" s="9"/>
      <c r="D27" s="26" t="s">
        <v>19</v>
      </c>
      <c r="E27" s="56">
        <v>4</v>
      </c>
      <c r="F27" s="32">
        <f>'Read me!'!F27</f>
        <v>0</v>
      </c>
      <c r="G27" s="33">
        <f t="shared" si="0"/>
        <v>100</v>
      </c>
      <c r="H27" s="127"/>
      <c r="I27" s="127"/>
    </row>
    <row r="28" spans="3:14" x14ac:dyDescent="0.3">
      <c r="C28" s="9"/>
      <c r="D28" s="27"/>
      <c r="E28" s="5"/>
      <c r="F28" s="45"/>
      <c r="G28" s="46"/>
      <c r="H28" s="44"/>
      <c r="I28" s="44"/>
    </row>
    <row r="29" spans="3:14" s="40" customFormat="1" x14ac:dyDescent="0.3">
      <c r="C29" s="42"/>
      <c r="D29" s="43" t="s">
        <v>43</v>
      </c>
      <c r="E29" s="47"/>
      <c r="F29" s="48"/>
      <c r="G29" s="49"/>
      <c r="H29" s="47"/>
      <c r="I29" s="47"/>
      <c r="J29" s="42"/>
      <c r="K29" s="42"/>
      <c r="L29" s="42"/>
      <c r="M29" s="42"/>
      <c r="N29" s="42"/>
    </row>
    <row r="30" spans="3:14" x14ac:dyDescent="0.3">
      <c r="C30" s="9"/>
      <c r="D30" s="1"/>
      <c r="E30" s="1"/>
      <c r="F30" s="23"/>
      <c r="G30" s="23"/>
      <c r="H30" s="1"/>
      <c r="I30"/>
    </row>
    <row r="31" spans="3:14" ht="28.8" x14ac:dyDescent="0.3">
      <c r="C31" s="9"/>
      <c r="D31" s="24" t="s">
        <v>37</v>
      </c>
      <c r="E31" s="25">
        <f>'Read me!'!E31</f>
        <v>0</v>
      </c>
      <c r="F31" s="23"/>
      <c r="G31" s="23"/>
      <c r="H31" s="1"/>
      <c r="I31"/>
    </row>
    <row r="32" spans="3:14" s="7" customFormat="1" ht="28.8" x14ac:dyDescent="0.3">
      <c r="C32" s="9"/>
      <c r="D32" s="24" t="s">
        <v>38</v>
      </c>
      <c r="E32" s="25">
        <f>'Read me!'!E32</f>
        <v>0</v>
      </c>
      <c r="F32" s="20">
        <f>E31/2</f>
        <v>0</v>
      </c>
      <c r="G32" s="23">
        <f>0.10738*0.0232/0.025</f>
        <v>9.9648639999999997E-2</v>
      </c>
      <c r="H32" s="1"/>
      <c r="I32"/>
      <c r="J32" s="9"/>
      <c r="K32" s="9"/>
      <c r="L32" s="9"/>
      <c r="M32" s="9"/>
      <c r="N32" s="9"/>
    </row>
    <row r="33" spans="3:9" ht="38.1" customHeight="1" x14ac:dyDescent="0.3">
      <c r="C33" s="9"/>
      <c r="D33" s="24" t="s">
        <v>39</v>
      </c>
      <c r="E33" s="28">
        <f>(L13*(E31/1000))/(25/1000)</f>
        <v>0</v>
      </c>
      <c r="F33" s="23"/>
      <c r="G33" s="23"/>
      <c r="H33" s="1"/>
      <c r="I33"/>
    </row>
    <row r="34" spans="3:9" ht="46.35" customHeight="1" x14ac:dyDescent="0.3">
      <c r="C34" s="9"/>
      <c r="D34" s="24" t="s">
        <v>40</v>
      </c>
      <c r="E34" s="28">
        <f>(L13*(E31/1000))/((25+25+E31)/1000)</f>
        <v>0</v>
      </c>
      <c r="F34" s="23"/>
      <c r="G34" s="23"/>
      <c r="H34" s="1"/>
      <c r="I34"/>
    </row>
    <row r="35" spans="3:9" x14ac:dyDescent="0.3">
      <c r="C35" s="9"/>
      <c r="D35" s="26" t="s">
        <v>47</v>
      </c>
      <c r="E35" s="25" t="e">
        <f>#REF!</f>
        <v>#REF!</v>
      </c>
      <c r="F35" s="23"/>
      <c r="G35" s="23"/>
      <c r="H35" s="1"/>
      <c r="I35"/>
    </row>
    <row r="36" spans="3:9" x14ac:dyDescent="0.3">
      <c r="C36" s="9"/>
      <c r="D36" s="26" t="s">
        <v>41</v>
      </c>
      <c r="E36" s="50" t="e">
        <f>-LOG((10^(-E35))^2/((E33/2)-(10^(-E35))))</f>
        <v>#REF!</v>
      </c>
      <c r="F36" s="23"/>
      <c r="G36" s="23"/>
      <c r="H36" s="1"/>
      <c r="I36"/>
    </row>
    <row r="37" spans="3:9" x14ac:dyDescent="0.3">
      <c r="C37" s="9"/>
      <c r="D37" s="8"/>
      <c r="E37" s="9"/>
      <c r="F37" s="13"/>
      <c r="G37" s="9"/>
    </row>
    <row r="38" spans="3:9" x14ac:dyDescent="0.3">
      <c r="C38" s="9"/>
      <c r="D38" s="8"/>
      <c r="E38" s="18"/>
      <c r="F38" s="9"/>
      <c r="G38" s="9"/>
    </row>
    <row r="39" spans="3:9" x14ac:dyDescent="0.3">
      <c r="C39" s="9"/>
      <c r="D39" s="9"/>
      <c r="E39" s="9"/>
      <c r="F39" s="9"/>
      <c r="G39" s="9"/>
    </row>
    <row r="40" spans="3:9" x14ac:dyDescent="0.3">
      <c r="C40" s="9"/>
      <c r="D40" s="9"/>
      <c r="E40" s="9"/>
      <c r="F40" s="9"/>
      <c r="G40" s="9"/>
    </row>
    <row r="41" spans="3:9" x14ac:dyDescent="0.3">
      <c r="C41" s="9"/>
      <c r="D41" s="9"/>
      <c r="E41" s="9"/>
      <c r="F41" s="9"/>
      <c r="G41" s="9"/>
    </row>
    <row r="42" spans="3:9" x14ac:dyDescent="0.3">
      <c r="C42" s="9"/>
      <c r="D42" s="9"/>
      <c r="E42" s="9"/>
      <c r="F42" s="9"/>
      <c r="G42" s="9"/>
    </row>
    <row r="43" spans="3:9" x14ac:dyDescent="0.3">
      <c r="C43" s="9"/>
      <c r="D43" s="9"/>
      <c r="E43" s="9"/>
      <c r="F43" s="9"/>
      <c r="G43" s="9"/>
    </row>
    <row r="44" spans="3:9" x14ac:dyDescent="0.3">
      <c r="C44" s="9"/>
      <c r="D44" s="9"/>
      <c r="E44" s="9"/>
      <c r="F44" s="9"/>
      <c r="G44" s="9"/>
    </row>
    <row r="45" spans="3:9" x14ac:dyDescent="0.3">
      <c r="C45" s="9"/>
      <c r="D45" s="9"/>
      <c r="E45" s="9"/>
      <c r="F45" s="9"/>
      <c r="G45" s="9"/>
    </row>
    <row r="46" spans="3:9" x14ac:dyDescent="0.3">
      <c r="C46" s="9"/>
      <c r="D46" s="9"/>
      <c r="E46" s="9"/>
      <c r="F46" s="9"/>
      <c r="G46" s="9"/>
    </row>
    <row r="47" spans="3:9" x14ac:dyDescent="0.3">
      <c r="C47" s="9"/>
      <c r="D47" s="9"/>
      <c r="E47" s="9"/>
      <c r="F47" s="9"/>
      <c r="G47" s="9"/>
    </row>
  </sheetData>
  <protectedRanges>
    <protectedRange algorithmName="SHA-512" hashValue="rpv0Muf/0BBTfFHHcdHUrIvKPzVLazm3NbXibLVjpwnnu31bx5fTY4ZWRs8c2jwvFqeUE1qlOQmnN+y628Rhbw==" saltValue="fR5xQSruYitZ3F1Iu2HnCg==" spinCount="100000" sqref="E24 D1:D24 F12:F13 H12:H13 F6:F10 H6:H10 D29:D37" name="Testing"/>
    <protectedRange algorithmName="SHA-512" hashValue="NWykxRmJULwIoh3QGJu8IRba4s+ZCxfAMa8k2VrEGqjhJoXcREvLfnhJtQCywUlJdQRyv7Tr7fBuVeKWT1sPHg==" saltValue="md+5oLzN8lDizAL7icvshQ==" spinCount="100000" sqref="E1:E2" name="Name"/>
    <protectedRange algorithmName="SHA-512" hashValue="ovJ7STtkjhwx7txEcG+OYHtcPv0qDOpdNhGxnt27Wgt7HHPMbRRXSCaQjzqKmBycg1SAc+V4oYdNaYKPmPGX+w==" saltValue="lBtMdWXzBhfAJNerrc/hGA==" spinCount="100000" sqref="H11:J11 I12:J13 J10 H14:J29" name="Titration Data"/>
    <protectedRange algorithmName="SHA-512" hashValue="EGWNV3SeSF6o85uO04xW0VDkeGL2vTij7ek+Bz38E8wctwHlFi6r9s2HqPbfJZuhQTrVRYfQp8tEBHBNS97XuQ==" saltValue="LGiC4k2xT2wKS5i2r264DA==" spinCount="100000" sqref="H31:J32" name="Vol HCl"/>
    <protectedRange algorithmName="SHA-512" hashValue="1hJgqQgsb29W6tMFFofgL+bVu0cLcG5VKK/+xMQpTzfpiaYsYQaFb8QiDjKseeruf3iJZ6yp0uswPeF/I9Btkw==" saltValue="muHqckwH9KEVFLohuMzmzw==" spinCount="100000" sqref="H34:J34" name="Conc HCl"/>
    <protectedRange algorithmName="SHA-512" hashValue="ueZE1ouACFCStO6yD5K/x1b+3oM7zaLK2MDDt3aHaYfIkNSy949+/1t1chTN/EgoOwWues1Bi9bRX8NRlp3tOg==" saltValue="OgnF2mWnVTezNjRB5KycKw==" spinCount="100000" sqref="E36:J36" name="TrueFalse"/>
    <protectedRange algorithmName="SHA-512" hashValue="RvQ5wvY/1/1lOcnG49wfMMJQ1CP1h0JKrCBoF0GqyB31yAISSAXcOmme6p3YQDfzWuX449to6eOYjJf8UKnx/Q==" saltValue="YwvgUbJtol9upUMLVv92ow==" spinCount="100000" sqref="E37" name="AvgHCl"/>
    <protectedRange algorithmName="SHA-512" hashValue="ovJ7STtkjhwx7txEcG+OYHtcPv0qDOpdNhGxnt27Wgt7HHPMbRRXSCaQjzqKmBycg1SAc+V4oYdNaYKPmPGX+w==" saltValue="lBtMdWXzBhfAJNerrc/hGA==" spinCount="100000" sqref="E11:G11 E23 E28:F29 E14:G16 E12:E13 G12:G13 E10 G10 I10 E17:E21 F17:F27 E25:E27 G17:G31" name="Titration Data_2"/>
    <protectedRange algorithmName="SHA-512" hashValue="EGWNV3SeSF6o85uO04xW0VDkeGL2vTij7ek+Bz38E8wctwHlFi6r9s2HqPbfJZuhQTrVRYfQp8tEBHBNS97XuQ==" saltValue="LGiC4k2xT2wKS5i2r264DA==" spinCount="100000" sqref="G32 E31:E32 F31" name="Vol HCl_2"/>
    <protectedRange algorithmName="SHA-512" hashValue="1hJgqQgsb29W6tMFFofgL+bVu0cLcG5VKK/+xMQpTzfpiaYsYQaFb8QiDjKseeruf3iJZ6yp0uswPeF/I9Btkw==" saltValue="muHqckwH9KEVFLohuMzmzw==" spinCount="100000" sqref="E34:G34" name="Conc HCl_2"/>
    <protectedRange algorithmName="SHA-512" hashValue="ovJ7STtkjhwx7txEcG+OYHtcPv0qDOpdNhGxnt27Wgt7HHPMbRRXSCaQjzqKmBycg1SAc+V4oYdNaYKPmPGX+w==" saltValue="lBtMdWXzBhfAJNerrc/hGA==" spinCount="100000" sqref="E22" name="Titration Data_2_1"/>
  </protectedRanges>
  <mergeCells count="3">
    <mergeCell ref="I16:I17"/>
    <mergeCell ref="I21:I27"/>
    <mergeCell ref="H25:H2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4D6BC-E84B-46C8-89C1-C139352F3D27}">
  <sheetPr codeName="Sheet1"/>
  <dimension ref="A1:N47"/>
  <sheetViews>
    <sheetView zoomScale="70" zoomScaleNormal="70" zoomScaleSheetLayoutView="100" workbookViewId="0">
      <selection activeCell="A32" sqref="A32"/>
    </sheetView>
  </sheetViews>
  <sheetFormatPr defaultColWidth="9" defaultRowHeight="14.4" x14ac:dyDescent="0.3"/>
  <cols>
    <col min="1" max="1" width="71" style="10" bestFit="1" customWidth="1"/>
    <col min="2" max="3" width="9" style="10"/>
    <col min="4" max="4" width="35.77734375" style="10" customWidth="1"/>
    <col min="5" max="5" width="25.77734375" style="10" customWidth="1"/>
    <col min="6" max="6" width="33.77734375" style="10" bestFit="1" customWidth="1"/>
    <col min="7" max="7" width="19.77734375" style="10" customWidth="1"/>
    <col min="8" max="8" width="33.77734375" style="9" customWidth="1"/>
    <col min="9" max="9" width="18" style="9" customWidth="1"/>
    <col min="10" max="10" width="7.21875" style="9" customWidth="1"/>
    <col min="11" max="11" width="24" style="9" customWidth="1"/>
    <col min="12" max="12" width="16.44140625" style="9" customWidth="1"/>
    <col min="13" max="14" width="9" style="9"/>
    <col min="15" max="16384" width="9" style="10"/>
  </cols>
  <sheetData>
    <row r="1" spans="1:12" ht="18" x14ac:dyDescent="0.35">
      <c r="A1" s="17"/>
      <c r="D1" s="120" t="s">
        <v>0</v>
      </c>
      <c r="E1" s="6"/>
      <c r="I1" s="14"/>
    </row>
    <row r="2" spans="1:12" ht="18" x14ac:dyDescent="0.35">
      <c r="D2" s="120" t="s">
        <v>1</v>
      </c>
      <c r="E2" s="6"/>
    </row>
    <row r="3" spans="1:12" x14ac:dyDescent="0.3">
      <c r="D3" s="19"/>
      <c r="E3" s="14"/>
    </row>
    <row r="4" spans="1:12" s="9" customFormat="1" ht="18" x14ac:dyDescent="0.35">
      <c r="D4" s="120" t="s">
        <v>83</v>
      </c>
      <c r="E4" s="6"/>
    </row>
    <row r="5" spans="1:12" s="9" customFormat="1" ht="18" x14ac:dyDescent="0.35">
      <c r="D5" s="120" t="s">
        <v>84</v>
      </c>
      <c r="E5" s="6"/>
      <c r="F5" s="62"/>
      <c r="G5" s="4"/>
      <c r="H5" s="4"/>
      <c r="I5" s="63"/>
    </row>
    <row r="6" spans="1:12" s="9" customFormat="1" x14ac:dyDescent="0.3">
      <c r="D6" s="64"/>
      <c r="E6" s="5"/>
      <c r="F6" s="64"/>
      <c r="G6" s="5"/>
      <c r="H6" s="64"/>
      <c r="I6" s="5"/>
      <c r="K6" s="16"/>
      <c r="L6" s="16"/>
    </row>
    <row r="7" spans="1:12" s="9" customFormat="1" ht="18" x14ac:dyDescent="0.35">
      <c r="D7" s="120" t="s">
        <v>83</v>
      </c>
      <c r="E7" s="6"/>
      <c r="F7" s="64"/>
      <c r="G7" s="5"/>
      <c r="H7" s="64"/>
      <c r="I7" s="5"/>
      <c r="J7" s="16"/>
    </row>
    <row r="8" spans="1:12" s="9" customFormat="1" ht="18" x14ac:dyDescent="0.35">
      <c r="D8" s="120" t="s">
        <v>84</v>
      </c>
      <c r="E8" s="6"/>
      <c r="F8" s="64"/>
      <c r="G8" s="5"/>
      <c r="H8" s="64"/>
      <c r="I8" s="5"/>
      <c r="J8" s="16"/>
    </row>
    <row r="9" spans="1:12" s="9" customFormat="1" x14ac:dyDescent="0.3">
      <c r="D9" s="64"/>
      <c r="E9" s="5"/>
      <c r="F9" s="64"/>
      <c r="G9" s="5"/>
      <c r="H9" s="64"/>
      <c r="I9" s="5"/>
      <c r="J9" s="16"/>
    </row>
    <row r="10" spans="1:12" s="9" customFormat="1" x14ac:dyDescent="0.3">
      <c r="D10" s="64"/>
      <c r="E10" s="5"/>
      <c r="F10" s="64"/>
      <c r="G10" s="5"/>
      <c r="H10" s="64"/>
      <c r="I10" s="5"/>
    </row>
    <row r="11" spans="1:12" s="9" customFormat="1" x14ac:dyDescent="0.3">
      <c r="D11" s="4"/>
      <c r="E11" s="5"/>
      <c r="F11" s="4"/>
      <c r="G11" s="5"/>
      <c r="H11" s="4"/>
      <c r="I11" s="5"/>
    </row>
    <row r="12" spans="1:12" s="14" customFormat="1" x14ac:dyDescent="0.3">
      <c r="D12" s="64"/>
      <c r="E12" s="5"/>
      <c r="F12" s="64"/>
      <c r="G12" s="65"/>
      <c r="H12" s="64"/>
      <c r="I12" s="66"/>
      <c r="J12" s="9"/>
    </row>
    <row r="13" spans="1:12" s="9" customFormat="1" x14ac:dyDescent="0.3">
      <c r="D13" s="64"/>
      <c r="E13" s="5"/>
      <c r="F13" s="64"/>
      <c r="G13" s="5"/>
      <c r="H13" s="67"/>
      <c r="I13" s="5"/>
      <c r="K13" s="68"/>
    </row>
    <row r="14" spans="1:12" s="9" customFormat="1" x14ac:dyDescent="0.3">
      <c r="D14" s="5"/>
      <c r="E14" s="5"/>
      <c r="F14" s="45"/>
      <c r="G14" s="45"/>
      <c r="H14" s="5"/>
      <c r="I14" s="3"/>
    </row>
    <row r="15" spans="1:12" s="9" customFormat="1" x14ac:dyDescent="0.3">
      <c r="D15" s="4"/>
      <c r="E15" s="4"/>
      <c r="F15" s="62"/>
      <c r="G15" s="62"/>
      <c r="H15" s="4"/>
      <c r="I15" s="4"/>
    </row>
    <row r="16" spans="1:12" s="9" customFormat="1" x14ac:dyDescent="0.3">
      <c r="D16" s="4"/>
      <c r="E16" s="5"/>
      <c r="F16" s="45"/>
      <c r="G16" s="46"/>
      <c r="H16" s="69"/>
      <c r="I16" s="129"/>
    </row>
    <row r="17" spans="4:14" s="9" customFormat="1" x14ac:dyDescent="0.3">
      <c r="D17" s="4"/>
      <c r="E17" s="5"/>
      <c r="F17" s="45"/>
      <c r="G17" s="46"/>
      <c r="H17" s="4"/>
      <c r="I17" s="129"/>
    </row>
    <row r="18" spans="4:14" s="9" customFormat="1" x14ac:dyDescent="0.3">
      <c r="D18" s="4"/>
      <c r="E18" s="5"/>
      <c r="F18" s="45"/>
      <c r="G18" s="46"/>
      <c r="H18" s="69"/>
      <c r="I18" s="3"/>
    </row>
    <row r="19" spans="4:14" s="9" customFormat="1" x14ac:dyDescent="0.3">
      <c r="D19" s="4"/>
      <c r="E19" s="5"/>
      <c r="F19" s="45"/>
      <c r="G19" s="46"/>
      <c r="H19" s="4"/>
      <c r="I19" s="3"/>
    </row>
    <row r="20" spans="4:14" s="9" customFormat="1" x14ac:dyDescent="0.3">
      <c r="D20" s="4"/>
      <c r="E20" s="5"/>
      <c r="F20" s="45"/>
      <c r="G20" s="46"/>
      <c r="H20" s="69"/>
      <c r="I20" s="3"/>
    </row>
    <row r="21" spans="4:14" s="9" customFormat="1" x14ac:dyDescent="0.3">
      <c r="D21" s="4"/>
      <c r="E21" s="5"/>
      <c r="F21" s="45"/>
      <c r="G21" s="70"/>
      <c r="H21" s="4"/>
      <c r="I21" s="129"/>
    </row>
    <row r="22" spans="4:14" s="9" customFormat="1" x14ac:dyDescent="0.3">
      <c r="D22" s="4"/>
      <c r="E22" s="5"/>
      <c r="F22" s="45"/>
      <c r="G22" s="46"/>
      <c r="H22" s="71"/>
      <c r="I22" s="129"/>
    </row>
    <row r="23" spans="4:14" s="9" customFormat="1" x14ac:dyDescent="0.3">
      <c r="D23" s="4"/>
      <c r="E23" s="5"/>
      <c r="F23" s="45"/>
      <c r="G23" s="70"/>
      <c r="H23" s="4"/>
      <c r="I23" s="129"/>
    </row>
    <row r="24" spans="4:14" s="9" customFormat="1" ht="20.25" customHeight="1" x14ac:dyDescent="0.3">
      <c r="D24" s="4"/>
      <c r="E24" s="5"/>
      <c r="F24" s="45"/>
      <c r="G24" s="46"/>
      <c r="H24" s="71"/>
      <c r="I24" s="129"/>
      <c r="J24" s="11"/>
      <c r="K24" s="11"/>
      <c r="L24" s="11"/>
      <c r="M24" s="11"/>
      <c r="N24" s="11"/>
    </row>
    <row r="25" spans="4:14" s="9" customFormat="1" x14ac:dyDescent="0.3">
      <c r="D25" s="4"/>
      <c r="E25" s="5"/>
      <c r="F25" s="45"/>
      <c r="G25" s="46"/>
      <c r="H25" s="129"/>
      <c r="I25" s="129"/>
    </row>
    <row r="26" spans="4:14" s="9" customFormat="1" x14ac:dyDescent="0.3">
      <c r="D26" s="4"/>
      <c r="E26" s="5"/>
      <c r="F26" s="45"/>
      <c r="G26" s="46"/>
      <c r="H26" s="129"/>
      <c r="I26" s="129"/>
    </row>
    <row r="27" spans="4:14" s="9" customFormat="1" x14ac:dyDescent="0.3">
      <c r="D27" s="4"/>
      <c r="E27" s="5"/>
      <c r="F27" s="45"/>
      <c r="G27" s="46"/>
      <c r="H27" s="129"/>
      <c r="I27" s="129"/>
    </row>
    <row r="28" spans="4:14" s="9" customFormat="1" x14ac:dyDescent="0.3">
      <c r="D28" s="4"/>
      <c r="E28" s="5"/>
      <c r="F28" s="45"/>
      <c r="G28" s="46"/>
      <c r="H28" s="5"/>
      <c r="I28" s="5"/>
    </row>
    <row r="29" spans="4:14" s="9" customFormat="1" x14ac:dyDescent="0.3">
      <c r="D29" s="60"/>
      <c r="E29" s="5"/>
      <c r="F29" s="45"/>
      <c r="G29" s="46"/>
      <c r="H29" s="5"/>
      <c r="I29" s="5"/>
    </row>
    <row r="30" spans="4:14" s="9" customFormat="1" x14ac:dyDescent="0.3">
      <c r="D30" s="5"/>
      <c r="E30" s="5"/>
      <c r="F30" s="45"/>
      <c r="G30" s="45"/>
      <c r="H30" s="5"/>
      <c r="I30" s="3"/>
    </row>
    <row r="31" spans="4:14" s="9" customFormat="1" x14ac:dyDescent="0.3">
      <c r="D31" s="64"/>
      <c r="E31" s="5"/>
      <c r="F31" s="45"/>
      <c r="G31" s="45"/>
      <c r="H31" s="5"/>
      <c r="I31" s="3"/>
    </row>
    <row r="32" spans="4:14" s="9" customFormat="1" x14ac:dyDescent="0.3">
      <c r="D32" s="64"/>
      <c r="E32" s="5"/>
      <c r="F32" s="45"/>
      <c r="G32" s="45"/>
      <c r="H32" s="5"/>
      <c r="I32" s="3"/>
    </row>
    <row r="33" spans="3:9" s="9" customFormat="1" ht="38.1" customHeight="1" x14ac:dyDescent="0.3">
      <c r="D33" s="64"/>
      <c r="E33" s="65"/>
      <c r="F33" s="45"/>
      <c r="G33" s="45"/>
      <c r="H33" s="5"/>
      <c r="I33" s="3"/>
    </row>
    <row r="34" spans="3:9" s="9" customFormat="1" ht="46.35" customHeight="1" x14ac:dyDescent="0.3">
      <c r="D34" s="64"/>
      <c r="E34" s="65"/>
      <c r="F34" s="45"/>
      <c r="G34" s="45"/>
      <c r="H34" s="5"/>
      <c r="I34" s="3"/>
    </row>
    <row r="35" spans="3:9" s="9" customFormat="1" x14ac:dyDescent="0.3">
      <c r="D35" s="4"/>
      <c r="E35" s="5"/>
      <c r="F35" s="45"/>
      <c r="G35" s="45"/>
      <c r="H35" s="5"/>
      <c r="I35" s="3"/>
    </row>
    <row r="36" spans="3:9" s="9" customFormat="1" x14ac:dyDescent="0.3">
      <c r="D36" s="4"/>
      <c r="E36" s="72"/>
      <c r="F36" s="45"/>
      <c r="G36" s="45"/>
      <c r="H36" s="5"/>
      <c r="I36" s="3"/>
    </row>
    <row r="37" spans="3:9" s="9" customFormat="1" x14ac:dyDescent="0.3">
      <c r="D37" s="8"/>
      <c r="F37" s="13"/>
    </row>
    <row r="38" spans="3:9" s="9" customFormat="1" x14ac:dyDescent="0.3">
      <c r="D38" s="8"/>
      <c r="E38" s="18"/>
    </row>
    <row r="39" spans="3:9" s="9" customFormat="1" x14ac:dyDescent="0.3"/>
    <row r="40" spans="3:9" x14ac:dyDescent="0.3">
      <c r="C40" s="9"/>
      <c r="D40" s="9"/>
      <c r="E40" s="9"/>
      <c r="F40" s="9"/>
      <c r="G40" s="9"/>
    </row>
    <row r="41" spans="3:9" x14ac:dyDescent="0.3">
      <c r="C41" s="9"/>
      <c r="D41" s="9"/>
      <c r="E41" s="9"/>
      <c r="F41" s="9"/>
      <c r="G41" s="9"/>
    </row>
    <row r="42" spans="3:9" x14ac:dyDescent="0.3">
      <c r="C42" s="9"/>
      <c r="D42" s="9"/>
      <c r="E42" s="9"/>
      <c r="F42" s="9"/>
      <c r="G42" s="9"/>
    </row>
    <row r="43" spans="3:9" x14ac:dyDescent="0.3">
      <c r="C43" s="9"/>
      <c r="D43" s="9"/>
      <c r="E43" s="9"/>
      <c r="F43" s="9"/>
      <c r="G43" s="9"/>
    </row>
    <row r="44" spans="3:9" x14ac:dyDescent="0.3">
      <c r="C44" s="9"/>
      <c r="D44" s="9"/>
      <c r="E44" s="9"/>
      <c r="F44" s="9"/>
      <c r="G44" s="9"/>
    </row>
    <row r="45" spans="3:9" x14ac:dyDescent="0.3">
      <c r="C45" s="9"/>
      <c r="D45" s="9"/>
      <c r="E45" s="9"/>
      <c r="F45" s="9"/>
      <c r="G45" s="9"/>
    </row>
    <row r="46" spans="3:9" x14ac:dyDescent="0.3">
      <c r="C46" s="9"/>
      <c r="D46" s="9"/>
      <c r="E46" s="9"/>
      <c r="F46" s="9"/>
      <c r="G46" s="9"/>
    </row>
    <row r="47" spans="3:9" x14ac:dyDescent="0.3">
      <c r="C47" s="9"/>
      <c r="D47" s="9"/>
      <c r="E47" s="9"/>
      <c r="F47" s="9"/>
      <c r="G47" s="9"/>
    </row>
  </sheetData>
  <protectedRanges>
    <protectedRange algorithmName="SHA-512" hashValue="rpv0Muf/0BBTfFHHcdHUrIvKPzVLazm3NbXibLVjpwnnu31bx5fTY4ZWRs8c2jwvFqeUE1qlOQmnN+y628Rhbw==" saltValue="fR5xQSruYitZ3F1Iu2HnCg==" spinCount="100000" sqref="E24:G24 F12:F13 H12:H13 F6:F10 H6:H10 D29:D37 D1:D24" name="Testing"/>
    <protectedRange algorithmName="SHA-512" hashValue="NWykxRmJULwIoh3QGJu8IRba4s+ZCxfAMa8k2VrEGqjhJoXcREvLfnhJtQCywUlJdQRyv7Tr7fBuVeKWT1sPHg==" saltValue="md+5oLzN8lDizAL7icvshQ==" spinCount="100000" sqref="E1:E2 E4:E5 E7:E8" name="Name"/>
    <protectedRange algorithmName="SHA-512" hashValue="ovJ7STtkjhwx7txEcG+OYHtcPv0qDOpdNhGxnt27Wgt7HHPMbRRXSCaQjzqKmBycg1SAc+V4oYdNaYKPmPGX+w==" saltValue="lBtMdWXzBhfAJNerrc/hGA==" spinCount="100000" sqref="H11:J11 I12:J13 I10:J10 H14:J29" name="Titration Data"/>
    <protectedRange algorithmName="SHA-512" hashValue="EGWNV3SeSF6o85uO04xW0VDkeGL2vTij7ek+Bz38E8wctwHlFi6r9s2HqPbfJZuhQTrVRYfQp8tEBHBNS97XuQ==" saltValue="LGiC4k2xT2wKS5i2r264DA==" spinCount="100000" sqref="H31:J32" name="Vol HCl"/>
    <protectedRange algorithmName="SHA-512" hashValue="1hJgqQgsb29W6tMFFofgL+bVu0cLcG5VKK/+xMQpTzfpiaYsYQaFb8QiDjKseeruf3iJZ6yp0uswPeF/I9Btkw==" saltValue="muHqckwH9KEVFLohuMzmzw==" spinCount="100000" sqref="H34:J34" name="Conc HCl"/>
    <protectedRange algorithmName="SHA-512" hashValue="ueZE1ouACFCStO6yD5K/x1b+3oM7zaLK2MDDt3aHaYfIkNSy949+/1t1chTN/EgoOwWues1Bi9bRX8NRlp3tOg==" saltValue="OgnF2mWnVTezNjRB5KycKw==" spinCount="100000" sqref="E36:J36" name="TrueFalse"/>
    <protectedRange algorithmName="SHA-512" hashValue="RvQ5wvY/1/1lOcnG49wfMMJQ1CP1h0JKrCBoF0GqyB31yAISSAXcOmme6p3YQDfzWuX449to6eOYjJf8UKnx/Q==" saltValue="YwvgUbJtol9upUMLVv92ow==" spinCount="100000" sqref="E37" name="AvgHCl"/>
    <protectedRange algorithmName="SHA-512" hashValue="ovJ7STtkjhwx7txEcG+OYHtcPv0qDOpdNhGxnt27Wgt7HHPMbRRXSCaQjzqKmBycg1SAc+V4oYdNaYKPmPGX+w==" saltValue="lBtMdWXzBhfAJNerrc/hGA==" spinCount="100000" sqref="E11:G11 E25:G25 E23:G23 F22:G22 E26:F29 G26:G32 E14:G21 E12:E13 G12:G13 E10 G10" name="Titration Data_2"/>
    <protectedRange algorithmName="SHA-512" hashValue="EGWNV3SeSF6o85uO04xW0VDkeGL2vTij7ek+Bz38E8wctwHlFi6r9s2HqPbfJZuhQTrVRYfQp8tEBHBNS97XuQ==" saltValue="LGiC4k2xT2wKS5i2r264DA==" spinCount="100000" sqref="E31:F32" name="Vol HCl_2"/>
    <protectedRange algorithmName="SHA-512" hashValue="1hJgqQgsb29W6tMFFofgL+bVu0cLcG5VKK/+xMQpTzfpiaYsYQaFb8QiDjKseeruf3iJZ6yp0uswPeF/I9Btkw==" saltValue="muHqckwH9KEVFLohuMzmzw==" spinCount="100000" sqref="E34:G34" name="Conc HCl_2"/>
    <protectedRange algorithmName="SHA-512" hashValue="ovJ7STtkjhwx7txEcG+OYHtcPv0qDOpdNhGxnt27Wgt7HHPMbRRXSCaQjzqKmBycg1SAc+V4oYdNaYKPmPGX+w==" saltValue="lBtMdWXzBhfAJNerrc/hGA==" spinCount="100000" sqref="E22" name="Titration Data_2_1"/>
  </protectedRanges>
  <mergeCells count="3">
    <mergeCell ref="I16:I17"/>
    <mergeCell ref="I21:I27"/>
    <mergeCell ref="H25:H2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9B14-6BC4-46CD-A062-EFB43E599C89}">
  <sheetPr codeName="Sheet7"/>
  <dimension ref="A1:U22"/>
  <sheetViews>
    <sheetView tabSelected="1" zoomScale="70" zoomScaleNormal="81" workbookViewId="0">
      <selection activeCell="T19" sqref="T19"/>
    </sheetView>
  </sheetViews>
  <sheetFormatPr defaultRowHeight="14.4" x14ac:dyDescent="0.3"/>
  <cols>
    <col min="1" max="1" width="8.77734375" style="1"/>
    <col min="2" max="2" width="11.6640625" style="1" bestFit="1" customWidth="1"/>
    <col min="3" max="3" width="12.77734375" style="1" bestFit="1" customWidth="1"/>
    <col min="4" max="4" width="13.109375" bestFit="1" customWidth="1"/>
    <col min="5" max="5" width="26.44140625" customWidth="1"/>
    <col min="6" max="6" width="26.5546875" customWidth="1"/>
    <col min="7" max="7" width="15.21875" bestFit="1" customWidth="1"/>
    <col min="8" max="8" width="15.21875" customWidth="1"/>
    <col min="9" max="9" width="22" bestFit="1" customWidth="1"/>
    <col min="10" max="10" width="22" customWidth="1"/>
    <col min="11" max="11" width="19.21875" customWidth="1"/>
    <col min="13" max="13" width="14.77734375" bestFit="1" customWidth="1"/>
    <col min="14" max="14" width="5.33203125" customWidth="1"/>
    <col min="15" max="15" width="19.44140625" customWidth="1"/>
    <col min="16" max="17" width="18.109375" bestFit="1" customWidth="1"/>
    <col min="19" max="19" width="24" customWidth="1"/>
    <col min="20" max="20" width="23.33203125" customWidth="1"/>
    <col min="21" max="21" width="24.33203125" customWidth="1"/>
  </cols>
  <sheetData>
    <row r="1" spans="1:21" ht="73.8" thickBot="1" x14ac:dyDescent="0.35">
      <c r="A1" s="24" t="s">
        <v>90</v>
      </c>
      <c r="B1" s="24" t="s">
        <v>89</v>
      </c>
      <c r="C1" s="24" t="s">
        <v>88</v>
      </c>
      <c r="D1" s="24" t="s">
        <v>91</v>
      </c>
      <c r="E1" s="24" t="s">
        <v>92</v>
      </c>
      <c r="F1" s="24" t="s">
        <v>44</v>
      </c>
      <c r="G1" s="24" t="s">
        <v>93</v>
      </c>
      <c r="H1" s="24" t="s">
        <v>62</v>
      </c>
      <c r="I1" s="24" t="s">
        <v>96</v>
      </c>
      <c r="J1" s="24" t="s">
        <v>97</v>
      </c>
      <c r="K1" s="24" t="s">
        <v>98</v>
      </c>
      <c r="L1" s="26" t="s">
        <v>55</v>
      </c>
      <c r="M1" s="26" t="s">
        <v>73</v>
      </c>
      <c r="N1" s="87"/>
      <c r="O1" s="137" t="s">
        <v>76</v>
      </c>
      <c r="P1" s="137"/>
      <c r="Q1" s="137"/>
      <c r="S1" s="130" t="s">
        <v>85</v>
      </c>
      <c r="T1" s="131"/>
      <c r="U1" s="132"/>
    </row>
    <row r="2" spans="1:21" ht="15" thickBot="1" x14ac:dyDescent="0.35">
      <c r="A2" s="138"/>
      <c r="B2" s="138"/>
      <c r="C2" s="138"/>
      <c r="D2" s="138"/>
      <c r="E2" s="25">
        <v>0.1</v>
      </c>
      <c r="F2" s="84"/>
      <c r="G2" s="84"/>
      <c r="H2" s="96">
        <v>0.25769999999999998</v>
      </c>
      <c r="I2" s="84"/>
      <c r="J2" s="99">
        <v>6.62293E-3</v>
      </c>
      <c r="K2" s="84"/>
      <c r="L2" s="84"/>
      <c r="M2" s="84"/>
      <c r="N2" s="74"/>
      <c r="O2" s="88" t="s">
        <v>48</v>
      </c>
      <c r="P2" s="88" t="s">
        <v>49</v>
      </c>
      <c r="Q2" s="88" t="s">
        <v>50</v>
      </c>
      <c r="S2" s="88" t="s">
        <v>48</v>
      </c>
      <c r="T2" s="88" t="s">
        <v>49</v>
      </c>
      <c r="U2" s="88" t="s">
        <v>50</v>
      </c>
    </row>
    <row r="3" spans="1:21" ht="43.8" thickBot="1" x14ac:dyDescent="0.35">
      <c r="A3" s="25">
        <v>0</v>
      </c>
      <c r="B3" s="25">
        <v>4</v>
      </c>
      <c r="C3" s="25">
        <v>25</v>
      </c>
      <c r="D3" s="25">
        <f>A3*60*60+B3*60+C3</f>
        <v>265</v>
      </c>
      <c r="E3" s="139"/>
      <c r="F3" s="50">
        <v>1.1000000000000001</v>
      </c>
      <c r="G3" s="50">
        <v>1</v>
      </c>
      <c r="H3" s="140"/>
      <c r="I3" s="37">
        <f>H2*G3/1000</f>
        <v>2.5769999999999998E-4</v>
      </c>
      <c r="J3" s="141"/>
      <c r="K3" s="86">
        <f>J2-I3</f>
        <v>6.3652300000000004E-3</v>
      </c>
      <c r="L3" s="29">
        <f>LN(K3)</f>
        <v>-5.0569049125117207</v>
      </c>
      <c r="M3" s="29">
        <f>1/(K3)</f>
        <v>157.10351393429616</v>
      </c>
      <c r="N3" s="82"/>
      <c r="O3" s="114" t="s">
        <v>99</v>
      </c>
      <c r="P3" s="114" t="s">
        <v>99</v>
      </c>
      <c r="Q3" s="114" t="s">
        <v>99</v>
      </c>
      <c r="S3" s="114" t="s">
        <v>77</v>
      </c>
      <c r="T3" s="114" t="s">
        <v>77</v>
      </c>
      <c r="U3" s="114" t="s">
        <v>77</v>
      </c>
    </row>
    <row r="4" spans="1:21" ht="15" thickBot="1" x14ac:dyDescent="0.35">
      <c r="A4" s="25">
        <v>0</v>
      </c>
      <c r="B4" s="25">
        <v>9</v>
      </c>
      <c r="C4" s="25">
        <v>6</v>
      </c>
      <c r="D4" s="25">
        <f t="shared" ref="D4:D17" si="0">A4*60*60+B4*60+C4</f>
        <v>546</v>
      </c>
      <c r="E4" s="139"/>
      <c r="F4" s="50">
        <v>2.2000000000000002</v>
      </c>
      <c r="G4" s="50">
        <f>G3+(F4-F3)</f>
        <v>2.1</v>
      </c>
      <c r="H4" s="140"/>
      <c r="I4" s="37">
        <f>H2*G4/1000</f>
        <v>5.4117E-4</v>
      </c>
      <c r="J4" s="141"/>
      <c r="K4" s="86">
        <f>J2-I4</f>
        <v>6.0817600000000003E-3</v>
      </c>
      <c r="L4" s="29">
        <f>LN(K4)</f>
        <v>-5.1024611512092743</v>
      </c>
      <c r="M4" s="29">
        <f t="shared" ref="M4:M17" si="1">1/(K4)</f>
        <v>164.42608718528845</v>
      </c>
      <c r="N4" s="82"/>
      <c r="O4" s="145">
        <v>-7.7619000000000002E-7</v>
      </c>
      <c r="P4" s="149">
        <v>-1.7102999999999999E-4</v>
      </c>
      <c r="Q4" s="150">
        <v>3.8838999999999999E-2</v>
      </c>
      <c r="S4" s="151">
        <f>O7/(-2*O4)</f>
        <v>4163.1559283165207</v>
      </c>
      <c r="T4" s="151">
        <f>LN(2)/(-P4)</f>
        <v>4052.7812697184431</v>
      </c>
      <c r="U4" s="151">
        <f>1/(Q4)*Q7</f>
        <v>3487.2164576842865</v>
      </c>
    </row>
    <row r="5" spans="1:21" ht="15" thickBot="1" x14ac:dyDescent="0.35">
      <c r="A5" s="25">
        <v>0</v>
      </c>
      <c r="B5" s="25">
        <v>13</v>
      </c>
      <c r="C5" s="25">
        <v>20</v>
      </c>
      <c r="D5" s="25">
        <f t="shared" si="0"/>
        <v>800</v>
      </c>
      <c r="E5" s="139"/>
      <c r="F5" s="50">
        <v>3.1</v>
      </c>
      <c r="G5" s="50">
        <f t="shared" ref="G5:G17" si="2">G4+(F5-F4)</f>
        <v>3</v>
      </c>
      <c r="H5" s="140"/>
      <c r="I5" s="37">
        <f>(H2)*G5/1000</f>
        <v>7.7309999999999987E-4</v>
      </c>
      <c r="J5" s="141"/>
      <c r="K5" s="86">
        <f>J2-I5</f>
        <v>5.8498300000000003E-3</v>
      </c>
      <c r="L5" s="29">
        <f t="shared" ref="L4:L17" si="3">LN(K5)</f>
        <v>-5.1413426779896767</v>
      </c>
      <c r="M5" s="29">
        <f t="shared" si="1"/>
        <v>170.94513857667658</v>
      </c>
      <c r="N5" s="82"/>
      <c r="O5" s="146"/>
      <c r="P5" s="147"/>
      <c r="Q5" s="148"/>
      <c r="S5" s="117"/>
      <c r="T5" s="118"/>
      <c r="U5" s="119"/>
    </row>
    <row r="6" spans="1:21" ht="45" thickBot="1" x14ac:dyDescent="0.35">
      <c r="A6" s="25">
        <v>0</v>
      </c>
      <c r="B6" s="25">
        <v>18</v>
      </c>
      <c r="C6" s="25">
        <v>25</v>
      </c>
      <c r="D6" s="25">
        <f t="shared" si="0"/>
        <v>1105</v>
      </c>
      <c r="E6" s="139"/>
      <c r="F6" s="50">
        <v>4.0999999999999996</v>
      </c>
      <c r="G6" s="50">
        <f t="shared" si="2"/>
        <v>3.9999999999999996</v>
      </c>
      <c r="H6" s="140"/>
      <c r="I6" s="37">
        <f>(H2)*G6/1000</f>
        <v>1.0307999999999997E-3</v>
      </c>
      <c r="J6" s="141"/>
      <c r="K6" s="86">
        <f>J2-I6</f>
        <v>5.5921300000000007E-3</v>
      </c>
      <c r="L6" s="29">
        <f t="shared" si="3"/>
        <v>-5.1863950268244228</v>
      </c>
      <c r="M6" s="29">
        <f t="shared" si="1"/>
        <v>178.82273838412195</v>
      </c>
      <c r="N6" s="82"/>
      <c r="O6" s="114" t="s">
        <v>100</v>
      </c>
      <c r="P6" s="114" t="s">
        <v>101</v>
      </c>
      <c r="Q6" s="114" t="s">
        <v>102</v>
      </c>
      <c r="S6" s="114" t="s">
        <v>78</v>
      </c>
      <c r="T6" s="114" t="s">
        <v>78</v>
      </c>
      <c r="U6" s="114" t="s">
        <v>78</v>
      </c>
    </row>
    <row r="7" spans="1:21" ht="15" thickBot="1" x14ac:dyDescent="0.35">
      <c r="A7" s="25">
        <v>0</v>
      </c>
      <c r="B7" s="25">
        <v>23</v>
      </c>
      <c r="C7" s="25">
        <v>30</v>
      </c>
      <c r="D7" s="25">
        <f t="shared" si="0"/>
        <v>1410</v>
      </c>
      <c r="E7" s="139"/>
      <c r="F7" s="50">
        <v>5.0999999999999996</v>
      </c>
      <c r="G7" s="50">
        <f t="shared" si="2"/>
        <v>5</v>
      </c>
      <c r="H7" s="140"/>
      <c r="I7" s="37">
        <f>(H2)*G7/1000</f>
        <v>1.2884999999999999E-3</v>
      </c>
      <c r="J7" s="141"/>
      <c r="K7" s="86">
        <f>J2-I7</f>
        <v>5.3344300000000002E-3</v>
      </c>
      <c r="L7" s="29">
        <f t="shared" si="3"/>
        <v>-5.2335732415483882</v>
      </c>
      <c r="M7" s="29">
        <f t="shared" si="1"/>
        <v>187.46145323867779</v>
      </c>
      <c r="N7" s="82"/>
      <c r="O7" s="123">
        <v>6.4628000000000003E-3</v>
      </c>
      <c r="P7" s="123">
        <v>-4.9962999999999997</v>
      </c>
      <c r="Q7" s="123">
        <v>135.44</v>
      </c>
      <c r="S7" s="151">
        <f>(-0.95*O7)/O4</f>
        <v>7909.9962638013885</v>
      </c>
      <c r="T7" s="152">
        <f>LN(0.05)/P4</f>
        <v>17515.829232029417</v>
      </c>
      <c r="U7" s="152">
        <f>19*Q7/Q4</f>
        <v>66257.112696001452</v>
      </c>
    </row>
    <row r="8" spans="1:21" ht="15" thickBot="1" x14ac:dyDescent="0.35">
      <c r="A8" s="25">
        <v>0</v>
      </c>
      <c r="B8" s="25">
        <v>28</v>
      </c>
      <c r="C8" s="25">
        <v>43</v>
      </c>
      <c r="D8" s="25">
        <f t="shared" si="0"/>
        <v>1723</v>
      </c>
      <c r="E8" s="139"/>
      <c r="F8" s="50">
        <v>6.1</v>
      </c>
      <c r="G8" s="50">
        <f t="shared" si="2"/>
        <v>6</v>
      </c>
      <c r="H8" s="140"/>
      <c r="I8" s="37">
        <f>H2*G8/1000</f>
        <v>1.5461999999999997E-3</v>
      </c>
      <c r="J8" s="141"/>
      <c r="K8" s="86">
        <f>J2-I8</f>
        <v>5.0767299999999998E-3</v>
      </c>
      <c r="L8" s="29">
        <f t="shared" si="3"/>
        <v>-5.2830879254434491</v>
      </c>
      <c r="M8" s="29">
        <f t="shared" si="1"/>
        <v>196.97718807184941</v>
      </c>
      <c r="N8" s="82"/>
      <c r="O8" s="133"/>
      <c r="P8" s="134"/>
      <c r="Q8" s="135"/>
      <c r="S8" s="3"/>
      <c r="T8" s="115"/>
      <c r="U8" s="116"/>
    </row>
    <row r="9" spans="1:21" ht="45.6" thickBot="1" x14ac:dyDescent="0.35">
      <c r="A9" s="25">
        <v>0</v>
      </c>
      <c r="B9" s="25">
        <v>34</v>
      </c>
      <c r="C9" s="25">
        <v>34</v>
      </c>
      <c r="D9" s="25">
        <f t="shared" si="0"/>
        <v>2074</v>
      </c>
      <c r="E9" s="139"/>
      <c r="F9" s="50">
        <v>7.15</v>
      </c>
      <c r="G9" s="50">
        <f t="shared" si="2"/>
        <v>7.0500000000000007</v>
      </c>
      <c r="H9" s="140"/>
      <c r="I9" s="37">
        <f>H2*G9/1000</f>
        <v>1.816785E-3</v>
      </c>
      <c r="J9" s="141"/>
      <c r="K9" s="86">
        <f>J2-I9</f>
        <v>4.8061449999999995E-3</v>
      </c>
      <c r="L9" s="29">
        <f t="shared" si="3"/>
        <v>-5.337859971502926</v>
      </c>
      <c r="M9" s="29">
        <f t="shared" si="1"/>
        <v>208.06696427178125</v>
      </c>
      <c r="N9" s="82"/>
      <c r="O9" s="114" t="s">
        <v>103</v>
      </c>
      <c r="P9" s="114" t="s">
        <v>103</v>
      </c>
      <c r="Q9" s="114" t="s">
        <v>103</v>
      </c>
    </row>
    <row r="10" spans="1:21" ht="15" thickBot="1" x14ac:dyDescent="0.35">
      <c r="A10" s="25">
        <v>0</v>
      </c>
      <c r="B10" s="25">
        <v>39</v>
      </c>
      <c r="C10" s="25">
        <v>5</v>
      </c>
      <c r="D10" s="25">
        <f t="shared" si="0"/>
        <v>2345</v>
      </c>
      <c r="E10" s="139"/>
      <c r="F10" s="50">
        <v>8</v>
      </c>
      <c r="G10" s="50">
        <f t="shared" si="2"/>
        <v>7.9</v>
      </c>
      <c r="H10" s="140"/>
      <c r="I10" s="37">
        <f>H2*G10/1000</f>
        <v>2.0358299999999998E-3</v>
      </c>
      <c r="J10" s="141"/>
      <c r="K10" s="86">
        <f>J2-I10</f>
        <v>4.5871000000000002E-3</v>
      </c>
      <c r="L10" s="29">
        <f t="shared" si="3"/>
        <v>-5.3845072628635098</v>
      </c>
      <c r="M10" s="29">
        <f t="shared" si="1"/>
        <v>218.00265963244752</v>
      </c>
      <c r="N10" s="82"/>
      <c r="O10" s="123">
        <v>0.99772000000000005</v>
      </c>
      <c r="P10" s="109">
        <v>0.99707000000000001</v>
      </c>
      <c r="Q10" s="109">
        <v>0.97653000000000001</v>
      </c>
    </row>
    <row r="11" spans="1:21" ht="15" thickBot="1" x14ac:dyDescent="0.35">
      <c r="A11" s="25">
        <v>0</v>
      </c>
      <c r="B11" s="25">
        <v>44</v>
      </c>
      <c r="C11" s="25">
        <v>33</v>
      </c>
      <c r="D11" s="25">
        <f t="shared" si="0"/>
        <v>2673</v>
      </c>
      <c r="E11" s="139"/>
      <c r="F11" s="50">
        <v>8.9</v>
      </c>
      <c r="G11" s="50">
        <f t="shared" si="2"/>
        <v>8.8000000000000007</v>
      </c>
      <c r="H11" s="140"/>
      <c r="I11" s="37">
        <f>H2*G11/1000</f>
        <v>2.2677600000000002E-3</v>
      </c>
      <c r="J11" s="141"/>
      <c r="K11" s="86">
        <f>J2-I11</f>
        <v>4.3551700000000002E-3</v>
      </c>
      <c r="L11" s="29">
        <f t="shared" si="3"/>
        <v>-5.436391633848265</v>
      </c>
      <c r="M11" s="29">
        <f t="shared" si="1"/>
        <v>229.61216209700194</v>
      </c>
      <c r="N11" s="82"/>
      <c r="O11" s="136"/>
      <c r="P11" s="136"/>
      <c r="Q11" s="136"/>
    </row>
    <row r="12" spans="1:21" ht="43.8" thickBot="1" x14ac:dyDescent="0.35">
      <c r="A12" s="25">
        <v>0</v>
      </c>
      <c r="B12" s="25">
        <v>48</v>
      </c>
      <c r="C12" s="25">
        <v>43</v>
      </c>
      <c r="D12" s="25">
        <f t="shared" si="0"/>
        <v>2923</v>
      </c>
      <c r="E12" s="139"/>
      <c r="F12" s="50">
        <v>9.6999999999999993</v>
      </c>
      <c r="G12" s="50">
        <f t="shared" si="2"/>
        <v>9.6</v>
      </c>
      <c r="H12" s="140"/>
      <c r="I12" s="37">
        <f>H2*G12/1000</f>
        <v>2.4739199999999997E-3</v>
      </c>
      <c r="J12" s="141"/>
      <c r="K12" s="86">
        <f>J2-I12</f>
        <v>4.1490099999999999E-3</v>
      </c>
      <c r="L12" s="29">
        <f t="shared" si="3"/>
        <v>-5.4848855274149813</v>
      </c>
      <c r="M12" s="29">
        <f t="shared" si="1"/>
        <v>241.02135208158091</v>
      </c>
      <c r="N12" s="82"/>
      <c r="O12" s="121" t="s">
        <v>86</v>
      </c>
      <c r="P12" s="109">
        <v>0</v>
      </c>
      <c r="Q12" s="93"/>
    </row>
    <row r="13" spans="1:21" x14ac:dyDescent="0.3">
      <c r="A13" s="25">
        <v>0</v>
      </c>
      <c r="B13" s="25">
        <v>54</v>
      </c>
      <c r="C13" s="25">
        <v>39</v>
      </c>
      <c r="D13" s="25">
        <f t="shared" si="0"/>
        <v>3279</v>
      </c>
      <c r="E13" s="139"/>
      <c r="F13" s="50">
        <v>10.7</v>
      </c>
      <c r="G13" s="50">
        <f t="shared" si="2"/>
        <v>10.6</v>
      </c>
      <c r="H13" s="140"/>
      <c r="I13" s="37">
        <f>H2*G13/1000</f>
        <v>2.7316200000000001E-3</v>
      </c>
      <c r="J13" s="141"/>
      <c r="K13" s="86">
        <f>J2-I13</f>
        <v>3.8913099999999998E-3</v>
      </c>
      <c r="L13" s="29">
        <f t="shared" si="3"/>
        <v>-5.5490094171175652</v>
      </c>
      <c r="M13" s="29">
        <f t="shared" si="1"/>
        <v>256.98286695226028</v>
      </c>
      <c r="N13" s="82"/>
    </row>
    <row r="14" spans="1:21" x14ac:dyDescent="0.3">
      <c r="A14" s="25">
        <v>0</v>
      </c>
      <c r="B14" s="25">
        <v>58</v>
      </c>
      <c r="C14" s="25">
        <v>50</v>
      </c>
      <c r="D14" s="25">
        <f t="shared" si="0"/>
        <v>3530</v>
      </c>
      <c r="E14" s="139"/>
      <c r="F14" s="50">
        <v>11.4</v>
      </c>
      <c r="G14" s="50">
        <f t="shared" si="2"/>
        <v>11.3</v>
      </c>
      <c r="H14" s="140"/>
      <c r="I14" s="37">
        <f>H2*G14/1000</f>
        <v>2.91201E-3</v>
      </c>
      <c r="J14" s="141"/>
      <c r="K14" s="86">
        <f>J2-I14</f>
        <v>3.7109199999999999E-3</v>
      </c>
      <c r="L14" s="29">
        <f t="shared" si="3"/>
        <v>-5.596475454667706</v>
      </c>
      <c r="M14" s="29">
        <f t="shared" si="1"/>
        <v>269.47495499768252</v>
      </c>
      <c r="N14" s="82"/>
    </row>
    <row r="15" spans="1:21" x14ac:dyDescent="0.3">
      <c r="A15" s="25">
        <v>1</v>
      </c>
      <c r="B15" s="25">
        <v>5</v>
      </c>
      <c r="C15" s="25">
        <v>10</v>
      </c>
      <c r="D15" s="25">
        <f t="shared" si="0"/>
        <v>3910</v>
      </c>
      <c r="E15" s="139"/>
      <c r="F15" s="50">
        <v>12.4</v>
      </c>
      <c r="G15" s="50">
        <f t="shared" si="2"/>
        <v>12.3</v>
      </c>
      <c r="H15" s="140"/>
      <c r="I15" s="37">
        <f>H2*G15/1000</f>
        <v>3.1697099999999996E-3</v>
      </c>
      <c r="J15" s="141"/>
      <c r="K15" s="86">
        <f>J2-I15</f>
        <v>3.4532200000000003E-3</v>
      </c>
      <c r="L15" s="29">
        <f t="shared" si="3"/>
        <v>-5.6684481498902679</v>
      </c>
      <c r="M15" s="29">
        <f t="shared" si="1"/>
        <v>289.58479332333297</v>
      </c>
      <c r="N15" s="82"/>
    </row>
    <row r="16" spans="1:21" x14ac:dyDescent="0.3">
      <c r="A16" s="25">
        <v>1</v>
      </c>
      <c r="B16" s="25">
        <v>9</v>
      </c>
      <c r="C16" s="25">
        <v>48</v>
      </c>
      <c r="D16" s="25">
        <f t="shared" si="0"/>
        <v>4188</v>
      </c>
      <c r="E16" s="139"/>
      <c r="F16" s="50">
        <v>13.1</v>
      </c>
      <c r="G16" s="50">
        <f t="shared" si="2"/>
        <v>13</v>
      </c>
      <c r="H16" s="140"/>
      <c r="I16" s="37">
        <f>H2*G16/1000</f>
        <v>3.3501E-3</v>
      </c>
      <c r="J16" s="141"/>
      <c r="K16" s="86">
        <f>J2-I16</f>
        <v>3.27283E-3</v>
      </c>
      <c r="L16" s="29">
        <f t="shared" si="3"/>
        <v>-5.7221002249281296</v>
      </c>
      <c r="M16" s="29">
        <f t="shared" si="1"/>
        <v>305.5459648072158</v>
      </c>
      <c r="N16" s="82"/>
    </row>
    <row r="17" spans="1:20" x14ac:dyDescent="0.3">
      <c r="A17" s="25">
        <v>1</v>
      </c>
      <c r="B17" s="25">
        <v>14</v>
      </c>
      <c r="C17" s="25">
        <v>25</v>
      </c>
      <c r="D17" s="25">
        <f t="shared" si="0"/>
        <v>4465</v>
      </c>
      <c r="E17" s="139"/>
      <c r="F17" s="50">
        <v>13.9</v>
      </c>
      <c r="G17" s="50">
        <f t="shared" si="2"/>
        <v>13.8</v>
      </c>
      <c r="H17" s="140"/>
      <c r="I17" s="37">
        <f>H2*G17/1000</f>
        <v>3.5562599999999999E-3</v>
      </c>
      <c r="J17" s="141"/>
      <c r="K17" s="86">
        <f>J2-I17</f>
        <v>3.0666700000000001E-3</v>
      </c>
      <c r="L17" s="29">
        <f t="shared" si="3"/>
        <v>-5.7871629966393208</v>
      </c>
      <c r="M17" s="29">
        <f t="shared" si="1"/>
        <v>326.08660207978033</v>
      </c>
      <c r="N17" s="82"/>
    </row>
    <row r="18" spans="1:20" s="75" customFormat="1" ht="18" x14ac:dyDescent="0.35">
      <c r="A18" s="59"/>
      <c r="B18" s="59"/>
      <c r="C18" s="59"/>
      <c r="E18" s="142" t="s">
        <v>71</v>
      </c>
      <c r="F18" s="142"/>
      <c r="G18" s="142"/>
      <c r="H18" s="142"/>
      <c r="I18" s="142"/>
      <c r="J18" s="77"/>
      <c r="P18" s="76"/>
      <c r="Q18" s="78"/>
      <c r="R18" s="79"/>
    </row>
    <row r="19" spans="1:20" ht="78.599999999999994" x14ac:dyDescent="0.35">
      <c r="C19" s="61"/>
      <c r="D19" s="61"/>
      <c r="E19" s="24" t="s">
        <v>94</v>
      </c>
      <c r="F19" s="24" t="s">
        <v>95</v>
      </c>
      <c r="G19" s="24" t="s">
        <v>66</v>
      </c>
      <c r="H19" s="24" t="s">
        <v>62</v>
      </c>
      <c r="I19" s="24" t="s">
        <v>96</v>
      </c>
      <c r="J19" s="73"/>
      <c r="K19" s="61"/>
      <c r="L19" s="2"/>
      <c r="M19" s="2"/>
      <c r="S19" s="124" t="s">
        <v>104</v>
      </c>
      <c r="T19" s="125">
        <v>3</v>
      </c>
    </row>
    <row r="20" spans="1:20" x14ac:dyDescent="0.3">
      <c r="C20" s="58"/>
      <c r="D20" s="58"/>
      <c r="E20" s="25">
        <v>13.9</v>
      </c>
      <c r="F20" s="25">
        <v>25.8</v>
      </c>
      <c r="G20" s="57">
        <v>11.9</v>
      </c>
      <c r="H20" s="122">
        <f>H2</f>
        <v>0.25769999999999998</v>
      </c>
      <c r="I20" s="28">
        <v>3.0666299999999999E-3</v>
      </c>
      <c r="J20" s="80"/>
      <c r="K20" s="81"/>
      <c r="L20" s="2"/>
      <c r="M20" s="2"/>
    </row>
    <row r="21" spans="1:20" x14ac:dyDescent="0.3">
      <c r="C21" s="58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20" x14ac:dyDescent="0.3">
      <c r="C22" s="58"/>
      <c r="D22" s="2"/>
      <c r="E22" s="2"/>
      <c r="F22" s="2"/>
      <c r="G22" s="2"/>
      <c r="H22" s="2"/>
      <c r="I22" s="2"/>
      <c r="J22" s="2"/>
      <c r="K22" s="2"/>
      <c r="L22" s="2"/>
      <c r="M22" s="2"/>
    </row>
  </sheetData>
  <protectedRanges>
    <protectedRange algorithmName="SHA-512" hashValue="ovJ7STtkjhwx7txEcG+OYHtcPv0qDOpdNhGxnt27Wgt7HHPMbRRXSCaQjzqKmBycg1SAc+V4oYdNaYKPmPGX+w==" saltValue="lBtMdWXzBhfAJNerrc/hGA==" spinCount="100000" sqref="S19" name="Titration Data_2_2"/>
  </protectedRanges>
  <mergeCells count="10">
    <mergeCell ref="A2:D2"/>
    <mergeCell ref="E3:E17"/>
    <mergeCell ref="H3:H17"/>
    <mergeCell ref="J3:J17"/>
    <mergeCell ref="E18:I18"/>
    <mergeCell ref="S1:U1"/>
    <mergeCell ref="O5:Q5"/>
    <mergeCell ref="O8:Q8"/>
    <mergeCell ref="O11:Q11"/>
    <mergeCell ref="O1:Q1"/>
  </mergeCells>
  <dataValidations count="1">
    <dataValidation type="list" allowBlank="1" showInputMessage="1" showErrorMessage="1" sqref="P12" xr:uid="{78992531-D825-4704-A8DC-5CF6DFA73CB8}">
      <formula1>"0, 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2" r:id="rId4" name="Button 14">
              <controlPr defaultSize="0" print="0" autoFill="0" autoPict="0" macro="[0]!UCalPart1">
                <anchor moveWithCells="1" sizeWithCells="1">
                  <from>
                    <xdr:col>18</xdr:col>
                    <xdr:colOff>0</xdr:colOff>
                    <xdr:row>7</xdr:row>
                    <xdr:rowOff>175260</xdr:rowOff>
                  </from>
                  <to>
                    <xdr:col>21</xdr:col>
                    <xdr:colOff>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BennyUCalPart1">
                <anchor moveWithCells="1" sizeWithCells="1">
                  <from>
                    <xdr:col>18</xdr:col>
                    <xdr:colOff>22860</xdr:colOff>
                    <xdr:row>11</xdr:row>
                    <xdr:rowOff>525780</xdr:rowOff>
                  </from>
                  <to>
                    <xdr:col>21</xdr:col>
                    <xdr:colOff>22860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4EC8-F5AE-4582-B66F-BD5623436FA7}">
  <sheetPr codeName="Sheet5"/>
  <dimension ref="A1:B16"/>
  <sheetViews>
    <sheetView workbookViewId="0">
      <selection activeCell="B1" sqref="B1"/>
    </sheetView>
  </sheetViews>
  <sheetFormatPr defaultRowHeight="14.4" x14ac:dyDescent="0.3"/>
  <cols>
    <col min="1" max="1" width="12.109375" style="1" bestFit="1" customWidth="1"/>
    <col min="2" max="2" width="16.6640625" customWidth="1"/>
  </cols>
  <sheetData>
    <row r="1" spans="1:2" ht="73.2" x14ac:dyDescent="0.3">
      <c r="A1" s="83" t="s">
        <v>54</v>
      </c>
      <c r="B1" s="24" t="s">
        <v>87</v>
      </c>
    </row>
    <row r="2" spans="1:2" x14ac:dyDescent="0.3">
      <c r="A2" s="85">
        <f>'Kinetics data'!D3</f>
        <v>265</v>
      </c>
      <c r="B2" s="85">
        <f>'Kinetics data'!K3</f>
        <v>6.3652300000000004E-3</v>
      </c>
    </row>
    <row r="3" spans="1:2" x14ac:dyDescent="0.3">
      <c r="A3" s="85">
        <f>'Kinetics data'!D4</f>
        <v>546</v>
      </c>
      <c r="B3" s="85">
        <f>'Kinetics data'!K4</f>
        <v>6.0817600000000003E-3</v>
      </c>
    </row>
    <row r="4" spans="1:2" x14ac:dyDescent="0.3">
      <c r="A4" s="85">
        <f>'Kinetics data'!D5</f>
        <v>800</v>
      </c>
      <c r="B4" s="85">
        <f>'Kinetics data'!K5</f>
        <v>5.8498300000000003E-3</v>
      </c>
    </row>
    <row r="5" spans="1:2" x14ac:dyDescent="0.3">
      <c r="A5" s="85">
        <f>'Kinetics data'!D6</f>
        <v>1105</v>
      </c>
      <c r="B5" s="85">
        <f>'Kinetics data'!K6</f>
        <v>5.5921300000000007E-3</v>
      </c>
    </row>
    <row r="6" spans="1:2" x14ac:dyDescent="0.3">
      <c r="A6" s="85">
        <f>'Kinetics data'!D7</f>
        <v>1410</v>
      </c>
      <c r="B6" s="85">
        <f>'Kinetics data'!K7</f>
        <v>5.3344300000000002E-3</v>
      </c>
    </row>
    <row r="7" spans="1:2" x14ac:dyDescent="0.3">
      <c r="A7" s="85">
        <f>'Kinetics data'!D8</f>
        <v>1723</v>
      </c>
      <c r="B7" s="85">
        <f>'Kinetics data'!K8</f>
        <v>5.0767299999999998E-3</v>
      </c>
    </row>
    <row r="8" spans="1:2" x14ac:dyDescent="0.3">
      <c r="A8" s="85">
        <f>'Kinetics data'!D9</f>
        <v>2074</v>
      </c>
      <c r="B8" s="85">
        <f>'Kinetics data'!K9</f>
        <v>4.8061449999999995E-3</v>
      </c>
    </row>
    <row r="9" spans="1:2" x14ac:dyDescent="0.3">
      <c r="A9" s="85">
        <f>'Kinetics data'!D10</f>
        <v>2345</v>
      </c>
      <c r="B9" s="85">
        <f>'Kinetics data'!K10</f>
        <v>4.5871000000000002E-3</v>
      </c>
    </row>
    <row r="10" spans="1:2" x14ac:dyDescent="0.3">
      <c r="A10" s="85">
        <f>'Kinetics data'!D11</f>
        <v>2673</v>
      </c>
      <c r="B10" s="85">
        <f>'Kinetics data'!K11</f>
        <v>4.3551700000000002E-3</v>
      </c>
    </row>
    <row r="11" spans="1:2" x14ac:dyDescent="0.3">
      <c r="A11" s="85">
        <f>'Kinetics data'!D12</f>
        <v>2923</v>
      </c>
      <c r="B11" s="85">
        <f>'Kinetics data'!K12</f>
        <v>4.1490099999999999E-3</v>
      </c>
    </row>
    <row r="12" spans="1:2" x14ac:dyDescent="0.3">
      <c r="A12" s="85">
        <f>'Kinetics data'!D13</f>
        <v>3279</v>
      </c>
      <c r="B12" s="85">
        <f>'Kinetics data'!K13</f>
        <v>3.8913099999999998E-3</v>
      </c>
    </row>
    <row r="13" spans="1:2" x14ac:dyDescent="0.3">
      <c r="A13" s="85">
        <f>'Kinetics data'!D14</f>
        <v>3530</v>
      </c>
      <c r="B13" s="85">
        <f>'Kinetics data'!K14</f>
        <v>3.7109199999999999E-3</v>
      </c>
    </row>
    <row r="14" spans="1:2" x14ac:dyDescent="0.3">
      <c r="A14" s="85">
        <f>'Kinetics data'!D15</f>
        <v>3910</v>
      </c>
      <c r="B14" s="85">
        <f>'Kinetics data'!K15</f>
        <v>3.4532200000000003E-3</v>
      </c>
    </row>
    <row r="15" spans="1:2" x14ac:dyDescent="0.3">
      <c r="A15" s="85">
        <f>'Kinetics data'!D16</f>
        <v>4188</v>
      </c>
      <c r="B15" s="85">
        <f>'Kinetics data'!K16</f>
        <v>3.27283E-3</v>
      </c>
    </row>
    <row r="16" spans="1:2" x14ac:dyDescent="0.3">
      <c r="A16" s="85">
        <f>'Kinetics data'!D17</f>
        <v>4465</v>
      </c>
      <c r="B16" s="85">
        <f>'Kinetics data'!K17</f>
        <v>3.0666700000000001E-3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4E1A-5B45-480C-B636-A9289501133F}">
  <sheetPr codeName="Sheet2"/>
  <dimension ref="A1:B16"/>
  <sheetViews>
    <sheetView workbookViewId="0">
      <selection activeCell="D29" sqref="D29"/>
    </sheetView>
  </sheetViews>
  <sheetFormatPr defaultRowHeight="14.4" x14ac:dyDescent="0.3"/>
  <cols>
    <col min="1" max="1" width="12.109375" bestFit="1" customWidth="1"/>
  </cols>
  <sheetData>
    <row r="1" spans="1:2" x14ac:dyDescent="0.3">
      <c r="A1" s="83" t="s">
        <v>54</v>
      </c>
      <c r="B1" s="83" t="s">
        <v>55</v>
      </c>
    </row>
    <row r="2" spans="1:2" x14ac:dyDescent="0.3">
      <c r="A2" s="85">
        <f>'Kinetics data'!D3</f>
        <v>265</v>
      </c>
      <c r="B2" s="85">
        <f>'Kinetics data'!L3</f>
        <v>-5.0569049125117207</v>
      </c>
    </row>
    <row r="3" spans="1:2" x14ac:dyDescent="0.3">
      <c r="A3" s="85">
        <f>'Kinetics data'!D4</f>
        <v>546</v>
      </c>
      <c r="B3" s="85">
        <f>'Kinetics data'!L4</f>
        <v>-5.1024611512092743</v>
      </c>
    </row>
    <row r="4" spans="1:2" x14ac:dyDescent="0.3">
      <c r="A4" s="85">
        <f>'Kinetics data'!D5</f>
        <v>800</v>
      </c>
      <c r="B4" s="85">
        <f>'Kinetics data'!L5</f>
        <v>-5.1413426779896767</v>
      </c>
    </row>
    <row r="5" spans="1:2" x14ac:dyDescent="0.3">
      <c r="A5" s="85">
        <f>'Kinetics data'!D6</f>
        <v>1105</v>
      </c>
      <c r="B5" s="85">
        <f>'Kinetics data'!L6</f>
        <v>-5.1863950268244228</v>
      </c>
    </row>
    <row r="6" spans="1:2" x14ac:dyDescent="0.3">
      <c r="A6" s="85">
        <f>'Kinetics data'!D7</f>
        <v>1410</v>
      </c>
      <c r="B6" s="85">
        <f>'Kinetics data'!L7</f>
        <v>-5.2335732415483882</v>
      </c>
    </row>
    <row r="7" spans="1:2" x14ac:dyDescent="0.3">
      <c r="A7" s="85">
        <f>'Kinetics data'!D8</f>
        <v>1723</v>
      </c>
      <c r="B7" s="85">
        <f>'Kinetics data'!L8</f>
        <v>-5.2830879254434491</v>
      </c>
    </row>
    <row r="8" spans="1:2" x14ac:dyDescent="0.3">
      <c r="A8" s="85">
        <f>'Kinetics data'!D9</f>
        <v>2074</v>
      </c>
      <c r="B8" s="85">
        <f>'Kinetics data'!L9</f>
        <v>-5.337859971502926</v>
      </c>
    </row>
    <row r="9" spans="1:2" x14ac:dyDescent="0.3">
      <c r="A9" s="85">
        <f>'Kinetics data'!D10</f>
        <v>2345</v>
      </c>
      <c r="B9" s="85">
        <f>'Kinetics data'!L10</f>
        <v>-5.3845072628635098</v>
      </c>
    </row>
    <row r="10" spans="1:2" x14ac:dyDescent="0.3">
      <c r="A10" s="85">
        <f>'Kinetics data'!D11</f>
        <v>2673</v>
      </c>
      <c r="B10" s="85">
        <f>'Kinetics data'!L11</f>
        <v>-5.436391633848265</v>
      </c>
    </row>
    <row r="11" spans="1:2" x14ac:dyDescent="0.3">
      <c r="A11" s="85">
        <f>'Kinetics data'!D12</f>
        <v>2923</v>
      </c>
      <c r="B11" s="85">
        <f>'Kinetics data'!L12</f>
        <v>-5.4848855274149813</v>
      </c>
    </row>
    <row r="12" spans="1:2" x14ac:dyDescent="0.3">
      <c r="A12" s="85">
        <f>'Kinetics data'!D13</f>
        <v>3279</v>
      </c>
      <c r="B12" s="85">
        <f>'Kinetics data'!L13</f>
        <v>-5.5490094171175652</v>
      </c>
    </row>
    <row r="13" spans="1:2" x14ac:dyDescent="0.3">
      <c r="A13" s="85">
        <f>'Kinetics data'!D14</f>
        <v>3530</v>
      </c>
      <c r="B13" s="85">
        <f>'Kinetics data'!L14</f>
        <v>-5.596475454667706</v>
      </c>
    </row>
    <row r="14" spans="1:2" x14ac:dyDescent="0.3">
      <c r="A14" s="85">
        <f>'Kinetics data'!D15</f>
        <v>3910</v>
      </c>
      <c r="B14" s="85">
        <f>'Kinetics data'!L15</f>
        <v>-5.6684481498902679</v>
      </c>
    </row>
    <row r="15" spans="1:2" x14ac:dyDescent="0.3">
      <c r="A15" s="85">
        <f>'Kinetics data'!D16</f>
        <v>4188</v>
      </c>
      <c r="B15" s="85">
        <f>'Kinetics data'!L16</f>
        <v>-5.7221002249281296</v>
      </c>
    </row>
    <row r="16" spans="1:2" x14ac:dyDescent="0.3">
      <c r="A16" s="85">
        <f>'Kinetics data'!D17</f>
        <v>4465</v>
      </c>
      <c r="B16" s="85">
        <f>'Kinetics data'!L17</f>
        <v>-5.7871629966393208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589C5-6566-4ED8-94F3-890126BC5FF6}">
  <sheetPr codeName="Sheet4"/>
  <dimension ref="A1:B16"/>
  <sheetViews>
    <sheetView workbookViewId="0">
      <selection activeCell="F29" sqref="F29"/>
    </sheetView>
  </sheetViews>
  <sheetFormatPr defaultRowHeight="14.4" x14ac:dyDescent="0.3"/>
  <cols>
    <col min="1" max="1" width="12.109375" bestFit="1" customWidth="1"/>
    <col min="2" max="2" width="11.77734375" bestFit="1" customWidth="1"/>
  </cols>
  <sheetData>
    <row r="1" spans="1:2" x14ac:dyDescent="0.3">
      <c r="A1" s="83" t="s">
        <v>54</v>
      </c>
      <c r="B1" s="83" t="s">
        <v>73</v>
      </c>
    </row>
    <row r="2" spans="1:2" x14ac:dyDescent="0.3">
      <c r="A2" s="85">
        <f>'Kinetics data'!D3</f>
        <v>265</v>
      </c>
      <c r="B2" s="85">
        <f>'Kinetics data'!M3</f>
        <v>157.10351393429616</v>
      </c>
    </row>
    <row r="3" spans="1:2" x14ac:dyDescent="0.3">
      <c r="A3" s="85">
        <f>'Kinetics data'!D4</f>
        <v>546</v>
      </c>
      <c r="B3" s="85">
        <f>'Kinetics data'!M4</f>
        <v>164.42608718528845</v>
      </c>
    </row>
    <row r="4" spans="1:2" x14ac:dyDescent="0.3">
      <c r="A4" s="85">
        <f>'Kinetics data'!D5</f>
        <v>800</v>
      </c>
      <c r="B4" s="85">
        <f>'Kinetics data'!M5</f>
        <v>170.94513857667658</v>
      </c>
    </row>
    <row r="5" spans="1:2" x14ac:dyDescent="0.3">
      <c r="A5" s="85">
        <f>'Kinetics data'!D6</f>
        <v>1105</v>
      </c>
      <c r="B5" s="85">
        <f>'Kinetics data'!M6</f>
        <v>178.82273838412195</v>
      </c>
    </row>
    <row r="6" spans="1:2" x14ac:dyDescent="0.3">
      <c r="A6" s="85">
        <f>'Kinetics data'!D7</f>
        <v>1410</v>
      </c>
      <c r="B6" s="85">
        <f>'Kinetics data'!M7</f>
        <v>187.46145323867779</v>
      </c>
    </row>
    <row r="7" spans="1:2" x14ac:dyDescent="0.3">
      <c r="A7" s="85">
        <f>'Kinetics data'!D8</f>
        <v>1723</v>
      </c>
      <c r="B7" s="85">
        <f>'Kinetics data'!M8</f>
        <v>196.97718807184941</v>
      </c>
    </row>
    <row r="8" spans="1:2" x14ac:dyDescent="0.3">
      <c r="A8" s="85">
        <f>'Kinetics data'!D9</f>
        <v>2074</v>
      </c>
      <c r="B8" s="85">
        <f>'Kinetics data'!M9</f>
        <v>208.06696427178125</v>
      </c>
    </row>
    <row r="9" spans="1:2" x14ac:dyDescent="0.3">
      <c r="A9" s="85">
        <f>'Kinetics data'!D10</f>
        <v>2345</v>
      </c>
      <c r="B9" s="85">
        <f>'Kinetics data'!M10</f>
        <v>218.00265963244752</v>
      </c>
    </row>
    <row r="10" spans="1:2" x14ac:dyDescent="0.3">
      <c r="A10" s="85">
        <f>'Kinetics data'!D11</f>
        <v>2673</v>
      </c>
      <c r="B10" s="85">
        <f>'Kinetics data'!M11</f>
        <v>229.61216209700194</v>
      </c>
    </row>
    <row r="11" spans="1:2" x14ac:dyDescent="0.3">
      <c r="A11" s="85">
        <f>'Kinetics data'!D12</f>
        <v>2923</v>
      </c>
      <c r="B11" s="85">
        <f>'Kinetics data'!M12</f>
        <v>241.02135208158091</v>
      </c>
    </row>
    <row r="12" spans="1:2" x14ac:dyDescent="0.3">
      <c r="A12" s="85">
        <f>'Kinetics data'!D13</f>
        <v>3279</v>
      </c>
      <c r="B12" s="85">
        <f>'Kinetics data'!M13</f>
        <v>256.98286695226028</v>
      </c>
    </row>
    <row r="13" spans="1:2" x14ac:dyDescent="0.3">
      <c r="A13" s="85">
        <f>'Kinetics data'!D14</f>
        <v>3530</v>
      </c>
      <c r="B13" s="85">
        <f>'Kinetics data'!M14</f>
        <v>269.47495499768252</v>
      </c>
    </row>
    <row r="14" spans="1:2" x14ac:dyDescent="0.3">
      <c r="A14" s="85">
        <f>'Kinetics data'!D15</f>
        <v>3910</v>
      </c>
      <c r="B14" s="85">
        <f>'Kinetics data'!M15</f>
        <v>289.58479332333297</v>
      </c>
    </row>
    <row r="15" spans="1:2" x14ac:dyDescent="0.3">
      <c r="A15" s="85">
        <f>'Kinetics data'!D16</f>
        <v>4188</v>
      </c>
      <c r="B15" s="85">
        <f>'Kinetics data'!M16</f>
        <v>305.5459648072158</v>
      </c>
    </row>
    <row r="16" spans="1:2" x14ac:dyDescent="0.3">
      <c r="A16" s="85">
        <f>'Kinetics data'!D17</f>
        <v>4465</v>
      </c>
      <c r="B16" s="85">
        <f>'Kinetics data'!M17</f>
        <v>326.08660207978033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36BE3-AB91-4ABD-8A7D-69440FABBE74}">
  <sheetPr codeName="Sheet8"/>
  <dimension ref="A1:U22"/>
  <sheetViews>
    <sheetView topLeftCell="L2" zoomScaleNormal="100" workbookViewId="0">
      <selection activeCell="O17" sqref="O17:Q17"/>
    </sheetView>
  </sheetViews>
  <sheetFormatPr defaultRowHeight="14.4" x14ac:dyDescent="0.3"/>
  <cols>
    <col min="1" max="1" width="8.77734375" style="1"/>
    <col min="2" max="2" width="11.6640625" style="1" bestFit="1" customWidth="1"/>
    <col min="3" max="3" width="12.77734375" style="1" bestFit="1" customWidth="1"/>
    <col min="4" max="4" width="13.109375" bestFit="1" customWidth="1"/>
    <col min="5" max="5" width="26.44140625" customWidth="1"/>
    <col min="6" max="6" width="20.109375" customWidth="1"/>
    <col min="7" max="7" width="15.21875" bestFit="1" customWidth="1"/>
    <col min="8" max="8" width="15.21875" customWidth="1"/>
    <col min="9" max="9" width="22" bestFit="1" customWidth="1"/>
    <col min="10" max="10" width="22" customWidth="1"/>
    <col min="11" max="11" width="19.21875" customWidth="1"/>
    <col min="13" max="13" width="14.77734375" bestFit="1" customWidth="1"/>
    <col min="14" max="14" width="14.77734375" customWidth="1"/>
    <col min="15" max="17" width="18.109375" bestFit="1" customWidth="1"/>
    <col min="19" max="21" width="18.109375" bestFit="1" customWidth="1"/>
  </cols>
  <sheetData>
    <row r="1" spans="1:21" ht="72.599999999999994" thickBot="1" x14ac:dyDescent="0.35">
      <c r="A1" s="26" t="s">
        <v>51</v>
      </c>
      <c r="B1" s="26" t="s">
        <v>52</v>
      </c>
      <c r="C1" s="26" t="s">
        <v>53</v>
      </c>
      <c r="D1" s="26" t="s">
        <v>54</v>
      </c>
      <c r="E1" s="24" t="s">
        <v>64</v>
      </c>
      <c r="F1" s="24" t="s">
        <v>44</v>
      </c>
      <c r="G1" s="24" t="s">
        <v>66</v>
      </c>
      <c r="H1" s="24" t="s">
        <v>62</v>
      </c>
      <c r="I1" s="24" t="s">
        <v>69</v>
      </c>
      <c r="J1" s="24" t="s">
        <v>68</v>
      </c>
      <c r="K1" s="24" t="s">
        <v>70</v>
      </c>
      <c r="L1" s="26" t="s">
        <v>55</v>
      </c>
      <c r="M1" s="26" t="s">
        <v>56</v>
      </c>
      <c r="N1" s="87"/>
      <c r="O1" s="137" t="s">
        <v>76</v>
      </c>
      <c r="P1" s="137"/>
      <c r="Q1" s="137"/>
      <c r="S1" s="144" t="s">
        <v>72</v>
      </c>
      <c r="T1" s="144"/>
      <c r="U1" s="144"/>
    </row>
    <row r="2" spans="1:21" ht="15" thickBot="1" x14ac:dyDescent="0.35">
      <c r="A2" s="138"/>
      <c r="B2" s="138"/>
      <c r="C2" s="138"/>
      <c r="D2" s="138"/>
      <c r="E2" s="50">
        <f>'Kinetics data'!E2</f>
        <v>0.1</v>
      </c>
      <c r="F2" s="84"/>
      <c r="G2" s="84"/>
      <c r="H2" s="95">
        <f>'Kinetics data'!H3</f>
        <v>0</v>
      </c>
      <c r="I2" s="84"/>
      <c r="J2" s="99">
        <f>I17+I20</f>
        <v>0</v>
      </c>
      <c r="K2" s="84"/>
      <c r="L2" s="84"/>
      <c r="M2" s="84"/>
      <c r="N2" s="74"/>
      <c r="O2" s="88" t="s">
        <v>48</v>
      </c>
      <c r="P2" s="88" t="s">
        <v>49</v>
      </c>
      <c r="Q2" s="88" t="s">
        <v>50</v>
      </c>
      <c r="S2" s="100" t="s">
        <v>48</v>
      </c>
      <c r="T2" s="100" t="s">
        <v>49</v>
      </c>
      <c r="U2" s="100" t="s">
        <v>50</v>
      </c>
    </row>
    <row r="3" spans="1:21" ht="15" thickBot="1" x14ac:dyDescent="0.35">
      <c r="A3" s="25">
        <f>'Kinetics data'!A3</f>
        <v>0</v>
      </c>
      <c r="B3" s="25">
        <f>'Kinetics data'!B3</f>
        <v>4</v>
      </c>
      <c r="C3" s="25">
        <f>'Kinetics data'!C3</f>
        <v>25</v>
      </c>
      <c r="D3" s="38">
        <f>A3*60*60+B3*60+C3</f>
        <v>265</v>
      </c>
      <c r="E3" s="139"/>
      <c r="F3" s="50">
        <f>'Kinetics data'!F3</f>
        <v>1.1000000000000001</v>
      </c>
      <c r="G3" s="50">
        <f>F3-E$2</f>
        <v>1</v>
      </c>
      <c r="H3" s="140"/>
      <c r="I3" s="37">
        <f>(G3/1000)*H$2</f>
        <v>0</v>
      </c>
      <c r="J3" s="141"/>
      <c r="K3" s="86">
        <f>$J$2-I3</f>
        <v>0</v>
      </c>
      <c r="L3" s="29" t="e">
        <f>LN(K3)</f>
        <v>#NUM!</v>
      </c>
      <c r="M3" s="29" t="e">
        <f>1/K3</f>
        <v>#DIV/0!</v>
      </c>
      <c r="N3" s="82"/>
      <c r="O3" s="88" t="s">
        <v>57</v>
      </c>
      <c r="P3" s="88" t="s">
        <v>57</v>
      </c>
      <c r="Q3" s="88" t="s">
        <v>57</v>
      </c>
      <c r="S3" s="100" t="s">
        <v>57</v>
      </c>
      <c r="T3" s="100" t="s">
        <v>57</v>
      </c>
      <c r="U3" s="100" t="s">
        <v>57</v>
      </c>
    </row>
    <row r="4" spans="1:21" ht="15" thickBot="1" x14ac:dyDescent="0.35">
      <c r="A4" s="25">
        <f>'Kinetics data'!A4</f>
        <v>0</v>
      </c>
      <c r="B4" s="25">
        <f>'Kinetics data'!B4</f>
        <v>9</v>
      </c>
      <c r="C4" s="25">
        <f>'Kinetics data'!C4</f>
        <v>6</v>
      </c>
      <c r="D4" s="38">
        <f t="shared" ref="D4:D17" si="0">A4*60*60+B4*60+C4</f>
        <v>546</v>
      </c>
      <c r="E4" s="139"/>
      <c r="F4" s="50">
        <f>'Kinetics data'!F4</f>
        <v>2.2000000000000002</v>
      </c>
      <c r="G4" s="50">
        <f t="shared" ref="G4:G17" si="1">F4-E$2</f>
        <v>2.1</v>
      </c>
      <c r="H4" s="140"/>
      <c r="I4" s="37">
        <f t="shared" ref="I4:I17" si="2">(G4/1000)*H$2</f>
        <v>0</v>
      </c>
      <c r="J4" s="141"/>
      <c r="K4" s="86">
        <f t="shared" ref="K4:K17" si="3">$J$2-I4</f>
        <v>0</v>
      </c>
      <c r="L4" s="29" t="e">
        <f t="shared" ref="L4:L17" si="4">LN(K4)</f>
        <v>#NUM!</v>
      </c>
      <c r="M4" s="29" t="e">
        <f t="shared" ref="M4:M17" si="5">1/K4</f>
        <v>#DIV/0!</v>
      </c>
      <c r="N4" s="82"/>
      <c r="O4" s="89">
        <f>'Kinetics data'!O4</f>
        <v>-7.7619000000000002E-7</v>
      </c>
      <c r="P4" s="89">
        <f>'Kinetics data'!P4</f>
        <v>-1.7102999999999999E-4</v>
      </c>
      <c r="Q4" s="89">
        <f>'Kinetics data'!Q4</f>
        <v>3.8838999999999999E-2</v>
      </c>
      <c r="S4" s="101">
        <f>SLOPE(K3:K17, $D$3:$D$17)</f>
        <v>0</v>
      </c>
      <c r="T4" s="101" t="e">
        <f>SLOPE(L3:L17, $D$3:$D$17)</f>
        <v>#NUM!</v>
      </c>
      <c r="U4" s="101" t="e">
        <f>SLOPE(M3:M17, $D$3:$D$17)</f>
        <v>#DIV/0!</v>
      </c>
    </row>
    <row r="5" spans="1:21" ht="15" thickBot="1" x14ac:dyDescent="0.35">
      <c r="A5" s="25">
        <f>'Kinetics data'!A5</f>
        <v>0</v>
      </c>
      <c r="B5" s="25">
        <f>'Kinetics data'!B5</f>
        <v>13</v>
      </c>
      <c r="C5" s="25">
        <f>'Kinetics data'!C5</f>
        <v>20</v>
      </c>
      <c r="D5" s="38">
        <f t="shared" si="0"/>
        <v>800</v>
      </c>
      <c r="E5" s="139"/>
      <c r="F5" s="50">
        <f>'Kinetics data'!F5</f>
        <v>3.1</v>
      </c>
      <c r="G5" s="50">
        <f t="shared" si="1"/>
        <v>3</v>
      </c>
      <c r="H5" s="140"/>
      <c r="I5" s="37">
        <f t="shared" si="2"/>
        <v>0</v>
      </c>
      <c r="J5" s="141"/>
      <c r="K5" s="86">
        <f t="shared" si="3"/>
        <v>0</v>
      </c>
      <c r="L5" s="29" t="e">
        <f t="shared" si="4"/>
        <v>#NUM!</v>
      </c>
      <c r="M5" s="29" t="e">
        <f t="shared" si="5"/>
        <v>#DIV/0!</v>
      </c>
      <c r="N5" s="82"/>
      <c r="O5" s="90"/>
      <c r="P5" s="91"/>
      <c r="Q5" s="90"/>
      <c r="S5" s="102"/>
      <c r="T5" s="102"/>
      <c r="U5" s="102"/>
    </row>
    <row r="6" spans="1:21" ht="16.2" thickBot="1" x14ac:dyDescent="0.4">
      <c r="A6" s="25">
        <f>'Kinetics data'!A6</f>
        <v>0</v>
      </c>
      <c r="B6" s="25">
        <f>'Kinetics data'!B6</f>
        <v>18</v>
      </c>
      <c r="C6" s="25">
        <f>'Kinetics data'!C6</f>
        <v>25</v>
      </c>
      <c r="D6" s="38">
        <f t="shared" si="0"/>
        <v>1105</v>
      </c>
      <c r="E6" s="139"/>
      <c r="F6" s="50">
        <f>'Kinetics data'!F6</f>
        <v>4.0999999999999996</v>
      </c>
      <c r="G6" s="50">
        <f t="shared" si="1"/>
        <v>3.9999999999999996</v>
      </c>
      <c r="H6" s="140"/>
      <c r="I6" s="37">
        <f t="shared" si="2"/>
        <v>0</v>
      </c>
      <c r="J6" s="141"/>
      <c r="K6" s="86">
        <f t="shared" si="3"/>
        <v>0</v>
      </c>
      <c r="L6" s="29" t="e">
        <f t="shared" si="4"/>
        <v>#NUM!</v>
      </c>
      <c r="M6" s="29" t="e">
        <f t="shared" si="5"/>
        <v>#DIV/0!</v>
      </c>
      <c r="N6" s="82"/>
      <c r="O6" s="88" t="s">
        <v>58</v>
      </c>
      <c r="P6" s="88" t="s">
        <v>59</v>
      </c>
      <c r="Q6" s="88" t="s">
        <v>60</v>
      </c>
      <c r="S6" s="100" t="s">
        <v>79</v>
      </c>
      <c r="T6" s="100" t="s">
        <v>80</v>
      </c>
      <c r="U6" s="100" t="s">
        <v>81</v>
      </c>
    </row>
    <row r="7" spans="1:21" ht="15" thickBot="1" x14ac:dyDescent="0.35">
      <c r="A7" s="25">
        <f>'Kinetics data'!A7</f>
        <v>0</v>
      </c>
      <c r="B7" s="25">
        <f>'Kinetics data'!B7</f>
        <v>23</v>
      </c>
      <c r="C7" s="25">
        <f>'Kinetics data'!C7</f>
        <v>30</v>
      </c>
      <c r="D7" s="38">
        <f t="shared" si="0"/>
        <v>1410</v>
      </c>
      <c r="E7" s="139"/>
      <c r="F7" s="50">
        <f>'Kinetics data'!F7</f>
        <v>5.0999999999999996</v>
      </c>
      <c r="G7" s="50">
        <f t="shared" si="1"/>
        <v>5</v>
      </c>
      <c r="H7" s="140"/>
      <c r="I7" s="37">
        <f t="shared" si="2"/>
        <v>0</v>
      </c>
      <c r="J7" s="141"/>
      <c r="K7" s="86">
        <f t="shared" si="3"/>
        <v>0</v>
      </c>
      <c r="L7" s="29" t="e">
        <f t="shared" si="4"/>
        <v>#NUM!</v>
      </c>
      <c r="M7" s="29" t="e">
        <f t="shared" si="5"/>
        <v>#DIV/0!</v>
      </c>
      <c r="N7" s="82"/>
      <c r="O7" s="92">
        <f>'Kinetics data'!O7</f>
        <v>6.4628000000000003E-3</v>
      </c>
      <c r="P7" s="92">
        <f>'Kinetics data'!P7</f>
        <v>-4.9962999999999997</v>
      </c>
      <c r="Q7" s="92">
        <f>'Kinetics data'!Q7</f>
        <v>135.44</v>
      </c>
      <c r="S7" s="103">
        <f>INTERCEPT(K3:K17, $D$3:$D$17)</f>
        <v>0</v>
      </c>
      <c r="T7" s="103" t="e">
        <f>INTERCEPT(L3:L17, $D$3:$D$17)</f>
        <v>#NUM!</v>
      </c>
      <c r="U7" s="103" t="e">
        <f>INTERCEPT(M3:M17, $D$3:$D$17)</f>
        <v>#DIV/0!</v>
      </c>
    </row>
    <row r="8" spans="1:21" ht="15" thickBot="1" x14ac:dyDescent="0.35">
      <c r="A8" s="25">
        <f>'Kinetics data'!A8</f>
        <v>0</v>
      </c>
      <c r="B8" s="25">
        <f>'Kinetics data'!B8</f>
        <v>28</v>
      </c>
      <c r="C8" s="25">
        <f>'Kinetics data'!C8</f>
        <v>43</v>
      </c>
      <c r="D8" s="38">
        <f t="shared" si="0"/>
        <v>1723</v>
      </c>
      <c r="E8" s="139"/>
      <c r="F8" s="50">
        <f>'Kinetics data'!F8</f>
        <v>6.1</v>
      </c>
      <c r="G8" s="50">
        <f t="shared" si="1"/>
        <v>6</v>
      </c>
      <c r="H8" s="140"/>
      <c r="I8" s="37">
        <f t="shared" si="2"/>
        <v>0</v>
      </c>
      <c r="J8" s="141"/>
      <c r="K8" s="86">
        <f t="shared" si="3"/>
        <v>0</v>
      </c>
      <c r="L8" s="29" t="e">
        <f t="shared" si="4"/>
        <v>#NUM!</v>
      </c>
      <c r="M8" s="29" t="e">
        <f t="shared" si="5"/>
        <v>#DIV/0!</v>
      </c>
      <c r="N8" s="82"/>
      <c r="O8" s="90"/>
      <c r="P8" s="90"/>
      <c r="Q8" s="90"/>
      <c r="S8" s="102"/>
      <c r="T8" s="102"/>
      <c r="U8" s="102"/>
    </row>
    <row r="9" spans="1:21" ht="16.8" thickBot="1" x14ac:dyDescent="0.35">
      <c r="A9" s="25">
        <f>'Kinetics data'!A9</f>
        <v>0</v>
      </c>
      <c r="B9" s="25">
        <f>'Kinetics data'!B9</f>
        <v>34</v>
      </c>
      <c r="C9" s="25">
        <f>'Kinetics data'!C9</f>
        <v>34</v>
      </c>
      <c r="D9" s="38">
        <f t="shared" si="0"/>
        <v>2074</v>
      </c>
      <c r="E9" s="139"/>
      <c r="F9" s="50">
        <f>'Kinetics data'!F9</f>
        <v>7.15</v>
      </c>
      <c r="G9" s="50">
        <f t="shared" si="1"/>
        <v>7.0500000000000007</v>
      </c>
      <c r="H9" s="140"/>
      <c r="I9" s="37">
        <f t="shared" si="2"/>
        <v>0</v>
      </c>
      <c r="J9" s="141"/>
      <c r="K9" s="86">
        <f t="shared" si="3"/>
        <v>0</v>
      </c>
      <c r="L9" s="29" t="e">
        <f t="shared" si="4"/>
        <v>#NUM!</v>
      </c>
      <c r="M9" s="29" t="e">
        <f t="shared" si="5"/>
        <v>#DIV/0!</v>
      </c>
      <c r="N9" s="82"/>
      <c r="O9" s="88" t="s">
        <v>74</v>
      </c>
      <c r="P9" s="88" t="s">
        <v>74</v>
      </c>
      <c r="Q9" s="88" t="s">
        <v>74</v>
      </c>
      <c r="S9" s="100" t="s">
        <v>74</v>
      </c>
      <c r="T9" s="100" t="s">
        <v>74</v>
      </c>
      <c r="U9" s="100" t="s">
        <v>74</v>
      </c>
    </row>
    <row r="10" spans="1:21" ht="15" thickBot="1" x14ac:dyDescent="0.35">
      <c r="A10" s="25">
        <f>'Kinetics data'!A10</f>
        <v>0</v>
      </c>
      <c r="B10" s="25">
        <f>'Kinetics data'!B10</f>
        <v>39</v>
      </c>
      <c r="C10" s="25">
        <f>'Kinetics data'!C10</f>
        <v>5</v>
      </c>
      <c r="D10" s="38">
        <f t="shared" si="0"/>
        <v>2345</v>
      </c>
      <c r="E10" s="139"/>
      <c r="F10" s="50">
        <f>'Kinetics data'!F10</f>
        <v>8</v>
      </c>
      <c r="G10" s="50">
        <f t="shared" si="1"/>
        <v>7.9</v>
      </c>
      <c r="H10" s="140"/>
      <c r="I10" s="37">
        <f t="shared" si="2"/>
        <v>0</v>
      </c>
      <c r="J10" s="141"/>
      <c r="K10" s="86">
        <f t="shared" si="3"/>
        <v>0</v>
      </c>
      <c r="L10" s="29" t="e">
        <f t="shared" si="4"/>
        <v>#NUM!</v>
      </c>
      <c r="M10" s="29" t="e">
        <f t="shared" si="5"/>
        <v>#DIV/0!</v>
      </c>
      <c r="N10" s="82"/>
      <c r="O10" s="109">
        <f>'Kinetics data'!O10</f>
        <v>0.99772000000000005</v>
      </c>
      <c r="P10" s="109">
        <f>'Kinetics data'!P10</f>
        <v>0.99707000000000001</v>
      </c>
      <c r="Q10" s="109">
        <f>'Kinetics data'!Q10</f>
        <v>0.97653000000000001</v>
      </c>
      <c r="S10" s="104" t="e">
        <f>RSQ(K3:K17, D3:D17)</f>
        <v>#DIV/0!</v>
      </c>
      <c r="T10" s="104" t="e">
        <f>RSQ(L3:L17, D3:D17)</f>
        <v>#NUM!</v>
      </c>
      <c r="U10" s="104" t="e">
        <f>RSQ(M3:M17, D3:D17)</f>
        <v>#DIV/0!</v>
      </c>
    </row>
    <row r="11" spans="1:21" ht="15" thickBot="1" x14ac:dyDescent="0.35">
      <c r="A11" s="25">
        <f>'Kinetics data'!A11</f>
        <v>0</v>
      </c>
      <c r="B11" s="25">
        <f>'Kinetics data'!B11</f>
        <v>44</v>
      </c>
      <c r="C11" s="25">
        <f>'Kinetics data'!C11</f>
        <v>33</v>
      </c>
      <c r="D11" s="38">
        <f t="shared" si="0"/>
        <v>2673</v>
      </c>
      <c r="E11" s="139"/>
      <c r="F11" s="50">
        <f>'Kinetics data'!F11</f>
        <v>8.9</v>
      </c>
      <c r="G11" s="50">
        <f t="shared" si="1"/>
        <v>8.8000000000000007</v>
      </c>
      <c r="H11" s="140"/>
      <c r="I11" s="37">
        <f t="shared" si="2"/>
        <v>0</v>
      </c>
      <c r="J11" s="141"/>
      <c r="K11" s="86">
        <f t="shared" si="3"/>
        <v>0</v>
      </c>
      <c r="L11" s="29" t="e">
        <f t="shared" si="4"/>
        <v>#NUM!</v>
      </c>
      <c r="M11" s="29" t="e">
        <f t="shared" si="5"/>
        <v>#DIV/0!</v>
      </c>
      <c r="N11" s="82"/>
      <c r="O11" s="90"/>
      <c r="P11" s="90"/>
      <c r="Q11" s="90"/>
      <c r="S11" s="102"/>
      <c r="T11" s="102"/>
      <c r="U11" s="102"/>
    </row>
    <row r="12" spans="1:21" ht="15" thickBot="1" x14ac:dyDescent="0.35">
      <c r="A12" s="25">
        <f>'Kinetics data'!A12</f>
        <v>0</v>
      </c>
      <c r="B12" s="25">
        <f>'Kinetics data'!B12</f>
        <v>48</v>
      </c>
      <c r="C12" s="25">
        <f>'Kinetics data'!C12</f>
        <v>43</v>
      </c>
      <c r="D12" s="38">
        <f t="shared" si="0"/>
        <v>2923</v>
      </c>
      <c r="E12" s="139"/>
      <c r="F12" s="50">
        <f>'Kinetics data'!F12</f>
        <v>9.6999999999999993</v>
      </c>
      <c r="G12" s="50">
        <f t="shared" si="1"/>
        <v>9.6</v>
      </c>
      <c r="H12" s="140"/>
      <c r="I12" s="37">
        <f t="shared" si="2"/>
        <v>0</v>
      </c>
      <c r="J12" s="141"/>
      <c r="K12" s="86">
        <f t="shared" si="3"/>
        <v>0</v>
      </c>
      <c r="L12" s="29" t="e">
        <f t="shared" si="4"/>
        <v>#NUM!</v>
      </c>
      <c r="M12" s="29" t="e">
        <f t="shared" si="5"/>
        <v>#DIV/0!</v>
      </c>
      <c r="N12" s="82"/>
      <c r="O12" s="88" t="s">
        <v>61</v>
      </c>
      <c r="P12" s="88" t="s">
        <v>61</v>
      </c>
      <c r="Q12" s="88" t="s">
        <v>61</v>
      </c>
      <c r="S12" s="100" t="s">
        <v>82</v>
      </c>
      <c r="T12" s="100" t="s">
        <v>82</v>
      </c>
      <c r="U12" s="100" t="s">
        <v>82</v>
      </c>
    </row>
    <row r="13" spans="1:21" ht="15" thickBot="1" x14ac:dyDescent="0.35">
      <c r="A13" s="25">
        <f>'Kinetics data'!A13</f>
        <v>0</v>
      </c>
      <c r="B13" s="25">
        <f>'Kinetics data'!B13</f>
        <v>54</v>
      </c>
      <c r="C13" s="25">
        <f>'Kinetics data'!C13</f>
        <v>39</v>
      </c>
      <c r="D13" s="38">
        <f t="shared" si="0"/>
        <v>3279</v>
      </c>
      <c r="E13" s="139"/>
      <c r="F13" s="50">
        <f>'Kinetics data'!F13</f>
        <v>10.7</v>
      </c>
      <c r="G13" s="50">
        <f t="shared" si="1"/>
        <v>10.6</v>
      </c>
      <c r="H13" s="140"/>
      <c r="I13" s="37">
        <f t="shared" si="2"/>
        <v>0</v>
      </c>
      <c r="J13" s="141"/>
      <c r="K13" s="86">
        <f t="shared" si="3"/>
        <v>0</v>
      </c>
      <c r="L13" s="29" t="e">
        <f t="shared" si="4"/>
        <v>#NUM!</v>
      </c>
      <c r="M13" s="29" t="e">
        <f t="shared" si="5"/>
        <v>#DIV/0!</v>
      </c>
      <c r="N13" s="82"/>
      <c r="O13" s="110">
        <f>'Kinetics data'!S4</f>
        <v>4163.1559283165207</v>
      </c>
      <c r="P13" s="110">
        <f>'Kinetics data'!T4</f>
        <v>4052.7812697184431</v>
      </c>
      <c r="Q13" s="110">
        <f>'Kinetics data'!U4</f>
        <v>3487.2164576842865</v>
      </c>
      <c r="S13" s="105" t="e">
        <f>S7/(2*ABS(S4))</f>
        <v>#DIV/0!</v>
      </c>
      <c r="T13" s="105" t="e">
        <f>LN(2)/ABS(T4)</f>
        <v>#NUM!</v>
      </c>
      <c r="U13" s="105" t="e">
        <f>1/(U4*(1/U7))</f>
        <v>#DIV/0!</v>
      </c>
    </row>
    <row r="14" spans="1:21" ht="15" thickBot="1" x14ac:dyDescent="0.35">
      <c r="A14" s="25">
        <f>'Kinetics data'!A14</f>
        <v>0</v>
      </c>
      <c r="B14" s="25">
        <f>'Kinetics data'!B14</f>
        <v>58</v>
      </c>
      <c r="C14" s="25">
        <f>'Kinetics data'!C14</f>
        <v>50</v>
      </c>
      <c r="D14" s="38">
        <f t="shared" si="0"/>
        <v>3530</v>
      </c>
      <c r="E14" s="139"/>
      <c r="F14" s="50">
        <f>'Kinetics data'!F14</f>
        <v>11.4</v>
      </c>
      <c r="G14" s="50">
        <f t="shared" si="1"/>
        <v>11.3</v>
      </c>
      <c r="H14" s="140"/>
      <c r="I14" s="37">
        <f t="shared" si="2"/>
        <v>0</v>
      </c>
      <c r="J14" s="141"/>
      <c r="K14" s="86">
        <f t="shared" si="3"/>
        <v>0</v>
      </c>
      <c r="L14" s="29" t="e">
        <f t="shared" si="4"/>
        <v>#NUM!</v>
      </c>
      <c r="M14" s="29" t="e">
        <f t="shared" si="5"/>
        <v>#DIV/0!</v>
      </c>
      <c r="N14" s="82"/>
      <c r="O14" s="93"/>
      <c r="P14" s="93"/>
      <c r="Q14" s="93"/>
      <c r="S14" s="106"/>
      <c r="T14" s="106"/>
      <c r="U14" s="106"/>
    </row>
    <row r="15" spans="1:21" ht="15" thickBot="1" x14ac:dyDescent="0.35">
      <c r="A15" s="25">
        <f>'Kinetics data'!A15</f>
        <v>1</v>
      </c>
      <c r="B15" s="25">
        <f>'Kinetics data'!B15</f>
        <v>5</v>
      </c>
      <c r="C15" s="25">
        <f>'Kinetics data'!C15</f>
        <v>10</v>
      </c>
      <c r="D15" s="38">
        <f t="shared" si="0"/>
        <v>3910</v>
      </c>
      <c r="E15" s="139"/>
      <c r="F15" s="50">
        <f>'Kinetics data'!F15</f>
        <v>12.4</v>
      </c>
      <c r="G15" s="50">
        <f t="shared" si="1"/>
        <v>12.3</v>
      </c>
      <c r="H15" s="140"/>
      <c r="I15" s="37">
        <f t="shared" si="2"/>
        <v>0</v>
      </c>
      <c r="J15" s="141"/>
      <c r="K15" s="86">
        <f t="shared" si="3"/>
        <v>0</v>
      </c>
      <c r="L15" s="29" t="e">
        <f t="shared" si="4"/>
        <v>#NUM!</v>
      </c>
      <c r="M15" s="29" t="e">
        <f t="shared" si="5"/>
        <v>#DIV/0!</v>
      </c>
      <c r="N15" s="82"/>
      <c r="O15" s="94" t="s">
        <v>75</v>
      </c>
      <c r="P15" s="94" t="s">
        <v>75</v>
      </c>
      <c r="Q15" s="94" t="s">
        <v>75</v>
      </c>
      <c r="S15" s="107" t="s">
        <v>75</v>
      </c>
      <c r="T15" s="107" t="s">
        <v>75</v>
      </c>
      <c r="U15" s="107" t="s">
        <v>75</v>
      </c>
    </row>
    <row r="16" spans="1:21" ht="15" thickBot="1" x14ac:dyDescent="0.35">
      <c r="A16" s="25">
        <f>'Kinetics data'!A16</f>
        <v>1</v>
      </c>
      <c r="B16" s="25">
        <f>'Kinetics data'!B16</f>
        <v>9</v>
      </c>
      <c r="C16" s="25">
        <f>'Kinetics data'!C16</f>
        <v>48</v>
      </c>
      <c r="D16" s="38">
        <f t="shared" si="0"/>
        <v>4188</v>
      </c>
      <c r="E16" s="139"/>
      <c r="F16" s="50">
        <f>'Kinetics data'!F16</f>
        <v>13.1</v>
      </c>
      <c r="G16" s="50">
        <f t="shared" si="1"/>
        <v>13</v>
      </c>
      <c r="H16" s="140"/>
      <c r="I16" s="37">
        <f t="shared" si="2"/>
        <v>0</v>
      </c>
      <c r="J16" s="141"/>
      <c r="K16" s="86">
        <f t="shared" si="3"/>
        <v>0</v>
      </c>
      <c r="L16" s="29" t="e">
        <f t="shared" si="4"/>
        <v>#NUM!</v>
      </c>
      <c r="M16" s="29" t="e">
        <f t="shared" si="5"/>
        <v>#DIV/0!</v>
      </c>
      <c r="N16" s="82"/>
      <c r="O16" s="110">
        <f>'Kinetics data'!S7</f>
        <v>7909.9962638013885</v>
      </c>
      <c r="P16" s="110">
        <f>'Kinetics data'!T7</f>
        <v>17515.829232029417</v>
      </c>
      <c r="Q16" s="110">
        <f>'Kinetics data'!U7</f>
        <v>66257.112696001452</v>
      </c>
      <c r="S16" s="105" t="e">
        <f>(S7-0.05*S7)/ABS(S4)</f>
        <v>#DIV/0!</v>
      </c>
      <c r="T16" s="105" t="e">
        <f>-LN(0.05)/ABS(T4)</f>
        <v>#NUM!</v>
      </c>
      <c r="U16" s="103" t="e">
        <f>((U7/0.05)-U7)/U4</f>
        <v>#DIV/0!</v>
      </c>
    </row>
    <row r="17" spans="1:21" ht="15" thickBot="1" x14ac:dyDescent="0.35">
      <c r="A17" s="25">
        <f>'Kinetics data'!A17</f>
        <v>1</v>
      </c>
      <c r="B17" s="25">
        <f>'Kinetics data'!B17</f>
        <v>14</v>
      </c>
      <c r="C17" s="25">
        <f>'Kinetics data'!C17</f>
        <v>25</v>
      </c>
      <c r="D17" s="38">
        <f t="shared" si="0"/>
        <v>4465</v>
      </c>
      <c r="E17" s="139"/>
      <c r="F17" s="50">
        <f>'Kinetics data'!F17</f>
        <v>13.9</v>
      </c>
      <c r="G17" s="50">
        <f t="shared" si="1"/>
        <v>13.8</v>
      </c>
      <c r="H17" s="140"/>
      <c r="I17" s="37">
        <f t="shared" si="2"/>
        <v>0</v>
      </c>
      <c r="J17" s="141"/>
      <c r="K17" s="86">
        <f t="shared" si="3"/>
        <v>0</v>
      </c>
      <c r="L17" s="29" t="e">
        <f t="shared" si="4"/>
        <v>#NUM!</v>
      </c>
      <c r="M17" s="29" t="e">
        <f t="shared" si="5"/>
        <v>#DIV/0!</v>
      </c>
      <c r="N17" s="82"/>
      <c r="O17" s="111"/>
      <c r="P17" s="112"/>
      <c r="Q17" s="113"/>
      <c r="S17" s="108" t="e">
        <f>S16/60</f>
        <v>#DIV/0!</v>
      </c>
      <c r="T17" s="108" t="e">
        <f>T16/60</f>
        <v>#NUM!</v>
      </c>
      <c r="U17" s="108" t="e">
        <f>U16/60</f>
        <v>#DIV/0!</v>
      </c>
    </row>
    <row r="18" spans="1:21" s="75" customFormat="1" ht="14.25" customHeight="1" x14ac:dyDescent="0.3">
      <c r="A18" s="59"/>
      <c r="B18" s="59"/>
      <c r="C18" s="59"/>
      <c r="E18" s="143" t="s">
        <v>71</v>
      </c>
      <c r="F18" s="143"/>
      <c r="G18" s="143"/>
      <c r="H18" s="143"/>
      <c r="I18" s="143"/>
      <c r="J18" s="77"/>
      <c r="P18" s="76"/>
      <c r="Q18" s="78"/>
      <c r="R18" s="79"/>
      <c r="S18" s="76"/>
    </row>
    <row r="19" spans="1:21" ht="63" customHeight="1" x14ac:dyDescent="0.3">
      <c r="C19" s="61"/>
      <c r="D19" s="61"/>
      <c r="E19" s="24" t="s">
        <v>63</v>
      </c>
      <c r="F19" s="24" t="s">
        <v>65</v>
      </c>
      <c r="G19" s="24" t="s">
        <v>66</v>
      </c>
      <c r="H19" s="24" t="s">
        <v>62</v>
      </c>
      <c r="I19" s="24" t="s">
        <v>67</v>
      </c>
      <c r="J19" s="73"/>
      <c r="K19" s="61"/>
      <c r="L19" s="2"/>
      <c r="M19" s="2"/>
    </row>
    <row r="20" spans="1:21" x14ac:dyDescent="0.3">
      <c r="C20" s="58"/>
      <c r="D20" s="58"/>
      <c r="E20" s="50">
        <f>'Kinetics data'!E20</f>
        <v>13.9</v>
      </c>
      <c r="F20" s="50">
        <f>'Kinetics data'!F20</f>
        <v>25.8</v>
      </c>
      <c r="G20" s="97">
        <f>F20-E20</f>
        <v>11.9</v>
      </c>
      <c r="H20" s="98">
        <f>H2</f>
        <v>0</v>
      </c>
      <c r="I20" s="28">
        <f>(G20/1000)*H$20</f>
        <v>0</v>
      </c>
      <c r="J20" s="80"/>
      <c r="K20" s="81"/>
      <c r="L20" s="2"/>
      <c r="M20" s="2"/>
    </row>
    <row r="21" spans="1:21" x14ac:dyDescent="0.3">
      <c r="C21" s="58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21" x14ac:dyDescent="0.3">
      <c r="C22" s="58"/>
      <c r="D22" s="2"/>
      <c r="E22" s="2"/>
      <c r="F22" s="2"/>
      <c r="G22" s="2"/>
      <c r="H22" s="2"/>
      <c r="I22" s="2"/>
      <c r="J22" s="2"/>
      <c r="K22" s="2"/>
      <c r="L22" s="2"/>
      <c r="M22" s="2"/>
    </row>
  </sheetData>
  <mergeCells count="7">
    <mergeCell ref="E18:I18"/>
    <mergeCell ref="O1:Q1"/>
    <mergeCell ref="S1:U1"/>
    <mergeCell ref="A2:D2"/>
    <mergeCell ref="E3:E17"/>
    <mergeCell ref="H3:H17"/>
    <mergeCell ref="J3:J17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90E047224DB248BCD3B941E3C5EA82" ma:contentTypeVersion="4" ma:contentTypeDescription="Create a new document." ma:contentTypeScope="" ma:versionID="dffb2d9054500e1a5b8fdcecd9f01817">
  <xsd:schema xmlns:xsd="http://www.w3.org/2001/XMLSchema" xmlns:xs="http://www.w3.org/2001/XMLSchema" xmlns:p="http://schemas.microsoft.com/office/2006/metadata/properties" xmlns:ns3="2a8bf51c-caef-4f4c-941b-670a6a534552" targetNamespace="http://schemas.microsoft.com/office/2006/metadata/properties" ma:root="true" ma:fieldsID="ef51e6ad9b2f67e56b60fd4b01cfc763" ns3:_="">
    <xsd:import namespace="2a8bf51c-caef-4f4c-941b-670a6a53455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8bf51c-caef-4f4c-941b-670a6a5345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C8733E9-0E9C-45E3-A344-DC097CF2E0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8bf51c-caef-4f4c-941b-670a6a5345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8800BC-F8C9-4230-BD1C-70065C63E0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43D3A8B-800A-4C4F-85ED-585BFA73D40B}">
  <ds:schemaRefs>
    <ds:schemaRef ds:uri="http://purl.org/dc/terms/"/>
    <ds:schemaRef ds:uri="http://purl.org/dc/elements/1.1/"/>
    <ds:schemaRef ds:uri="http://schemas.microsoft.com/office/2006/metadata/properties"/>
    <ds:schemaRef ds:uri="2a8bf51c-caef-4f4c-941b-670a6a534552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 me!</vt:lpstr>
      <vt:lpstr>Kinetics data</vt:lpstr>
      <vt:lpstr>0th Order Grp Here</vt:lpstr>
      <vt:lpstr>1st Order Grp Here</vt:lpstr>
      <vt:lpstr>2nd Order Grp 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Ng</dc:creator>
  <cp:lastModifiedBy>sitthiphol yuwanaboon</cp:lastModifiedBy>
  <cp:lastPrinted>2018-11-30T03:02:23Z</cp:lastPrinted>
  <dcterms:created xsi:type="dcterms:W3CDTF">2018-11-14T22:03:35Z</dcterms:created>
  <dcterms:modified xsi:type="dcterms:W3CDTF">2020-05-05T00:51:50Z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0x0101004390E047224DB248BCD3B941E3C5EA82</vt:lpwstr>
  </property>
</Properties>
</file>