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D:\XLS_ERP\"/>
    </mc:Choice>
  </mc:AlternateContent>
  <xr:revisionPtr revIDLastSave="0" documentId="13_ncr:1_{3EC30160-AF5B-43D9-95FB-FB3C78FC1F33}" xr6:coauthVersionLast="34" xr6:coauthVersionMax="34" xr10:uidLastSave="{00000000-0000-0000-0000-000000000000}"/>
  <workbookProtection workbookAlgorithmName="SHA-512" workbookHashValue="UnnfDSDcZSZsVJGbKQ1cOpKmodePE+QB4za7IAfs5MivTuEgeKp39NgHz/yHCpL0M5r0ZtWqqFR3lBtFZhu5qg==" workbookSaltValue="/ogyHR4vV95Q43XNEOfbaw==" workbookSpinCount="100000" lockStructure="1"/>
  <bookViews>
    <workbookView xWindow="0" yWindow="0" windowWidth="21495" windowHeight="10350" activeTab="1" xr2:uid="{00000000-000D-0000-FFFF-FFFF00000000}"/>
  </bookViews>
  <sheets>
    <sheet name="UserPermissionTable" sheetId="71" r:id="rId1"/>
    <sheet name="JUN2" sheetId="70" r:id="rId2"/>
    <sheet name="汇总" sheetId="49" r:id="rId3"/>
    <sheet name="JAN 2018" sheetId="47" r:id="rId4"/>
    <sheet name="FEB 2018" sheetId="48" r:id="rId5"/>
    <sheet name="MAR 2018" sheetId="50" r:id="rId6"/>
    <sheet name="APR" sheetId="60" r:id="rId7"/>
    <sheet name="MAY" sheetId="61" r:id="rId8"/>
    <sheet name="JUN" sheetId="64" r:id="rId9"/>
    <sheet name="汇总结果" sheetId="68" r:id="rId10"/>
    <sheet name="收款输入" sheetId="66" r:id="rId11"/>
    <sheet name="订单输入" sheetId="69" r:id="rId12"/>
    <sheet name="汇率" sheetId="56" r:id="rId13"/>
    <sheet name="下单月成本" sheetId="59" r:id="rId14"/>
    <sheet name="James" sheetId="57" r:id="rId15"/>
  </sheets>
  <definedNames>
    <definedName name="_xlnm._FilterDatabase" localSheetId="6" hidden="1">APR!$B$5:$Z$33</definedName>
    <definedName name="_xlnm._FilterDatabase" localSheetId="8" hidden="1">JUN!$A$2:$Z$40</definedName>
    <definedName name="_xlnm._FilterDatabase" localSheetId="1" hidden="1">'JUN2'!$A$1:$AE$39</definedName>
    <definedName name="_xlnm._FilterDatabase" localSheetId="7" hidden="1">MAY!$A$2:$Z$54</definedName>
    <definedName name="_xlnm._FilterDatabase" localSheetId="2" hidden="1">汇总!$B$2:$N$56</definedName>
    <definedName name="_xlnm._FilterDatabase" localSheetId="12" hidden="1">汇率!$A$1:$F$41</definedName>
    <definedName name="_xlnm.Print_Area" localSheetId="3">'JAN 2018'!$A$3:$L$56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2" i="70" l="1"/>
  <c r="X2" i="70"/>
  <c r="X3" i="70"/>
  <c r="X5" i="70"/>
  <c r="X6" i="70"/>
  <c r="X8" i="70"/>
  <c r="X9" i="70"/>
  <c r="X10" i="70"/>
  <c r="X11" i="70"/>
  <c r="X12" i="70"/>
  <c r="X14" i="70"/>
  <c r="X15" i="70"/>
  <c r="X17" i="70"/>
  <c r="X18" i="70"/>
  <c r="X20" i="70"/>
  <c r="X22" i="70"/>
  <c r="X23" i="70"/>
  <c r="X25" i="70"/>
  <c r="X26" i="70"/>
  <c r="X28" i="70"/>
  <c r="X29" i="70"/>
  <c r="X31" i="70"/>
  <c r="W14" i="70"/>
  <c r="W15" i="70"/>
  <c r="W16" i="70"/>
  <c r="W17" i="70"/>
  <c r="W18" i="70"/>
  <c r="W19" i="70"/>
  <c r="W20" i="70"/>
  <c r="W21" i="70"/>
  <c r="W22" i="70"/>
  <c r="W23" i="70"/>
  <c r="W24" i="70"/>
  <c r="W25" i="70"/>
  <c r="W26" i="70"/>
  <c r="W27" i="70"/>
  <c r="W28" i="70"/>
  <c r="W29" i="70"/>
  <c r="W30" i="70"/>
  <c r="W31" i="70"/>
  <c r="W32" i="70"/>
  <c r="W2" i="70"/>
  <c r="W3" i="70"/>
  <c r="W4" i="70"/>
  <c r="W5" i="70"/>
  <c r="W6" i="70"/>
  <c r="W7" i="70"/>
  <c r="W8" i="70"/>
  <c r="W9" i="70"/>
  <c r="W10" i="70"/>
  <c r="W11" i="70"/>
  <c r="W12" i="70"/>
  <c r="W13" i="70"/>
  <c r="R14" i="70"/>
  <c r="U14" i="70" s="1"/>
  <c r="R15" i="70"/>
  <c r="U15" i="70" s="1"/>
  <c r="R17" i="70"/>
  <c r="U17" i="70" s="1"/>
  <c r="R18" i="70"/>
  <c r="U18" i="70" s="1"/>
  <c r="R20" i="70"/>
  <c r="U20" i="70" s="1"/>
  <c r="R22" i="70"/>
  <c r="U22" i="70" s="1"/>
  <c r="R23" i="70"/>
  <c r="U23" i="70" s="1"/>
  <c r="R25" i="70"/>
  <c r="U25" i="70" s="1"/>
  <c r="R26" i="70"/>
  <c r="U26" i="70" s="1"/>
  <c r="R28" i="70"/>
  <c r="U28" i="70" s="1"/>
  <c r="R29" i="70"/>
  <c r="U29" i="70" s="1"/>
  <c r="R31" i="70"/>
  <c r="U31" i="70" s="1"/>
  <c r="R32" i="70"/>
  <c r="U32" i="70" s="1"/>
  <c r="R2" i="70"/>
  <c r="U2" i="70" s="1"/>
  <c r="R3" i="70"/>
  <c r="U3" i="70" s="1"/>
  <c r="R5" i="70"/>
  <c r="U5" i="70" s="1"/>
  <c r="R6" i="70"/>
  <c r="U6" i="70" s="1"/>
  <c r="R8" i="70"/>
  <c r="U8" i="70" s="1"/>
  <c r="R9" i="70"/>
  <c r="U9" i="70" s="1"/>
  <c r="R10" i="70"/>
  <c r="U10" i="70" s="1"/>
  <c r="R11" i="70"/>
  <c r="U11" i="70" s="1"/>
  <c r="R12" i="70"/>
  <c r="U12" i="70" s="1"/>
  <c r="K13" i="70"/>
  <c r="O13" i="70" s="1"/>
  <c r="K16" i="70"/>
  <c r="O16" i="70" s="1"/>
  <c r="K19" i="70"/>
  <c r="O19" i="70" s="1"/>
  <c r="K21" i="70"/>
  <c r="O21" i="70" s="1"/>
  <c r="K24" i="70"/>
  <c r="O24" i="70" s="1"/>
  <c r="K27" i="70"/>
  <c r="O27" i="70" s="1"/>
  <c r="K30" i="70"/>
  <c r="O30" i="70" s="1"/>
  <c r="K31" i="70"/>
  <c r="K32" i="70"/>
  <c r="J14" i="70"/>
  <c r="J15" i="70"/>
  <c r="J16" i="70"/>
  <c r="K15" i="70" s="1"/>
  <c r="O15" i="70" s="1"/>
  <c r="J17" i="70"/>
  <c r="J18" i="70"/>
  <c r="J19" i="70"/>
  <c r="K17" i="70" s="1"/>
  <c r="O17" i="70" s="1"/>
  <c r="J20" i="70"/>
  <c r="J21" i="70"/>
  <c r="K20" i="70" s="1"/>
  <c r="O20" i="70" s="1"/>
  <c r="J22" i="70"/>
  <c r="J23" i="70"/>
  <c r="J24" i="70"/>
  <c r="K23" i="70" s="1"/>
  <c r="O23" i="70" s="1"/>
  <c r="J25" i="70"/>
  <c r="J26" i="70"/>
  <c r="J27" i="70"/>
  <c r="K25" i="70" s="1"/>
  <c r="O25" i="70" s="1"/>
  <c r="J28" i="70"/>
  <c r="J29" i="70"/>
  <c r="J30" i="70"/>
  <c r="K28" i="70" s="1"/>
  <c r="O28" i="70" s="1"/>
  <c r="J31" i="70"/>
  <c r="J32" i="70"/>
  <c r="K4" i="70"/>
  <c r="O4" i="70" s="1"/>
  <c r="K7" i="70"/>
  <c r="O7" i="70" s="1"/>
  <c r="J2" i="70"/>
  <c r="J3" i="70"/>
  <c r="J4" i="70"/>
  <c r="K2" i="70" s="1"/>
  <c r="O2" i="70" s="1"/>
  <c r="J5" i="70"/>
  <c r="J6" i="70"/>
  <c r="J7" i="70"/>
  <c r="K5" i="70" s="1"/>
  <c r="O5" i="70" s="1"/>
  <c r="J8" i="70"/>
  <c r="J9" i="70"/>
  <c r="J10" i="70"/>
  <c r="J11" i="70"/>
  <c r="J12" i="70"/>
  <c r="F14" i="70"/>
  <c r="F15" i="70"/>
  <c r="F16" i="70"/>
  <c r="F17" i="70"/>
  <c r="F18" i="70"/>
  <c r="F19" i="70"/>
  <c r="F20" i="70"/>
  <c r="F21" i="70"/>
  <c r="F22" i="70"/>
  <c r="F23" i="70"/>
  <c r="F24" i="70"/>
  <c r="F25" i="70"/>
  <c r="F26" i="70"/>
  <c r="F27" i="70"/>
  <c r="F28" i="70"/>
  <c r="F29" i="70"/>
  <c r="F30" i="70"/>
  <c r="F31" i="70"/>
  <c r="F32" i="70"/>
  <c r="F7" i="70"/>
  <c r="F13" i="70"/>
  <c r="F2" i="70"/>
  <c r="F3" i="70"/>
  <c r="F4" i="70"/>
  <c r="F5" i="70"/>
  <c r="F6" i="70"/>
  <c r="F8" i="70"/>
  <c r="F9" i="70"/>
  <c r="F10" i="70"/>
  <c r="F11" i="70"/>
  <c r="F12" i="70"/>
  <c r="P33" i="70"/>
  <c r="J13" i="70"/>
  <c r="K9" i="70" s="1"/>
  <c r="O9" i="70" s="1"/>
  <c r="K22" i="70" l="1"/>
  <c r="K14" i="70"/>
  <c r="K29" i="70"/>
  <c r="O29" i="70" s="1"/>
  <c r="K26" i="70"/>
  <c r="K18" i="70"/>
  <c r="O18" i="70" s="1"/>
  <c r="Q18" i="70" s="1"/>
  <c r="K8" i="70"/>
  <c r="K6" i="70"/>
  <c r="O6" i="70" s="1"/>
  <c r="Q9" i="70"/>
  <c r="K11" i="70"/>
  <c r="O11" i="70" s="1"/>
  <c r="K3" i="70"/>
  <c r="O3" i="70" s="1"/>
  <c r="K10" i="70"/>
  <c r="O10" i="70" s="1"/>
  <c r="K12" i="70"/>
  <c r="O12" i="70" s="1"/>
  <c r="J33" i="70"/>
  <c r="J35" i="70" s="1"/>
  <c r="S33" i="70"/>
  <c r="O33" i="70"/>
  <c r="G36" i="70" s="1"/>
  <c r="M33" i="70"/>
  <c r="Y32" i="70"/>
  <c r="Z32" i="70" s="1"/>
  <c r="Z37" i="70" s="1"/>
  <c r="AA32" i="70" s="1"/>
  <c r="AA37" i="70" s="1"/>
  <c r="Q28" i="70"/>
  <c r="L29" i="70"/>
  <c r="L28" i="70"/>
  <c r="Y27" i="70"/>
  <c r="L26" i="70"/>
  <c r="G26" i="70"/>
  <c r="G27" i="70" s="1"/>
  <c r="L25" i="70"/>
  <c r="L23" i="70"/>
  <c r="L22" i="70"/>
  <c r="Q20" i="70"/>
  <c r="R21" i="70" s="1"/>
  <c r="L20" i="70"/>
  <c r="Q17" i="70"/>
  <c r="L18" i="70"/>
  <c r="L17" i="70"/>
  <c r="L15" i="70"/>
  <c r="Q15" i="70"/>
  <c r="G15" i="70"/>
  <c r="G16" i="70" s="1"/>
  <c r="L14" i="70"/>
  <c r="Y13" i="70"/>
  <c r="L12" i="70"/>
  <c r="V12" i="70" s="1"/>
  <c r="G12" i="70"/>
  <c r="G13" i="70" s="1"/>
  <c r="L11" i="70"/>
  <c r="V11" i="70" s="1"/>
  <c r="L10" i="70"/>
  <c r="V10" i="70" s="1"/>
  <c r="L9" i="70"/>
  <c r="V9" i="70" s="1"/>
  <c r="L8" i="70"/>
  <c r="V8" i="70" s="1"/>
  <c r="Q5" i="70"/>
  <c r="L6" i="70"/>
  <c r="G6" i="70"/>
  <c r="G7" i="70" s="1"/>
  <c r="L5" i="70"/>
  <c r="Q2" i="70"/>
  <c r="L3" i="70"/>
  <c r="L2" i="70"/>
  <c r="R19" i="70" l="1"/>
  <c r="O26" i="70"/>
  <c r="Q26" i="70" s="1"/>
  <c r="U21" i="70"/>
  <c r="O14" i="70"/>
  <c r="Q14" i="70" s="1"/>
  <c r="R16" i="70" s="1"/>
  <c r="O22" i="70"/>
  <c r="Q22" i="70" s="1"/>
  <c r="Q11" i="70"/>
  <c r="Q6" i="70"/>
  <c r="R7" i="70" s="1"/>
  <c r="O8" i="70"/>
  <c r="Q8" i="70" s="1"/>
  <c r="Q12" i="70"/>
  <c r="Q10" i="70"/>
  <c r="G29" i="70"/>
  <c r="G30" i="70" s="1"/>
  <c r="Q29" i="70"/>
  <c r="R30" i="70" s="1"/>
  <c r="G38" i="70"/>
  <c r="G23" i="70"/>
  <c r="G24" i="70" s="1"/>
  <c r="Q23" i="70"/>
  <c r="G20" i="70"/>
  <c r="G21" i="70" s="1"/>
  <c r="G18" i="70"/>
  <c r="G19" i="70" s="1"/>
  <c r="V2" i="70"/>
  <c r="V6" i="70"/>
  <c r="V18" i="70"/>
  <c r="V20" i="70"/>
  <c r="V21" i="70" s="1"/>
  <c r="V23" i="70"/>
  <c r="V3" i="70"/>
  <c r="V15" i="70"/>
  <c r="V22" i="70"/>
  <c r="V25" i="70"/>
  <c r="V5" i="70"/>
  <c r="V7" i="70" s="1"/>
  <c r="V17" i="70"/>
  <c r="V19" i="70" s="1"/>
  <c r="V28" i="70"/>
  <c r="V14" i="70"/>
  <c r="V26" i="70"/>
  <c r="V29" i="70"/>
  <c r="Y33" i="70"/>
  <c r="Q25" i="70"/>
  <c r="Q3" i="70"/>
  <c r="R4" i="70" s="1"/>
  <c r="G3" i="70"/>
  <c r="J1" i="68"/>
  <c r="I1" i="68"/>
  <c r="X21" i="70" l="1"/>
  <c r="R24" i="70"/>
  <c r="U24" i="70" s="1"/>
  <c r="V16" i="70"/>
  <c r="V24" i="70"/>
  <c r="R13" i="70"/>
  <c r="U13" i="70" s="1"/>
  <c r="U4" i="70"/>
  <c r="U16" i="70"/>
  <c r="X16" i="70" s="1"/>
  <c r="Z16" i="70" s="1"/>
  <c r="U30" i="70"/>
  <c r="U7" i="70"/>
  <c r="X7" i="70" s="1"/>
  <c r="Z7" i="70" s="1"/>
  <c r="R27" i="70"/>
  <c r="U19" i="70"/>
  <c r="X19" i="70" s="1"/>
  <c r="Z19" i="70" s="1"/>
  <c r="V30" i="70"/>
  <c r="Z21" i="70"/>
  <c r="V13" i="70"/>
  <c r="V4" i="70"/>
  <c r="V27" i="70"/>
  <c r="G4" i="70"/>
  <c r="G33" i="70" s="1"/>
  <c r="G35" i="70" s="1"/>
  <c r="G37" i="70" s="1"/>
  <c r="G39" i="70" s="1"/>
  <c r="G14" i="64"/>
  <c r="E13" i="64" s="1"/>
  <c r="E14" i="64" s="1"/>
  <c r="C6" i="66"/>
  <c r="D14" i="64"/>
  <c r="H10" i="64"/>
  <c r="L10" i="64" s="1"/>
  <c r="M10" i="64" s="1"/>
  <c r="H11" i="64"/>
  <c r="L11" i="64"/>
  <c r="M11" i="64" s="1"/>
  <c r="H12" i="64"/>
  <c r="L12" i="64"/>
  <c r="M12" i="64" s="1"/>
  <c r="I12" i="64"/>
  <c r="Q12" i="64" s="1"/>
  <c r="R14" i="64"/>
  <c r="G17" i="64"/>
  <c r="H15" i="64"/>
  <c r="L15" i="64"/>
  <c r="M15" i="64" s="1"/>
  <c r="M17" i="64" s="1"/>
  <c r="H16" i="64"/>
  <c r="L16" i="64"/>
  <c r="M16" i="64" s="1"/>
  <c r="R17" i="64"/>
  <c r="G20" i="64"/>
  <c r="H19" i="64" s="1"/>
  <c r="L19" i="64" s="1"/>
  <c r="M19" i="64" s="1"/>
  <c r="H18" i="64"/>
  <c r="L18" i="64" s="1"/>
  <c r="M18" i="64" s="1"/>
  <c r="M20" i="64" s="1"/>
  <c r="G22" i="64"/>
  <c r="H21" i="64" s="1"/>
  <c r="L21" i="64" s="1"/>
  <c r="M21" i="64" s="1"/>
  <c r="M22" i="64" s="1"/>
  <c r="F53" i="56"/>
  <c r="I21" i="64"/>
  <c r="Q21" i="64" s="1"/>
  <c r="Q22" i="64" s="1"/>
  <c r="E7" i="59"/>
  <c r="B7" i="59" s="1"/>
  <c r="R22" i="64" s="1"/>
  <c r="G25" i="64"/>
  <c r="F42" i="56"/>
  <c r="I23" i="64" s="1"/>
  <c r="Q23" i="64" s="1"/>
  <c r="F52" i="56"/>
  <c r="I24" i="64" s="1"/>
  <c r="Q24" i="64" s="1"/>
  <c r="R25" i="64"/>
  <c r="G28" i="64"/>
  <c r="H26" i="64" s="1"/>
  <c r="L26" i="64" s="1"/>
  <c r="M26" i="64" s="1"/>
  <c r="H27" i="64"/>
  <c r="L27" i="64"/>
  <c r="M27" i="64" s="1"/>
  <c r="F43" i="56"/>
  <c r="I26" i="64" s="1"/>
  <c r="Q26" i="64" s="1"/>
  <c r="F56" i="56"/>
  <c r="I27" i="64"/>
  <c r="Q27" i="64"/>
  <c r="R28" i="64"/>
  <c r="M9" i="59"/>
  <c r="O9" i="59" s="1"/>
  <c r="T28" i="64" s="1"/>
  <c r="G31" i="64"/>
  <c r="H29" i="64" s="1"/>
  <c r="L29" i="64" s="1"/>
  <c r="M29" i="64" s="1"/>
  <c r="H30" i="64"/>
  <c r="L30" i="64" s="1"/>
  <c r="M30" i="64" s="1"/>
  <c r="M31" i="64"/>
  <c r="F48" i="56"/>
  <c r="I29" i="64" s="1"/>
  <c r="Q29" i="64" s="1"/>
  <c r="Q31" i="64" s="1"/>
  <c r="F59" i="56"/>
  <c r="I19" i="64" s="1"/>
  <c r="Q19" i="64" s="1"/>
  <c r="I30" i="64"/>
  <c r="Q30" i="64" s="1"/>
  <c r="E6" i="59"/>
  <c r="B6" i="59" s="1"/>
  <c r="F50" i="56"/>
  <c r="I18" i="64" s="1"/>
  <c r="Q18" i="64" s="1"/>
  <c r="Q20" i="64" s="1"/>
  <c r="M7" i="59"/>
  <c r="O7" i="59"/>
  <c r="G5" i="64"/>
  <c r="H3" i="64" s="1"/>
  <c r="L3" i="64" s="1"/>
  <c r="M3" i="64" s="1"/>
  <c r="H4" i="64"/>
  <c r="L4" i="64"/>
  <c r="M4" i="64" s="1"/>
  <c r="F44" i="56"/>
  <c r="I3" i="64" s="1"/>
  <c r="Q3" i="64" s="1"/>
  <c r="F54" i="56"/>
  <c r="I4" i="64"/>
  <c r="Q4" i="64"/>
  <c r="R5" i="64"/>
  <c r="G8" i="64"/>
  <c r="H7" i="64" s="1"/>
  <c r="L7" i="64" s="1"/>
  <c r="M7" i="64" s="1"/>
  <c r="H6" i="64"/>
  <c r="L6" i="64"/>
  <c r="M6" i="64" s="1"/>
  <c r="F45" i="56"/>
  <c r="I6" i="64"/>
  <c r="Q6" i="64"/>
  <c r="Q8" i="64" s="1"/>
  <c r="F55" i="56"/>
  <c r="I7" i="64"/>
  <c r="Q7" i="64"/>
  <c r="R8" i="64"/>
  <c r="F46" i="56"/>
  <c r="I9" i="64" s="1"/>
  <c r="Q9" i="64" s="1"/>
  <c r="F49" i="56"/>
  <c r="I10" i="64" s="1"/>
  <c r="Q10" i="64" s="1"/>
  <c r="F51" i="56"/>
  <c r="I11" i="64" s="1"/>
  <c r="Q11" i="64" s="1"/>
  <c r="F58" i="56"/>
  <c r="I13" i="64" s="1"/>
  <c r="Q13" i="64" s="1"/>
  <c r="M8" i="59"/>
  <c r="O8" i="59" s="1"/>
  <c r="T14" i="64" s="1"/>
  <c r="F47" i="56"/>
  <c r="I15" i="64" s="1"/>
  <c r="Q15" i="64" s="1"/>
  <c r="F57" i="56"/>
  <c r="I16" i="64" s="1"/>
  <c r="Q16" i="64" s="1"/>
  <c r="E30" i="64"/>
  <c r="E31" i="64"/>
  <c r="D31" i="64"/>
  <c r="L10" i="59"/>
  <c r="J34" i="64"/>
  <c r="E39" i="64" s="1"/>
  <c r="N34" i="64"/>
  <c r="E4" i="64"/>
  <c r="E7" i="64"/>
  <c r="E8" i="64" s="1"/>
  <c r="E16" i="64"/>
  <c r="E17" i="64"/>
  <c r="E19" i="64"/>
  <c r="E20" i="64"/>
  <c r="E21" i="64"/>
  <c r="E22" i="64" s="1"/>
  <c r="E27" i="64"/>
  <c r="E28" i="64"/>
  <c r="E5" i="61"/>
  <c r="E9" i="61"/>
  <c r="E10" i="61" s="1"/>
  <c r="E13" i="61"/>
  <c r="E14" i="61"/>
  <c r="E17" i="61"/>
  <c r="E18" i="61" s="1"/>
  <c r="E21" i="61"/>
  <c r="E22" i="61" s="1"/>
  <c r="E24" i="61"/>
  <c r="E25" i="61" s="1"/>
  <c r="E29" i="61"/>
  <c r="E30" i="61" s="1"/>
  <c r="E33" i="61"/>
  <c r="E34" i="61" s="1"/>
  <c r="E36" i="61"/>
  <c r="E37" i="61" s="1"/>
  <c r="E39" i="61"/>
  <c r="E40" i="61" s="1"/>
  <c r="E42" i="61"/>
  <c r="E43" i="61"/>
  <c r="E45" i="61"/>
  <c r="E46" i="61" s="1"/>
  <c r="E48" i="61"/>
  <c r="E49" i="61" s="1"/>
  <c r="E51" i="61"/>
  <c r="E52" i="61" s="1"/>
  <c r="E54" i="61"/>
  <c r="E55" i="61"/>
  <c r="G6" i="61"/>
  <c r="H4" i="61" s="1"/>
  <c r="L4" i="61" s="1"/>
  <c r="M4" i="61" s="1"/>
  <c r="G10" i="61"/>
  <c r="G14" i="61"/>
  <c r="G18" i="61"/>
  <c r="H17" i="61" s="1"/>
  <c r="L17" i="61" s="1"/>
  <c r="M17" i="61" s="1"/>
  <c r="G22" i="61"/>
  <c r="G25" i="61"/>
  <c r="H23" i="61" s="1"/>
  <c r="L23" i="61" s="1"/>
  <c r="G30" i="61"/>
  <c r="G34" i="61"/>
  <c r="H31" i="61" s="1"/>
  <c r="G37" i="61"/>
  <c r="G40" i="61"/>
  <c r="G43" i="61"/>
  <c r="G46" i="61"/>
  <c r="G49" i="61"/>
  <c r="G52" i="61"/>
  <c r="H51" i="61" s="1"/>
  <c r="G55" i="61"/>
  <c r="L34" i="64"/>
  <c r="E37" i="64" s="1"/>
  <c r="D5" i="64"/>
  <c r="D8" i="64"/>
  <c r="D17" i="64"/>
  <c r="D20" i="64"/>
  <c r="D22" i="64"/>
  <c r="D25" i="64"/>
  <c r="D28" i="64"/>
  <c r="M50" i="61"/>
  <c r="M52" i="61" s="1"/>
  <c r="P52" i="61" s="1"/>
  <c r="M51" i="61"/>
  <c r="Q50" i="61"/>
  <c r="H50" i="61"/>
  <c r="Q51" i="61"/>
  <c r="R52" i="61"/>
  <c r="Y52" i="61"/>
  <c r="Z52" i="61"/>
  <c r="H32" i="61"/>
  <c r="L32" i="61" s="1"/>
  <c r="M32" i="61" s="1"/>
  <c r="H33" i="61"/>
  <c r="L33" i="61" s="1"/>
  <c r="M33" i="61" s="1"/>
  <c r="Q31" i="61"/>
  <c r="Q32" i="61"/>
  <c r="Q33" i="61"/>
  <c r="R34" i="61"/>
  <c r="Y34" i="61"/>
  <c r="Z34" i="61"/>
  <c r="H41" i="61"/>
  <c r="L41" i="61"/>
  <c r="M41" i="61"/>
  <c r="M43" i="61" s="1"/>
  <c r="H42" i="61"/>
  <c r="L42" i="61" s="1"/>
  <c r="M42" i="61" s="1"/>
  <c r="Q41" i="61"/>
  <c r="Q43" i="61" s="1"/>
  <c r="Q42" i="61"/>
  <c r="P43" i="61"/>
  <c r="R43" i="61"/>
  <c r="Y43" i="61"/>
  <c r="Z43" i="61"/>
  <c r="W37" i="61"/>
  <c r="W34" i="61"/>
  <c r="M35" i="61"/>
  <c r="M37" i="61" s="1"/>
  <c r="M36" i="61"/>
  <c r="Q35" i="61"/>
  <c r="H35" i="61"/>
  <c r="Q36" i="61"/>
  <c r="Q37" i="61" s="1"/>
  <c r="H36" i="61"/>
  <c r="R37" i="61"/>
  <c r="Y37" i="61"/>
  <c r="Z37" i="61"/>
  <c r="W40" i="61"/>
  <c r="W43" i="61"/>
  <c r="W46" i="61"/>
  <c r="W49" i="61"/>
  <c r="W52" i="61"/>
  <c r="W55" i="61"/>
  <c r="U40" i="61"/>
  <c r="M44" i="61"/>
  <c r="M46" i="61" s="1"/>
  <c r="M45" i="61"/>
  <c r="Q44" i="61"/>
  <c r="Q46" i="61" s="1"/>
  <c r="H44" i="61"/>
  <c r="Q45" i="61"/>
  <c r="H45" i="61"/>
  <c r="R46" i="61"/>
  <c r="Y46" i="61"/>
  <c r="Z46" i="61"/>
  <c r="M47" i="61"/>
  <c r="M48" i="61"/>
  <c r="M49" i="61"/>
  <c r="P49" i="61" s="1"/>
  <c r="Q47" i="61"/>
  <c r="Q49" i="61" s="1"/>
  <c r="H47" i="61"/>
  <c r="Q48" i="61"/>
  <c r="H48" i="61"/>
  <c r="R49" i="61"/>
  <c r="Y49" i="61"/>
  <c r="Z49" i="61"/>
  <c r="M53" i="61"/>
  <c r="M55" i="61" s="1"/>
  <c r="M54" i="61"/>
  <c r="Q53" i="61"/>
  <c r="Q54" i="61"/>
  <c r="R55" i="61"/>
  <c r="Y55" i="61"/>
  <c r="Z55" i="61"/>
  <c r="H3" i="61"/>
  <c r="L3" i="61"/>
  <c r="M3" i="61" s="1"/>
  <c r="H5" i="61"/>
  <c r="L5" i="61" s="1"/>
  <c r="M5" i="61" s="1"/>
  <c r="M6" i="61" s="1"/>
  <c r="F9" i="56"/>
  <c r="I3" i="61" s="1"/>
  <c r="Q3" i="61" s="1"/>
  <c r="Q6" i="61" s="1"/>
  <c r="Q4" i="61"/>
  <c r="Q5" i="61"/>
  <c r="R6" i="61"/>
  <c r="Y6" i="61"/>
  <c r="Z6" i="61"/>
  <c r="H7" i="61"/>
  <c r="L7" i="61" s="1"/>
  <c r="M7" i="61" s="1"/>
  <c r="H8" i="61"/>
  <c r="L8" i="61" s="1"/>
  <c r="M8" i="61" s="1"/>
  <c r="H9" i="61"/>
  <c r="L9" i="61" s="1"/>
  <c r="M9" i="61" s="1"/>
  <c r="Q7" i="61"/>
  <c r="Q8" i="61"/>
  <c r="Q9" i="61"/>
  <c r="J10" i="61"/>
  <c r="J56" i="61" s="1"/>
  <c r="E61" i="61" s="1"/>
  <c r="R10" i="61"/>
  <c r="Y10" i="61"/>
  <c r="Z10" i="61"/>
  <c r="H11" i="61"/>
  <c r="L11" i="61"/>
  <c r="M11" i="61" s="1"/>
  <c r="H12" i="61"/>
  <c r="L12" i="61" s="1"/>
  <c r="M12" i="61" s="1"/>
  <c r="H13" i="61"/>
  <c r="L13" i="61" s="1"/>
  <c r="M13" i="61" s="1"/>
  <c r="Q11" i="61"/>
  <c r="Q12" i="61"/>
  <c r="Q13" i="61"/>
  <c r="R14" i="61"/>
  <c r="Y14" i="61"/>
  <c r="Z14" i="61"/>
  <c r="H16" i="61"/>
  <c r="L16" i="61" s="1"/>
  <c r="M16" i="61" s="1"/>
  <c r="Q15" i="61"/>
  <c r="Q16" i="61"/>
  <c r="Q17" i="61"/>
  <c r="R18" i="61"/>
  <c r="Y18" i="61"/>
  <c r="Z18" i="61"/>
  <c r="H19" i="61"/>
  <c r="L19" i="61"/>
  <c r="M19" i="61" s="1"/>
  <c r="H20" i="61"/>
  <c r="L20" i="61" s="1"/>
  <c r="M20" i="61" s="1"/>
  <c r="H21" i="61"/>
  <c r="L21" i="61" s="1"/>
  <c r="M21" i="61" s="1"/>
  <c r="Q19" i="61"/>
  <c r="Q20" i="61"/>
  <c r="Q22" i="61" s="1"/>
  <c r="Q25" i="61" s="1"/>
  <c r="Q21" i="61"/>
  <c r="R22" i="61"/>
  <c r="Y22" i="61"/>
  <c r="Z22" i="61"/>
  <c r="M23" i="61"/>
  <c r="M25" i="61" s="1"/>
  <c r="H24" i="61"/>
  <c r="L24" i="61" s="1"/>
  <c r="M24" i="61" s="1"/>
  <c r="Q23" i="61"/>
  <c r="Q24" i="61"/>
  <c r="P25" i="61"/>
  <c r="R25" i="61"/>
  <c r="Y25" i="61"/>
  <c r="Z25" i="61"/>
  <c r="Q26" i="61"/>
  <c r="Q27" i="61"/>
  <c r="Q28" i="61"/>
  <c r="Q29" i="61"/>
  <c r="R30" i="61"/>
  <c r="Y30" i="61"/>
  <c r="Z30" i="61"/>
  <c r="W6" i="61"/>
  <c r="W10" i="61"/>
  <c r="W14" i="61"/>
  <c r="W18" i="61"/>
  <c r="W22" i="61"/>
  <c r="W25" i="61"/>
  <c r="W30" i="61"/>
  <c r="T56" i="61"/>
  <c r="X40" i="61"/>
  <c r="N56" i="61"/>
  <c r="L56" i="61"/>
  <c r="M38" i="61"/>
  <c r="M40" i="61" s="1"/>
  <c r="P40" i="61" s="1"/>
  <c r="M39" i="61"/>
  <c r="Q38" i="61"/>
  <c r="Q40" i="61" s="1"/>
  <c r="H38" i="61"/>
  <c r="Q39" i="61"/>
  <c r="H39" i="61"/>
  <c r="Y40" i="61"/>
  <c r="Z40" i="61"/>
  <c r="E5" i="59"/>
  <c r="E59" i="61"/>
  <c r="D6" i="61"/>
  <c r="D10" i="61"/>
  <c r="D13" i="61"/>
  <c r="D14" i="61"/>
  <c r="D18" i="61"/>
  <c r="D22" i="61"/>
  <c r="D25" i="61"/>
  <c r="D30" i="61"/>
  <c r="D34" i="61"/>
  <c r="D37" i="61"/>
  <c r="D40" i="61"/>
  <c r="D43" i="61"/>
  <c r="D46" i="61"/>
  <c r="D49" i="61"/>
  <c r="D52" i="61"/>
  <c r="X55" i="61"/>
  <c r="X52" i="61"/>
  <c r="X49" i="61"/>
  <c r="X46" i="61"/>
  <c r="X43" i="61"/>
  <c r="X37" i="61"/>
  <c r="X34" i="61"/>
  <c r="X30" i="61"/>
  <c r="X25" i="61"/>
  <c r="X22" i="61"/>
  <c r="X18" i="61"/>
  <c r="X14" i="61"/>
  <c r="X10" i="61"/>
  <c r="X6" i="61"/>
  <c r="D55" i="61"/>
  <c r="F25" i="56"/>
  <c r="F41" i="56"/>
  <c r="F40" i="56"/>
  <c r="F39" i="56"/>
  <c r="F38" i="56"/>
  <c r="F37" i="56"/>
  <c r="F36" i="56"/>
  <c r="F35" i="56"/>
  <c r="F34" i="56"/>
  <c r="F33" i="56"/>
  <c r="F32" i="56"/>
  <c r="F29" i="56"/>
  <c r="F28" i="56"/>
  <c r="F26" i="56"/>
  <c r="F21" i="56"/>
  <c r="F19" i="56"/>
  <c r="F18" i="56"/>
  <c r="F16" i="56"/>
  <c r="F15" i="56"/>
  <c r="F13" i="56"/>
  <c r="F12" i="56"/>
  <c r="F8" i="56"/>
  <c r="F3" i="56"/>
  <c r="J33" i="60"/>
  <c r="N33" i="60"/>
  <c r="O33" i="60"/>
  <c r="E39" i="60"/>
  <c r="E33" i="60"/>
  <c r="E36" i="60"/>
  <c r="L33" i="60"/>
  <c r="E37" i="60" s="1"/>
  <c r="T10" i="60"/>
  <c r="G13" i="60"/>
  <c r="H12" i="60" s="1"/>
  <c r="L12" i="60" s="1"/>
  <c r="M12" i="60" s="1"/>
  <c r="Q11" i="60"/>
  <c r="H11" i="60"/>
  <c r="Q12" i="60"/>
  <c r="R13" i="60"/>
  <c r="G16" i="60"/>
  <c r="M16" i="60"/>
  <c r="P16" i="60" s="1"/>
  <c r="Q14" i="60"/>
  <c r="H14" i="60"/>
  <c r="L14" i="60" s="1"/>
  <c r="M14" i="60" s="1"/>
  <c r="Q15" i="60"/>
  <c r="H15" i="60"/>
  <c r="Q16" i="60"/>
  <c r="S16" i="60" s="1"/>
  <c r="T16" i="60" s="1"/>
  <c r="R16" i="60"/>
  <c r="T21" i="60"/>
  <c r="G26" i="60"/>
  <c r="M26" i="60"/>
  <c r="Q22" i="60"/>
  <c r="H22" i="60"/>
  <c r="Q23" i="60"/>
  <c r="H23" i="60"/>
  <c r="L23" i="60" s="1"/>
  <c r="M23" i="60" s="1"/>
  <c r="Q24" i="60"/>
  <c r="H24" i="60"/>
  <c r="Q25" i="60"/>
  <c r="H25" i="60"/>
  <c r="Q26" i="60"/>
  <c r="S26" i="60" s="1"/>
  <c r="T26" i="60" s="1"/>
  <c r="P26" i="60"/>
  <c r="R26" i="60"/>
  <c r="G29" i="60"/>
  <c r="H28" i="60" s="1"/>
  <c r="L28" i="60" s="1"/>
  <c r="M28" i="60" s="1"/>
  <c r="Q27" i="60"/>
  <c r="H27" i="60"/>
  <c r="Q28" i="60"/>
  <c r="R29" i="60"/>
  <c r="T32" i="60"/>
  <c r="T38" i="60"/>
  <c r="U38" i="60" s="1"/>
  <c r="U32" i="60"/>
  <c r="G10" i="60"/>
  <c r="M10" i="60" s="1"/>
  <c r="G21" i="60"/>
  <c r="H19" i="60" s="1"/>
  <c r="L19" i="60" s="1"/>
  <c r="M19" i="60" s="1"/>
  <c r="G32" i="60"/>
  <c r="D33" i="60"/>
  <c r="W32" i="60"/>
  <c r="R32" i="60"/>
  <c r="Q30" i="60"/>
  <c r="Q31" i="60"/>
  <c r="W29" i="60"/>
  <c r="L27" i="60"/>
  <c r="M27" i="60" s="1"/>
  <c r="W26" i="60"/>
  <c r="L25" i="60"/>
  <c r="M25" i="60" s="1"/>
  <c r="L24" i="60"/>
  <c r="M24" i="60" s="1"/>
  <c r="L22" i="60"/>
  <c r="M22" i="60" s="1"/>
  <c r="W21" i="60"/>
  <c r="R21" i="60"/>
  <c r="Q17" i="60"/>
  <c r="Q18" i="60"/>
  <c r="H18" i="60"/>
  <c r="L18" i="60" s="1"/>
  <c r="M18" i="60" s="1"/>
  <c r="Q19" i="60"/>
  <c r="Q20" i="60"/>
  <c r="W16" i="60"/>
  <c r="L15" i="60"/>
  <c r="M15" i="60" s="1"/>
  <c r="W13" i="60"/>
  <c r="W10" i="60"/>
  <c r="R10" i="60"/>
  <c r="Q6" i="60"/>
  <c r="Q7" i="60"/>
  <c r="Q8" i="60"/>
  <c r="H8" i="60"/>
  <c r="L8" i="60" s="1"/>
  <c r="M8" i="60" s="1"/>
  <c r="Q9" i="60"/>
  <c r="F5" i="57"/>
  <c r="D3" i="57"/>
  <c r="G3" i="57"/>
  <c r="D4" i="57"/>
  <c r="B5" i="57"/>
  <c r="C2" i="57"/>
  <c r="C5" i="57" s="1"/>
  <c r="B6" i="57" s="1"/>
  <c r="F6" i="56"/>
  <c r="F5" i="56"/>
  <c r="F7" i="56"/>
  <c r="F10" i="56"/>
  <c r="F11" i="56"/>
  <c r="F14" i="56"/>
  <c r="F17" i="56"/>
  <c r="F20" i="56"/>
  <c r="F22" i="56"/>
  <c r="F23" i="56"/>
  <c r="F24" i="56"/>
  <c r="F27" i="56"/>
  <c r="F30" i="56"/>
  <c r="F31" i="56"/>
  <c r="F4" i="56"/>
  <c r="E93" i="50"/>
  <c r="E94" i="50"/>
  <c r="E102" i="50"/>
  <c r="H88" i="50"/>
  <c r="H92" i="50"/>
  <c r="H102" i="50" s="1"/>
  <c r="H98" i="50"/>
  <c r="H99" i="50"/>
  <c r="I102" i="50"/>
  <c r="D91" i="50"/>
  <c r="D102" i="50" s="1"/>
  <c r="B104" i="50" s="1"/>
  <c r="D93" i="50"/>
  <c r="D100" i="50"/>
  <c r="G88" i="50"/>
  <c r="G102" i="50" s="1"/>
  <c r="B105" i="50" s="1"/>
  <c r="G92" i="50"/>
  <c r="C88" i="50"/>
  <c r="C92" i="50"/>
  <c r="C100" i="50"/>
  <c r="C102" i="50" s="1"/>
  <c r="G5" i="50"/>
  <c r="H5" i="50"/>
  <c r="C17" i="50" s="1"/>
  <c r="F27" i="50"/>
  <c r="C19" i="50"/>
  <c r="F29" i="50"/>
  <c r="C29" i="50" s="1"/>
  <c r="D8" i="50"/>
  <c r="C20" i="50"/>
  <c r="C30" i="50" s="1"/>
  <c r="F30" i="50"/>
  <c r="G9" i="50"/>
  <c r="H9" i="50"/>
  <c r="C21" i="50"/>
  <c r="C31" i="50" s="1"/>
  <c r="F31" i="50"/>
  <c r="D10" i="50"/>
  <c r="C22" i="50" s="1"/>
  <c r="E10" i="50"/>
  <c r="F32" i="50"/>
  <c r="E11" i="50"/>
  <c r="C23" i="50" s="1"/>
  <c r="C33" i="50" s="1"/>
  <c r="C24" i="50"/>
  <c r="C34" i="50" s="1"/>
  <c r="C51" i="50"/>
  <c r="C56" i="50"/>
  <c r="H45" i="50"/>
  <c r="C52" i="50"/>
  <c r="C57" i="50" s="1"/>
  <c r="C58" i="50"/>
  <c r="C59" i="50" s="1"/>
  <c r="C60" i="50" s="1"/>
  <c r="H64" i="50"/>
  <c r="C71" i="50"/>
  <c r="C75" i="50" s="1"/>
  <c r="C78" i="50" s="1"/>
  <c r="C79" i="50" s="1"/>
  <c r="D65" i="50"/>
  <c r="C72" i="50" s="1"/>
  <c r="C76" i="50"/>
  <c r="C73" i="50"/>
  <c r="C77" i="50"/>
  <c r="C65" i="50"/>
  <c r="C67" i="50" s="1"/>
  <c r="E55" i="50"/>
  <c r="F55" i="50" s="1"/>
  <c r="C55" i="50" s="1"/>
  <c r="C50" i="50"/>
  <c r="C46" i="50"/>
  <c r="F28" i="50"/>
  <c r="C18" i="50"/>
  <c r="C28" i="50" s="1"/>
  <c r="C5" i="50"/>
  <c r="C13" i="50" s="1"/>
  <c r="C9" i="50"/>
  <c r="E51" i="48"/>
  <c r="B56" i="48" s="1"/>
  <c r="B57" i="48" s="1"/>
  <c r="H50" i="48"/>
  <c r="H51" i="48" s="1"/>
  <c r="I51" i="48"/>
  <c r="D51" i="48"/>
  <c r="B53" i="48" s="1"/>
  <c r="G51" i="48"/>
  <c r="B54" i="48"/>
  <c r="B55" i="48"/>
  <c r="C51" i="48"/>
  <c r="C11" i="48"/>
  <c r="C15" i="48" s="1"/>
  <c r="C17" i="48" s="1"/>
  <c r="C18" i="48" s="1"/>
  <c r="B42" i="48" s="1"/>
  <c r="F15" i="48"/>
  <c r="C30" i="48"/>
  <c r="C34" i="48" s="1"/>
  <c r="C36" i="48" s="1"/>
  <c r="C37" i="48" s="1"/>
  <c r="H25" i="48"/>
  <c r="C31" i="48" s="1"/>
  <c r="C35" i="48"/>
  <c r="C38" i="48"/>
  <c r="C26" i="48"/>
  <c r="F16" i="48"/>
  <c r="C12" i="48"/>
  <c r="C16" i="48"/>
  <c r="C7" i="48"/>
  <c r="D6" i="47"/>
  <c r="C14" i="47"/>
  <c r="C20" i="47" s="1"/>
  <c r="F20" i="47"/>
  <c r="C23" i="47"/>
  <c r="C24" i="47" s="1"/>
  <c r="C40" i="47"/>
  <c r="E48" i="47"/>
  <c r="F48" i="47"/>
  <c r="C48" i="47"/>
  <c r="E50" i="47"/>
  <c r="F50" i="47"/>
  <c r="C42" i="47"/>
  <c r="C50" i="47"/>
  <c r="E51" i="47"/>
  <c r="F51" i="47"/>
  <c r="C43" i="47"/>
  <c r="C51" i="47"/>
  <c r="E52" i="47"/>
  <c r="F52" i="47"/>
  <c r="C44" i="47"/>
  <c r="C52" i="47"/>
  <c r="E53" i="47"/>
  <c r="F53" i="47"/>
  <c r="C45" i="47"/>
  <c r="C53" i="47"/>
  <c r="E91" i="47"/>
  <c r="E92" i="47"/>
  <c r="H92" i="47"/>
  <c r="I92" i="47"/>
  <c r="D81" i="47"/>
  <c r="D92" i="47" s="1"/>
  <c r="B94" i="47"/>
  <c r="G92" i="47"/>
  <c r="B95" i="47"/>
  <c r="B96" i="47"/>
  <c r="C81" i="47"/>
  <c r="C92" i="47"/>
  <c r="E60" i="47"/>
  <c r="I60" i="47"/>
  <c r="F69" i="47"/>
  <c r="F68" i="47"/>
  <c r="C65" i="47"/>
  <c r="C68" i="47"/>
  <c r="C61" i="47"/>
  <c r="C36" i="47"/>
  <c r="F22" i="47"/>
  <c r="C16" i="47"/>
  <c r="F21" i="47"/>
  <c r="C21" i="47" s="1"/>
  <c r="C15" i="47"/>
  <c r="F19" i="47"/>
  <c r="C13" i="47"/>
  <c r="C19" i="47"/>
  <c r="C6" i="47"/>
  <c r="C9" i="47" s="1"/>
  <c r="F14" i="49"/>
  <c r="F24" i="49"/>
  <c r="F25" i="49"/>
  <c r="I18" i="49"/>
  <c r="I19" i="49"/>
  <c r="I56" i="49" s="1"/>
  <c r="I23" i="49"/>
  <c r="I29" i="49"/>
  <c r="I30" i="49"/>
  <c r="J56" i="49"/>
  <c r="E4" i="49"/>
  <c r="E22" i="49"/>
  <c r="E24" i="49"/>
  <c r="E56" i="49" s="1"/>
  <c r="C59" i="49" s="1"/>
  <c r="E31" i="49"/>
  <c r="H19" i="49"/>
  <c r="H56" i="49" s="1"/>
  <c r="C60" i="49" s="1"/>
  <c r="H23" i="49"/>
  <c r="D4" i="49"/>
  <c r="D56" i="49" s="1"/>
  <c r="D19" i="49"/>
  <c r="D23" i="49"/>
  <c r="D31" i="49"/>
  <c r="X24" i="70" l="1"/>
  <c r="Z24" i="70" s="1"/>
  <c r="X4" i="70"/>
  <c r="X30" i="70"/>
  <c r="X13" i="70"/>
  <c r="Z13" i="70" s="1"/>
  <c r="U27" i="70"/>
  <c r="X27" i="70" s="1"/>
  <c r="Z27" i="70" s="1"/>
  <c r="Z36" i="70" s="1"/>
  <c r="AA27" i="70" s="1"/>
  <c r="Z30" i="70"/>
  <c r="D34" i="64"/>
  <c r="R33" i="70"/>
  <c r="I35" i="70"/>
  <c r="Q33" i="70"/>
  <c r="C61" i="49"/>
  <c r="P6" i="61"/>
  <c r="S6" i="61" s="1"/>
  <c r="P55" i="61"/>
  <c r="P17" i="64"/>
  <c r="S17" i="64"/>
  <c r="U17" i="64" s="1"/>
  <c r="F56" i="49"/>
  <c r="C62" i="49" s="1"/>
  <c r="C63" i="49" s="1"/>
  <c r="C22" i="47"/>
  <c r="G4" i="57"/>
  <c r="D2" i="57"/>
  <c r="D6" i="57" s="1"/>
  <c r="Q52" i="61"/>
  <c r="S52" i="61" s="1"/>
  <c r="U52" i="61" s="1"/>
  <c r="Q17" i="64"/>
  <c r="M5" i="64"/>
  <c r="S31" i="64"/>
  <c r="U31" i="64" s="1"/>
  <c r="C54" i="47"/>
  <c r="C55" i="47" s="1"/>
  <c r="H118" i="47" s="1"/>
  <c r="Q10" i="61"/>
  <c r="Q28" i="64"/>
  <c r="H30" i="60"/>
  <c r="L30" i="60" s="1"/>
  <c r="M30" i="60" s="1"/>
  <c r="M32" i="60"/>
  <c r="P32" i="60" s="1"/>
  <c r="H31" i="60"/>
  <c r="L31" i="60" s="1"/>
  <c r="M31" i="60" s="1"/>
  <c r="Q13" i="60"/>
  <c r="L11" i="60"/>
  <c r="M11" i="60" s="1"/>
  <c r="C66" i="47"/>
  <c r="C69" i="47" s="1"/>
  <c r="C70" i="47" s="1"/>
  <c r="C27" i="50"/>
  <c r="B107" i="50"/>
  <c r="G2" i="57"/>
  <c r="G6" i="57" s="1"/>
  <c r="P10" i="60"/>
  <c r="M33" i="60"/>
  <c r="S25" i="61"/>
  <c r="U25" i="61" s="1"/>
  <c r="P46" i="61"/>
  <c r="S46" i="61" s="1"/>
  <c r="U46" i="61" s="1"/>
  <c r="L31" i="61"/>
  <c r="M31" i="61" s="1"/>
  <c r="M34" i="61" s="1"/>
  <c r="Q34" i="61"/>
  <c r="B106" i="50"/>
  <c r="H53" i="61"/>
  <c r="H54" i="61"/>
  <c r="H27" i="61"/>
  <c r="L27" i="61" s="1"/>
  <c r="M27" i="61" s="1"/>
  <c r="G56" i="61"/>
  <c r="H28" i="61"/>
  <c r="L28" i="61" s="1"/>
  <c r="M28" i="61" s="1"/>
  <c r="H26" i="61"/>
  <c r="L26" i="61" s="1"/>
  <c r="M26" i="61" s="1"/>
  <c r="H29" i="61"/>
  <c r="L29" i="61" s="1"/>
  <c r="M29" i="61" s="1"/>
  <c r="R31" i="64"/>
  <c r="R20" i="64"/>
  <c r="M14" i="61"/>
  <c r="P20" i="64"/>
  <c r="S20" i="64"/>
  <c r="U20" i="64" s="1"/>
  <c r="C32" i="50"/>
  <c r="Q32" i="60"/>
  <c r="Q29" i="60"/>
  <c r="M22" i="61"/>
  <c r="Q14" i="61"/>
  <c r="M10" i="61"/>
  <c r="E56" i="61"/>
  <c r="E58" i="61" s="1"/>
  <c r="E60" i="61" s="1"/>
  <c r="E62" i="61" s="1"/>
  <c r="Q5" i="64"/>
  <c r="P31" i="64"/>
  <c r="M28" i="64"/>
  <c r="T33" i="64"/>
  <c r="U33" i="64" s="1"/>
  <c r="O10" i="59"/>
  <c r="H23" i="64"/>
  <c r="L23" i="64" s="1"/>
  <c r="M23" i="64" s="1"/>
  <c r="G34" i="64"/>
  <c r="H24" i="64"/>
  <c r="L24" i="64" s="1"/>
  <c r="M24" i="64" s="1"/>
  <c r="E24" i="64"/>
  <c r="E25" i="64" s="1"/>
  <c r="B97" i="47"/>
  <c r="B98" i="47" s="1"/>
  <c r="H117" i="47"/>
  <c r="H120" i="47" s="1"/>
  <c r="E38" i="60"/>
  <c r="E40" i="60" s="1"/>
  <c r="D56" i="61"/>
  <c r="P37" i="61"/>
  <c r="S37" i="61" s="1"/>
  <c r="U37" i="61" s="1"/>
  <c r="S43" i="61"/>
  <c r="U43" i="61" s="1"/>
  <c r="M8" i="64"/>
  <c r="P22" i="64"/>
  <c r="S22" i="64" s="1"/>
  <c r="U22" i="64" s="1"/>
  <c r="S49" i="61"/>
  <c r="U49" i="61" s="1"/>
  <c r="H7" i="60"/>
  <c r="L7" i="60" s="1"/>
  <c r="M7" i="60" s="1"/>
  <c r="H17" i="60"/>
  <c r="L17" i="60" s="1"/>
  <c r="M17" i="60" s="1"/>
  <c r="M29" i="60"/>
  <c r="M13" i="60"/>
  <c r="H15" i="61"/>
  <c r="L15" i="61" s="1"/>
  <c r="M15" i="61" s="1"/>
  <c r="M18" i="61" s="1"/>
  <c r="M10" i="59"/>
  <c r="H9" i="64"/>
  <c r="L9" i="64" s="1"/>
  <c r="M9" i="64" s="1"/>
  <c r="M14" i="64" s="1"/>
  <c r="H6" i="60"/>
  <c r="L6" i="60" s="1"/>
  <c r="M6" i="60" s="1"/>
  <c r="H20" i="60"/>
  <c r="L20" i="60" s="1"/>
  <c r="M20" i="60" s="1"/>
  <c r="M21" i="60"/>
  <c r="P21" i="60" s="1"/>
  <c r="E6" i="61"/>
  <c r="E5" i="64"/>
  <c r="E34" i="64" s="1"/>
  <c r="E36" i="64" s="1"/>
  <c r="E38" i="64" s="1"/>
  <c r="E40" i="64" s="1"/>
  <c r="H9" i="60"/>
  <c r="L9" i="60" s="1"/>
  <c r="M9" i="60" s="1"/>
  <c r="H13" i="64"/>
  <c r="L13" i="64" s="1"/>
  <c r="M13" i="64" s="1"/>
  <c r="AA13" i="70" l="1"/>
  <c r="AA7" i="70"/>
  <c r="AA24" i="70"/>
  <c r="Z4" i="70"/>
  <c r="X33" i="70"/>
  <c r="AA21" i="70"/>
  <c r="AA30" i="70"/>
  <c r="U6" i="61"/>
  <c r="V52" i="61"/>
  <c r="P13" i="60"/>
  <c r="S13" i="60" s="1"/>
  <c r="M30" i="61"/>
  <c r="Q14" i="64"/>
  <c r="Q10" i="60"/>
  <c r="V40" i="61"/>
  <c r="G36" i="64"/>
  <c r="P10" i="61"/>
  <c r="S10" i="61" s="1"/>
  <c r="B108" i="50"/>
  <c r="B75" i="47"/>
  <c r="P8" i="64"/>
  <c r="S8" i="64"/>
  <c r="U8" i="64" s="1"/>
  <c r="M25" i="64"/>
  <c r="M34" i="64" s="1"/>
  <c r="P14" i="61"/>
  <c r="S14" i="61" s="1"/>
  <c r="U14" i="61" s="1"/>
  <c r="P34" i="61"/>
  <c r="S34" i="61" s="1"/>
  <c r="U34" i="61" s="1"/>
  <c r="V37" i="61" s="1"/>
  <c r="C35" i="50"/>
  <c r="C36" i="50" s="1"/>
  <c r="C37" i="50" s="1"/>
  <c r="B83" i="50" s="1"/>
  <c r="Q25" i="64"/>
  <c r="P18" i="61"/>
  <c r="S18" i="61"/>
  <c r="U18" i="61" s="1"/>
  <c r="P29" i="60"/>
  <c r="S29" i="60"/>
  <c r="T29" i="60" s="1"/>
  <c r="P28" i="64"/>
  <c r="S28" i="64"/>
  <c r="U28" i="64" s="1"/>
  <c r="Q18" i="61"/>
  <c r="Q30" i="61"/>
  <c r="Q21" i="60"/>
  <c r="V55" i="61"/>
  <c r="S14" i="64"/>
  <c r="U14" i="64" s="1"/>
  <c r="V14" i="64" s="1"/>
  <c r="P14" i="64"/>
  <c r="U38" i="64"/>
  <c r="V33" i="64" s="1"/>
  <c r="V38" i="64" s="1"/>
  <c r="P22" i="61"/>
  <c r="S22" i="61" s="1"/>
  <c r="U22" i="61" s="1"/>
  <c r="Q55" i="61"/>
  <c r="S55" i="61" s="1"/>
  <c r="U55" i="61" s="1"/>
  <c r="U59" i="61" s="1"/>
  <c r="P5" i="64"/>
  <c r="S5" i="64" s="1"/>
  <c r="M56" i="61"/>
  <c r="T34" i="64"/>
  <c r="U60" i="61"/>
  <c r="V49" i="61" s="1"/>
  <c r="AA36" i="70" l="1"/>
  <c r="AA4" i="70"/>
  <c r="Z35" i="70"/>
  <c r="Z33" i="70"/>
  <c r="U5" i="64"/>
  <c r="T13" i="60"/>
  <c r="S33" i="60"/>
  <c r="U10" i="61"/>
  <c r="U21" i="60"/>
  <c r="T37" i="60"/>
  <c r="U37" i="60" s="1"/>
  <c r="U26" i="60"/>
  <c r="U29" i="60"/>
  <c r="U16" i="60"/>
  <c r="V46" i="61"/>
  <c r="V8" i="64"/>
  <c r="V43" i="61"/>
  <c r="V60" i="61" s="1"/>
  <c r="V59" i="61"/>
  <c r="S25" i="64"/>
  <c r="U25" i="64" s="1"/>
  <c r="P25" i="64"/>
  <c r="P30" i="61"/>
  <c r="S30" i="61" s="1"/>
  <c r="Z38" i="70" l="1"/>
  <c r="AA16" i="70"/>
  <c r="AA19" i="70"/>
  <c r="U30" i="61"/>
  <c r="S56" i="61"/>
  <c r="U56" i="61"/>
  <c r="U58" i="61"/>
  <c r="U61" i="61" s="1"/>
  <c r="V6" i="61"/>
  <c r="U37" i="64"/>
  <c r="V28" i="64" s="1"/>
  <c r="V10" i="61"/>
  <c r="U10" i="60"/>
  <c r="T33" i="60"/>
  <c r="T36" i="60"/>
  <c r="U13" i="60"/>
  <c r="S34" i="64"/>
  <c r="U34" i="64"/>
  <c r="U36" i="64"/>
  <c r="V5" i="64"/>
  <c r="V14" i="61"/>
  <c r="V31" i="64" l="1"/>
  <c r="AA35" i="70"/>
  <c r="AA38" i="70" s="1"/>
  <c r="AA33" i="70"/>
  <c r="V25" i="64"/>
  <c r="U36" i="60"/>
  <c r="U39" i="60" s="1"/>
  <c r="T39" i="60"/>
  <c r="U33" i="60"/>
  <c r="V36" i="64"/>
  <c r="V39" i="64" s="1"/>
  <c r="U39" i="64"/>
  <c r="V17" i="64"/>
  <c r="V20" i="64"/>
  <c r="V34" i="64" s="1"/>
  <c r="V22" i="64"/>
  <c r="V37" i="64" s="1"/>
  <c r="V30" i="61"/>
  <c r="V34" i="61"/>
  <c r="V18" i="61"/>
  <c r="V56" i="61" s="1"/>
  <c r="V22" i="61"/>
  <c r="V25" i="61"/>
  <c r="V58" i="61" l="1"/>
  <c r="V61" i="61" s="1"/>
  <c r="F33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1" authorId="0" shapeId="0" xr:uid="{D4DDFD40-33F4-4F1A-B567-03D106A246A8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1" authorId="0" shapeId="0" xr:uid="{ED862384-BDC7-49F3-B6A4-AC20303D2EE2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1" authorId="0" shapeId="0" xr:uid="{097F4363-AA8A-4969-BC45-4AE03860572E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E1" authorId="0" shapeId="0" xr:uid="{10BD7990-A085-4AF2-9CF4-F862BFC90F92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F1" authorId="0" shapeId="0" xr:uid="{BCD27960-8B7E-4DA0-B8D5-EDCBB42F30EE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L1" authorId="0" shapeId="0" xr:uid="{BCC5980A-CA55-4B2A-BCBC-39833DDB3F12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N1" authorId="0" shapeId="0" xr:uid="{3C3F856D-1307-43AE-A4DB-756F35AF71E2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V1" authorId="0" shapeId="0" xr:uid="{63969948-17E5-4D6E-8769-8F6CE4210646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A1" authorId="0" shapeId="0" xr:uid="{BE9971AE-F5AD-4ABC-AD0A-8248DA118BDD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B1" authorId="0" shapeId="0" xr:uid="{3097098F-2647-4377-A166-7E5AF893CEA5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F1" authorId="0" shapeId="0" xr:uid="{E65CCEBB-CC5A-4DFF-9A32-46FCF1FFF68F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1" authorId="0" shapeId="0" xr:uid="{38A95C61-7988-4AB5-90BD-678DCE78B6D1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1" authorId="0" shapeId="0" xr:uid="{ECF2B676-2C72-499B-8447-756DEB65DCF2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E1" authorId="0" shapeId="0" xr:uid="{1106DC2B-87EC-4417-9D7B-CC7BFADFBA5B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C1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Mike采购台账
Inner date（B列）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N3" authorId="0" shapeId="0" xr:uid="{00000000-0006-0000-0000-000001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E4" authorId="0" shapeId="0" xr:uid="{00000000-0006-0000-0000-000002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N4" authorId="0" shapeId="0" xr:uid="{00000000-0006-0000-0000-000003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N5" authorId="0" shapeId="0" xr:uid="{00000000-0006-0000-0000-000004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N6" authorId="0" shapeId="0" xr:uid="{00000000-0006-0000-0000-000005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19" authorId="0" shapeId="0" xr:uid="{00000000-0006-0000-0000-000006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N20" authorId="0" shapeId="0" xr:uid="{00000000-0006-0000-0000-000007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21" authorId="0" shapeId="0" xr:uid="{00000000-0006-0000-0000-000008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E22" authorId="0" shapeId="0" xr:uid="{00000000-0006-0000-0000-000009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N22" authorId="0" shapeId="0" xr:uid="{00000000-0006-0000-0000-00000A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M23" authorId="0" shapeId="0" xr:uid="{00000000-0006-0000-0000-00000B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N23" authorId="0" shapeId="0" xr:uid="{00000000-0006-0000-0000-00000C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N24" authorId="0" shapeId="0" xr:uid="{00000000-0006-0000-0000-00000D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M26" authorId="0" shapeId="0" xr:uid="{00000000-0006-0000-0000-00000E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N29" authorId="0" shapeId="0" xr:uid="{00000000-0006-0000-0000-00000F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D31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E31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M33" authorId="0" shapeId="0" xr:uid="{00000000-0006-0000-0000-000012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N33" authorId="0" shapeId="0" xr:uid="{00000000-0006-0000-0000-000013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34" authorId="0" shapeId="0" xr:uid="{00000000-0006-0000-0000-000014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38" authorId="0" shapeId="0" xr:uid="{00000000-0006-0000-0000-00001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M5" authorId="0" shapeId="0" xr:uid="{00000000-0006-0000-0100-000001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D6" authorId="0" shapeId="0" xr:uid="{00000000-0006-0000-0100-000002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M6" authorId="0" shapeId="0" xr:uid="{00000000-0006-0000-0100-000003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7" authorId="0" shapeId="0" xr:uid="{00000000-0006-0000-0100-000004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" authorId="0" shapeId="0" xr:uid="{00000000-0006-0000-0100-000005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0" authorId="0" shapeId="0" xr:uid="{00000000-0006-0000-0100-000006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D81" authorId="0" shapeId="0" xr:uid="{00000000-0006-0000-0100-000007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M81" authorId="0" shapeId="0" xr:uid="{00000000-0006-0000-0100-000008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2" authorId="0" shapeId="0" xr:uid="{00000000-0006-0000-0100-000009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3" authorId="0" shapeId="0" xr:uid="{00000000-0006-0000-0100-00000A000000}">
      <text>
        <r>
          <rPr>
            <sz val="9"/>
            <rFont val="宋体"/>
            <family val="3"/>
            <charset val="134"/>
          </rPr>
          <t>销售额达到400万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25" authorId="0" shapeId="0" xr:uid="{00000000-0006-0000-0200-000001000000}">
      <text>
        <r>
          <rPr>
            <sz val="9"/>
            <rFont val="宋体"/>
            <family val="3"/>
            <charset val="134"/>
          </rPr>
          <t>自己开发成功的全新客户</t>
        </r>
      </text>
    </comment>
    <comment ref="D34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2018订单结算成本按照当月下订单的成本</t>
        </r>
      </text>
    </comment>
    <comment ref="D35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2018订单结算成本按照当月下订单的成本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5" authorId="0" shapeId="0" xr:uid="{00000000-0006-0000-0300-000001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M6" authorId="0" shapeId="0" xr:uid="{00000000-0006-0000-0300-000002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M7" authorId="0" shapeId="0" xr:uid="{00000000-0006-0000-0300-000003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D8" authorId="0" shapeId="0" xr:uid="{00000000-0006-0000-0300-000004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M8" authorId="0" shapeId="0" xr:uid="{00000000-0006-0000-0300-000005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" authorId="0" shapeId="0" xr:uid="{00000000-0006-0000-0300-000006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M9" authorId="0" shapeId="0" xr:uid="{00000000-0006-0000-0300-000007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M10" authorId="0" shapeId="0" xr:uid="{00000000-0006-0000-0300-000008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12" authorId="0" shapeId="0" xr:uid="{00000000-0006-0000-0300-000009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M45" authorId="0" shapeId="0" xr:uid="{00000000-0006-0000-03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C65" authorId="0" shapeId="0" xr:uid="{00000000-0006-0000-0300-00000B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D65" authorId="0" shapeId="0" xr:uid="{00000000-0006-0000-0300-00000C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L88" authorId="0" shapeId="0" xr:uid="{00000000-0006-0000-0300-00000D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M89" authorId="0" shapeId="0" xr:uid="{00000000-0006-0000-0300-00000E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M90" authorId="0" shapeId="0" xr:uid="{00000000-0006-0000-0300-00000F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D91" authorId="0" shapeId="0" xr:uid="{00000000-0006-0000-0300-000010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M91" authorId="0" shapeId="0" xr:uid="{00000000-0006-0000-0300-000011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2" authorId="0" shapeId="0" xr:uid="{00000000-0006-0000-0300-000012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M92" authorId="0" shapeId="0" xr:uid="{00000000-0006-0000-0300-000013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M93" authorId="0" shapeId="0" xr:uid="{00000000-0006-0000-0300-000014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5" authorId="0" shapeId="0" xr:uid="{00000000-0006-0000-0300-000015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M98" authorId="0" shapeId="0" xr:uid="{00000000-0006-0000-0300-00001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C100" authorId="0" shapeId="0" xr:uid="{00000000-0006-0000-0300-000017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D100" authorId="0" shapeId="0" xr:uid="{00000000-0006-0000-0300-000018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  <author>Administrator</author>
  </authors>
  <commentList>
    <comment ref="I5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Q5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铝产品的退税率是13%
</t>
        </r>
      </text>
    </comment>
    <comment ref="R5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201801：0.455
201802: </t>
        </r>
        <r>
          <rPr>
            <b/>
            <sz val="9"/>
            <color indexed="81"/>
            <rFont val="宋体"/>
            <family val="3"/>
            <charset val="134"/>
          </rPr>
          <t>0.7</t>
        </r>
        <r>
          <rPr>
            <sz val="9"/>
            <color indexed="81"/>
            <rFont val="宋体"/>
            <family val="3"/>
            <charset val="134"/>
          </rPr>
          <t xml:space="preserve">
201803: 0.55
201804: </t>
        </r>
        <r>
          <rPr>
            <b/>
            <sz val="9"/>
            <color indexed="81"/>
            <rFont val="宋体"/>
            <family val="3"/>
            <charset val="134"/>
          </rPr>
          <t>0.776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10" authorId="0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战略客户计算出的佣金-￥7550.84.不扣减个人佣金。</t>
        </r>
      </text>
    </comment>
    <comment ref="X10" authorId="1" shapeId="0" xr:uid="{00000000-0006-0000-0400-000005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Y10" authorId="1" shapeId="0" xr:uid="{00000000-0006-0000-0400-000006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Y13" authorId="1" shapeId="0" xr:uid="{00000000-0006-0000-0400-000007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S21" authorId="0" shapeId="0" xr:uid="{00000000-0006-0000-0400-000008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战略客户计算出的佣金-￥242.79.不扣减个人佣金。</t>
        </r>
      </text>
    </comment>
    <comment ref="Y29" authorId="1" shapeId="0" xr:uid="{00000000-0006-0000-04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S32" authorId="0" shapeId="0" xr:uid="{00000000-0006-0000-0400-00000A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战略客户计算出的佣金-￥150.66.不扣减个人佣金。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2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I2" authorId="0" shapeId="0" xr:uid="{00000000-0006-0000-0500-000004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K2" authorId="0" shapeId="0" xr:uid="{00000000-0006-0000-0500-000005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Q2" authorId="0" shapeId="0" xr:uid="{00000000-0006-0000-0500-000006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  <comment ref="S40" authorId="0" shapeId="0" xr:uid="{00000000-0006-0000-0500-000007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2017年的订单计算出的佣金负数不抵减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2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0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0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I2" authorId="0" shapeId="0" xr:uid="{00000000-0006-0000-0600-000004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K2" authorId="0" shapeId="0" xr:uid="{00000000-0006-0000-0600-000005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Q2" authorId="0" shapeId="0" xr:uid="{00000000-0006-0000-0600-000006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1" authorId="0" shapeId="0" xr:uid="{9B23389E-02CD-4931-9E23-E466D3159D8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1" authorId="0" shapeId="0" xr:uid="{30F16C69-B5C7-48A2-9C94-CFAAD2625213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E1" authorId="0" shapeId="0" xr:uid="{01498881-1A7D-49B2-B499-B5D4131A7ECE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K1" authorId="0" shapeId="0" xr:uid="{9A7F35A7-582B-4859-AC0D-31BA6ED8F669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M1" authorId="0" shapeId="0" xr:uid="{14038F56-9D35-4528-9D78-FF9736504E5B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S1" authorId="0" shapeId="0" xr:uid="{4B522FB7-92A1-46AD-B492-B399D96B54CF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</commentList>
</comments>
</file>

<file path=xl/sharedStrings.xml><?xml version="1.0" encoding="utf-8"?>
<sst xmlns="http://schemas.openxmlformats.org/spreadsheetml/2006/main" count="1809" uniqueCount="391">
  <si>
    <t>2018年销售结算汇总</t>
  </si>
  <si>
    <t>Order Placed</t>
  </si>
  <si>
    <t>Order No.</t>
  </si>
  <si>
    <t>Total Amount</t>
  </si>
  <si>
    <t>Real received
(US$)</t>
  </si>
  <si>
    <t>RMB Cost</t>
  </si>
  <si>
    <t>Shipped? Y/N</t>
  </si>
  <si>
    <t>Ocean freight</t>
  </si>
  <si>
    <t>local charge</t>
  </si>
  <si>
    <t>transportation fee</t>
  </si>
  <si>
    <t>Customer</t>
  </si>
  <si>
    <t>Sales</t>
  </si>
  <si>
    <t>New</t>
  </si>
  <si>
    <t>结算标准</t>
  </si>
  <si>
    <t>Nov, 2017</t>
  </si>
  <si>
    <t>CS2017881</t>
  </si>
  <si>
    <t>Y</t>
  </si>
  <si>
    <t>Tiger Scaffolds</t>
  </si>
  <si>
    <t>Stephen</t>
  </si>
  <si>
    <t>Dec,2017</t>
  </si>
  <si>
    <t>CS2017885</t>
  </si>
  <si>
    <t>Safe Scaffold</t>
  </si>
  <si>
    <t>Dec, 2017</t>
  </si>
  <si>
    <t>CS2017886</t>
  </si>
  <si>
    <t>Kaefer UAE</t>
  </si>
  <si>
    <t>CS2017887</t>
  </si>
  <si>
    <t>Oct,2017</t>
  </si>
  <si>
    <t>CS2017337</t>
  </si>
  <si>
    <t>Swing</t>
  </si>
  <si>
    <t>Estrella</t>
  </si>
  <si>
    <t>CS2017342</t>
  </si>
  <si>
    <t>CS2017338</t>
  </si>
  <si>
    <t>Sep,2017</t>
  </si>
  <si>
    <t>CS2017340</t>
  </si>
  <si>
    <t>Nov,2017</t>
  </si>
  <si>
    <t>CS2017347</t>
  </si>
  <si>
    <t>Point Fortin</t>
  </si>
  <si>
    <t>CS2017348</t>
  </si>
  <si>
    <t>RMD</t>
  </si>
  <si>
    <t>CS2017132</t>
  </si>
  <si>
    <t>Mclennan insula tion ltd</t>
  </si>
  <si>
    <t>James</t>
  </si>
  <si>
    <t>CS2017135</t>
  </si>
  <si>
    <t>Khk scaffolding and form work ltd</t>
  </si>
  <si>
    <t>Oct,17</t>
  </si>
  <si>
    <t>CS2017874</t>
  </si>
  <si>
    <t>Able Scaffold</t>
  </si>
  <si>
    <t>Sep,17</t>
  </si>
  <si>
    <t>CS2017858</t>
  </si>
  <si>
    <t>United Scaffold</t>
  </si>
  <si>
    <t>Jan,2018</t>
  </si>
  <si>
    <t>CS2018301</t>
  </si>
  <si>
    <t>Clamps Unlimted</t>
  </si>
  <si>
    <t>CS2018307</t>
  </si>
  <si>
    <t>Central Industrial Services</t>
  </si>
  <si>
    <t>Apr, 2017</t>
  </si>
  <si>
    <t>CS2017815</t>
  </si>
  <si>
    <t>Unique Scaffold</t>
  </si>
  <si>
    <t>CS2017878</t>
  </si>
  <si>
    <t xml:space="preserve">Able </t>
  </si>
  <si>
    <t>CS2017879</t>
  </si>
  <si>
    <t>CS2017880</t>
  </si>
  <si>
    <t>ACL</t>
  </si>
  <si>
    <t>CS2017882</t>
  </si>
  <si>
    <t>Limen</t>
  </si>
  <si>
    <t>CS2017889&amp;890</t>
  </si>
  <si>
    <t>Jan, 2018</t>
  </si>
  <si>
    <t>CS2018814</t>
  </si>
  <si>
    <t>CS2018815</t>
  </si>
  <si>
    <t>Nov.2017</t>
  </si>
  <si>
    <t>CS2017345</t>
  </si>
  <si>
    <r>
      <rPr>
        <sz val="10"/>
        <rFont val="Times New Roman"/>
        <family val="1"/>
      </rPr>
      <t>Upscaffolding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Capitol</t>
    </r>
    <r>
      <rPr>
        <sz val="10"/>
        <rFont val="宋体"/>
        <family val="3"/>
        <charset val="134"/>
      </rPr>
      <t>）</t>
    </r>
  </si>
  <si>
    <t>Jan.2018</t>
  </si>
  <si>
    <t>CS2018302</t>
  </si>
  <si>
    <t>Ringlock Mexico</t>
  </si>
  <si>
    <t>CS2018306</t>
  </si>
  <si>
    <t>Servicios HLB</t>
  </si>
  <si>
    <t>CS2018102</t>
  </si>
  <si>
    <t>Technique Solutions Pty</t>
  </si>
  <si>
    <t>Feb,2018</t>
  </si>
  <si>
    <t>CS2018104</t>
  </si>
  <si>
    <t>Gobi Infrastructure parters</t>
  </si>
  <si>
    <t>CS2018106</t>
  </si>
  <si>
    <t>Hydro Technology Systems Inc</t>
  </si>
  <si>
    <t>合计</t>
  </si>
  <si>
    <t>实际收到美金：</t>
  </si>
  <si>
    <t>海运费：</t>
  </si>
  <si>
    <t>FOB:</t>
  </si>
  <si>
    <t>采购成本：</t>
  </si>
  <si>
    <t>换汇率：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</si>
  <si>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1</t>
    </r>
    <r>
      <rPr>
        <b/>
        <sz val="11"/>
        <color rgb="FFFF0000"/>
        <rFont val="华文楷体"/>
        <family val="3"/>
        <charset val="134"/>
      </rPr>
      <t>月结算单</t>
    </r>
  </si>
  <si>
    <t>Total:</t>
  </si>
  <si>
    <r>
      <rPr>
        <sz val="10"/>
        <color indexed="8"/>
        <rFont val="华文楷体"/>
        <family val="3"/>
        <charset val="134"/>
      </rPr>
      <t>结算方案</t>
    </r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</si>
  <si>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</si>
  <si>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r>
      <rPr>
        <sz val="10"/>
        <color indexed="8"/>
        <rFont val="华文楷体"/>
        <family val="3"/>
        <charset val="134"/>
      </rPr>
      <t>单个订单换汇</t>
    </r>
  </si>
  <si>
    <r>
      <rPr>
        <sz val="10"/>
        <color indexed="0"/>
        <rFont val="华文楷体"/>
        <family val="3"/>
        <charset val="134"/>
      </rPr>
      <t>按单个合同算业务佣金</t>
    </r>
  </si>
  <si>
    <r>
      <rPr>
        <sz val="10"/>
        <color rgb="FF000000"/>
        <rFont val="Times New Roman"/>
        <family val="1"/>
      </rPr>
      <t>1</t>
    </r>
    <r>
      <rPr>
        <sz val="10"/>
        <color rgb="FF000000"/>
        <rFont val="华文楷体"/>
        <family val="3"/>
        <charset val="134"/>
      </rPr>
      <t>月成本</t>
    </r>
  </si>
  <si>
    <r>
      <rPr>
        <sz val="10"/>
        <color indexed="0"/>
        <rFont val="华文楷体"/>
        <family val="3"/>
        <charset val="134"/>
      </rPr>
      <t>下单月成本</t>
    </r>
  </si>
  <si>
    <r>
      <rPr>
        <sz val="10"/>
        <color indexed="0"/>
        <rFont val="华文楷体"/>
        <family val="3"/>
        <charset val="134"/>
      </rPr>
      <t>平均成本</t>
    </r>
  </si>
  <si>
    <r>
      <rPr>
        <sz val="10"/>
        <color indexed="0"/>
        <rFont val="华文楷体"/>
        <family val="3"/>
        <charset val="134"/>
      </rPr>
      <t>合计</t>
    </r>
  </si>
  <si>
    <r>
      <rPr>
        <sz val="10"/>
        <color indexed="8"/>
        <rFont val="华文楷体"/>
        <family val="3"/>
        <charset val="134"/>
      </rPr>
      <t>按</t>
    </r>
    <r>
      <rPr>
        <sz val="10"/>
        <color indexed="8"/>
        <rFont val="Times New Roman"/>
        <family val="1"/>
      </rPr>
      <t>70%</t>
    </r>
    <r>
      <rPr>
        <sz val="10"/>
        <color indexed="8"/>
        <rFont val="华文楷体"/>
        <family val="3"/>
        <charset val="134"/>
      </rPr>
      <t>发放</t>
    </r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</si>
  <si>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</si>
  <si>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边际成本应该是6.75，年底调整</t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</si>
  <si>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James</t>
    </r>
    <r>
      <rPr>
        <sz val="10"/>
        <rFont val="华文楷体"/>
        <family val="3"/>
        <charset val="134"/>
      </rPr>
      <t>发货并收汇</t>
    </r>
  </si>
  <si>
    <r>
      <rPr>
        <sz val="10"/>
        <color indexed="8"/>
        <rFont val="华文楷体"/>
        <family val="3"/>
        <charset val="134"/>
      </rPr>
      <t>单个成本换汇率</t>
    </r>
  </si>
  <si>
    <r>
      <rPr>
        <sz val="10"/>
        <color indexed="8"/>
        <rFont val="华文楷体"/>
        <family val="3"/>
        <charset val="134"/>
      </rPr>
      <t>按照单个合同算业务佣金</t>
    </r>
  </si>
  <si>
    <t>全额收款，按下单月成本</t>
  </si>
  <si>
    <r>
      <rPr>
        <sz val="10"/>
        <color indexed="8"/>
        <rFont val="华文楷体"/>
        <family val="3"/>
        <charset val="134"/>
      </rPr>
      <t>下单月成本</t>
    </r>
  </si>
  <si>
    <r>
      <rPr>
        <sz val="10"/>
        <color indexed="8"/>
        <rFont val="华文楷体"/>
        <family val="3"/>
        <charset val="134"/>
      </rPr>
      <t>平均成本</t>
    </r>
  </si>
  <si>
    <t>佣金合计:</t>
  </si>
  <si>
    <t>1月销售结算汇总：</t>
  </si>
  <si>
    <t>销售</t>
  </si>
  <si>
    <t>佣金</t>
  </si>
  <si>
    <t>stephen</t>
  </si>
  <si>
    <t>estrella</t>
  </si>
  <si>
    <t>james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</si>
  <si>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2</t>
    </r>
    <r>
      <rPr>
        <b/>
        <sz val="11"/>
        <color rgb="FFFF0000"/>
        <rFont val="华文楷体"/>
        <family val="3"/>
        <charset val="134"/>
      </rPr>
      <t>月结算单</t>
    </r>
  </si>
  <si>
    <r>
      <rPr>
        <sz val="10"/>
        <rFont val="Times New Roman"/>
        <family val="1"/>
      </rPr>
      <t>2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59.19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710.28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0.70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</si>
  <si>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r>
      <rPr>
        <sz val="10"/>
        <color rgb="FF000000"/>
        <rFont val="Times New Roman"/>
        <family val="1"/>
      </rPr>
      <t xml:space="preserve">2 </t>
    </r>
    <r>
      <rPr>
        <sz val="10"/>
        <color rgb="FF000000"/>
        <rFont val="宋体"/>
        <family val="3"/>
        <charset val="134"/>
      </rPr>
      <t>月份成本</t>
    </r>
  </si>
  <si>
    <t>下单月成本</t>
  </si>
  <si>
    <r>
      <rPr>
        <sz val="10"/>
        <rFont val="Times New Roman"/>
        <family val="1"/>
      </rPr>
      <t>2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59.19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710.28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0.70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</si>
  <si>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税后实发</t>
  </si>
  <si>
    <r>
      <rPr>
        <b/>
        <sz val="10"/>
        <color indexed="8"/>
        <rFont val="Times New Roman"/>
        <family val="1"/>
      </rPr>
      <t>2</t>
    </r>
    <r>
      <rPr>
        <b/>
        <sz val="10"/>
        <color indexed="8"/>
        <rFont val="宋体"/>
        <family val="3"/>
        <charset val="134"/>
      </rPr>
      <t>月销售结算汇总：</t>
    </r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</si>
  <si>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3</t>
    </r>
    <r>
      <rPr>
        <b/>
        <sz val="11"/>
        <color rgb="FFFF0000"/>
        <rFont val="华文楷体"/>
        <family val="3"/>
        <charset val="134"/>
      </rPr>
      <t>月结算单</t>
    </r>
  </si>
  <si>
    <r>
      <rPr>
        <sz val="10"/>
        <color theme="1"/>
        <rFont val="宋体"/>
        <family val="3"/>
        <charset val="134"/>
      </rPr>
      <t>自主开发客户</t>
    </r>
    <r>
      <rPr>
        <sz val="10"/>
        <color theme="1"/>
        <rFont val="Times New Roman"/>
        <family val="1"/>
      </rPr>
      <t>24</t>
    </r>
    <r>
      <rPr>
        <sz val="10"/>
        <color theme="1"/>
        <rFont val="宋体"/>
        <family val="3"/>
        <charset val="134"/>
      </rPr>
      <t>个月后按照</t>
    </r>
    <r>
      <rPr>
        <sz val="10"/>
        <color theme="1"/>
        <rFont val="Times New Roman"/>
        <family val="1"/>
      </rPr>
      <t>20%</t>
    </r>
  </si>
  <si>
    <r>
      <rPr>
        <sz val="10"/>
        <color theme="1"/>
        <rFont val="Times New Roman"/>
        <family val="1"/>
      </rPr>
      <t>Win-Back</t>
    </r>
    <r>
      <rPr>
        <sz val="10"/>
        <color theme="1"/>
        <rFont val="宋体"/>
        <family val="3"/>
        <charset val="134"/>
      </rPr>
      <t>客户新产品</t>
    </r>
  </si>
  <si>
    <r>
      <rPr>
        <sz val="10"/>
        <color theme="1"/>
        <rFont val="Times New Roman"/>
        <family val="1"/>
      </rPr>
      <t>13~24</t>
    </r>
    <r>
      <rPr>
        <sz val="10"/>
        <color theme="1"/>
        <rFont val="宋体"/>
        <family val="3"/>
        <charset val="134"/>
      </rPr>
      <t>个月内结算比例</t>
    </r>
    <r>
      <rPr>
        <sz val="10"/>
        <color theme="1"/>
        <rFont val="Times New Roman"/>
        <family val="1"/>
      </rPr>
      <t>40%</t>
    </r>
  </si>
  <si>
    <t>结算方案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</si>
  <si>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</si>
  <si>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t>单个订单换汇</t>
  </si>
  <si>
    <t>按单个合同算业务佣金</t>
  </si>
  <si>
    <r>
      <rPr>
        <sz val="10"/>
        <color rgb="FF000000"/>
        <rFont val="Times New Roman"/>
        <family val="1"/>
      </rPr>
      <t>3</t>
    </r>
    <r>
      <rPr>
        <sz val="10"/>
        <color rgb="FF000000"/>
        <rFont val="华文楷体"/>
        <family val="3"/>
        <charset val="134"/>
      </rPr>
      <t>月成本</t>
    </r>
  </si>
  <si>
    <t>平均成本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</si>
  <si>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</si>
  <si>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Feb, 2018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</si>
  <si>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James</t>
    </r>
    <r>
      <rPr>
        <sz val="10"/>
        <rFont val="华文楷体"/>
        <family val="3"/>
        <charset val="134"/>
      </rPr>
      <t>发货并收汇</t>
    </r>
  </si>
  <si>
    <t>单个成本换汇率</t>
  </si>
  <si>
    <t>按照单个合同算业务佣金</t>
  </si>
  <si>
    <r>
      <rPr>
        <b/>
        <sz val="11"/>
        <color indexed="10"/>
        <rFont val="Times New Roman"/>
        <family val="1"/>
      </rPr>
      <t>佣金合计</t>
    </r>
    <r>
      <rPr>
        <b/>
        <sz val="11"/>
        <color indexed="10"/>
        <rFont val="Times New Roman"/>
        <family val="1"/>
      </rPr>
      <t>:</t>
    </r>
  </si>
  <si>
    <t>结算比例</t>
  </si>
  <si>
    <t>CS2018105</t>
  </si>
  <si>
    <t>CS2018313</t>
  </si>
  <si>
    <t>CS2018312</t>
  </si>
  <si>
    <t>CS2018308</t>
  </si>
  <si>
    <t>CS2018304</t>
  </si>
  <si>
    <t>CS2018817</t>
  </si>
  <si>
    <t>CS2018808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</si>
  <si>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4</t>
    </r>
    <r>
      <rPr>
        <b/>
        <sz val="11"/>
        <color rgb="FFFF0000"/>
        <rFont val="华文楷体"/>
        <family val="3"/>
        <charset val="134"/>
      </rPr>
      <t>月结算单</t>
    </r>
  </si>
  <si>
    <r>
      <t>3</t>
    </r>
    <r>
      <rPr>
        <b/>
        <sz val="11"/>
        <color indexed="8"/>
        <rFont val="宋体"/>
        <family val="3"/>
        <charset val="134"/>
      </rPr>
      <t>月销售结算汇总：</t>
    </r>
    <phoneticPr fontId="42" type="noConversion"/>
  </si>
  <si>
    <t>TECHNIQUE SOLUTIONS PTY LTD ATF D A</t>
  </si>
  <si>
    <t>CHR. KONTOS ENTER. LTD</t>
  </si>
  <si>
    <t>1/ANDAMIOS Y PROYECTOS TORRES SA</t>
  </si>
  <si>
    <t>FORD, DAVID BRENDON</t>
  </si>
  <si>
    <t>4S SCAFFOLDING LTD.</t>
  </si>
  <si>
    <t>TTF</t>
    <phoneticPr fontId="40" type="noConversion"/>
  </si>
  <si>
    <t>SWING STAGING</t>
    <phoneticPr fontId="40" type="noConversion"/>
  </si>
  <si>
    <t>收款时间</t>
    <phoneticPr fontId="42" type="noConversion"/>
  </si>
  <si>
    <t>收款金额</t>
    <phoneticPr fontId="42" type="noConversion"/>
  </si>
  <si>
    <t>收款额比例</t>
    <phoneticPr fontId="42" type="noConversion"/>
  </si>
  <si>
    <t>收款日汇率</t>
    <phoneticPr fontId="42" type="noConversion"/>
  </si>
  <si>
    <t>4S SCAFFOLDING LTD.</t>
    <phoneticPr fontId="40" type="noConversion"/>
  </si>
  <si>
    <t>4S SCAFFOLDING LTD.</t>
    <phoneticPr fontId="40" type="noConversion"/>
  </si>
  <si>
    <t>CHR. KONTOS ENTER. LTD</t>
    <phoneticPr fontId="40" type="noConversion"/>
  </si>
  <si>
    <t>1/ANDAMIOS Y PROYECTOS TORRES SA</t>
    <phoneticPr fontId="40" type="noConversion"/>
  </si>
  <si>
    <t>1/ANDAMIOS Y PROYECTOS TORRES SA</t>
    <phoneticPr fontId="40" type="noConversion"/>
  </si>
  <si>
    <t>FORD, DAVID BRENDON</t>
    <phoneticPr fontId="40" type="noConversion"/>
  </si>
  <si>
    <t>TECHNIQUE SOLUTIONS PTY LTD ATF D A</t>
    <phoneticPr fontId="40" type="noConversion"/>
  </si>
  <si>
    <t>边际成本</t>
  </si>
  <si>
    <t>下单月成本</t>
    <phoneticPr fontId="40" type="noConversion"/>
  </si>
  <si>
    <t>a</t>
    <phoneticPr fontId="40" type="noConversion"/>
  </si>
  <si>
    <t>b</t>
    <phoneticPr fontId="40" type="noConversion"/>
  </si>
  <si>
    <t>c</t>
    <phoneticPr fontId="40" type="noConversion"/>
  </si>
  <si>
    <t>d</t>
    <phoneticPr fontId="40" type="noConversion"/>
  </si>
  <si>
    <t>e</t>
    <phoneticPr fontId="40" type="noConversion"/>
  </si>
  <si>
    <t>f=a-e</t>
    <phoneticPr fontId="40" type="noConversion"/>
  </si>
  <si>
    <t>g</t>
    <phoneticPr fontId="40" type="noConversion"/>
  </si>
  <si>
    <t>h</t>
    <phoneticPr fontId="40" type="noConversion"/>
  </si>
  <si>
    <t>k</t>
    <phoneticPr fontId="40" type="noConversion"/>
  </si>
  <si>
    <t>平均</t>
  </si>
  <si>
    <t>下午5：00</t>
  </si>
  <si>
    <t>中午12：00</t>
  </si>
  <si>
    <t>上午9：00</t>
  </si>
  <si>
    <t>中行USD现汇买入价</t>
  </si>
  <si>
    <t>m</t>
    <phoneticPr fontId="40" type="noConversion"/>
  </si>
  <si>
    <t>n</t>
    <phoneticPr fontId="40" type="noConversion"/>
  </si>
  <si>
    <t>l=f*(j-i-k) *m*n</t>
    <phoneticPr fontId="40" type="noConversion"/>
  </si>
  <si>
    <t>Real received</t>
    <phoneticPr fontId="40" type="noConversion"/>
  </si>
  <si>
    <r>
      <t>i=</t>
    </r>
    <r>
      <rPr>
        <sz val="8"/>
        <color indexed="8"/>
        <rFont val="宋体"/>
        <family val="3"/>
        <charset val="134"/>
      </rPr>
      <t>（</t>
    </r>
    <r>
      <rPr>
        <sz val="8"/>
        <color indexed="8"/>
        <rFont val="Times New Roman"/>
        <family val="1"/>
      </rPr>
      <t>d+g+h) /f*1.005</t>
    </r>
    <phoneticPr fontId="40" type="noConversion"/>
  </si>
  <si>
    <t>已结清</t>
    <phoneticPr fontId="42" type="noConversion"/>
  </si>
  <si>
    <t>开票资料</t>
    <phoneticPr fontId="42" type="noConversion"/>
  </si>
  <si>
    <t>采购合同</t>
    <phoneticPr fontId="42" type="noConversion"/>
  </si>
  <si>
    <t>合计</t>
    <phoneticPr fontId="42" type="noConversion"/>
  </si>
  <si>
    <r>
      <t>j=(c*</t>
    </r>
    <r>
      <rPr>
        <sz val="8"/>
        <color rgb="FFFF0000"/>
        <rFont val="Times New Roman"/>
        <family val="1"/>
      </rPr>
      <t>1.17</t>
    </r>
    <r>
      <rPr>
        <sz val="8"/>
        <color indexed="8"/>
        <rFont val="Times New Roman"/>
        <family val="1"/>
      </rPr>
      <t>)/(</t>
    </r>
    <r>
      <rPr>
        <sz val="8"/>
        <color rgb="FFFF0000"/>
        <rFont val="Times New Roman"/>
        <family val="1"/>
      </rPr>
      <t>1.17</t>
    </r>
    <r>
      <rPr>
        <sz val="8"/>
        <color indexed="8"/>
        <rFont val="Times New Roman"/>
        <family val="1"/>
      </rPr>
      <t>-0.09)-0.3</t>
    </r>
    <phoneticPr fontId="40" type="noConversion"/>
  </si>
  <si>
    <t>额外费用</t>
    <phoneticPr fontId="42" type="noConversion"/>
  </si>
  <si>
    <t>合同号</t>
    <phoneticPr fontId="42" type="noConversion"/>
  </si>
  <si>
    <t>已结清</t>
    <phoneticPr fontId="42" type="noConversion"/>
  </si>
  <si>
    <t>佣金成本</t>
    <phoneticPr fontId="42" type="noConversion"/>
  </si>
  <si>
    <t>Date</t>
    <phoneticPr fontId="42" type="noConversion"/>
  </si>
  <si>
    <t>Mar,2018</t>
    <phoneticPr fontId="42" type="noConversion"/>
  </si>
  <si>
    <r>
      <rPr>
        <sz val="10"/>
        <color indexed="0"/>
        <rFont val="宋体"/>
        <family val="3"/>
        <charset val="134"/>
      </rPr>
      <t>合计</t>
    </r>
    <phoneticPr fontId="42" type="noConversion"/>
  </si>
  <si>
    <t>Date</t>
    <phoneticPr fontId="40" type="noConversion"/>
  </si>
  <si>
    <t>Apr,2018</t>
  </si>
  <si>
    <t>Apr,2018</t>
    <phoneticPr fontId="42" type="noConversion"/>
  </si>
  <si>
    <t/>
  </si>
  <si>
    <t>TTF</t>
  </si>
  <si>
    <t>SWING STAGING</t>
  </si>
  <si>
    <t>FOB Amount</t>
    <phoneticPr fontId="42" type="noConversion"/>
  </si>
  <si>
    <r>
      <rPr>
        <sz val="10"/>
        <color indexed="8"/>
        <rFont val="华文楷体"/>
        <family val="3"/>
        <charset val="134"/>
      </rPr>
      <t>按</t>
    </r>
    <r>
      <rPr>
        <sz val="10"/>
        <color indexed="8"/>
        <rFont val="Times New Roman"/>
        <family val="1"/>
      </rPr>
      <t>70%</t>
    </r>
    <r>
      <rPr>
        <sz val="10"/>
        <color indexed="8"/>
        <rFont val="华文楷体"/>
        <family val="3"/>
        <charset val="134"/>
      </rPr>
      <t>发放</t>
    </r>
    <phoneticPr fontId="42" type="noConversion"/>
  </si>
  <si>
    <t>按70%发放</t>
    <phoneticPr fontId="40" type="noConversion"/>
  </si>
  <si>
    <t>税后实发</t>
    <phoneticPr fontId="42" type="noConversion"/>
  </si>
  <si>
    <t>税后实发</t>
    <phoneticPr fontId="40" type="noConversion"/>
  </si>
  <si>
    <t>o=l*0.7</t>
    <phoneticPr fontId="40" type="noConversion"/>
  </si>
  <si>
    <t>Sales</t>
    <phoneticPr fontId="40" type="noConversion"/>
  </si>
  <si>
    <r>
      <t>按</t>
    </r>
    <r>
      <rPr>
        <sz val="11"/>
        <color theme="0"/>
        <rFont val="Times New Roman"/>
        <family val="1"/>
      </rPr>
      <t>70%</t>
    </r>
    <r>
      <rPr>
        <sz val="11"/>
        <color theme="0"/>
        <rFont val="宋体"/>
        <family val="3"/>
        <charset val="134"/>
      </rPr>
      <t>发放</t>
    </r>
  </si>
  <si>
    <t>合计</t>
    <phoneticPr fontId="40" type="noConversion"/>
  </si>
  <si>
    <r>
      <t xml:space="preserve">p=o*0.875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  <phoneticPr fontId="40" type="noConversion"/>
  </si>
  <si>
    <t>下单月成本k</t>
    <phoneticPr fontId="40" type="noConversion"/>
  </si>
  <si>
    <r>
      <rPr>
        <sz val="11"/>
        <color rgb="FF000000"/>
        <rFont val="宋体"/>
        <family val="3"/>
        <charset val="134"/>
      </rPr>
      <t>根据考核结果，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四月份各位销售人员均未完成目标，大家的对赌工资</t>
    </r>
    <r>
      <rPr>
        <sz val="11"/>
        <color rgb="FF000000"/>
        <rFont val="Calibri"/>
        <family val="2"/>
      </rPr>
      <t>Stephen: 2000</t>
    </r>
    <r>
      <rPr>
        <sz val="11"/>
        <color rgb="FF000000"/>
        <rFont val="宋体"/>
        <family val="3"/>
        <charset val="134"/>
      </rPr>
      <t>元，</t>
    </r>
    <r>
      <rPr>
        <sz val="11"/>
        <color rgb="FF000000"/>
        <rFont val="Calibri"/>
        <family val="2"/>
      </rPr>
      <t xml:space="preserve"> Estrella: 2400</t>
    </r>
    <r>
      <rPr>
        <sz val="11"/>
        <color rgb="FF000000"/>
        <rFont val="宋体"/>
        <family val="3"/>
        <charset val="134"/>
      </rPr>
      <t>元，</t>
    </r>
    <r>
      <rPr>
        <sz val="11"/>
        <color rgb="FF000000"/>
        <rFont val="Calibri"/>
        <family val="2"/>
      </rPr>
      <t xml:space="preserve"> James: 1888</t>
    </r>
    <r>
      <rPr>
        <sz val="11"/>
        <color rgb="FF000000"/>
        <rFont val="宋体"/>
        <family val="3"/>
        <charset val="134"/>
      </rPr>
      <t>元请从绩效中予以扣除。</t>
    </r>
    <r>
      <rPr>
        <sz val="11"/>
        <color rgb="FFFF0000"/>
        <rFont val="宋体"/>
        <family val="3"/>
        <charset val="134"/>
      </rPr>
      <t>会在</t>
    </r>
    <r>
      <rPr>
        <sz val="11"/>
        <color rgb="FFFF0000"/>
        <rFont val="Calibri"/>
        <family val="2"/>
      </rPr>
      <t>5</t>
    </r>
    <r>
      <rPr>
        <sz val="11"/>
        <color rgb="FFFF0000"/>
        <rFont val="宋体"/>
        <family val="3"/>
        <charset val="134"/>
      </rPr>
      <t>月的佣金中扣除</t>
    </r>
    <phoneticPr fontId="40" type="noConversion"/>
  </si>
  <si>
    <t>a</t>
  </si>
  <si>
    <t>b</t>
  </si>
  <si>
    <t>c</t>
  </si>
  <si>
    <t>d</t>
  </si>
  <si>
    <t>e</t>
  </si>
  <si>
    <t>f=a-e</t>
  </si>
  <si>
    <t>g</t>
  </si>
  <si>
    <t>h</t>
  </si>
  <si>
    <t>k</t>
  </si>
  <si>
    <t>Date</t>
  </si>
  <si>
    <t>Real received</t>
  </si>
  <si>
    <t>FOB Amount</t>
  </si>
  <si>
    <t>CS2018816</t>
  </si>
  <si>
    <t>CS2018818</t>
  </si>
  <si>
    <t>CS2018819</t>
  </si>
  <si>
    <t>CS2018820</t>
  </si>
  <si>
    <t>CS2018821</t>
  </si>
  <si>
    <t>CS2018824</t>
  </si>
  <si>
    <t>CS2018825</t>
  </si>
  <si>
    <t>CS2018826</t>
  </si>
  <si>
    <t>CS2018827</t>
  </si>
  <si>
    <t>CS2017134</t>
  </si>
  <si>
    <t>CS2018108</t>
  </si>
  <si>
    <t>CS2018109</t>
  </si>
  <si>
    <t>CS2018110</t>
  </si>
  <si>
    <t>CS2018303</t>
  </si>
  <si>
    <t>CS2018319</t>
  </si>
  <si>
    <t>TURBLADES PHILS INC</t>
  </si>
  <si>
    <t>Inzpire</t>
  </si>
  <si>
    <t>Padilla construction services Inc</t>
  </si>
  <si>
    <t>JOSEPH GNAZZO COMPANY INC</t>
  </si>
  <si>
    <t>ATERMIS SA</t>
  </si>
  <si>
    <t>ABLE SCAFFOLD, LLC</t>
    <phoneticPr fontId="67" type="noConversion"/>
  </si>
  <si>
    <t>TPF ROOF RESTORATIONS LIMITED</t>
    <phoneticPr fontId="67" type="noConversion"/>
  </si>
  <si>
    <t>UNICOM LTD</t>
    <phoneticPr fontId="67" type="noConversion"/>
  </si>
  <si>
    <r>
      <t>i=</t>
    </r>
    <r>
      <rPr>
        <sz val="8"/>
        <color indexed="8"/>
        <rFont val="宋体"/>
        <family val="3"/>
        <charset val="134"/>
      </rPr>
      <t>（</t>
    </r>
    <r>
      <rPr>
        <sz val="8"/>
        <color indexed="8"/>
        <rFont val="Times New Roman"/>
        <family val="1"/>
      </rPr>
      <t>d+g+h) /f*1.005</t>
    </r>
  </si>
  <si>
    <r>
      <rPr>
        <b/>
        <sz val="10"/>
        <rFont val="宋体"/>
        <family val="3"/>
        <charset val="134"/>
      </rPr>
      <t>收款时间</t>
    </r>
  </si>
  <si>
    <r>
      <rPr>
        <b/>
        <sz val="10"/>
        <rFont val="宋体"/>
        <family val="3"/>
        <charset val="134"/>
      </rPr>
      <t>收款金额</t>
    </r>
  </si>
  <si>
    <r>
      <rPr>
        <b/>
        <sz val="10"/>
        <rFont val="宋体"/>
        <family val="3"/>
        <charset val="134"/>
      </rPr>
      <t>收款额比例</t>
    </r>
  </si>
  <si>
    <r>
      <rPr>
        <b/>
        <sz val="10"/>
        <rFont val="宋体"/>
        <family val="3"/>
        <charset val="134"/>
      </rPr>
      <t>收款日汇率</t>
    </r>
  </si>
  <si>
    <r>
      <rPr>
        <b/>
        <sz val="10"/>
        <rFont val="宋体"/>
        <family val="3"/>
        <charset val="134"/>
      </rPr>
      <t>单个订单换汇</t>
    </r>
  </si>
  <si>
    <r>
      <rPr>
        <b/>
        <sz val="10"/>
        <rFont val="宋体"/>
        <family val="3"/>
        <charset val="134"/>
      </rPr>
      <t>边际成本</t>
    </r>
  </si>
  <si>
    <r>
      <rPr>
        <b/>
        <sz val="10"/>
        <rFont val="宋体"/>
        <family val="3"/>
        <charset val="134"/>
      </rPr>
      <t>下单月成本</t>
    </r>
  </si>
  <si>
    <r>
      <rPr>
        <b/>
        <sz val="10"/>
        <rFont val="宋体"/>
        <family val="3"/>
        <charset val="134"/>
      </rPr>
      <t>按单个合同算业务佣金</t>
    </r>
  </si>
  <si>
    <r>
      <rPr>
        <b/>
        <sz val="10"/>
        <rFont val="宋体"/>
        <family val="3"/>
        <charset val="134"/>
      </rPr>
      <t>按</t>
    </r>
    <r>
      <rPr>
        <b/>
        <sz val="10"/>
        <rFont val="Times New Roman"/>
        <family val="1"/>
      </rPr>
      <t>70%</t>
    </r>
    <r>
      <rPr>
        <b/>
        <sz val="10"/>
        <rFont val="宋体"/>
        <family val="3"/>
        <charset val="134"/>
      </rPr>
      <t>发放</t>
    </r>
  </si>
  <si>
    <r>
      <rPr>
        <b/>
        <sz val="10"/>
        <rFont val="宋体"/>
        <family val="3"/>
        <charset val="134"/>
      </rPr>
      <t>税后实发</t>
    </r>
  </si>
  <si>
    <r>
      <rPr>
        <sz val="10"/>
        <color theme="1"/>
        <rFont val="宋体"/>
        <family val="3"/>
        <charset val="134"/>
      </rPr>
      <t>合计</t>
    </r>
  </si>
  <si>
    <t xml:space="preserve"> </t>
    <phoneticPr fontId="42" type="noConversion"/>
  </si>
  <si>
    <t>总计</t>
  </si>
  <si>
    <t xml:space="preserve">CS2018816 </t>
  </si>
  <si>
    <t xml:space="preserve">CS2018818 </t>
  </si>
  <si>
    <t xml:space="preserve">CS2018819 </t>
  </si>
  <si>
    <t xml:space="preserve">CS2018820 </t>
  </si>
  <si>
    <t xml:space="preserve">CS2018821 </t>
  </si>
  <si>
    <t xml:space="preserve">CS2018824 </t>
  </si>
  <si>
    <t xml:space="preserve">CS2018825 </t>
  </si>
  <si>
    <t xml:space="preserve">CS2018826 </t>
  </si>
  <si>
    <t xml:space="preserve">CS2018827 </t>
  </si>
  <si>
    <t xml:space="preserve">CS2017134 </t>
  </si>
  <si>
    <t xml:space="preserve">CS2018108 </t>
  </si>
  <si>
    <t xml:space="preserve">CS2018109 </t>
  </si>
  <si>
    <t xml:space="preserve">CS2018110 </t>
  </si>
  <si>
    <t xml:space="preserve">CS2018303 </t>
  </si>
  <si>
    <t xml:space="preserve">CS2018319 </t>
  </si>
  <si>
    <t>j=(c*1.16)/(1.16-0.09)-0.3</t>
    <phoneticPr fontId="42" type="noConversion"/>
  </si>
  <si>
    <t>年销售额CIF (M$)</t>
  </si>
  <si>
    <t>8.88-10.08</t>
  </si>
  <si>
    <t>10.08-11.28</t>
  </si>
  <si>
    <t>10.08-13.30</t>
  </si>
  <si>
    <r>
      <t>月度销售额</t>
    </r>
    <r>
      <rPr>
        <sz val="9"/>
        <color rgb="FF000000"/>
        <rFont val="Calibri Light"/>
        <family val="2"/>
      </rPr>
      <t>CIF (M$)</t>
    </r>
  </si>
  <si>
    <t>0.84-0.94</t>
  </si>
  <si>
    <t>0.94-1.11</t>
  </si>
  <si>
    <r>
      <t>单位成本</t>
    </r>
    <r>
      <rPr>
        <sz val="9"/>
        <color rgb="FF000000"/>
        <rFont val="Calibri Light"/>
        <family val="2"/>
      </rPr>
      <t>(</t>
    </r>
    <r>
      <rPr>
        <sz val="9"/>
        <color rgb="FF000000"/>
        <rFont val="楷体"/>
        <family val="3"/>
        <charset val="134"/>
      </rPr>
      <t>￥）</t>
    </r>
  </si>
  <si>
    <t>0.74-0.84</t>
    <phoneticPr fontId="42" type="noConversion"/>
  </si>
  <si>
    <t>&lt;0.74</t>
    <phoneticPr fontId="42" type="noConversion"/>
  </si>
  <si>
    <t>&gt;1.11</t>
    <phoneticPr fontId="42" type="noConversion"/>
  </si>
  <si>
    <r>
      <t>2</t>
    </r>
    <r>
      <rPr>
        <sz val="11"/>
        <color theme="1"/>
        <rFont val="Calibri"/>
        <family val="3"/>
        <charset val="134"/>
        <scheme val="minor"/>
      </rPr>
      <t>018年</t>
    </r>
    <phoneticPr fontId="42" type="noConversion"/>
  </si>
  <si>
    <t>2017年</t>
    <phoneticPr fontId="42" type="noConversion"/>
  </si>
  <si>
    <t>月度销售额</t>
    <phoneticPr fontId="42" type="noConversion"/>
  </si>
  <si>
    <t>销售</t>
    <phoneticPr fontId="42" type="noConversion"/>
  </si>
  <si>
    <t>单证</t>
    <phoneticPr fontId="42" type="noConversion"/>
  </si>
  <si>
    <t>财务</t>
    <phoneticPr fontId="42" type="noConversion"/>
  </si>
  <si>
    <t>N</t>
    <phoneticPr fontId="42" type="noConversion"/>
  </si>
  <si>
    <t>N</t>
    <phoneticPr fontId="42" type="noConversion"/>
  </si>
  <si>
    <r>
      <rPr>
        <b/>
        <sz val="10"/>
        <color indexed="9"/>
        <rFont val="宋体"/>
        <family val="3"/>
        <charset val="134"/>
      </rPr>
      <t>铝产品</t>
    </r>
    <r>
      <rPr>
        <b/>
        <sz val="10"/>
        <color indexed="9"/>
        <rFont val="Times New Roman"/>
        <family val="1"/>
      </rPr>
      <t xml:space="preserve">? </t>
    </r>
    <phoneticPr fontId="42" type="noConversion"/>
  </si>
  <si>
    <r>
      <rPr>
        <sz val="11"/>
        <color theme="1"/>
        <rFont val="宋体"/>
        <family val="3"/>
        <charset val="134"/>
      </rPr>
      <t>根据考核结果，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四月份各位销售人员均未完成目标，大家的对赌工资</t>
    </r>
    <r>
      <rPr>
        <sz val="11"/>
        <color theme="1"/>
        <rFont val="Times New Roman"/>
        <family val="1"/>
      </rPr>
      <t>Stephen: 2000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Estrella: 2400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James: 1888</t>
    </r>
    <r>
      <rPr>
        <sz val="11"/>
        <color theme="1"/>
        <rFont val="宋体"/>
        <family val="3"/>
        <charset val="134"/>
      </rPr>
      <t>元请从绩效中予以扣除。会在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月的佣金中扣除</t>
    </r>
    <phoneticPr fontId="42" type="noConversion"/>
  </si>
  <si>
    <t>上月对赌工资</t>
    <phoneticPr fontId="42" type="noConversion"/>
  </si>
  <si>
    <t>p</t>
    <phoneticPr fontId="42" type="noConversion"/>
  </si>
  <si>
    <t>q</t>
    <phoneticPr fontId="42" type="noConversion"/>
  </si>
  <si>
    <t>l=f*(j-i-k) *p*q</t>
    <phoneticPr fontId="42" type="noConversion"/>
  </si>
  <si>
    <t>m</t>
    <phoneticPr fontId="42" type="noConversion"/>
  </si>
  <si>
    <r>
      <t xml:space="preserve">o=n*0.875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  <phoneticPr fontId="42" type="noConversion"/>
  </si>
  <si>
    <t>N</t>
    <phoneticPr fontId="42" type="noConversion"/>
  </si>
  <si>
    <t>CS2017134</t>
    <phoneticPr fontId="42" type="noConversion"/>
  </si>
  <si>
    <t>Technique Solutions Pty</t>
    <phoneticPr fontId="42" type="noConversion"/>
  </si>
  <si>
    <t>Vision Lighting</t>
    <phoneticPr fontId="42" type="noConversion"/>
  </si>
  <si>
    <t>签字</t>
    <phoneticPr fontId="42" type="noConversion"/>
  </si>
  <si>
    <t>n=l*0.7+m</t>
    <phoneticPr fontId="42" type="noConversion"/>
  </si>
  <si>
    <t>Vision Lighting</t>
  </si>
  <si>
    <t>Vision Lighting</t>
    <phoneticPr fontId="42" type="noConversion"/>
  </si>
  <si>
    <t>ABLE SCAFFOLD, LLC</t>
  </si>
  <si>
    <t>TPF ROOF RESTORATIONS LIMITED</t>
  </si>
  <si>
    <t>UNICOM LTD</t>
  </si>
  <si>
    <t>May,2018</t>
    <phoneticPr fontId="42" type="noConversion"/>
  </si>
  <si>
    <t>N</t>
    <phoneticPr fontId="42" type="noConversion"/>
  </si>
  <si>
    <t>N</t>
    <phoneticPr fontId="42" type="noConversion"/>
  </si>
  <si>
    <r>
      <rPr>
        <sz val="11"/>
        <color theme="1"/>
        <rFont val="Calibri"/>
        <family val="3"/>
        <charset val="134"/>
        <scheme val="minor"/>
      </rPr>
      <t>134</t>
    </r>
    <phoneticPr fontId="42" type="noConversion"/>
  </si>
  <si>
    <t>105</t>
    <phoneticPr fontId="42" type="noConversion"/>
  </si>
  <si>
    <r>
      <rPr>
        <sz val="11"/>
        <color theme="1"/>
        <rFont val="Calibri"/>
        <family val="3"/>
        <charset val="134"/>
        <scheme val="minor"/>
      </rPr>
      <t>102</t>
    </r>
    <phoneticPr fontId="42" type="noConversion"/>
  </si>
  <si>
    <t>JOSEPH GNAZZO COMPANY INC</t>
    <phoneticPr fontId="42" type="noConversion"/>
  </si>
  <si>
    <t>SAFE SCAFFOLDING</t>
  </si>
  <si>
    <t>ABLE SCAFFOLD, LLC</t>
    <phoneticPr fontId="42" type="noConversion"/>
  </si>
  <si>
    <t>JASPER MATERIALS HOLDINGS, LLC</t>
  </si>
  <si>
    <t>E A PROPERTY LTD</t>
  </si>
  <si>
    <t>NALL + COMPANY INC</t>
    <phoneticPr fontId="42" type="noConversion"/>
  </si>
  <si>
    <t>CEN IND</t>
  </si>
  <si>
    <t>NALL + COMPANY INC</t>
    <phoneticPr fontId="42" type="noConversion"/>
  </si>
  <si>
    <t>ABLE SCAFFOLD, LLC</t>
    <phoneticPr fontId="42" type="noConversion"/>
  </si>
  <si>
    <t>JASPER MATERIALS HOLDINGS, LLC</t>
    <phoneticPr fontId="42" type="noConversion"/>
  </si>
  <si>
    <t>RAPID METAL DEVELOPMENTS</t>
    <phoneticPr fontId="42" type="noConversion"/>
  </si>
  <si>
    <t>CHR. KONTOS ENTER. LTD</t>
    <phoneticPr fontId="42" type="noConversion"/>
  </si>
  <si>
    <t>Jun,2018</t>
    <phoneticPr fontId="42" type="noConversion"/>
  </si>
  <si>
    <t xml:space="preserve">根据考核结果， 六月份两位销售人员中STEPHEN完成目标，根据对赌协议，给予STEPHEN 5*2000=10000元工资激励； ESTRELLA完成总额目标未完成分解目标， 工资不变。 </t>
    <phoneticPr fontId="42" type="noConversion"/>
  </si>
  <si>
    <r>
      <t>根据考核结果，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五月份各位销售人员均未完成目标，大家的对赌工资</t>
    </r>
    <r>
      <rPr>
        <sz val="11"/>
        <color theme="1"/>
        <rFont val="Times New Roman"/>
        <family val="1"/>
      </rPr>
      <t>Stephen: 2000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Estrella: 2400</t>
    </r>
    <r>
      <rPr>
        <sz val="11"/>
        <color theme="1"/>
        <rFont val="宋体"/>
        <family val="3"/>
        <charset val="134"/>
      </rPr>
      <t>元，请从绩效中予以扣除。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如果有同事绩效金额不足的，予以减半扣除，下一月再做扣减。</t>
    </r>
    <r>
      <rPr>
        <sz val="11"/>
        <color theme="1"/>
        <rFont val="Times New Roman"/>
        <family val="1"/>
      </rPr>
      <t xml:space="preserve"> </t>
    </r>
  </si>
  <si>
    <t>若团队月度业绩100%达标，将给予个人贡献率（以销售占有比例%）最高者4000元人民币奖励或等值其他激励</t>
    <phoneticPr fontId="42" type="noConversion"/>
  </si>
  <si>
    <t>若团队月度业绩100%达标，将给予个人贡献率（以销售占有比例%）最高者4000元人民币奖励或等值其他激励</t>
    <phoneticPr fontId="42" type="noConversion"/>
  </si>
  <si>
    <t>STEPHEN</t>
  </si>
  <si>
    <t>ESTRELLA</t>
  </si>
  <si>
    <t>JARED</t>
  </si>
  <si>
    <t>CS2018828</t>
  </si>
  <si>
    <t>CS2018829</t>
  </si>
  <si>
    <t>CS2018831</t>
  </si>
  <si>
    <t>CS2018833</t>
  </si>
  <si>
    <t>CS2018840</t>
  </si>
  <si>
    <t>CS2018321</t>
  </si>
  <si>
    <t>CS2018316</t>
  </si>
  <si>
    <t>CS2018320</t>
  </si>
  <si>
    <t>CS2018323</t>
  </si>
  <si>
    <t>Jared</t>
    <phoneticPr fontId="42" type="noConversion"/>
  </si>
  <si>
    <t>`</t>
  </si>
  <si>
    <t>OrderNo</t>
  </si>
  <si>
    <t>收款金额</t>
  </si>
  <si>
    <t>OrderNo（2）</t>
  </si>
  <si>
    <t>收款时间</t>
  </si>
  <si>
    <t>销售Order No</t>
  </si>
  <si>
    <t>收款总金额</t>
  </si>
  <si>
    <t>Total Ocean freight</t>
  </si>
  <si>
    <t>ID</t>
  </si>
  <si>
    <t>structure</t>
  </si>
  <si>
    <t>managementTab</t>
  </si>
  <si>
    <t>buysideTab</t>
  </si>
  <si>
    <t>sellsideTab</t>
  </si>
  <si>
    <t>JUN (2)</t>
  </si>
  <si>
    <t>汇总</t>
  </si>
  <si>
    <t>JAN 2018</t>
  </si>
  <si>
    <t>FEB 2018</t>
  </si>
  <si>
    <t>MAR 2018</t>
  </si>
  <si>
    <t>APR</t>
  </si>
  <si>
    <t>MAY</t>
  </si>
  <si>
    <t>JUN</t>
  </si>
  <si>
    <t>汇总结果</t>
  </si>
  <si>
    <t>收款输入</t>
  </si>
  <si>
    <t>订单输入</t>
  </si>
  <si>
    <t>汇率</t>
  </si>
  <si>
    <t>UserPermissionTable</t>
  </si>
  <si>
    <t>admin</t>
  </si>
  <si>
    <t>Mutable</t>
  </si>
  <si>
    <t>Visible</t>
  </si>
  <si>
    <t>Writable</t>
  </si>
  <si>
    <t>guest</t>
  </si>
  <si>
    <t>Inmutable</t>
  </si>
  <si>
    <t>Invisible</t>
  </si>
  <si>
    <t>ReadOnly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</si>
</sst>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&quot;¥&quot;#,##0.00;&quot;¥&quot;\-#,##0.00"/>
    <numFmt numFmtId="165" formatCode="_ * #,##0.00_ ;_ * \-#,##0.00_ ;_ * &quot;-&quot;??_ ;_ @_ "/>
    <numFmt numFmtId="166" formatCode="\$#,##0.00_);\(\$#,##0.00\)"/>
    <numFmt numFmtId="167" formatCode="\$#,##0.00_);[Red]\(\$#,##0.00\)"/>
    <numFmt numFmtId="168" formatCode="\¥#,##0.00_);[Red]\(\¥#,##0.00\)"/>
    <numFmt numFmtId="169" formatCode="0_);\(0\)"/>
    <numFmt numFmtId="170" formatCode="0.00_ "/>
    <numFmt numFmtId="171" formatCode="\$#,##0.00;[Red]\$#,##0.00"/>
    <numFmt numFmtId="172" formatCode="&quot;￥&quot;#,##0.00;[Red]&quot;￥&quot;#,##0.00"/>
    <numFmt numFmtId="173" formatCode="0.00_);[Red]\(0.00\)"/>
    <numFmt numFmtId="174" formatCode="\¥#,##0.00_);\(\¥#,##0.00\)"/>
    <numFmt numFmtId="175" formatCode="0.000_);[Red]\(0.000\)"/>
    <numFmt numFmtId="176" formatCode="\¥#,##0.00;\¥\-#,##0.00"/>
    <numFmt numFmtId="177" formatCode="\$#,##0.00;\-\$#,##0.00"/>
    <numFmt numFmtId="178" formatCode="&quot;￥&quot;#,##0.00;&quot;￥&quot;\-#,##0.00"/>
    <numFmt numFmtId="179" formatCode="[$-F800]dddd\,\ mmmm\ dd\,\ yyyy"/>
    <numFmt numFmtId="180" formatCode="#,##0.00_ "/>
    <numFmt numFmtId="181" formatCode="#,##0.000_ "/>
    <numFmt numFmtId="182" formatCode="&quot;¥&quot;#,##0.00_);\(&quot;¥&quot;#,##0.00\)"/>
    <numFmt numFmtId="183" formatCode="#,##0_ "/>
    <numFmt numFmtId="184" formatCode="&quot;¥&quot;#,##0.00;[Red]&quot;¥&quot;#,##0.00"/>
    <numFmt numFmtId="185" formatCode="_ * #,##0_ ;_ * \-#,##0_ ;_ * &quot;-&quot;??_ ;_ @_ "/>
    <numFmt numFmtId="186" formatCode="yyyy\-mm\-dd;@"/>
    <numFmt numFmtId="187" formatCode="&quot;$&quot;#,##0.00"/>
    <numFmt numFmtId="188" formatCode="[$¥-804]#,##0.00"/>
  </numFmts>
  <fonts count="7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9"/>
      <name val="Times New Roman"/>
      <family val="1"/>
    </font>
    <font>
      <sz val="10"/>
      <color indexed="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indexed="10"/>
      <name val="Times New Roman"/>
      <family val="1"/>
    </font>
    <font>
      <sz val="9"/>
      <color rgb="FF000000"/>
      <name val="Times New Roman"/>
      <family val="1"/>
    </font>
    <font>
      <b/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10"/>
      <name val="Times New Roman"/>
      <family val="1"/>
    </font>
    <font>
      <sz val="10"/>
      <color rgb="FF000000"/>
      <name val="华文楷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color indexed="8"/>
      <name val="Times New Roman"/>
      <family val="1"/>
    </font>
    <font>
      <sz val="10"/>
      <color indexed="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0000"/>
      <name val="华文楷体"/>
      <family val="3"/>
      <charset val="134"/>
    </font>
    <font>
      <sz val="10"/>
      <name val="华文楷体"/>
      <family val="3"/>
      <charset val="134"/>
    </font>
    <font>
      <sz val="10"/>
      <color indexed="8"/>
      <name val="华文楷体"/>
      <family val="3"/>
      <charset val="134"/>
    </font>
    <font>
      <sz val="10"/>
      <name val="宋体"/>
      <family val="3"/>
      <charset val="134"/>
    </font>
    <font>
      <sz val="10"/>
      <color indexed="0"/>
      <name val="华文楷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535353"/>
      <name val="Times New Roman"/>
      <family val="1"/>
    </font>
    <font>
      <sz val="11"/>
      <color theme="0"/>
      <name val="Times New Roman"/>
      <family val="1"/>
    </font>
    <font>
      <sz val="11"/>
      <color theme="0"/>
      <name val="Calibri"/>
      <family val="3"/>
      <charset val="134"/>
      <scheme val="minor"/>
    </font>
    <font>
      <sz val="8"/>
      <color indexed="8"/>
      <name val="Times New Roman"/>
      <family val="1"/>
    </font>
    <font>
      <sz val="8"/>
      <color indexed="8"/>
      <name val="宋体"/>
      <family val="3"/>
      <charset val="134"/>
    </font>
    <font>
      <sz val="11"/>
      <color theme="2"/>
      <name val="Calibri"/>
      <family val="3"/>
      <charset val="134"/>
      <scheme val="minor"/>
    </font>
    <font>
      <sz val="8"/>
      <color rgb="FFFF0000"/>
      <name val="Times New Roman"/>
      <family val="1"/>
    </font>
    <font>
      <sz val="11"/>
      <name val="Calibri"/>
      <family val="3"/>
      <charset val="134"/>
      <scheme val="minor"/>
    </font>
    <font>
      <sz val="9"/>
      <color theme="1"/>
      <name val="Times New Roman"/>
      <family val="1"/>
    </font>
    <font>
      <b/>
      <sz val="10"/>
      <color theme="0"/>
      <name val="Times New Roman"/>
      <family val="1"/>
    </font>
    <font>
      <sz val="11"/>
      <color theme="0"/>
      <name val="宋体"/>
      <family val="3"/>
      <charset val="134"/>
    </font>
    <font>
      <sz val="7"/>
      <color indexed="8"/>
      <name val="Times New Roman"/>
      <family val="1"/>
    </font>
    <font>
      <sz val="7"/>
      <color indexed="8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Calibri"/>
      <family val="2"/>
    </font>
    <font>
      <sz val="9"/>
      <name val="Calibri"/>
      <family val="3"/>
      <charset val="134"/>
      <scheme val="minor"/>
    </font>
    <font>
      <sz val="8"/>
      <name val="Times New Roman"/>
      <family val="1"/>
    </font>
    <font>
      <sz val="9"/>
      <color rgb="FF000000"/>
      <name val="楷体"/>
      <family val="3"/>
      <charset val="134"/>
    </font>
    <font>
      <sz val="9"/>
      <color rgb="FF000000"/>
      <name val="Calibri Light"/>
      <family val="2"/>
    </font>
    <font>
      <sz val="11"/>
      <color theme="1"/>
      <name val="宋体"/>
      <family val="3"/>
      <charset val="134"/>
    </font>
    <font>
      <sz val="10"/>
      <name val="Arial Unicode MS"/>
      <family val="2"/>
      <charset val="134"/>
    </font>
    <font>
      <b/>
      <sz val="10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ADD8E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">
    <xf numFmtId="179" fontId="0" fillId="0" borderId="0">
      <alignment vertical="center"/>
    </xf>
    <xf numFmtId="179" fontId="33" fillId="0" borderId="0">
      <alignment vertical="center"/>
    </xf>
    <xf numFmtId="179" fontId="32" fillId="0" borderId="0">
      <alignment vertical="center"/>
    </xf>
    <xf numFmtId="179" fontId="33" fillId="0" borderId="0">
      <alignment vertical="center"/>
    </xf>
    <xf numFmtId="179" fontId="43" fillId="0" borderId="0">
      <alignment vertical="center"/>
    </xf>
    <xf numFmtId="179" fontId="43" fillId="0" borderId="0">
      <alignment vertical="center"/>
    </xf>
    <xf numFmtId="179" fontId="44" fillId="0" borderId="0">
      <alignment vertical="center"/>
    </xf>
    <xf numFmtId="165" fontId="46" fillId="0" borderId="0" applyFont="0" applyFill="0" applyBorder="0" applyAlignment="0" applyProtection="0">
      <alignment vertical="center"/>
    </xf>
    <xf numFmtId="179" fontId="47" fillId="0" borderId="0"/>
    <xf numFmtId="165" fontId="47" fillId="0" borderId="0" applyFont="0" applyFill="0" applyBorder="0" applyAlignment="0" applyProtection="0">
      <alignment vertical="center"/>
    </xf>
    <xf numFmtId="179" fontId="32" fillId="0" borderId="0">
      <alignment vertical="center"/>
    </xf>
    <xf numFmtId="179" fontId="1" fillId="0" borderId="0">
      <alignment vertical="center"/>
    </xf>
    <xf numFmtId="165" fontId="1" fillId="0" borderId="0" applyFont="0" applyFill="0" applyBorder="0" applyAlignment="0" applyProtection="0">
      <alignment vertical="center"/>
    </xf>
  </cellStyleXfs>
  <cellXfs count="588">
    <xf numFmtId="179" fontId="0" fillId="0" borderId="0" xfId="0">
      <alignment vertical="center"/>
    </xf>
    <xf numFmtId="179" fontId="0" fillId="0" borderId="0" xfId="0" applyFill="1">
      <alignment vertical="center"/>
    </xf>
    <xf numFmtId="179" fontId="2" fillId="0" borderId="0" xfId="0" applyFont="1">
      <alignment vertical="center"/>
    </xf>
    <xf numFmtId="179" fontId="3" fillId="2" borderId="0" xfId="0" applyFont="1" applyFill="1">
      <alignment vertical="center"/>
    </xf>
    <xf numFmtId="179" fontId="4" fillId="2" borderId="0" xfId="0" applyFont="1" applyFill="1">
      <alignment vertical="center"/>
    </xf>
    <xf numFmtId="167" fontId="4" fillId="2" borderId="0" xfId="0" applyNumberFormat="1" applyFont="1" applyFill="1" applyAlignment="1">
      <alignment horizontal="center" vertical="center"/>
    </xf>
    <xf numFmtId="179" fontId="4" fillId="2" borderId="0" xfId="0" applyFont="1" applyFill="1" applyAlignment="1">
      <alignment horizontal="center" vertical="center"/>
    </xf>
    <xf numFmtId="168" fontId="4" fillId="2" borderId="0" xfId="0" applyNumberFormat="1" applyFont="1" applyFill="1" applyAlignment="1">
      <alignment horizontal="center" vertical="center"/>
    </xf>
    <xf numFmtId="179" fontId="5" fillId="2" borderId="0" xfId="0" applyFont="1" applyFill="1">
      <alignment vertical="center"/>
    </xf>
    <xf numFmtId="167" fontId="5" fillId="2" borderId="0" xfId="0" applyNumberFormat="1" applyFont="1" applyFill="1" applyAlignment="1">
      <alignment horizontal="center" vertical="center"/>
    </xf>
    <xf numFmtId="179" fontId="5" fillId="2" borderId="0" xfId="0" applyFont="1" applyFill="1" applyAlignment="1">
      <alignment horizontal="center" vertical="center"/>
    </xf>
    <xf numFmtId="168" fontId="5" fillId="2" borderId="0" xfId="0" applyNumberFormat="1" applyFont="1" applyFill="1" applyAlignment="1">
      <alignment horizontal="center" vertical="center"/>
    </xf>
    <xf numFmtId="179" fontId="6" fillId="3" borderId="1" xfId="0" applyFont="1" applyFill="1" applyBorder="1" applyAlignment="1">
      <alignment horizontal="center" vertical="center"/>
    </xf>
    <xf numFmtId="167" fontId="6" fillId="3" borderId="1" xfId="0" applyNumberFormat="1" applyFont="1" applyFill="1" applyBorder="1" applyAlignment="1">
      <alignment horizontal="center" vertical="center"/>
    </xf>
    <xf numFmtId="167" fontId="6" fillId="3" borderId="1" xfId="0" applyNumberFormat="1" applyFont="1" applyFill="1" applyBorder="1" applyAlignment="1">
      <alignment horizontal="center" vertical="center" wrapText="1"/>
    </xf>
    <xf numFmtId="168" fontId="6" fillId="3" borderId="1" xfId="0" applyNumberFormat="1" applyFont="1" applyFill="1" applyBorder="1" applyAlignment="1">
      <alignment horizontal="center" vertical="center" wrapText="1"/>
    </xf>
    <xf numFmtId="17" fontId="7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171" fontId="8" fillId="0" borderId="1" xfId="0" applyNumberFormat="1" applyFont="1" applyFill="1" applyBorder="1" applyAlignment="1">
      <alignment horizontal="center" vertical="center"/>
    </xf>
    <xf numFmtId="172" fontId="8" fillId="0" borderId="1" xfId="0" applyNumberFormat="1" applyFont="1" applyFill="1" applyBorder="1" applyAlignment="1">
      <alignment horizontal="center" vertical="center"/>
    </xf>
    <xf numFmtId="17" fontId="7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179" fontId="7" fillId="2" borderId="0" xfId="0" applyFont="1" applyFill="1" applyBorder="1" applyAlignment="1">
      <alignment horizontal="center" vertical="center"/>
    </xf>
    <xf numFmtId="167" fontId="7" fillId="2" borderId="0" xfId="0" applyNumberFormat="1" applyFont="1" applyFill="1" applyBorder="1" applyAlignment="1">
      <alignment horizontal="center" vertical="center"/>
    </xf>
    <xf numFmtId="167" fontId="5" fillId="2" borderId="0" xfId="0" applyNumberFormat="1" applyFont="1" applyFill="1" applyBorder="1" applyAlignment="1">
      <alignment horizontal="center" vertical="center"/>
    </xf>
    <xf numFmtId="168" fontId="5" fillId="2" borderId="0" xfId="0" applyNumberFormat="1" applyFont="1" applyFill="1" applyBorder="1" applyAlignment="1">
      <alignment horizontal="center" vertical="center"/>
    </xf>
    <xf numFmtId="168" fontId="5" fillId="2" borderId="0" xfId="0" applyNumberFormat="1" applyFont="1" applyFill="1" applyBorder="1" applyAlignment="1">
      <alignment horizontal="center" vertical="center" wrapText="1"/>
    </xf>
    <xf numFmtId="179" fontId="5" fillId="2" borderId="0" xfId="3" applyFont="1" applyFill="1">
      <alignment vertical="center"/>
    </xf>
    <xf numFmtId="167" fontId="5" fillId="2" borderId="0" xfId="3" applyNumberFormat="1" applyFont="1" applyFill="1" applyAlignment="1">
      <alignment horizontal="center" vertical="center"/>
    </xf>
    <xf numFmtId="179" fontId="5" fillId="2" borderId="0" xfId="3" applyFont="1" applyFill="1" applyAlignment="1">
      <alignment horizontal="center" vertical="center"/>
    </xf>
    <xf numFmtId="168" fontId="5" fillId="2" borderId="0" xfId="3" applyNumberFormat="1" applyFont="1" applyFill="1" applyAlignment="1">
      <alignment horizontal="center" vertical="center"/>
    </xf>
    <xf numFmtId="179" fontId="9" fillId="2" borderId="0" xfId="3" applyFont="1" applyFill="1" applyAlignment="1">
      <alignment vertical="center"/>
    </xf>
    <xf numFmtId="167" fontId="9" fillId="2" borderId="0" xfId="3" applyNumberFormat="1" applyFont="1" applyFill="1" applyAlignment="1">
      <alignment horizontal="center" vertical="center"/>
    </xf>
    <xf numFmtId="179" fontId="9" fillId="2" borderId="0" xfId="3" applyFont="1" applyFill="1" applyAlignment="1">
      <alignment horizontal="center" vertical="center"/>
    </xf>
    <xf numFmtId="168" fontId="9" fillId="2" borderId="0" xfId="3" applyNumberFormat="1" applyFont="1" applyFill="1" applyAlignment="1">
      <alignment horizontal="center" vertical="center"/>
    </xf>
    <xf numFmtId="179" fontId="5" fillId="2" borderId="0" xfId="2" applyFont="1" applyFill="1" applyAlignment="1">
      <alignment horizontal="center" vertical="center"/>
    </xf>
    <xf numFmtId="179" fontId="5" fillId="2" borderId="0" xfId="2" applyFont="1" applyFill="1" applyAlignment="1">
      <alignment horizontal="left" vertical="center"/>
    </xf>
    <xf numFmtId="167" fontId="5" fillId="2" borderId="0" xfId="2" applyNumberFormat="1" applyFont="1" applyFill="1" applyAlignment="1">
      <alignment horizontal="center" vertical="center"/>
    </xf>
    <xf numFmtId="179" fontId="5" fillId="2" borderId="0" xfId="2" applyFont="1" applyFill="1" applyAlignment="1">
      <alignment vertical="center"/>
    </xf>
    <xf numFmtId="168" fontId="5" fillId="2" borderId="0" xfId="2" applyNumberFormat="1" applyFont="1" applyFill="1" applyAlignment="1">
      <alignment horizontal="center" vertical="center"/>
    </xf>
    <xf numFmtId="173" fontId="5" fillId="0" borderId="1" xfId="2" applyNumberFormat="1" applyFont="1" applyFill="1" applyBorder="1" applyAlignment="1">
      <alignment horizontal="center" vertical="center"/>
    </xf>
    <xf numFmtId="179" fontId="5" fillId="2" borderId="0" xfId="2" applyFont="1" applyFill="1">
      <alignment vertical="center"/>
    </xf>
    <xf numFmtId="167" fontId="7" fillId="2" borderId="1" xfId="2" applyNumberFormat="1" applyFont="1" applyFill="1" applyBorder="1" applyAlignment="1">
      <alignment horizontal="left" vertical="center"/>
    </xf>
    <xf numFmtId="167" fontId="7" fillId="2" borderId="1" xfId="2" applyNumberFormat="1" applyFont="1" applyFill="1" applyBorder="1" applyAlignment="1">
      <alignment horizontal="center" vertical="center"/>
    </xf>
    <xf numFmtId="167" fontId="10" fillId="2" borderId="1" xfId="2" applyNumberFormat="1" applyFont="1" applyFill="1" applyBorder="1" applyAlignment="1">
      <alignment horizontal="center" vertical="center"/>
    </xf>
    <xf numFmtId="168" fontId="7" fillId="2" borderId="1" xfId="2" applyNumberFormat="1" applyFont="1" applyFill="1" applyBorder="1" applyAlignment="1">
      <alignment horizontal="center" vertical="center"/>
    </xf>
    <xf numFmtId="173" fontId="7" fillId="2" borderId="1" xfId="2" applyNumberFormat="1" applyFont="1" applyFill="1" applyBorder="1" applyAlignment="1">
      <alignment horizontal="center" vertical="center"/>
    </xf>
    <xf numFmtId="173" fontId="7" fillId="0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73" fontId="7" fillId="2" borderId="2" xfId="2" applyNumberFormat="1" applyFont="1" applyFill="1" applyBorder="1" applyAlignment="1">
      <alignment horizontal="center" vertical="center"/>
    </xf>
    <xf numFmtId="175" fontId="7" fillId="2" borderId="1" xfId="2" applyNumberFormat="1" applyFont="1" applyFill="1" applyBorder="1" applyAlignment="1">
      <alignment horizontal="center" vertical="center"/>
    </xf>
    <xf numFmtId="179" fontId="7" fillId="2" borderId="1" xfId="2" applyNumberFormat="1" applyFont="1" applyFill="1" applyBorder="1" applyAlignment="1">
      <alignment horizontal="center" vertical="center"/>
    </xf>
    <xf numFmtId="167" fontId="7" fillId="2" borderId="0" xfId="2" applyNumberFormat="1" applyFont="1" applyFill="1" applyBorder="1" applyAlignment="1">
      <alignment horizontal="center" vertical="center"/>
    </xf>
    <xf numFmtId="179" fontId="5" fillId="4" borderId="1" xfId="1" applyNumberFormat="1" applyFont="1" applyFill="1" applyBorder="1" applyAlignment="1">
      <alignment horizontal="center" vertical="center"/>
    </xf>
    <xf numFmtId="179" fontId="11" fillId="0" borderId="1" xfId="1" applyNumberFormat="1" applyFont="1" applyFill="1" applyBorder="1" applyAlignment="1">
      <alignment horizontal="center" vertical="center"/>
    </xf>
    <xf numFmtId="168" fontId="5" fillId="2" borderId="1" xfId="1" applyNumberFormat="1" applyFont="1" applyFill="1" applyBorder="1" applyAlignment="1">
      <alignment horizontal="center" vertical="center"/>
    </xf>
    <xf numFmtId="167" fontId="5" fillId="2" borderId="0" xfId="2" applyNumberFormat="1" applyFont="1" applyFill="1" applyBorder="1" applyAlignment="1">
      <alignment horizontal="center" vertical="center"/>
    </xf>
    <xf numFmtId="179" fontId="5" fillId="2" borderId="0" xfId="2" applyFont="1" applyFill="1" applyBorder="1" applyAlignment="1">
      <alignment horizontal="center" vertical="center"/>
    </xf>
    <xf numFmtId="179" fontId="5" fillId="2" borderId="0" xfId="2" applyFont="1" applyFill="1" applyBorder="1" applyAlignment="1">
      <alignment vertical="center"/>
    </xf>
    <xf numFmtId="179" fontId="5" fillId="0" borderId="0" xfId="0" applyFont="1">
      <alignment vertical="center"/>
    </xf>
    <xf numFmtId="179" fontId="5" fillId="0" borderId="0" xfId="0" applyFont="1" applyAlignment="1">
      <alignment horizontal="center" vertical="center"/>
    </xf>
    <xf numFmtId="179" fontId="5" fillId="2" borderId="0" xfId="1" applyFont="1" applyFill="1" applyAlignment="1">
      <alignment horizontal="center" vertical="center"/>
    </xf>
    <xf numFmtId="170" fontId="5" fillId="2" borderId="0" xfId="1" applyNumberFormat="1" applyFont="1" applyFill="1" applyBorder="1" applyAlignment="1">
      <alignment horizontal="center" vertical="center"/>
    </xf>
    <xf numFmtId="168" fontId="5" fillId="2" borderId="0" xfId="1" applyNumberFormat="1" applyFont="1" applyFill="1" applyBorder="1" applyAlignment="1">
      <alignment horizontal="center" vertical="center"/>
    </xf>
    <xf numFmtId="177" fontId="5" fillId="2" borderId="0" xfId="1" applyNumberFormat="1" applyFont="1" applyFill="1" applyAlignment="1">
      <alignment horizontal="center" vertical="center"/>
    </xf>
    <xf numFmtId="176" fontId="5" fillId="2" borderId="0" xfId="1" applyNumberFormat="1" applyFont="1" applyFill="1" applyAlignment="1">
      <alignment horizontal="center" vertical="center"/>
    </xf>
    <xf numFmtId="179" fontId="7" fillId="0" borderId="1" xfId="0" applyFont="1" applyFill="1" applyBorder="1" applyAlignment="1">
      <alignment horizontal="center" vertical="center"/>
    </xf>
    <xf numFmtId="168" fontId="5" fillId="0" borderId="7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/>
    </xf>
    <xf numFmtId="167" fontId="7" fillId="2" borderId="0" xfId="2" applyNumberFormat="1" applyFont="1" applyFill="1" applyAlignment="1">
      <alignment horizontal="center" vertical="center"/>
    </xf>
    <xf numFmtId="176" fontId="5" fillId="2" borderId="1" xfId="1" applyNumberFormat="1" applyFont="1" applyFill="1" applyBorder="1" applyAlignment="1">
      <alignment horizontal="center" vertical="center"/>
    </xf>
    <xf numFmtId="176" fontId="5" fillId="2" borderId="0" xfId="0" applyNumberFormat="1" applyFont="1" applyFill="1">
      <alignment vertical="center"/>
    </xf>
    <xf numFmtId="179" fontId="7" fillId="0" borderId="1" xfId="0" applyFont="1" applyFill="1" applyBorder="1" applyAlignment="1">
      <alignment horizontal="left" vertical="center"/>
    </xf>
    <xf numFmtId="9" fontId="7" fillId="0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79" fontId="12" fillId="0" borderId="0" xfId="0" applyFont="1">
      <alignment vertical="center"/>
    </xf>
    <xf numFmtId="179" fontId="8" fillId="0" borderId="0" xfId="0" applyFont="1">
      <alignment vertical="center"/>
    </xf>
    <xf numFmtId="179" fontId="7" fillId="0" borderId="1" xfId="0" applyFont="1" applyFill="1" applyBorder="1" applyAlignment="1">
      <alignment horizontal="left" vertical="center"/>
    </xf>
    <xf numFmtId="9" fontId="7" fillId="0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Fill="1" applyBorder="1" applyAlignment="1">
      <alignment horizontal="center" vertical="center"/>
    </xf>
    <xf numFmtId="179" fontId="2" fillId="0" borderId="0" xfId="0" applyFont="1" applyFill="1">
      <alignment vertical="center"/>
    </xf>
    <xf numFmtId="179" fontId="9" fillId="2" borderId="0" xfId="0" applyFont="1" applyFill="1" applyBorder="1" applyAlignment="1">
      <alignment vertical="center"/>
    </xf>
    <xf numFmtId="179" fontId="7" fillId="2" borderId="0" xfId="0" applyFont="1" applyFill="1" applyBorder="1" applyAlignment="1">
      <alignment vertical="center"/>
    </xf>
    <xf numFmtId="179" fontId="13" fillId="2" borderId="0" xfId="3" applyFont="1" applyFill="1">
      <alignment vertical="center"/>
    </xf>
    <xf numFmtId="168" fontId="5" fillId="2" borderId="0" xfId="2" applyNumberFormat="1" applyFont="1" applyFill="1" applyAlignment="1">
      <alignment vertical="center"/>
    </xf>
    <xf numFmtId="176" fontId="5" fillId="2" borderId="0" xfId="2" applyNumberFormat="1" applyFont="1" applyFill="1">
      <alignment vertical="center"/>
    </xf>
    <xf numFmtId="168" fontId="5" fillId="0" borderId="2" xfId="0" applyNumberFormat="1" applyFont="1" applyFill="1" applyBorder="1" applyAlignment="1">
      <alignment horizontal="center" vertical="center" wrapText="1"/>
    </xf>
    <xf numFmtId="179" fontId="9" fillId="0" borderId="1" xfId="0" applyFont="1" applyFill="1" applyBorder="1" applyAlignment="1">
      <alignment vertical="center"/>
    </xf>
    <xf numFmtId="9" fontId="8" fillId="0" borderId="1" xfId="0" applyNumberFormat="1" applyFont="1" applyFill="1" applyBorder="1" applyAlignment="1">
      <alignment horizontal="center" vertical="center"/>
    </xf>
    <xf numFmtId="179" fontId="9" fillId="0" borderId="1" xfId="0" applyFont="1" applyFill="1" applyBorder="1" applyAlignment="1">
      <alignment horizontal="left" vertical="center"/>
    </xf>
    <xf numFmtId="40" fontId="5" fillId="2" borderId="1" xfId="0" applyNumberFormat="1" applyFont="1" applyFill="1" applyBorder="1" applyAlignment="1">
      <alignment horizontal="center" vertical="center"/>
    </xf>
    <xf numFmtId="179" fontId="5" fillId="2" borderId="7" xfId="0" applyFont="1" applyFill="1" applyBorder="1">
      <alignment vertical="center"/>
    </xf>
    <xf numFmtId="167" fontId="5" fillId="2" borderId="2" xfId="0" applyNumberFormat="1" applyFont="1" applyFill="1" applyBorder="1" applyAlignment="1">
      <alignment horizontal="center" vertical="center"/>
    </xf>
    <xf numFmtId="179" fontId="5" fillId="2" borderId="1" xfId="0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70" fontId="5" fillId="2" borderId="1" xfId="0" applyNumberFormat="1" applyFont="1" applyFill="1" applyBorder="1" applyAlignment="1">
      <alignment horizontal="center" vertical="center"/>
    </xf>
    <xf numFmtId="167" fontId="14" fillId="2" borderId="0" xfId="0" applyNumberFormat="1" applyFont="1" applyFill="1" applyAlignment="1">
      <alignment horizontal="center" vertical="center"/>
    </xf>
    <xf numFmtId="170" fontId="5" fillId="2" borderId="0" xfId="0" applyNumberFormat="1" applyFont="1" applyFill="1" applyAlignment="1">
      <alignment horizontal="center" vertical="center"/>
    </xf>
    <xf numFmtId="179" fontId="15" fillId="0" borderId="0" xfId="0" applyFont="1">
      <alignment vertical="center"/>
    </xf>
    <xf numFmtId="168" fontId="2" fillId="0" borderId="0" xfId="0" applyNumberFormat="1" applyFont="1" applyAlignment="1">
      <alignment horizontal="center" vertical="center"/>
    </xf>
    <xf numFmtId="179" fontId="16" fillId="0" borderId="0" xfId="0" applyFont="1">
      <alignment vertical="center"/>
    </xf>
    <xf numFmtId="179" fontId="2" fillId="0" borderId="0" xfId="0" applyFont="1" applyAlignment="1">
      <alignment horizontal="center" vertical="center"/>
    </xf>
    <xf numFmtId="167" fontId="17" fillId="3" borderId="1" xfId="0" applyNumberFormat="1" applyFont="1" applyFill="1" applyBorder="1" applyAlignment="1">
      <alignment horizontal="center" vertical="center"/>
    </xf>
    <xf numFmtId="168" fontId="17" fillId="3" borderId="1" xfId="0" applyNumberFormat="1" applyFont="1" applyFill="1" applyBorder="1" applyAlignment="1">
      <alignment horizontal="center" vertical="center" wrapText="1"/>
    </xf>
    <xf numFmtId="166" fontId="2" fillId="5" borderId="1" xfId="0" applyNumberFormat="1" applyFont="1" applyFill="1" applyBorder="1" applyAlignment="1">
      <alignment horizontal="center" vertical="center"/>
    </xf>
    <xf numFmtId="174" fontId="2" fillId="5" borderId="1" xfId="0" applyNumberFormat="1" applyFont="1" applyFill="1" applyBorder="1" applyAlignment="1">
      <alignment horizontal="center" vertical="center"/>
    </xf>
    <xf numFmtId="179" fontId="18" fillId="0" borderId="0" xfId="0" applyFont="1">
      <alignment vertical="center"/>
    </xf>
    <xf numFmtId="166" fontId="18" fillId="0" borderId="0" xfId="0" applyNumberFormat="1" applyFont="1" applyAlignment="1">
      <alignment horizontal="center" vertical="center"/>
    </xf>
    <xf numFmtId="174" fontId="18" fillId="0" borderId="0" xfId="0" applyNumberFormat="1" applyFont="1" applyAlignment="1">
      <alignment horizontal="center" vertical="center"/>
    </xf>
    <xf numFmtId="39" fontId="18" fillId="0" borderId="0" xfId="0" applyNumberFormat="1" applyFont="1" applyAlignment="1">
      <alignment horizontal="center" vertical="center"/>
    </xf>
    <xf numFmtId="167" fontId="7" fillId="2" borderId="0" xfId="0" applyNumberFormat="1" applyFont="1" applyFill="1" applyBorder="1" applyAlignment="1">
      <alignment vertical="center"/>
    </xf>
    <xf numFmtId="179" fontId="2" fillId="5" borderId="1" xfId="0" applyFont="1" applyFill="1" applyBorder="1">
      <alignment vertical="center"/>
    </xf>
    <xf numFmtId="179" fontId="2" fillId="6" borderId="1" xfId="0" applyFont="1" applyFill="1" applyBorder="1">
      <alignment vertical="center"/>
    </xf>
    <xf numFmtId="173" fontId="5" fillId="0" borderId="0" xfId="2" applyNumberFormat="1" applyFont="1" applyFill="1" applyAlignment="1">
      <alignment horizontal="center" vertical="center"/>
    </xf>
    <xf numFmtId="167" fontId="19" fillId="2" borderId="7" xfId="2" applyNumberFormat="1" applyFont="1" applyFill="1" applyBorder="1" applyAlignment="1">
      <alignment horizontal="center" vertical="center"/>
    </xf>
    <xf numFmtId="170" fontId="7" fillId="2" borderId="1" xfId="2" applyNumberFormat="1" applyFont="1" applyFill="1" applyBorder="1" applyAlignment="1">
      <alignment horizontal="center" vertical="center"/>
    </xf>
    <xf numFmtId="175" fontId="7" fillId="2" borderId="7" xfId="2" applyNumberFormat="1" applyFont="1" applyFill="1" applyBorder="1" applyAlignment="1">
      <alignment horizontal="center" vertical="center"/>
    </xf>
    <xf numFmtId="175" fontId="7" fillId="2" borderId="0" xfId="2" applyNumberFormat="1" applyFont="1" applyFill="1" applyBorder="1" applyAlignment="1">
      <alignment horizontal="center" vertical="center"/>
    </xf>
    <xf numFmtId="167" fontId="7" fillId="2" borderId="7" xfId="2" applyNumberFormat="1" applyFont="1" applyFill="1" applyBorder="1" applyAlignment="1">
      <alignment horizontal="center" vertical="center"/>
    </xf>
    <xf numFmtId="179" fontId="5" fillId="0" borderId="1" xfId="1" applyNumberFormat="1" applyFont="1" applyFill="1" applyBorder="1" applyAlignment="1">
      <alignment horizontal="center" vertical="center"/>
    </xf>
    <xf numFmtId="168" fontId="5" fillId="2" borderId="0" xfId="1" applyNumberFormat="1" applyFont="1" applyFill="1" applyAlignment="1">
      <alignment horizontal="center" vertical="center"/>
    </xf>
    <xf numFmtId="179" fontId="5" fillId="0" borderId="1" xfId="1" applyFont="1" applyFill="1" applyBorder="1" applyAlignment="1">
      <alignment horizontal="center" vertical="center"/>
    </xf>
    <xf numFmtId="179" fontId="11" fillId="0" borderId="1" xfId="0" applyFont="1" applyBorder="1" applyAlignment="1">
      <alignment horizontal="center" vertical="center"/>
    </xf>
    <xf numFmtId="179" fontId="20" fillId="0" borderId="0" xfId="0" applyFont="1">
      <alignment vertical="center"/>
    </xf>
    <xf numFmtId="168" fontId="0" fillId="0" borderId="0" xfId="0" applyNumberFormat="1">
      <alignment vertical="center"/>
    </xf>
    <xf numFmtId="179" fontId="21" fillId="0" borderId="0" xfId="0" applyFont="1">
      <alignment vertical="center"/>
    </xf>
    <xf numFmtId="179" fontId="8" fillId="0" borderId="0" xfId="0" applyFont="1" applyAlignment="1">
      <alignment horizontal="center" vertical="center"/>
    </xf>
    <xf numFmtId="166" fontId="8" fillId="5" borderId="1" xfId="0" applyNumberFormat="1" applyFont="1" applyFill="1" applyBorder="1" applyAlignment="1">
      <alignment horizontal="center" vertical="center"/>
    </xf>
    <xf numFmtId="174" fontId="8" fillId="5" borderId="1" xfId="0" applyNumberFormat="1" applyFont="1" applyFill="1" applyBorder="1" applyAlignment="1">
      <alignment horizontal="center" vertical="center"/>
    </xf>
    <xf numFmtId="179" fontId="23" fillId="0" borderId="0" xfId="0" applyFont="1">
      <alignment vertical="center"/>
    </xf>
    <xf numFmtId="179" fontId="24" fillId="3" borderId="1" xfId="0" applyFont="1" applyFill="1" applyBorder="1" applyAlignment="1">
      <alignment horizontal="center" vertical="center"/>
    </xf>
    <xf numFmtId="179" fontId="8" fillId="5" borderId="1" xfId="0" applyFont="1" applyFill="1" applyBorder="1">
      <alignment vertical="center"/>
    </xf>
    <xf numFmtId="179" fontId="8" fillId="6" borderId="1" xfId="0" applyFont="1" applyFill="1" applyBorder="1">
      <alignment vertical="center"/>
    </xf>
    <xf numFmtId="171" fontId="25" fillId="0" borderId="1" xfId="0" applyNumberFormat="1" applyFont="1" applyFill="1" applyBorder="1" applyAlignment="1">
      <alignment horizontal="center" vertical="center"/>
    </xf>
    <xf numFmtId="172" fontId="25" fillId="0" borderId="1" xfId="0" applyNumberFormat="1" applyFont="1" applyFill="1" applyBorder="1" applyAlignment="1">
      <alignment horizontal="center" vertical="center"/>
    </xf>
    <xf numFmtId="166" fontId="26" fillId="0" borderId="1" xfId="0" applyNumberFormat="1" applyFont="1" applyFill="1" applyBorder="1" applyAlignment="1">
      <alignment horizontal="center" vertical="center"/>
    </xf>
    <xf numFmtId="168" fontId="26" fillId="0" borderId="1" xfId="0" applyNumberFormat="1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168" fontId="26" fillId="0" borderId="1" xfId="0" applyNumberFormat="1" applyFont="1" applyFill="1" applyBorder="1" applyAlignment="1">
      <alignment horizontal="center" vertical="center" wrapText="1"/>
    </xf>
    <xf numFmtId="168" fontId="7" fillId="7" borderId="1" xfId="2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9" fontId="5" fillId="2" borderId="1" xfId="0" applyFont="1" applyFill="1" applyBorder="1">
      <alignment vertical="center"/>
    </xf>
    <xf numFmtId="167" fontId="27" fillId="2" borderId="1" xfId="0" applyNumberFormat="1" applyFont="1" applyFill="1" applyBorder="1" applyAlignment="1">
      <alignment horizontal="center" vertical="center"/>
    </xf>
    <xf numFmtId="170" fontId="5" fillId="2" borderId="1" xfId="1" applyNumberFormat="1" applyFont="1" applyFill="1" applyBorder="1" applyAlignment="1">
      <alignment horizontal="center" vertical="center"/>
    </xf>
    <xf numFmtId="179" fontId="28" fillId="0" borderId="0" xfId="0" applyFont="1">
      <alignment vertical="center"/>
    </xf>
    <xf numFmtId="179" fontId="0" fillId="0" borderId="0" xfId="0" applyAlignment="1">
      <alignment horizontal="center" vertical="center"/>
    </xf>
    <xf numFmtId="179" fontId="29" fillId="3" borderId="1" xfId="0" applyFont="1" applyFill="1" applyBorder="1" applyAlignment="1">
      <alignment horizontal="center" vertical="center"/>
    </xf>
    <xf numFmtId="167" fontId="29" fillId="3" borderId="1" xfId="0" applyNumberFormat="1" applyFont="1" applyFill="1" applyBorder="1" applyAlignment="1">
      <alignment horizontal="center" vertical="center"/>
    </xf>
    <xf numFmtId="167" fontId="29" fillId="3" borderId="1" xfId="0" applyNumberFormat="1" applyFont="1" applyFill="1" applyBorder="1" applyAlignment="1">
      <alignment horizontal="center" vertical="center" wrapText="1"/>
    </xf>
    <xf numFmtId="167" fontId="30" fillId="3" borderId="1" xfId="0" applyNumberFormat="1" applyFont="1" applyFill="1" applyBorder="1" applyAlignment="1">
      <alignment horizontal="center" vertical="center"/>
    </xf>
    <xf numFmtId="168" fontId="30" fillId="3" borderId="1" xfId="0" applyNumberFormat="1" applyFont="1" applyFill="1" applyBorder="1" applyAlignment="1">
      <alignment horizontal="center" vertical="center" wrapText="1"/>
    </xf>
    <xf numFmtId="166" fontId="0" fillId="5" borderId="1" xfId="0" applyNumberFormat="1" applyFill="1" applyBorder="1" applyAlignment="1">
      <alignment horizontal="center" vertical="center"/>
    </xf>
    <xf numFmtId="174" fontId="0" fillId="5" borderId="1" xfId="0" applyNumberFormat="1" applyFill="1" applyBorder="1" applyAlignment="1">
      <alignment horizontal="center" vertical="center"/>
    </xf>
    <xf numFmtId="179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31" fillId="0" borderId="1" xfId="0" applyNumberFormat="1" applyFont="1" applyBorder="1" applyAlignment="1">
      <alignment horizontal="center" vertical="center"/>
    </xf>
    <xf numFmtId="179" fontId="0" fillId="5" borderId="1" xfId="0" applyFill="1" applyBorder="1">
      <alignment vertical="center"/>
    </xf>
    <xf numFmtId="179" fontId="0" fillId="6" borderId="1" xfId="0" applyFill="1" applyBorder="1">
      <alignment vertical="center"/>
    </xf>
    <xf numFmtId="179" fontId="29" fillId="3" borderId="6" xfId="0" applyFont="1" applyFill="1" applyBorder="1" applyAlignment="1">
      <alignment horizontal="center" vertical="center"/>
    </xf>
    <xf numFmtId="167" fontId="29" fillId="3" borderId="6" xfId="0" applyNumberFormat="1" applyFont="1" applyFill="1" applyBorder="1" applyAlignment="1">
      <alignment horizontal="center" vertical="center"/>
    </xf>
    <xf numFmtId="167" fontId="29" fillId="3" borderId="6" xfId="0" applyNumberFormat="1" applyFont="1" applyFill="1" applyBorder="1" applyAlignment="1">
      <alignment horizontal="center" vertical="center" wrapText="1"/>
    </xf>
    <xf numFmtId="167" fontId="30" fillId="3" borderId="6" xfId="0" applyNumberFormat="1" applyFont="1" applyFill="1" applyBorder="1" applyAlignment="1">
      <alignment horizontal="center" vertical="center"/>
    </xf>
    <xf numFmtId="168" fontId="30" fillId="3" borderId="6" xfId="0" applyNumberFormat="1" applyFont="1" applyFill="1" applyBorder="1" applyAlignment="1">
      <alignment horizontal="center" vertical="center" wrapText="1"/>
    </xf>
    <xf numFmtId="179" fontId="24" fillId="3" borderId="6" xfId="0" applyFont="1" applyFill="1" applyBorder="1" applyAlignment="1">
      <alignment horizontal="center" vertical="center"/>
    </xf>
    <xf numFmtId="167" fontId="5" fillId="8" borderId="1" xfId="0" applyNumberFormat="1" applyFont="1" applyFill="1" applyBorder="1" applyAlignment="1">
      <alignment horizontal="center" vertical="center"/>
    </xf>
    <xf numFmtId="171" fontId="8" fillId="8" borderId="1" xfId="0" applyNumberFormat="1" applyFont="1" applyFill="1" applyBorder="1" applyAlignment="1">
      <alignment horizontal="center" vertical="center"/>
    </xf>
    <xf numFmtId="168" fontId="5" fillId="9" borderId="1" xfId="0" applyNumberFormat="1" applyFont="1" applyFill="1" applyBorder="1" applyAlignment="1">
      <alignment horizontal="center" vertical="center"/>
    </xf>
    <xf numFmtId="172" fontId="8" fillId="9" borderId="1" xfId="0" applyNumberFormat="1" applyFont="1" applyFill="1" applyBorder="1" applyAlignment="1">
      <alignment horizontal="center" vertical="center"/>
    </xf>
    <xf numFmtId="168" fontId="5" fillId="9" borderId="1" xfId="0" applyNumberFormat="1" applyFont="1" applyFill="1" applyBorder="1" applyAlignment="1">
      <alignment horizontal="center" vertical="center" wrapText="1"/>
    </xf>
    <xf numFmtId="179" fontId="6" fillId="3" borderId="1" xfId="0" applyFont="1" applyFill="1" applyBorder="1" applyAlignment="1">
      <alignment horizontal="left" vertical="center"/>
    </xf>
    <xf numFmtId="179" fontId="43" fillId="0" borderId="0" xfId="4">
      <alignment vertical="center"/>
    </xf>
    <xf numFmtId="179" fontId="2" fillId="0" borderId="0" xfId="4" applyFont="1">
      <alignment vertical="center"/>
    </xf>
    <xf numFmtId="39" fontId="18" fillId="0" borderId="0" xfId="4" applyNumberFormat="1" applyFont="1" applyAlignment="1">
      <alignment horizontal="center" vertical="center"/>
    </xf>
    <xf numFmtId="179" fontId="18" fillId="0" borderId="0" xfId="4" applyFont="1">
      <alignment vertical="center"/>
    </xf>
    <xf numFmtId="174" fontId="18" fillId="0" borderId="0" xfId="4" applyNumberFormat="1" applyFont="1" applyAlignment="1">
      <alignment horizontal="center" vertical="center"/>
    </xf>
    <xf numFmtId="166" fontId="18" fillId="0" borderId="0" xfId="4" applyNumberFormat="1" applyFont="1" applyAlignment="1">
      <alignment horizontal="center" vertical="center"/>
    </xf>
    <xf numFmtId="9" fontId="8" fillId="0" borderId="1" xfId="4" applyNumberFormat="1" applyFont="1" applyBorder="1" applyAlignment="1">
      <alignment horizontal="center" vertical="center"/>
    </xf>
    <xf numFmtId="9" fontId="7" fillId="0" borderId="1" xfId="4" applyNumberFormat="1" applyFont="1" applyFill="1" applyBorder="1" applyAlignment="1">
      <alignment horizontal="center" vertical="center"/>
    </xf>
    <xf numFmtId="168" fontId="5" fillId="0" borderId="1" xfId="4" applyNumberFormat="1" applyFont="1" applyFill="1" applyBorder="1" applyAlignment="1">
      <alignment horizontal="center" vertical="center" wrapText="1"/>
    </xf>
    <xf numFmtId="168" fontId="5" fillId="0" borderId="1" xfId="4" applyNumberFormat="1" applyFont="1" applyFill="1" applyBorder="1" applyAlignment="1">
      <alignment horizontal="center" vertical="center"/>
    </xf>
    <xf numFmtId="17" fontId="7" fillId="0" borderId="1" xfId="4" applyNumberFormat="1" applyFont="1" applyFill="1" applyBorder="1" applyAlignment="1">
      <alignment horizontal="center" vertical="center"/>
    </xf>
    <xf numFmtId="179" fontId="7" fillId="0" borderId="1" xfId="4" applyFont="1" applyFill="1" applyBorder="1" applyAlignment="1">
      <alignment horizontal="left" vertical="center"/>
    </xf>
    <xf numFmtId="169" fontId="5" fillId="0" borderId="1" xfId="4" applyNumberFormat="1" applyFont="1" applyFill="1" applyBorder="1" applyAlignment="1">
      <alignment horizontal="center" vertical="center"/>
    </xf>
    <xf numFmtId="179" fontId="2" fillId="0" borderId="0" xfId="4" applyFont="1" applyAlignment="1">
      <alignment horizontal="center" vertical="center"/>
    </xf>
    <xf numFmtId="179" fontId="5" fillId="2" borderId="0" xfId="4" applyFont="1" applyFill="1">
      <alignment vertical="center"/>
    </xf>
    <xf numFmtId="168" fontId="5" fillId="2" borderId="0" xfId="4" applyNumberFormat="1" applyFont="1" applyFill="1" applyAlignment="1">
      <alignment horizontal="center" vertical="center"/>
    </xf>
    <xf numFmtId="167" fontId="5" fillId="2" borderId="0" xfId="4" applyNumberFormat="1" applyFont="1" applyFill="1" applyAlignment="1">
      <alignment horizontal="center" vertical="center"/>
    </xf>
    <xf numFmtId="179" fontId="5" fillId="2" borderId="0" xfId="4" applyFont="1" applyFill="1" applyAlignment="1">
      <alignment horizontal="center" vertical="center"/>
    </xf>
    <xf numFmtId="167" fontId="5" fillId="2" borderId="1" xfId="4" applyNumberFormat="1" applyFont="1" applyFill="1" applyBorder="1" applyAlignment="1">
      <alignment horizontal="center" vertical="center"/>
    </xf>
    <xf numFmtId="179" fontId="5" fillId="2" borderId="1" xfId="4" applyFont="1" applyFill="1" applyBorder="1" applyAlignment="1">
      <alignment horizontal="center" vertical="center"/>
    </xf>
    <xf numFmtId="179" fontId="8" fillId="0" borderId="0" xfId="4" applyFont="1">
      <alignment vertical="center"/>
    </xf>
    <xf numFmtId="179" fontId="45" fillId="0" borderId="0" xfId="4" applyFont="1">
      <alignment vertical="center"/>
    </xf>
    <xf numFmtId="176" fontId="5" fillId="2" borderId="0" xfId="4" applyNumberFormat="1" applyFont="1" applyFill="1">
      <alignment vertical="center"/>
    </xf>
    <xf numFmtId="179" fontId="4" fillId="2" borderId="0" xfId="4" applyFont="1" applyFill="1" applyAlignment="1">
      <alignment horizontal="center" vertical="center"/>
    </xf>
    <xf numFmtId="179" fontId="4" fillId="2" borderId="0" xfId="4" applyFont="1" applyFill="1">
      <alignment vertical="center"/>
    </xf>
    <xf numFmtId="168" fontId="4" fillId="2" borderId="0" xfId="4" applyNumberFormat="1" applyFont="1" applyFill="1" applyAlignment="1">
      <alignment horizontal="center" vertical="center"/>
    </xf>
    <xf numFmtId="167" fontId="4" fillId="2" borderId="0" xfId="4" applyNumberFormat="1" applyFont="1" applyFill="1" applyAlignment="1">
      <alignment horizontal="center" vertical="center"/>
    </xf>
    <xf numFmtId="179" fontId="3" fillId="2" borderId="0" xfId="4" applyFont="1" applyFill="1">
      <alignment vertical="center"/>
    </xf>
    <xf numFmtId="169" fontId="5" fillId="0" borderId="1" xfId="4" applyNumberFormat="1" applyFont="1" applyFill="1" applyBorder="1" applyAlignment="1">
      <alignment horizontal="right" vertical="center"/>
    </xf>
    <xf numFmtId="9" fontId="5" fillId="2" borderId="0" xfId="4" applyNumberFormat="1" applyFont="1" applyFill="1" applyAlignment="1">
      <alignment horizontal="center" vertical="center"/>
    </xf>
    <xf numFmtId="9" fontId="4" fillId="2" borderId="0" xfId="4" applyNumberFormat="1" applyFont="1" applyFill="1" applyAlignment="1">
      <alignment horizontal="center" vertical="center"/>
    </xf>
    <xf numFmtId="9" fontId="5" fillId="0" borderId="1" xfId="4" applyNumberFormat="1" applyFont="1" applyFill="1" applyBorder="1" applyAlignment="1">
      <alignment horizontal="center" vertical="center"/>
    </xf>
    <xf numFmtId="9" fontId="2" fillId="0" borderId="0" xfId="4" applyNumberFormat="1" applyFont="1">
      <alignment vertical="center"/>
    </xf>
    <xf numFmtId="17" fontId="7" fillId="9" borderId="1" xfId="4" applyNumberFormat="1" applyFont="1" applyFill="1" applyBorder="1" applyAlignment="1">
      <alignment horizontal="center" vertical="center"/>
    </xf>
    <xf numFmtId="169" fontId="5" fillId="9" borderId="1" xfId="4" applyNumberFormat="1" applyFont="1" applyFill="1" applyBorder="1" applyAlignment="1">
      <alignment horizontal="center" vertical="center"/>
    </xf>
    <xf numFmtId="167" fontId="5" fillId="9" borderId="1" xfId="4" applyNumberFormat="1" applyFont="1" applyFill="1" applyBorder="1" applyAlignment="1">
      <alignment horizontal="center" vertical="center"/>
    </xf>
    <xf numFmtId="169" fontId="5" fillId="9" borderId="1" xfId="4" applyNumberFormat="1" applyFont="1" applyFill="1" applyBorder="1" applyAlignment="1">
      <alignment horizontal="right" vertical="center"/>
    </xf>
    <xf numFmtId="9" fontId="5" fillId="9" borderId="1" xfId="4" applyNumberFormat="1" applyFont="1" applyFill="1" applyBorder="1" applyAlignment="1">
      <alignment horizontal="center" vertical="center"/>
    </xf>
    <xf numFmtId="168" fontId="5" fillId="9" borderId="1" xfId="4" applyNumberFormat="1" applyFont="1" applyFill="1" applyBorder="1" applyAlignment="1">
      <alignment horizontal="center" vertical="center"/>
    </xf>
    <xf numFmtId="168" fontId="5" fillId="9" borderId="1" xfId="4" applyNumberFormat="1" applyFont="1" applyFill="1" applyBorder="1" applyAlignment="1">
      <alignment horizontal="center" vertical="center" wrapText="1"/>
    </xf>
    <xf numFmtId="179" fontId="7" fillId="9" borderId="1" xfId="4" applyFont="1" applyFill="1" applyBorder="1" applyAlignment="1">
      <alignment horizontal="left" vertical="center"/>
    </xf>
    <xf numFmtId="9" fontId="7" fillId="9" borderId="1" xfId="4" applyNumberFormat="1" applyFont="1" applyFill="1" applyBorder="1" applyAlignment="1">
      <alignment horizontal="center" vertical="center"/>
    </xf>
    <xf numFmtId="9" fontId="8" fillId="9" borderId="1" xfId="4" applyNumberFormat="1" applyFont="1" applyFill="1" applyBorder="1" applyAlignment="1">
      <alignment horizontal="center" vertical="center"/>
    </xf>
    <xf numFmtId="179" fontId="7" fillId="0" borderId="1" xfId="4" applyNumberFormat="1" applyFont="1" applyFill="1" applyBorder="1" applyAlignment="1">
      <alignment horizontal="center" vertical="center"/>
    </xf>
    <xf numFmtId="179" fontId="7" fillId="9" borderId="1" xfId="4" applyNumberFormat="1" applyFont="1" applyFill="1" applyBorder="1" applyAlignment="1">
      <alignment horizontal="center" vertical="center"/>
    </xf>
    <xf numFmtId="179" fontId="7" fillId="0" borderId="1" xfId="4" applyNumberFormat="1" applyFont="1" applyFill="1" applyBorder="1" applyAlignment="1">
      <alignment horizontal="center" vertical="center"/>
    </xf>
    <xf numFmtId="179" fontId="50" fillId="0" borderId="1" xfId="0" applyFont="1" applyBorder="1">
      <alignment vertical="center"/>
    </xf>
    <xf numFmtId="179" fontId="43" fillId="0" borderId="0" xfId="4" applyAlignment="1">
      <alignment horizontal="center" vertical="center"/>
    </xf>
    <xf numFmtId="179" fontId="32" fillId="0" borderId="0" xfId="2">
      <alignment vertical="center"/>
    </xf>
    <xf numFmtId="170" fontId="32" fillId="0" borderId="0" xfId="2" applyNumberFormat="1">
      <alignment vertical="center"/>
    </xf>
    <xf numFmtId="179" fontId="2" fillId="0" borderId="0" xfId="10" applyFont="1">
      <alignment vertical="center"/>
    </xf>
    <xf numFmtId="169" fontId="5" fillId="0" borderId="1" xfId="10" applyNumberFormat="1" applyFont="1" applyFill="1" applyBorder="1" applyAlignment="1">
      <alignment horizontal="right" vertical="center"/>
    </xf>
    <xf numFmtId="179" fontId="51" fillId="10" borderId="1" xfId="10" applyFont="1" applyFill="1" applyBorder="1">
      <alignment vertical="center"/>
    </xf>
    <xf numFmtId="179" fontId="52" fillId="10" borderId="1" xfId="2" applyFont="1" applyFill="1" applyBorder="1" applyAlignment="1">
      <alignment horizontal="center" vertical="center"/>
    </xf>
    <xf numFmtId="170" fontId="55" fillId="10" borderId="1" xfId="2" applyNumberFormat="1" applyFont="1" applyFill="1" applyBorder="1" applyAlignment="1">
      <alignment horizontal="center" vertical="center"/>
    </xf>
    <xf numFmtId="166" fontId="8" fillId="5" borderId="1" xfId="4" applyNumberFormat="1" applyFont="1" applyFill="1" applyBorder="1" applyAlignment="1">
      <alignment horizontal="center" vertical="center"/>
    </xf>
    <xf numFmtId="9" fontId="8" fillId="5" borderId="1" xfId="4" applyNumberFormat="1" applyFont="1" applyFill="1" applyBorder="1" applyAlignment="1">
      <alignment horizontal="center" vertical="center"/>
    </xf>
    <xf numFmtId="174" fontId="8" fillId="5" borderId="1" xfId="4" applyNumberFormat="1" applyFont="1" applyFill="1" applyBorder="1" applyAlignment="1">
      <alignment horizontal="center" vertical="center"/>
    </xf>
    <xf numFmtId="179" fontId="8" fillId="5" borderId="1" xfId="4" applyFont="1" applyFill="1" applyBorder="1">
      <alignment vertical="center"/>
    </xf>
    <xf numFmtId="179" fontId="8" fillId="6" borderId="1" xfId="4" applyFont="1" applyFill="1" applyBorder="1">
      <alignment vertical="center"/>
    </xf>
    <xf numFmtId="179" fontId="5" fillId="2" borderId="0" xfId="4" applyFont="1" applyFill="1" applyAlignment="1">
      <alignment horizontal="right" vertical="center"/>
    </xf>
    <xf numFmtId="167" fontId="4" fillId="2" borderId="0" xfId="4" applyNumberFormat="1" applyFont="1" applyFill="1" applyAlignment="1">
      <alignment horizontal="right" vertical="center"/>
    </xf>
    <xf numFmtId="167" fontId="5" fillId="2" borderId="0" xfId="4" applyNumberFormat="1" applyFont="1" applyFill="1" applyAlignment="1">
      <alignment horizontal="right" vertical="center"/>
    </xf>
    <xf numFmtId="167" fontId="5" fillId="0" borderId="1" xfId="4" applyNumberFormat="1" applyFont="1" applyFill="1" applyBorder="1" applyAlignment="1">
      <alignment horizontal="right" vertical="center"/>
    </xf>
    <xf numFmtId="167" fontId="5" fillId="9" borderId="1" xfId="4" applyNumberFormat="1" applyFont="1" applyFill="1" applyBorder="1" applyAlignment="1">
      <alignment horizontal="right" vertical="center"/>
    </xf>
    <xf numFmtId="166" fontId="8" fillId="5" borderId="1" xfId="4" applyNumberFormat="1" applyFont="1" applyFill="1" applyBorder="1" applyAlignment="1">
      <alignment horizontal="right" vertical="center"/>
    </xf>
    <xf numFmtId="179" fontId="2" fillId="0" borderId="0" xfId="4" applyFont="1" applyAlignment="1">
      <alignment horizontal="right" vertical="center"/>
    </xf>
    <xf numFmtId="179" fontId="43" fillId="0" borderId="0" xfId="4" applyAlignment="1">
      <alignment horizontal="right" vertical="center"/>
    </xf>
    <xf numFmtId="171" fontId="8" fillId="0" borderId="1" xfId="4" applyNumberFormat="1" applyFont="1" applyFill="1" applyBorder="1" applyAlignment="1">
      <alignment horizontal="right" vertical="center"/>
    </xf>
    <xf numFmtId="171" fontId="8" fillId="9" borderId="1" xfId="4" applyNumberFormat="1" applyFont="1" applyFill="1" applyBorder="1" applyAlignment="1">
      <alignment horizontal="right" vertical="center"/>
    </xf>
    <xf numFmtId="172" fontId="8" fillId="0" borderId="1" xfId="4" applyNumberFormat="1" applyFont="1" applyFill="1" applyBorder="1" applyAlignment="1">
      <alignment horizontal="right" vertical="center"/>
    </xf>
    <xf numFmtId="172" fontId="8" fillId="9" borderId="1" xfId="4" applyNumberFormat="1" applyFont="1" applyFill="1" applyBorder="1" applyAlignment="1">
      <alignment horizontal="right" vertical="center"/>
    </xf>
    <xf numFmtId="174" fontId="8" fillId="5" borderId="1" xfId="4" applyNumberFormat="1" applyFont="1" applyFill="1" applyBorder="1" applyAlignment="1">
      <alignment horizontal="right" vertical="center"/>
    </xf>
    <xf numFmtId="168" fontId="5" fillId="2" borderId="0" xfId="4" applyNumberFormat="1" applyFont="1" applyFill="1" applyAlignment="1">
      <alignment horizontal="right" vertical="center"/>
    </xf>
    <xf numFmtId="168" fontId="4" fillId="2" borderId="0" xfId="4" applyNumberFormat="1" applyFont="1" applyFill="1" applyAlignment="1">
      <alignment horizontal="right" vertical="center"/>
    </xf>
    <xf numFmtId="168" fontId="5" fillId="0" borderId="1" xfId="4" applyNumberFormat="1" applyFont="1" applyFill="1" applyBorder="1" applyAlignment="1">
      <alignment horizontal="right" vertical="center" wrapText="1"/>
    </xf>
    <xf numFmtId="164" fontId="5" fillId="0" borderId="1" xfId="4" applyNumberFormat="1" applyFont="1" applyFill="1" applyBorder="1" applyAlignment="1">
      <alignment horizontal="right" vertical="center" wrapText="1"/>
    </xf>
    <xf numFmtId="164" fontId="5" fillId="9" borderId="1" xfId="4" applyNumberFormat="1" applyFont="1" applyFill="1" applyBorder="1" applyAlignment="1">
      <alignment horizontal="right" vertical="center" wrapText="1"/>
    </xf>
    <xf numFmtId="182" fontId="8" fillId="5" borderId="1" xfId="4" applyNumberFormat="1" applyFont="1" applyFill="1" applyBorder="1" applyAlignment="1">
      <alignment horizontal="right" vertical="center"/>
    </xf>
    <xf numFmtId="170" fontId="8" fillId="0" borderId="1" xfId="0" applyNumberFormat="1" applyFont="1" applyBorder="1" applyAlignment="1">
      <alignment horizontal="right" vertical="center"/>
    </xf>
    <xf numFmtId="180" fontId="5" fillId="9" borderId="1" xfId="4" applyNumberFormat="1" applyFont="1" applyFill="1" applyBorder="1" applyAlignment="1">
      <alignment horizontal="right" vertical="center" wrapText="1"/>
    </xf>
    <xf numFmtId="181" fontId="8" fillId="9" borderId="1" xfId="4" applyNumberFormat="1" applyFont="1" applyFill="1" applyBorder="1" applyAlignment="1">
      <alignment horizontal="right" vertical="center" wrapText="1"/>
    </xf>
    <xf numFmtId="9" fontId="5" fillId="2" borderId="1" xfId="4" applyNumberFormat="1" applyFont="1" applyFill="1" applyBorder="1" applyAlignment="1">
      <alignment horizontal="center" vertical="center"/>
    </xf>
    <xf numFmtId="168" fontId="5" fillId="2" borderId="1" xfId="4" applyNumberFormat="1" applyFont="1" applyFill="1" applyBorder="1" applyAlignment="1">
      <alignment horizontal="center" vertical="center"/>
    </xf>
    <xf numFmtId="168" fontId="53" fillId="2" borderId="1" xfId="4" applyNumberFormat="1" applyFont="1" applyFill="1" applyBorder="1" applyAlignment="1">
      <alignment horizontal="center" vertical="center" wrapText="1"/>
    </xf>
    <xf numFmtId="176" fontId="5" fillId="2" borderId="1" xfId="4" applyNumberFormat="1" applyFont="1" applyFill="1" applyBorder="1" applyAlignment="1">
      <alignment horizontal="center" vertical="center"/>
    </xf>
    <xf numFmtId="179" fontId="0" fillId="0" borderId="1" xfId="0" applyBorder="1">
      <alignment vertical="center"/>
    </xf>
    <xf numFmtId="179" fontId="32" fillId="0" borderId="1" xfId="0" applyFont="1" applyBorder="1">
      <alignment vertical="center"/>
    </xf>
    <xf numFmtId="165" fontId="0" fillId="0" borderId="1" xfId="7" applyFont="1" applyBorder="1">
      <alignment vertical="center"/>
    </xf>
    <xf numFmtId="172" fontId="9" fillId="9" borderId="1" xfId="4" applyNumberFormat="1" applyFont="1" applyFill="1" applyBorder="1" applyAlignment="1">
      <alignment horizontal="right" vertical="center"/>
    </xf>
    <xf numFmtId="172" fontId="9" fillId="0" borderId="1" xfId="4" applyNumberFormat="1" applyFont="1" applyFill="1" applyBorder="1" applyAlignment="1">
      <alignment horizontal="right" vertical="center"/>
    </xf>
    <xf numFmtId="165" fontId="0" fillId="0" borderId="1" xfId="7" applyFont="1" applyBorder="1" applyAlignment="1">
      <alignment vertical="center"/>
    </xf>
    <xf numFmtId="165" fontId="0" fillId="0" borderId="0" xfId="0" applyNumberFormat="1">
      <alignment vertical="center"/>
    </xf>
    <xf numFmtId="179" fontId="32" fillId="0" borderId="1" xfId="0" applyFont="1" applyBorder="1" applyAlignment="1">
      <alignment horizontal="center" vertical="center"/>
    </xf>
    <xf numFmtId="17" fontId="7" fillId="9" borderId="1" xfId="0" applyNumberFormat="1" applyFont="1" applyFill="1" applyBorder="1" applyAlignment="1">
      <alignment horizontal="center" vertical="center"/>
    </xf>
    <xf numFmtId="166" fontId="8" fillId="0" borderId="0" xfId="4" applyNumberFormat="1" applyFont="1" applyAlignment="1">
      <alignment horizontal="right" vertical="center"/>
    </xf>
    <xf numFmtId="39" fontId="58" fillId="0" borderId="0" xfId="4" applyNumberFormat="1" applyFont="1" applyAlignment="1">
      <alignment horizontal="right" vertical="center"/>
    </xf>
    <xf numFmtId="9" fontId="8" fillId="0" borderId="1" xfId="4" quotePrefix="1" applyNumberFormat="1" applyFont="1" applyBorder="1" applyAlignment="1">
      <alignment horizontal="center" vertical="center"/>
    </xf>
    <xf numFmtId="179" fontId="23" fillId="8" borderId="1" xfId="4" applyFont="1" applyFill="1" applyBorder="1" applyAlignment="1">
      <alignment horizontal="left" vertical="center" wrapText="1"/>
    </xf>
    <xf numFmtId="179" fontId="7" fillId="0" borderId="0" xfId="4" applyFont="1" applyFill="1" applyBorder="1" applyAlignment="1">
      <alignment horizontal="center" vertical="center"/>
    </xf>
    <xf numFmtId="166" fontId="8" fillId="0" borderId="0" xfId="4" applyNumberFormat="1" applyFont="1" applyFill="1" applyBorder="1" applyAlignment="1">
      <alignment horizontal="right" vertical="center"/>
    </xf>
    <xf numFmtId="166" fontId="8" fillId="0" borderId="0" xfId="4" applyNumberFormat="1" applyFont="1" applyFill="1" applyBorder="1" applyAlignment="1">
      <alignment horizontal="center" vertical="center"/>
    </xf>
    <xf numFmtId="9" fontId="8" fillId="0" borderId="0" xfId="4" applyNumberFormat="1" applyFont="1" applyFill="1" applyBorder="1" applyAlignment="1">
      <alignment horizontal="center" vertical="center"/>
    </xf>
    <xf numFmtId="174" fontId="8" fillId="0" borderId="0" xfId="4" applyNumberFormat="1" applyFont="1" applyFill="1" applyBorder="1" applyAlignment="1">
      <alignment horizontal="right" vertical="center"/>
    </xf>
    <xf numFmtId="174" fontId="8" fillId="0" borderId="0" xfId="4" applyNumberFormat="1" applyFont="1" applyFill="1" applyBorder="1" applyAlignment="1">
      <alignment horizontal="center" vertical="center"/>
    </xf>
    <xf numFmtId="182" fontId="8" fillId="0" borderId="0" xfId="4" applyNumberFormat="1" applyFont="1" applyFill="1" applyBorder="1" applyAlignment="1">
      <alignment horizontal="right" vertical="center"/>
    </xf>
    <xf numFmtId="179" fontId="8" fillId="0" borderId="0" xfId="4" applyFont="1" applyFill="1" applyBorder="1">
      <alignment vertical="center"/>
    </xf>
    <xf numFmtId="179" fontId="8" fillId="0" borderId="0" xfId="4" applyFont="1" applyFill="1">
      <alignment vertical="center"/>
    </xf>
    <xf numFmtId="179" fontId="59" fillId="3" borderId="1" xfId="4" applyFont="1" applyFill="1" applyBorder="1" applyAlignment="1">
      <alignment horizontal="center" vertical="center" wrapText="1"/>
    </xf>
    <xf numFmtId="179" fontId="6" fillId="3" borderId="1" xfId="4" applyFont="1" applyFill="1" applyBorder="1" applyAlignment="1">
      <alignment horizontal="center" vertical="center" wrapText="1"/>
    </xf>
    <xf numFmtId="182" fontId="12" fillId="5" borderId="1" xfId="4" applyNumberFormat="1" applyFont="1" applyFill="1" applyBorder="1" applyAlignment="1">
      <alignment horizontal="center" vertical="center"/>
    </xf>
    <xf numFmtId="179" fontId="6" fillId="3" borderId="1" xfId="4" applyFont="1" applyFill="1" applyBorder="1" applyAlignment="1">
      <alignment horizontal="left" vertical="center" wrapText="1"/>
    </xf>
    <xf numFmtId="179" fontId="6" fillId="3" borderId="1" xfId="4" applyFont="1" applyFill="1" applyBorder="1" applyAlignment="1">
      <alignment horizontal="left" vertical="center"/>
    </xf>
    <xf numFmtId="167" fontId="6" fillId="3" borderId="1" xfId="4" applyNumberFormat="1" applyFont="1" applyFill="1" applyBorder="1" applyAlignment="1">
      <alignment horizontal="left" vertical="center"/>
    </xf>
    <xf numFmtId="167" fontId="6" fillId="3" borderId="1" xfId="4" applyNumberFormat="1" applyFont="1" applyFill="1" applyBorder="1" applyAlignment="1">
      <alignment horizontal="left" vertical="center" wrapText="1"/>
    </xf>
    <xf numFmtId="167" fontId="23" fillId="8" borderId="1" xfId="4" applyNumberFormat="1" applyFont="1" applyFill="1" applyBorder="1" applyAlignment="1">
      <alignment horizontal="left" vertical="center" wrapText="1"/>
    </xf>
    <xf numFmtId="9" fontId="23" fillId="8" borderId="1" xfId="4" applyNumberFormat="1" applyFont="1" applyFill="1" applyBorder="1" applyAlignment="1">
      <alignment horizontal="left" vertical="center" wrapText="1"/>
    </xf>
    <xf numFmtId="179" fontId="2" fillId="0" borderId="0" xfId="4" applyFont="1" applyAlignment="1">
      <alignment horizontal="left" vertical="center"/>
    </xf>
    <xf numFmtId="179" fontId="32" fillId="0" borderId="1" xfId="2" applyBorder="1">
      <alignment vertical="center"/>
    </xf>
    <xf numFmtId="179" fontId="2" fillId="0" borderId="0" xfId="4" applyFont="1" applyFill="1">
      <alignment vertical="center"/>
    </xf>
    <xf numFmtId="179" fontId="50" fillId="0" borderId="1" xfId="0" applyFont="1" applyFill="1" applyBorder="1">
      <alignment vertical="center"/>
    </xf>
    <xf numFmtId="170" fontId="8" fillId="0" borderId="1" xfId="0" applyNumberFormat="1" applyFont="1" applyFill="1" applyBorder="1" applyAlignment="1">
      <alignment horizontal="right" vertical="center"/>
    </xf>
    <xf numFmtId="9" fontId="8" fillId="0" borderId="1" xfId="4" quotePrefix="1" applyNumberFormat="1" applyFont="1" applyFill="1" applyBorder="1" applyAlignment="1">
      <alignment horizontal="center" vertical="center"/>
    </xf>
    <xf numFmtId="9" fontId="8" fillId="0" borderId="1" xfId="4" applyNumberFormat="1" applyFont="1" applyFill="1" applyBorder="1" applyAlignment="1">
      <alignment horizontal="center" vertical="center"/>
    </xf>
    <xf numFmtId="179" fontId="45" fillId="0" borderId="0" xfId="4" applyFont="1" applyFill="1">
      <alignment vertical="center"/>
    </xf>
    <xf numFmtId="179" fontId="7" fillId="4" borderId="1" xfId="4" applyNumberFormat="1" applyFont="1" applyFill="1" applyBorder="1" applyAlignment="1">
      <alignment horizontal="center" vertical="center"/>
    </xf>
    <xf numFmtId="179" fontId="23" fillId="0" borderId="1" xfId="4" applyFont="1" applyFill="1" applyBorder="1" applyAlignment="1">
      <alignment horizontal="left" vertical="center" wrapText="1"/>
    </xf>
    <xf numFmtId="179" fontId="18" fillId="0" borderId="1" xfId="4" applyFont="1" applyFill="1" applyBorder="1" applyAlignment="1">
      <alignment horizontal="left" vertical="center" wrapText="1"/>
    </xf>
    <xf numFmtId="179" fontId="63" fillId="9" borderId="0" xfId="0" applyFont="1" applyFill="1">
      <alignment vertical="center"/>
    </xf>
    <xf numFmtId="179" fontId="2" fillId="9" borderId="0" xfId="4" applyFont="1" applyFill="1">
      <alignment vertical="center"/>
    </xf>
    <xf numFmtId="179" fontId="2" fillId="9" borderId="0" xfId="4" applyFont="1" applyFill="1" applyAlignment="1">
      <alignment horizontal="right" vertical="center"/>
    </xf>
    <xf numFmtId="9" fontId="2" fillId="9" borderId="0" xfId="4" applyNumberFormat="1" applyFont="1" applyFill="1">
      <alignment vertical="center"/>
    </xf>
    <xf numFmtId="179" fontId="43" fillId="9" borderId="0" xfId="4" applyFill="1">
      <alignment vertical="center"/>
    </xf>
    <xf numFmtId="179" fontId="2" fillId="0" borderId="0" xfId="10" applyFont="1" applyAlignment="1">
      <alignment horizontal="right" vertical="center"/>
    </xf>
    <xf numFmtId="179" fontId="5" fillId="2" borderId="1" xfId="10" applyFont="1" applyFill="1" applyBorder="1" applyAlignment="1">
      <alignment horizontal="center" vertical="center"/>
    </xf>
    <xf numFmtId="167" fontId="5" fillId="2" borderId="1" xfId="10" applyNumberFormat="1" applyFont="1" applyFill="1" applyBorder="1" applyAlignment="1">
      <alignment horizontal="center" vertical="center"/>
    </xf>
    <xf numFmtId="9" fontId="5" fillId="2" borderId="1" xfId="10" applyNumberFormat="1" applyFont="1" applyFill="1" applyBorder="1" applyAlignment="1">
      <alignment horizontal="center" vertical="center"/>
    </xf>
    <xf numFmtId="168" fontId="5" fillId="2" borderId="1" xfId="10" applyNumberFormat="1" applyFont="1" applyFill="1" applyBorder="1" applyAlignment="1">
      <alignment horizontal="center" vertical="center"/>
    </xf>
    <xf numFmtId="168" fontId="53" fillId="2" borderId="1" xfId="10" applyNumberFormat="1" applyFont="1" applyFill="1" applyBorder="1" applyAlignment="1">
      <alignment horizontal="center" vertical="center" wrapText="1"/>
    </xf>
    <xf numFmtId="176" fontId="5" fillId="2" borderId="1" xfId="10" applyNumberFormat="1" applyFont="1" applyFill="1" applyBorder="1" applyAlignment="1">
      <alignment horizontal="center" vertical="center"/>
    </xf>
    <xf numFmtId="179" fontId="2" fillId="0" borderId="0" xfId="10" applyFont="1" applyAlignment="1">
      <alignment horizontal="center" vertical="center"/>
    </xf>
    <xf numFmtId="179" fontId="6" fillId="3" borderId="1" xfId="10" applyFont="1" applyFill="1" applyBorder="1" applyAlignment="1">
      <alignment horizontal="left" vertical="center" wrapText="1"/>
    </xf>
    <xf numFmtId="179" fontId="6" fillId="3" borderId="1" xfId="10" applyFont="1" applyFill="1" applyBorder="1" applyAlignment="1">
      <alignment horizontal="left" vertical="center"/>
    </xf>
    <xf numFmtId="179" fontId="2" fillId="0" borderId="0" xfId="10" applyFont="1" applyAlignment="1">
      <alignment horizontal="left" vertical="center"/>
    </xf>
    <xf numFmtId="17" fontId="7" fillId="0" borderId="1" xfId="10" applyNumberFormat="1" applyFont="1" applyFill="1" applyBorder="1" applyAlignment="1">
      <alignment horizontal="center" vertical="center"/>
    </xf>
    <xf numFmtId="169" fontId="5" fillId="0" borderId="1" xfId="10" applyNumberFormat="1" applyFont="1" applyFill="1" applyBorder="1" applyAlignment="1">
      <alignment horizontal="center" vertical="center"/>
    </xf>
    <xf numFmtId="172" fontId="9" fillId="0" borderId="1" xfId="10" applyNumberFormat="1" applyFont="1" applyFill="1" applyBorder="1" applyAlignment="1">
      <alignment horizontal="right" vertical="center"/>
    </xf>
    <xf numFmtId="171" fontId="8" fillId="0" borderId="1" xfId="10" applyNumberFormat="1" applyFont="1" applyFill="1" applyBorder="1" applyAlignment="1">
      <alignment horizontal="right" vertical="center"/>
    </xf>
    <xf numFmtId="172" fontId="8" fillId="0" borderId="1" xfId="10" applyNumberFormat="1" applyFont="1" applyFill="1" applyBorder="1" applyAlignment="1">
      <alignment horizontal="right" vertical="center"/>
    </xf>
    <xf numFmtId="168" fontId="5" fillId="0" borderId="1" xfId="10" applyNumberFormat="1" applyFont="1" applyFill="1" applyBorder="1" applyAlignment="1">
      <alignment horizontal="right" vertical="center" wrapText="1"/>
    </xf>
    <xf numFmtId="170" fontId="8" fillId="0" borderId="1" xfId="2" applyNumberFormat="1" applyFont="1" applyBorder="1" applyAlignment="1">
      <alignment horizontal="right" vertical="center"/>
    </xf>
    <xf numFmtId="176" fontId="5" fillId="0" borderId="1" xfId="10" applyNumberFormat="1" applyFont="1" applyFill="1" applyBorder="1" applyAlignment="1">
      <alignment horizontal="right" vertical="center" wrapText="1"/>
    </xf>
    <xf numFmtId="9" fontId="8" fillId="0" borderId="1" xfId="10" applyNumberFormat="1" applyFont="1" applyBorder="1" applyAlignment="1">
      <alignment horizontal="center" vertical="center"/>
    </xf>
    <xf numFmtId="179" fontId="8" fillId="0" borderId="0" xfId="10" applyFont="1">
      <alignment vertical="center"/>
    </xf>
    <xf numFmtId="174" fontId="8" fillId="5" borderId="1" xfId="10" applyNumberFormat="1" applyFont="1" applyFill="1" applyBorder="1" applyAlignment="1">
      <alignment horizontal="right" vertical="center"/>
    </xf>
    <xf numFmtId="174" fontId="8" fillId="5" borderId="1" xfId="10" applyNumberFormat="1" applyFont="1" applyFill="1" applyBorder="1" applyAlignment="1">
      <alignment horizontal="center" vertical="center"/>
    </xf>
    <xf numFmtId="179" fontId="7" fillId="0" borderId="0" xfId="10" applyFont="1" applyFill="1" applyBorder="1" applyAlignment="1">
      <alignment horizontal="center" vertical="center"/>
    </xf>
    <xf numFmtId="166" fontId="8" fillId="0" borderId="0" xfId="10" applyNumberFormat="1" applyFont="1" applyFill="1" applyBorder="1" applyAlignment="1">
      <alignment horizontal="right" vertical="center"/>
    </xf>
    <xf numFmtId="166" fontId="8" fillId="0" borderId="0" xfId="10" applyNumberFormat="1" applyFont="1" applyFill="1" applyBorder="1" applyAlignment="1">
      <alignment horizontal="center" vertical="center"/>
    </xf>
    <xf numFmtId="9" fontId="8" fillId="0" borderId="0" xfId="10" applyNumberFormat="1" applyFont="1" applyFill="1" applyBorder="1" applyAlignment="1">
      <alignment horizontal="center" vertical="center"/>
    </xf>
    <xf numFmtId="174" fontId="8" fillId="0" borderId="0" xfId="10" applyNumberFormat="1" applyFont="1" applyFill="1" applyBorder="1" applyAlignment="1">
      <alignment horizontal="right" vertical="center"/>
    </xf>
    <xf numFmtId="174" fontId="8" fillId="0" borderId="0" xfId="10" applyNumberFormat="1" applyFont="1" applyFill="1" applyBorder="1" applyAlignment="1">
      <alignment horizontal="center" vertical="center"/>
    </xf>
    <xf numFmtId="179" fontId="8" fillId="0" borderId="0" xfId="10" applyFont="1" applyFill="1" applyBorder="1">
      <alignment vertical="center"/>
    </xf>
    <xf numFmtId="179" fontId="8" fillId="0" borderId="0" xfId="10" applyFont="1" applyFill="1">
      <alignment vertical="center"/>
    </xf>
    <xf numFmtId="9" fontId="2" fillId="0" borderId="0" xfId="10" applyNumberFormat="1" applyFont="1">
      <alignment vertical="center"/>
    </xf>
    <xf numFmtId="179" fontId="18" fillId="0" borderId="0" xfId="10" applyFont="1">
      <alignment vertical="center"/>
    </xf>
    <xf numFmtId="166" fontId="18" fillId="0" borderId="0" xfId="10" applyNumberFormat="1" applyFont="1" applyAlignment="1">
      <alignment horizontal="center" vertical="center"/>
    </xf>
    <xf numFmtId="166" fontId="8" fillId="0" borderId="0" xfId="10" applyNumberFormat="1" applyFont="1" applyAlignment="1">
      <alignment horizontal="right" vertical="center"/>
    </xf>
    <xf numFmtId="176" fontId="5" fillId="12" borderId="1" xfId="10" applyNumberFormat="1" applyFont="1" applyFill="1" applyBorder="1" applyAlignment="1">
      <alignment horizontal="right" vertical="center" wrapText="1"/>
    </xf>
    <xf numFmtId="9" fontId="7" fillId="12" borderId="1" xfId="10" applyNumberFormat="1" applyFont="1" applyFill="1" applyBorder="1" applyAlignment="1">
      <alignment horizontal="center" vertical="center"/>
    </xf>
    <xf numFmtId="174" fontId="18" fillId="0" borderId="0" xfId="10" applyNumberFormat="1" applyFont="1" applyAlignment="1">
      <alignment horizontal="center" vertical="center"/>
    </xf>
    <xf numFmtId="39" fontId="58" fillId="0" borderId="0" xfId="10" applyNumberFormat="1" applyFont="1" applyAlignment="1">
      <alignment horizontal="right" vertical="center"/>
    </xf>
    <xf numFmtId="39" fontId="18" fillId="0" borderId="0" xfId="10" applyNumberFormat="1" applyFont="1" applyAlignment="1">
      <alignment horizontal="center" vertical="center"/>
    </xf>
    <xf numFmtId="165" fontId="0" fillId="0" borderId="0" xfId="7" applyFont="1">
      <alignment vertical="center"/>
    </xf>
    <xf numFmtId="167" fontId="18" fillId="11" borderId="1" xfId="10" applyNumberFormat="1" applyFont="1" applyFill="1" applyBorder="1" applyAlignment="1">
      <alignment horizontal="left" vertical="center" wrapText="1"/>
    </xf>
    <xf numFmtId="165" fontId="8" fillId="0" borderId="1" xfId="7" applyFont="1" applyBorder="1">
      <alignment vertical="center"/>
    </xf>
    <xf numFmtId="179" fontId="8" fillId="0" borderId="1" xfId="0" applyFont="1" applyBorder="1">
      <alignment vertical="center"/>
    </xf>
    <xf numFmtId="165" fontId="8" fillId="0" borderId="1" xfId="7" applyFont="1" applyFill="1" applyBorder="1">
      <alignment vertical="center"/>
    </xf>
    <xf numFmtId="183" fontId="7" fillId="0" borderId="1" xfId="10" applyNumberFormat="1" applyFont="1" applyFill="1" applyBorder="1" applyAlignment="1">
      <alignment horizontal="center" vertical="center"/>
    </xf>
    <xf numFmtId="165" fontId="8" fillId="4" borderId="1" xfId="7" applyFont="1" applyFill="1" applyBorder="1">
      <alignment vertical="center"/>
    </xf>
    <xf numFmtId="165" fontId="8" fillId="13" borderId="1" xfId="7" applyFont="1" applyFill="1" applyBorder="1">
      <alignment vertical="center"/>
    </xf>
    <xf numFmtId="169" fontId="5" fillId="13" borderId="1" xfId="4" applyNumberFormat="1" applyFont="1" applyFill="1" applyBorder="1" applyAlignment="1">
      <alignment horizontal="right" vertical="center"/>
    </xf>
    <xf numFmtId="9" fontId="5" fillId="13" borderId="1" xfId="10" applyNumberFormat="1" applyFont="1" applyFill="1" applyBorder="1" applyAlignment="1">
      <alignment horizontal="center" vertical="center"/>
    </xf>
    <xf numFmtId="172" fontId="9" fillId="13" borderId="1" xfId="10" applyNumberFormat="1" applyFont="1" applyFill="1" applyBorder="1" applyAlignment="1">
      <alignment horizontal="right" vertical="center"/>
    </xf>
    <xf numFmtId="171" fontId="8" fillId="13" borderId="1" xfId="10" applyNumberFormat="1" applyFont="1" applyFill="1" applyBorder="1" applyAlignment="1">
      <alignment horizontal="right" vertical="center"/>
    </xf>
    <xf numFmtId="168" fontId="5" fillId="13" borderId="1" xfId="10" applyNumberFormat="1" applyFont="1" applyFill="1" applyBorder="1" applyAlignment="1">
      <alignment horizontal="right" vertical="center" wrapText="1"/>
    </xf>
    <xf numFmtId="170" fontId="8" fillId="13" borderId="1" xfId="2" applyNumberFormat="1" applyFont="1" applyFill="1" applyBorder="1" applyAlignment="1">
      <alignment horizontal="right" vertical="center"/>
    </xf>
    <xf numFmtId="179" fontId="8" fillId="13" borderId="1" xfId="0" applyFont="1" applyFill="1" applyBorder="1">
      <alignment vertical="center"/>
    </xf>
    <xf numFmtId="9" fontId="8" fillId="13" borderId="1" xfId="10" applyNumberFormat="1" applyFont="1" applyFill="1" applyBorder="1" applyAlignment="1">
      <alignment horizontal="center" vertical="center"/>
    </xf>
    <xf numFmtId="169" fontId="21" fillId="9" borderId="1" xfId="10" applyNumberFormat="1" applyFont="1" applyFill="1" applyBorder="1" applyAlignment="1">
      <alignment horizontal="center" vertical="center"/>
    </xf>
    <xf numFmtId="165" fontId="8" fillId="9" borderId="1" xfId="7" applyFont="1" applyFill="1" applyBorder="1">
      <alignment vertical="center"/>
    </xf>
    <xf numFmtId="9" fontId="5" fillId="9" borderId="1" xfId="10" applyNumberFormat="1" applyFont="1" applyFill="1" applyBorder="1" applyAlignment="1">
      <alignment horizontal="center" vertical="center"/>
    </xf>
    <xf numFmtId="172" fontId="9" fillId="9" borderId="1" xfId="10" applyNumberFormat="1" applyFont="1" applyFill="1" applyBorder="1" applyAlignment="1">
      <alignment horizontal="right" vertical="center"/>
    </xf>
    <xf numFmtId="171" fontId="8" fillId="9" borderId="1" xfId="10" applyNumberFormat="1" applyFont="1" applyFill="1" applyBorder="1" applyAlignment="1">
      <alignment horizontal="right" vertical="center"/>
    </xf>
    <xf numFmtId="172" fontId="8" fillId="9" borderId="1" xfId="10" applyNumberFormat="1" applyFont="1" applyFill="1" applyBorder="1" applyAlignment="1">
      <alignment horizontal="right" vertical="center"/>
    </xf>
    <xf numFmtId="9" fontId="8" fillId="9" borderId="1" xfId="7" applyNumberFormat="1" applyFont="1" applyFill="1" applyBorder="1">
      <alignment vertical="center"/>
    </xf>
    <xf numFmtId="17" fontId="7" fillId="4" borderId="1" xfId="0" applyNumberFormat="1" applyFont="1" applyFill="1" applyBorder="1" applyAlignment="1">
      <alignment horizontal="center" vertical="center"/>
    </xf>
    <xf numFmtId="169" fontId="5" fillId="4" borderId="1" xfId="4" applyNumberFormat="1" applyFont="1" applyFill="1" applyBorder="1" applyAlignment="1">
      <alignment horizontal="center" vertical="center"/>
    </xf>
    <xf numFmtId="167" fontId="5" fillId="4" borderId="1" xfId="4" applyNumberFormat="1" applyFont="1" applyFill="1" applyBorder="1" applyAlignment="1">
      <alignment horizontal="right" vertical="center"/>
    </xf>
    <xf numFmtId="172" fontId="9" fillId="4" borderId="1" xfId="4" applyNumberFormat="1" applyFont="1" applyFill="1" applyBorder="1" applyAlignment="1">
      <alignment horizontal="right" vertical="center"/>
    </xf>
    <xf numFmtId="168" fontId="5" fillId="4" borderId="1" xfId="4" applyNumberFormat="1" applyFont="1" applyFill="1" applyBorder="1" applyAlignment="1">
      <alignment horizontal="center" vertical="center"/>
    </xf>
    <xf numFmtId="171" fontId="8" fillId="4" borderId="1" xfId="4" applyNumberFormat="1" applyFont="1" applyFill="1" applyBorder="1" applyAlignment="1">
      <alignment horizontal="right" vertical="center"/>
    </xf>
    <xf numFmtId="172" fontId="8" fillId="4" borderId="1" xfId="4" applyNumberFormat="1" applyFont="1" applyFill="1" applyBorder="1" applyAlignment="1">
      <alignment horizontal="right" vertical="center"/>
    </xf>
    <xf numFmtId="168" fontId="5" fillId="4" borderId="1" xfId="4" applyNumberFormat="1" applyFont="1" applyFill="1" applyBorder="1" applyAlignment="1">
      <alignment horizontal="center" vertical="center" wrapText="1"/>
    </xf>
    <xf numFmtId="9" fontId="7" fillId="4" borderId="1" xfId="4" applyNumberFormat="1" applyFont="1" applyFill="1" applyBorder="1" applyAlignment="1">
      <alignment horizontal="center" vertical="center"/>
    </xf>
    <xf numFmtId="179" fontId="7" fillId="4" borderId="1" xfId="4" applyFont="1" applyFill="1" applyBorder="1" applyAlignment="1">
      <alignment horizontal="left" vertical="center"/>
    </xf>
    <xf numFmtId="9" fontId="8" fillId="4" borderId="1" xfId="4" applyNumberFormat="1" applyFont="1" applyFill="1" applyBorder="1" applyAlignment="1">
      <alignment horizontal="center" vertical="center"/>
    </xf>
    <xf numFmtId="179" fontId="0" fillId="4" borderId="0" xfId="0" applyFill="1">
      <alignment vertical="center"/>
    </xf>
    <xf numFmtId="17" fontId="7" fillId="4" borderId="1" xfId="4" applyNumberFormat="1" applyFont="1" applyFill="1" applyBorder="1" applyAlignment="1">
      <alignment horizontal="center" vertical="center"/>
    </xf>
    <xf numFmtId="168" fontId="68" fillId="2" borderId="1" xfId="10" applyNumberFormat="1" applyFont="1" applyFill="1" applyBorder="1" applyAlignment="1">
      <alignment horizontal="center" vertical="center" wrapText="1"/>
    </xf>
    <xf numFmtId="183" fontId="7" fillId="13" borderId="1" xfId="10" applyNumberFormat="1" applyFont="1" applyFill="1" applyBorder="1" applyAlignment="1">
      <alignment horizontal="center" vertical="center"/>
    </xf>
    <xf numFmtId="169" fontId="21" fillId="13" borderId="1" xfId="10" applyNumberFormat="1" applyFont="1" applyFill="1" applyBorder="1" applyAlignment="1">
      <alignment horizontal="center" vertical="center"/>
    </xf>
    <xf numFmtId="165" fontId="8" fillId="0" borderId="0" xfId="10" applyNumberFormat="1" applyFont="1" applyAlignment="1">
      <alignment horizontal="right" vertical="center"/>
    </xf>
    <xf numFmtId="179" fontId="32" fillId="0" borderId="0" xfId="0" applyFont="1">
      <alignment vertical="center"/>
    </xf>
    <xf numFmtId="179" fontId="19" fillId="0" borderId="1" xfId="0" applyFont="1" applyBorder="1" applyAlignment="1">
      <alignment horizontal="left" vertical="center" wrapText="1"/>
    </xf>
    <xf numFmtId="179" fontId="69" fillId="0" borderId="1" xfId="0" applyFont="1" applyBorder="1" applyAlignment="1">
      <alignment horizontal="left" vertical="center" wrapText="1"/>
    </xf>
    <xf numFmtId="179" fontId="70" fillId="0" borderId="1" xfId="0" applyFont="1" applyBorder="1" applyAlignment="1">
      <alignment horizontal="center" vertical="center" wrapText="1"/>
    </xf>
    <xf numFmtId="179" fontId="69" fillId="0" borderId="1" xfId="0" applyFont="1" applyBorder="1" applyAlignment="1">
      <alignment horizontal="center" vertical="center" wrapText="1"/>
    </xf>
    <xf numFmtId="179" fontId="70" fillId="0" borderId="1" xfId="0" applyFont="1" applyFill="1" applyBorder="1" applyAlignment="1">
      <alignment horizontal="center" vertical="center" wrapText="1"/>
    </xf>
    <xf numFmtId="179" fontId="19" fillId="0" borderId="1" xfId="0" applyFont="1" applyFill="1" applyBorder="1" applyAlignment="1">
      <alignment horizontal="center" vertical="center" wrapText="1"/>
    </xf>
    <xf numFmtId="179" fontId="19" fillId="0" borderId="1" xfId="0" applyFont="1" applyBorder="1" applyAlignment="1">
      <alignment horizontal="center" vertical="center" wrapText="1"/>
    </xf>
    <xf numFmtId="179" fontId="18" fillId="14" borderId="1" xfId="10" applyFont="1" applyFill="1" applyBorder="1" applyAlignment="1">
      <alignment horizontal="left" vertical="center" wrapText="1"/>
    </xf>
    <xf numFmtId="179" fontId="2" fillId="14" borderId="0" xfId="10" applyFont="1" applyFill="1">
      <alignment vertical="center"/>
    </xf>
    <xf numFmtId="179" fontId="2" fillId="13" borderId="0" xfId="10" applyFont="1" applyFill="1">
      <alignment vertical="center"/>
    </xf>
    <xf numFmtId="179" fontId="2" fillId="8" borderId="0" xfId="10" applyFont="1" applyFill="1">
      <alignment vertical="center"/>
    </xf>
    <xf numFmtId="179" fontId="71" fillId="0" borderId="0" xfId="10" applyFont="1">
      <alignment vertical="center"/>
    </xf>
    <xf numFmtId="179" fontId="18" fillId="8" borderId="1" xfId="10" applyFont="1" applyFill="1" applyBorder="1" applyAlignment="1">
      <alignment horizontal="left" vertical="center"/>
    </xf>
    <xf numFmtId="167" fontId="6" fillId="3" borderId="1" xfId="10" applyNumberFormat="1" applyFont="1" applyFill="1" applyBorder="1" applyAlignment="1">
      <alignment horizontal="left" vertical="center" wrapText="1"/>
    </xf>
    <xf numFmtId="167" fontId="5" fillId="0" borderId="1" xfId="10" applyNumberFormat="1" applyFont="1" applyFill="1" applyBorder="1" applyAlignment="1">
      <alignment horizontal="center" vertical="center"/>
    </xf>
    <xf numFmtId="167" fontId="5" fillId="9" borderId="1" xfId="10" applyNumberFormat="1" applyFont="1" applyFill="1" applyBorder="1" applyAlignment="1">
      <alignment horizontal="center" vertical="center"/>
    </xf>
    <xf numFmtId="167" fontId="5" fillId="13" borderId="1" xfId="10" applyNumberFormat="1" applyFont="1" applyFill="1" applyBorder="1" applyAlignment="1">
      <alignment horizontal="center" vertical="center"/>
    </xf>
    <xf numFmtId="167" fontId="8" fillId="0" borderId="0" xfId="10" applyNumberFormat="1" applyFont="1" applyFill="1" applyBorder="1" applyAlignment="1">
      <alignment horizontal="center" vertical="center"/>
    </xf>
    <xf numFmtId="167" fontId="2" fillId="0" borderId="0" xfId="10" applyNumberFormat="1" applyFont="1">
      <alignment vertical="center"/>
    </xf>
    <xf numFmtId="167" fontId="18" fillId="0" borderId="1" xfId="10" applyNumberFormat="1" applyFont="1" applyFill="1" applyBorder="1" applyAlignment="1">
      <alignment horizontal="left" vertical="center" wrapText="1"/>
    </xf>
    <xf numFmtId="9" fontId="18" fillId="0" borderId="1" xfId="10" applyNumberFormat="1" applyFont="1" applyFill="1" applyBorder="1" applyAlignment="1">
      <alignment horizontal="left" vertical="center" wrapText="1"/>
    </xf>
    <xf numFmtId="179" fontId="18" fillId="0" borderId="1" xfId="10" applyFont="1" applyFill="1" applyBorder="1" applyAlignment="1">
      <alignment horizontal="left" vertical="center" wrapText="1"/>
    </xf>
    <xf numFmtId="167" fontId="18" fillId="8" borderId="1" xfId="10" applyNumberFormat="1" applyFont="1" applyFill="1" applyBorder="1" applyAlignment="1">
      <alignment horizontal="left" vertical="center" wrapText="1"/>
    </xf>
    <xf numFmtId="17" fontId="7" fillId="4" borderId="4" xfId="0" applyNumberFormat="1" applyFont="1" applyFill="1" applyBorder="1" applyAlignment="1">
      <alignment horizontal="center" vertical="center"/>
    </xf>
    <xf numFmtId="179" fontId="8" fillId="0" borderId="11" xfId="10" applyFont="1" applyBorder="1">
      <alignment vertical="center"/>
    </xf>
    <xf numFmtId="179" fontId="23" fillId="0" borderId="1" xfId="10" applyFont="1" applyFill="1" applyBorder="1" applyAlignment="1">
      <alignment horizontal="left" vertical="center" wrapText="1"/>
    </xf>
    <xf numFmtId="179" fontId="8" fillId="4" borderId="1" xfId="0" applyFont="1" applyFill="1" applyBorder="1">
      <alignment vertical="center"/>
    </xf>
    <xf numFmtId="168" fontId="53" fillId="4" borderId="1" xfId="10" applyNumberFormat="1" applyFont="1" applyFill="1" applyBorder="1" applyAlignment="1">
      <alignment horizontal="center" vertical="center" wrapText="1"/>
    </xf>
    <xf numFmtId="184" fontId="8" fillId="13" borderId="1" xfId="10" applyNumberFormat="1" applyFont="1" applyFill="1" applyBorder="1" applyAlignment="1">
      <alignment horizontal="right" vertical="center"/>
    </xf>
    <xf numFmtId="164" fontId="8" fillId="13" borderId="1" xfId="10" applyNumberFormat="1" applyFont="1" applyFill="1" applyBorder="1" applyAlignment="1">
      <alignment horizontal="right" vertical="center"/>
    </xf>
    <xf numFmtId="174" fontId="8" fillId="4" borderId="1" xfId="10" applyNumberFormat="1" applyFont="1" applyFill="1" applyBorder="1" applyAlignment="1">
      <alignment horizontal="center" vertical="center"/>
    </xf>
    <xf numFmtId="179" fontId="12" fillId="0" borderId="0" xfId="10" applyFont="1" applyFill="1" applyBorder="1" applyAlignment="1">
      <alignment horizontal="center" vertical="center"/>
    </xf>
    <xf numFmtId="9" fontId="8" fillId="9" borderId="1" xfId="7" applyNumberFormat="1" applyFont="1" applyFill="1" applyBorder="1" applyAlignment="1">
      <alignment horizontal="center" vertical="center"/>
    </xf>
    <xf numFmtId="171" fontId="25" fillId="0" borderId="1" xfId="0" applyNumberFormat="1" applyFont="1" applyFill="1" applyBorder="1" applyAlignment="1">
      <alignment horizontal="right" vertical="center"/>
    </xf>
    <xf numFmtId="172" fontId="25" fillId="0" borderId="1" xfId="0" applyNumberFormat="1" applyFont="1" applyFill="1" applyBorder="1" applyAlignment="1">
      <alignment horizontal="right" vertical="center"/>
    </xf>
    <xf numFmtId="166" fontId="26" fillId="0" borderId="1" xfId="0" applyNumberFormat="1" applyFont="1" applyFill="1" applyBorder="1" applyAlignment="1">
      <alignment horizontal="right" vertical="center"/>
    </xf>
    <xf numFmtId="168" fontId="26" fillId="0" borderId="1" xfId="0" applyNumberFormat="1" applyFont="1" applyFill="1" applyBorder="1" applyAlignment="1">
      <alignment horizontal="right" vertical="center"/>
    </xf>
    <xf numFmtId="167" fontId="26" fillId="0" borderId="1" xfId="0" applyNumberFormat="1" applyFont="1" applyFill="1" applyBorder="1" applyAlignment="1">
      <alignment horizontal="right" vertical="center"/>
    </xf>
    <xf numFmtId="168" fontId="26" fillId="0" borderId="1" xfId="0" applyNumberFormat="1" applyFont="1" applyFill="1" applyBorder="1" applyAlignment="1">
      <alignment horizontal="right" vertical="center" wrapText="1"/>
    </xf>
    <xf numFmtId="167" fontId="5" fillId="0" borderId="1" xfId="0" applyNumberFormat="1" applyFont="1" applyFill="1" applyBorder="1" applyAlignment="1">
      <alignment horizontal="right" vertical="center"/>
    </xf>
    <xf numFmtId="168" fontId="5" fillId="0" borderId="1" xfId="0" applyNumberFormat="1" applyFont="1" applyFill="1" applyBorder="1" applyAlignment="1">
      <alignment horizontal="right" vertical="center" wrapText="1"/>
    </xf>
    <xf numFmtId="171" fontId="8" fillId="0" borderId="1" xfId="0" applyNumberFormat="1" applyFont="1" applyFill="1" applyBorder="1" applyAlignment="1">
      <alignment horizontal="right" vertical="center"/>
    </xf>
    <xf numFmtId="172" fontId="8" fillId="0" borderId="1" xfId="0" applyNumberFormat="1" applyFont="1" applyFill="1" applyBorder="1" applyAlignment="1">
      <alignment horizontal="right" vertical="center"/>
    </xf>
    <xf numFmtId="166" fontId="8" fillId="5" borderId="1" xfId="0" applyNumberFormat="1" applyFont="1" applyFill="1" applyBorder="1" applyAlignment="1">
      <alignment horizontal="right" vertical="center"/>
    </xf>
    <xf numFmtId="174" fontId="8" fillId="5" borderId="1" xfId="0" applyNumberFormat="1" applyFont="1" applyFill="1" applyBorder="1" applyAlignment="1">
      <alignment horizontal="right" vertical="center"/>
    </xf>
    <xf numFmtId="179" fontId="0" fillId="0" borderId="0" xfId="0" applyAlignment="1">
      <alignment horizontal="right" vertical="center"/>
    </xf>
    <xf numFmtId="173" fontId="5" fillId="2" borderId="1" xfId="10" applyNumberFormat="1" applyFont="1" applyFill="1" applyBorder="1" applyAlignment="1">
      <alignment horizontal="center" vertical="center"/>
    </xf>
    <xf numFmtId="173" fontId="18" fillId="0" borderId="1" xfId="10" applyNumberFormat="1" applyFont="1" applyFill="1" applyBorder="1" applyAlignment="1">
      <alignment horizontal="left" vertical="center" wrapText="1"/>
    </xf>
    <xf numFmtId="173" fontId="50" fillId="0" borderId="1" xfId="2" applyNumberFormat="1" applyFont="1" applyBorder="1">
      <alignment vertical="center"/>
    </xf>
    <xf numFmtId="173" fontId="50" fillId="9" borderId="1" xfId="2" applyNumberFormat="1" applyFont="1" applyFill="1" applyBorder="1">
      <alignment vertical="center"/>
    </xf>
    <xf numFmtId="173" fontId="50" fillId="13" borderId="1" xfId="2" applyNumberFormat="1" applyFont="1" applyFill="1" applyBorder="1">
      <alignment vertical="center"/>
    </xf>
    <xf numFmtId="173" fontId="8" fillId="0" borderId="0" xfId="10" applyNumberFormat="1" applyFont="1" applyFill="1" applyBorder="1" applyAlignment="1">
      <alignment horizontal="center" vertical="center"/>
    </xf>
    <xf numFmtId="173" fontId="2" fillId="0" borderId="0" xfId="10" applyNumberFormat="1" applyFont="1">
      <alignment vertical="center"/>
    </xf>
    <xf numFmtId="179" fontId="32" fillId="0" borderId="1" xfId="0" quotePrefix="1" applyFont="1" applyBorder="1">
      <alignment vertical="center"/>
    </xf>
    <xf numFmtId="179" fontId="57" fillId="0" borderId="1" xfId="0" quotePrefix="1" applyFont="1" applyBorder="1">
      <alignment vertical="center"/>
    </xf>
    <xf numFmtId="179" fontId="5" fillId="0" borderId="1" xfId="4" applyNumberFormat="1" applyFont="1" applyFill="1" applyBorder="1" applyAlignment="1">
      <alignment horizontal="right" vertical="center"/>
    </xf>
    <xf numFmtId="167" fontId="8" fillId="0" borderId="1" xfId="7" applyNumberFormat="1" applyFont="1" applyBorder="1">
      <alignment vertical="center"/>
    </xf>
    <xf numFmtId="179" fontId="12" fillId="4" borderId="1" xfId="0" applyFont="1" applyFill="1" applyBorder="1" applyAlignment="1">
      <alignment vertical="center"/>
    </xf>
    <xf numFmtId="173" fontId="32" fillId="0" borderId="1" xfId="2" applyNumberFormat="1" applyBorder="1" applyAlignment="1">
      <alignment vertical="center" wrapText="1"/>
    </xf>
    <xf numFmtId="173" fontId="0" fillId="0" borderId="1" xfId="0" applyNumberFormat="1" applyBorder="1">
      <alignment vertical="center"/>
    </xf>
    <xf numFmtId="173" fontId="0" fillId="0" borderId="0" xfId="0" applyNumberFormat="1">
      <alignment vertical="center"/>
    </xf>
    <xf numFmtId="173" fontId="2" fillId="0" borderId="0" xfId="10" applyNumberFormat="1" applyFont="1" applyAlignment="1">
      <alignment horizontal="right" vertical="center"/>
    </xf>
    <xf numFmtId="185" fontId="8" fillId="13" borderId="1" xfId="7" applyNumberFormat="1" applyFont="1" applyFill="1" applyBorder="1">
      <alignment vertical="center"/>
    </xf>
    <xf numFmtId="185" fontId="5" fillId="13" borderId="1" xfId="4" applyNumberFormat="1" applyFont="1" applyFill="1" applyBorder="1" applyAlignment="1">
      <alignment horizontal="right" vertical="center"/>
    </xf>
    <xf numFmtId="185" fontId="5" fillId="13" borderId="1" xfId="10" applyNumberFormat="1" applyFont="1" applyFill="1" applyBorder="1" applyAlignment="1">
      <alignment horizontal="center" vertical="center"/>
    </xf>
    <xf numFmtId="185" fontId="50" fillId="13" borderId="1" xfId="2" applyNumberFormat="1" applyFont="1" applyFill="1" applyBorder="1">
      <alignment vertical="center"/>
    </xf>
    <xf numFmtId="185" fontId="8" fillId="13" borderId="1" xfId="10" applyNumberFormat="1" applyFont="1" applyFill="1" applyBorder="1" applyAlignment="1">
      <alignment horizontal="right" vertical="center"/>
    </xf>
    <xf numFmtId="179" fontId="72" fillId="0" borderId="1" xfId="0" applyFont="1" applyFill="1" applyBorder="1" applyAlignment="1">
      <alignment horizontal="left"/>
    </xf>
    <xf numFmtId="177" fontId="72" fillId="0" borderId="1" xfId="0" applyNumberFormat="1" applyFont="1" applyFill="1" applyBorder="1" applyAlignment="1">
      <alignment horizontal="center"/>
    </xf>
    <xf numFmtId="10" fontId="57" fillId="0" borderId="0" xfId="0" applyNumberFormat="1" applyFont="1">
      <alignment vertical="center"/>
    </xf>
    <xf numFmtId="179" fontId="57" fillId="0" borderId="0" xfId="0" applyFont="1">
      <alignment vertical="center"/>
    </xf>
    <xf numFmtId="164" fontId="53" fillId="2" borderId="1" xfId="10" applyNumberFormat="1" applyFont="1" applyFill="1" applyBorder="1" applyAlignment="1">
      <alignment horizontal="center" vertical="center" wrapText="1"/>
    </xf>
    <xf numFmtId="164" fontId="23" fillId="0" borderId="1" xfId="10" applyNumberFormat="1" applyFont="1" applyFill="1" applyBorder="1" applyAlignment="1">
      <alignment horizontal="left" vertical="center" wrapText="1"/>
    </xf>
    <xf numFmtId="164" fontId="5" fillId="0" borderId="1" xfId="10" applyNumberFormat="1" applyFont="1" applyFill="1" applyBorder="1" applyAlignment="1">
      <alignment horizontal="right" vertical="center" wrapText="1"/>
    </xf>
    <xf numFmtId="164" fontId="8" fillId="0" borderId="0" xfId="10" applyNumberFormat="1" applyFont="1" applyFill="1" applyBorder="1" applyAlignment="1">
      <alignment horizontal="right" vertical="center"/>
    </xf>
    <xf numFmtId="164" fontId="2" fillId="0" borderId="0" xfId="10" applyNumberFormat="1" applyFont="1" applyAlignment="1">
      <alignment horizontal="right" vertical="center"/>
    </xf>
    <xf numFmtId="167" fontId="8" fillId="15" borderId="1" xfId="7" applyNumberFormat="1" applyFont="1" applyFill="1" applyBorder="1">
      <alignment vertical="center"/>
    </xf>
    <xf numFmtId="165" fontId="8" fillId="15" borderId="1" xfId="7" applyFont="1" applyFill="1" applyBorder="1">
      <alignment vertical="center"/>
    </xf>
    <xf numFmtId="179" fontId="5" fillId="15" borderId="1" xfId="4" applyNumberFormat="1" applyFont="1" applyFill="1" applyBorder="1" applyAlignment="1">
      <alignment horizontal="right" vertical="center"/>
    </xf>
    <xf numFmtId="167" fontId="5" fillId="15" borderId="1" xfId="10" applyNumberFormat="1" applyFont="1" applyFill="1" applyBorder="1" applyAlignment="1">
      <alignment horizontal="center" vertical="center"/>
    </xf>
    <xf numFmtId="9" fontId="8" fillId="15" borderId="1" xfId="7" applyNumberFormat="1" applyFont="1" applyFill="1" applyBorder="1">
      <alignment vertical="center"/>
    </xf>
    <xf numFmtId="172" fontId="8" fillId="15" borderId="1" xfId="10" applyNumberFormat="1" applyFont="1" applyFill="1" applyBorder="1" applyAlignment="1">
      <alignment horizontal="right" vertical="center"/>
    </xf>
    <xf numFmtId="171" fontId="8" fillId="15" borderId="1" xfId="10" applyNumberFormat="1" applyFont="1" applyFill="1" applyBorder="1" applyAlignment="1">
      <alignment horizontal="right" vertical="center"/>
    </xf>
    <xf numFmtId="169" fontId="5" fillId="15" borderId="1" xfId="10" applyNumberFormat="1" applyFont="1" applyFill="1" applyBorder="1" applyAlignment="1">
      <alignment horizontal="center" vertical="center"/>
    </xf>
    <xf numFmtId="169" fontId="21" fillId="15" borderId="1" xfId="10" applyNumberFormat="1" applyFont="1" applyFill="1" applyBorder="1" applyAlignment="1">
      <alignment horizontal="center" vertical="center"/>
    </xf>
    <xf numFmtId="179" fontId="7" fillId="15" borderId="1" xfId="4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6" fillId="3" borderId="1" xfId="10" applyNumberFormat="1" applyFont="1" applyFill="1" applyBorder="1" applyAlignment="1">
      <alignment horizontal="left" vertical="center" wrapText="1"/>
    </xf>
    <xf numFmtId="49" fontId="6" fillId="3" borderId="1" xfId="10" applyNumberFormat="1" applyFont="1" applyFill="1" applyBorder="1" applyAlignment="1">
      <alignment horizontal="left" vertical="center"/>
    </xf>
    <xf numFmtId="49" fontId="2" fillId="0" borderId="0" xfId="10" applyNumberFormat="1" applyFont="1" applyAlignment="1">
      <alignment horizontal="left" vertical="center"/>
    </xf>
    <xf numFmtId="186" fontId="6" fillId="3" borderId="1" xfId="10" applyNumberFormat="1" applyFont="1" applyFill="1" applyBorder="1" applyAlignment="1">
      <alignment horizontal="left" vertical="center" wrapText="1"/>
    </xf>
    <xf numFmtId="186" fontId="18" fillId="0" borderId="1" xfId="4" applyNumberFormat="1" applyFont="1" applyFill="1" applyBorder="1" applyAlignment="1">
      <alignment horizontal="left" vertical="center" wrapText="1"/>
    </xf>
    <xf numFmtId="186" fontId="0" fillId="0" borderId="0" xfId="0" applyNumberFormat="1">
      <alignment vertical="center"/>
    </xf>
    <xf numFmtId="2" fontId="18" fillId="8" borderId="1" xfId="10" applyNumberFormat="1" applyFont="1" applyFill="1" applyBorder="1" applyAlignment="1">
      <alignment horizontal="left" vertical="center" wrapText="1"/>
    </xf>
    <xf numFmtId="2" fontId="0" fillId="0" borderId="0" xfId="0" applyNumberFormat="1">
      <alignment vertical="center"/>
    </xf>
    <xf numFmtId="2" fontId="18" fillId="0" borderId="1" xfId="10" applyNumberFormat="1" applyFont="1" applyFill="1" applyBorder="1" applyAlignment="1">
      <alignment horizontal="left" vertical="center" wrapText="1"/>
    </xf>
    <xf numFmtId="2" fontId="18" fillId="14" borderId="1" xfId="10" applyNumberFormat="1" applyFont="1" applyFill="1" applyBorder="1" applyAlignment="1">
      <alignment horizontal="left" vertical="center" wrapText="1"/>
    </xf>
    <xf numFmtId="2" fontId="18" fillId="8" borderId="1" xfId="10" applyNumberFormat="1" applyFont="1" applyFill="1" applyBorder="1" applyAlignment="1">
      <alignment horizontal="left" vertical="center"/>
    </xf>
    <xf numFmtId="2" fontId="23" fillId="0" borderId="1" xfId="10" applyNumberFormat="1" applyFont="1" applyFill="1" applyBorder="1" applyAlignment="1">
      <alignment horizontal="left" vertical="center" wrapText="1"/>
    </xf>
    <xf numFmtId="186" fontId="18" fillId="11" borderId="1" xfId="10" applyNumberFormat="1" applyFont="1" applyFill="1" applyBorder="1" applyAlignment="1">
      <alignment horizontal="left" vertical="center" wrapText="1"/>
    </xf>
    <xf numFmtId="186" fontId="7" fillId="9" borderId="1" xfId="4" applyNumberFormat="1" applyFont="1" applyFill="1" applyBorder="1" applyAlignment="1">
      <alignment horizontal="center" vertical="center"/>
    </xf>
    <xf numFmtId="186" fontId="7" fillId="15" borderId="1" xfId="4" applyNumberFormat="1" applyFont="1" applyFill="1" applyBorder="1" applyAlignment="1">
      <alignment horizontal="center" vertical="center"/>
    </xf>
    <xf numFmtId="4" fontId="18" fillId="8" borderId="1" xfId="10" applyNumberFormat="1" applyFont="1" applyFill="1" applyBorder="1" applyAlignment="1">
      <alignment horizontal="left" vertical="center"/>
    </xf>
    <xf numFmtId="4" fontId="8" fillId="15" borderId="1" xfId="7" applyNumberFormat="1" applyFont="1" applyFill="1" applyBorder="1">
      <alignment vertical="center"/>
    </xf>
    <xf numFmtId="4" fontId="0" fillId="0" borderId="0" xfId="0" applyNumberFormat="1">
      <alignment vertical="center"/>
    </xf>
    <xf numFmtId="187" fontId="18" fillId="14" borderId="1" xfId="10" applyNumberFormat="1" applyFont="1" applyFill="1" applyBorder="1" applyAlignment="1">
      <alignment horizontal="left" vertical="center" wrapText="1"/>
    </xf>
    <xf numFmtId="187" fontId="8" fillId="15" borderId="1" xfId="10" applyNumberFormat="1" applyFont="1" applyFill="1" applyBorder="1" applyAlignment="1">
      <alignment horizontal="right" vertical="center"/>
    </xf>
    <xf numFmtId="187" fontId="0" fillId="0" borderId="0" xfId="0" applyNumberFormat="1">
      <alignment vertical="center"/>
    </xf>
    <xf numFmtId="188" fontId="18" fillId="14" borderId="1" xfId="10" applyNumberFormat="1" applyFont="1" applyFill="1" applyBorder="1" applyAlignment="1">
      <alignment horizontal="left" vertical="center" wrapText="1"/>
    </xf>
    <xf numFmtId="188" fontId="8" fillId="15" borderId="1" xfId="10" applyNumberFormat="1" applyFont="1" applyFill="1" applyBorder="1" applyAlignment="1">
      <alignment horizontal="right" vertical="center"/>
    </xf>
    <xf numFmtId="188" fontId="0" fillId="0" borderId="0" xfId="0" applyNumberFormat="1">
      <alignment vertical="center"/>
    </xf>
    <xf numFmtId="4" fontId="18" fillId="14" borderId="1" xfId="10" applyNumberFormat="1" applyFont="1" applyFill="1" applyBorder="1" applyAlignment="1">
      <alignment horizontal="left" vertical="center" wrapText="1"/>
    </xf>
    <xf numFmtId="4" fontId="8" fillId="9" borderId="1" xfId="10" applyNumberFormat="1" applyFont="1" applyFill="1" applyBorder="1" applyAlignment="1">
      <alignment horizontal="right" vertical="center"/>
    </xf>
    <xf numFmtId="49" fontId="8" fillId="15" borderId="1" xfId="7" applyNumberFormat="1" applyFont="1" applyFill="1" applyBorder="1">
      <alignment vertical="center"/>
    </xf>
    <xf numFmtId="10" fontId="6" fillId="3" borderId="1" xfId="10" applyNumberFormat="1" applyFont="1" applyFill="1" applyBorder="1" applyAlignment="1">
      <alignment horizontal="left" vertical="center" wrapText="1"/>
    </xf>
    <xf numFmtId="10" fontId="8" fillId="15" borderId="1" xfId="7" applyNumberFormat="1" applyFont="1" applyFill="1" applyBorder="1">
      <alignment vertical="center"/>
    </xf>
    <xf numFmtId="10" fontId="0" fillId="0" borderId="0" xfId="0" applyNumberFormat="1">
      <alignment vertical="center"/>
    </xf>
    <xf numFmtId="10" fontId="6" fillId="3" borderId="1" xfId="10" applyNumberFormat="1" applyFont="1" applyFill="1" applyBorder="1" applyAlignment="1">
      <alignment horizontal="left" vertical="center"/>
    </xf>
    <xf numFmtId="186" fontId="5" fillId="15" borderId="1" xfId="4" applyNumberFormat="1" applyFont="1" applyFill="1" applyBorder="1" applyAlignment="1">
      <alignment horizontal="right" vertical="center"/>
    </xf>
    <xf numFmtId="2" fontId="18" fillId="4" borderId="1" xfId="10" applyNumberFormat="1" applyFont="1" applyFill="1" applyBorder="1" applyAlignment="1">
      <alignment horizontal="left" vertical="center" wrapText="1"/>
    </xf>
    <xf numFmtId="169" fontId="5" fillId="4" borderId="1" xfId="10" applyNumberFormat="1" applyFont="1" applyFill="1" applyBorder="1" applyAlignment="1">
      <alignment horizontal="center" vertical="center"/>
    </xf>
    <xf numFmtId="169" fontId="21" fillId="4" borderId="1" xfId="10" applyNumberFormat="1" applyFont="1" applyFill="1" applyBorder="1" applyAlignment="1">
      <alignment horizontal="center" vertical="center"/>
    </xf>
    <xf numFmtId="179" fontId="18" fillId="4" borderId="1" xfId="10" applyFont="1" applyFill="1" applyBorder="1" applyAlignment="1">
      <alignment horizontal="left" vertical="center" wrapText="1"/>
    </xf>
    <xf numFmtId="167" fontId="23" fillId="8" borderId="1" xfId="10" applyNumberFormat="1" applyFont="1" applyFill="1" applyBorder="1" applyAlignment="1">
      <alignment horizontal="left" vertical="center" wrapText="1"/>
    </xf>
    <xf numFmtId="14" fontId="18" fillId="11" borderId="1" xfId="10" applyNumberFormat="1" applyFont="1" applyFill="1" applyBorder="1" applyAlignment="1">
      <alignment horizontal="left" vertical="center" wrapText="1"/>
    </xf>
    <xf numFmtId="14" fontId="5" fillId="0" borderId="1" xfId="4" applyNumberFormat="1" applyFont="1" applyFill="1" applyBorder="1" applyAlignment="1">
      <alignment horizontal="right" vertical="center"/>
    </xf>
    <xf numFmtId="14" fontId="5" fillId="9" borderId="1" xfId="4" applyNumberFormat="1" applyFont="1" applyFill="1" applyBorder="1" applyAlignment="1">
      <alignment horizontal="right" vertical="center"/>
    </xf>
    <xf numFmtId="14" fontId="5" fillId="15" borderId="1" xfId="4" applyNumberFormat="1" applyFont="1" applyFill="1" applyBorder="1" applyAlignment="1">
      <alignment horizontal="right" vertical="center"/>
    </xf>
    <xf numFmtId="14" fontId="5" fillId="13" borderId="1" xfId="4" applyNumberFormat="1" applyFont="1" applyFill="1" applyBorder="1" applyAlignment="1">
      <alignment horizontal="right" vertical="center"/>
    </xf>
    <xf numFmtId="14" fontId="8" fillId="0" borderId="0" xfId="10" applyNumberFormat="1" applyFont="1" applyFill="1" applyBorder="1" applyAlignment="1">
      <alignment horizontal="center" vertical="center"/>
    </xf>
    <xf numFmtId="14" fontId="2" fillId="0" borderId="0" xfId="10" applyNumberFormat="1" applyFont="1">
      <alignment vertical="center"/>
    </xf>
    <xf numFmtId="164" fontId="5" fillId="15" borderId="1" xfId="4" applyNumberFormat="1" applyFont="1" applyFill="1" applyBorder="1" applyAlignment="1">
      <alignment horizontal="right" vertical="center" wrapText="1"/>
    </xf>
    <xf numFmtId="14" fontId="18" fillId="0" borderId="1" xfId="4" applyNumberFormat="1" applyFont="1" applyFill="1" applyBorder="1" applyAlignment="1">
      <alignment horizontal="left" vertical="center" wrapText="1"/>
    </xf>
    <xf numFmtId="14" fontId="7" fillId="0" borderId="1" xfId="10" applyNumberFormat="1" applyFont="1" applyFill="1" applyBorder="1" applyAlignment="1">
      <alignment horizontal="center" vertical="center"/>
    </xf>
    <xf numFmtId="14" fontId="7" fillId="9" borderId="1" xfId="4" applyNumberFormat="1" applyFont="1" applyFill="1" applyBorder="1" applyAlignment="1">
      <alignment horizontal="center" vertical="center"/>
    </xf>
    <xf numFmtId="14" fontId="7" fillId="15" borderId="1" xfId="4" applyNumberFormat="1" applyFont="1" applyFill="1" applyBorder="1" applyAlignment="1">
      <alignment horizontal="center" vertical="center"/>
    </xf>
    <xf numFmtId="14" fontId="7" fillId="13" borderId="1" xfId="10" applyNumberFormat="1" applyFont="1" applyFill="1" applyBorder="1" applyAlignment="1">
      <alignment horizontal="center" vertical="center"/>
    </xf>
    <xf numFmtId="14" fontId="7" fillId="0" borderId="0" xfId="10" applyNumberFormat="1" applyFont="1" applyFill="1" applyBorder="1" applyAlignment="1">
      <alignment horizontal="center" vertical="center"/>
    </xf>
    <xf numFmtId="14" fontId="18" fillId="0" borderId="0" xfId="10" applyNumberFormat="1" applyFont="1">
      <alignment vertical="center"/>
    </xf>
    <xf numFmtId="14" fontId="71" fillId="0" borderId="0" xfId="10" applyNumberFormat="1" applyFont="1">
      <alignment vertical="center"/>
    </xf>
    <xf numFmtId="14" fontId="2" fillId="13" borderId="0" xfId="10" applyNumberFormat="1" applyFont="1" applyFill="1">
      <alignment vertical="center"/>
    </xf>
    <xf numFmtId="14" fontId="2" fillId="14" borderId="0" xfId="10" applyNumberFormat="1" applyFont="1" applyFill="1">
      <alignment vertical="center"/>
    </xf>
    <xf numFmtId="14" fontId="2" fillId="8" borderId="0" xfId="10" applyNumberFormat="1" applyFont="1" applyFill="1">
      <alignment vertical="center"/>
    </xf>
    <xf numFmtId="188" fontId="8" fillId="0" borderId="1" xfId="10" applyNumberFormat="1" applyFont="1" applyFill="1" applyBorder="1" applyAlignment="1">
      <alignment horizontal="right" vertical="center"/>
    </xf>
    <xf numFmtId="188" fontId="8" fillId="9" borderId="1" xfId="10" applyNumberFormat="1" applyFont="1" applyFill="1" applyBorder="1" applyAlignment="1">
      <alignment horizontal="right" vertical="center"/>
    </xf>
    <xf numFmtId="188" fontId="8" fillId="13" borderId="1" xfId="10" applyNumberFormat="1" applyFont="1" applyFill="1" applyBorder="1" applyAlignment="1">
      <alignment horizontal="right" vertical="center"/>
    </xf>
    <xf numFmtId="188" fontId="8" fillId="0" borderId="0" xfId="10" applyNumberFormat="1" applyFont="1" applyFill="1" applyBorder="1" applyAlignment="1">
      <alignment horizontal="right" vertical="center"/>
    </xf>
    <xf numFmtId="188" fontId="2" fillId="0" borderId="0" xfId="10" applyNumberFormat="1" applyFont="1" applyAlignment="1">
      <alignment horizontal="right" vertical="center"/>
    </xf>
    <xf numFmtId="187" fontId="18" fillId="0" borderId="1" xfId="10" applyNumberFormat="1" applyFont="1" applyFill="1" applyBorder="1" applyAlignment="1">
      <alignment horizontal="left" vertical="center" wrapText="1"/>
    </xf>
    <xf numFmtId="187" fontId="8" fillId="0" borderId="1" xfId="10" applyNumberFormat="1" applyFont="1" applyFill="1" applyBorder="1" applyAlignment="1">
      <alignment horizontal="right" vertical="center"/>
    </xf>
    <xf numFmtId="187" fontId="8" fillId="9" borderId="1" xfId="10" applyNumberFormat="1" applyFont="1" applyFill="1" applyBorder="1" applyAlignment="1">
      <alignment horizontal="right" vertical="center"/>
    </xf>
    <xf numFmtId="187" fontId="8" fillId="13" borderId="1" xfId="10" applyNumberFormat="1" applyFont="1" applyFill="1" applyBorder="1" applyAlignment="1">
      <alignment horizontal="right" vertical="center"/>
    </xf>
    <xf numFmtId="187" fontId="8" fillId="0" borderId="0" xfId="10" applyNumberFormat="1" applyFont="1" applyFill="1" applyBorder="1" applyAlignment="1">
      <alignment horizontal="right" vertical="center"/>
    </xf>
    <xf numFmtId="187" fontId="2" fillId="0" borderId="0" xfId="10" applyNumberFormat="1" applyFont="1" applyAlignment="1">
      <alignment horizontal="right" vertical="center"/>
    </xf>
    <xf numFmtId="179" fontId="73" fillId="8" borderId="1" xfId="10" applyFont="1" applyFill="1" applyBorder="1" applyAlignment="1">
      <alignment horizontal="left" vertical="center"/>
    </xf>
    <xf numFmtId="179" fontId="0" fillId="16" borderId="0" xfId="0" applyFill="1">
      <alignment vertical="center"/>
    </xf>
    <xf numFmtId="179" fontId="0" fillId="17" borderId="0" xfId="0" applyFill="1">
      <alignment vertical="center"/>
    </xf>
    <xf numFmtId="179" fontId="0" fillId="18" borderId="0" xfId="0" applyFill="1">
      <alignment vertical="center"/>
    </xf>
    <xf numFmtId="167" fontId="26" fillId="0" borderId="4" xfId="0" applyNumberFormat="1" applyFont="1" applyFill="1" applyBorder="1" applyAlignment="1">
      <alignment horizontal="right" vertical="center"/>
    </xf>
    <xf numFmtId="167" fontId="26" fillId="0" borderId="6" xfId="0" applyNumberFormat="1" applyFont="1" applyFill="1" applyBorder="1" applyAlignment="1">
      <alignment horizontal="right" vertical="center"/>
    </xf>
    <xf numFmtId="168" fontId="26" fillId="0" borderId="4" xfId="0" applyNumberFormat="1" applyFont="1" applyFill="1" applyBorder="1" applyAlignment="1">
      <alignment horizontal="right" vertical="center" wrapText="1"/>
    </xf>
    <xf numFmtId="168" fontId="26" fillId="0" borderId="6" xfId="0" applyNumberFormat="1" applyFont="1" applyFill="1" applyBorder="1" applyAlignment="1">
      <alignment horizontal="right" vertical="center" wrapText="1"/>
    </xf>
    <xf numFmtId="179" fontId="0" fillId="0" borderId="0" xfId="0" applyAlignment="1">
      <alignment horizontal="center" vertical="center"/>
    </xf>
    <xf numFmtId="166" fontId="8" fillId="5" borderId="7" xfId="0" applyNumberFormat="1" applyFont="1" applyFill="1" applyBorder="1" applyAlignment="1">
      <alignment horizontal="center" vertical="center"/>
    </xf>
    <xf numFmtId="166" fontId="8" fillId="5" borderId="10" xfId="0" applyNumberFormat="1" applyFont="1" applyFill="1" applyBorder="1" applyAlignment="1">
      <alignment horizontal="center" vertical="center"/>
    </xf>
    <xf numFmtId="166" fontId="8" fillId="5" borderId="2" xfId="0" applyNumberFormat="1" applyFont="1" applyFill="1" applyBorder="1" applyAlignment="1">
      <alignment horizontal="center" vertical="center"/>
    </xf>
    <xf numFmtId="179" fontId="5" fillId="2" borderId="0" xfId="2" applyFont="1" applyFill="1" applyAlignment="1">
      <alignment horizontal="left" vertical="center"/>
    </xf>
    <xf numFmtId="167" fontId="11" fillId="2" borderId="0" xfId="2" applyNumberFormat="1" applyFont="1" applyFill="1" applyAlignment="1">
      <alignment horizontal="center" vertical="center"/>
    </xf>
    <xf numFmtId="179" fontId="22" fillId="5" borderId="1" xfId="0" applyFont="1" applyFill="1" applyBorder="1" applyAlignment="1">
      <alignment horizontal="center" vertical="center"/>
    </xf>
    <xf numFmtId="173" fontId="5" fillId="0" borderId="4" xfId="2" applyNumberFormat="1" applyFont="1" applyFill="1" applyBorder="1" applyAlignment="1">
      <alignment horizontal="center" vertical="center"/>
    </xf>
    <xf numFmtId="173" fontId="5" fillId="0" borderId="6" xfId="2" applyNumberFormat="1" applyFont="1" applyFill="1" applyBorder="1" applyAlignment="1">
      <alignment horizontal="center" vertical="center"/>
    </xf>
    <xf numFmtId="168" fontId="7" fillId="2" borderId="4" xfId="2" applyNumberFormat="1" applyFont="1" applyFill="1" applyBorder="1" applyAlignment="1">
      <alignment horizontal="center" vertical="center"/>
    </xf>
    <xf numFmtId="168" fontId="7" fillId="2" borderId="6" xfId="2" applyNumberFormat="1" applyFont="1" applyFill="1" applyBorder="1" applyAlignment="1">
      <alignment horizontal="center" vertical="center"/>
    </xf>
    <xf numFmtId="175" fontId="7" fillId="2" borderId="4" xfId="2" applyNumberFormat="1" applyFont="1" applyFill="1" applyBorder="1" applyAlignment="1">
      <alignment horizontal="center" vertical="center"/>
    </xf>
    <xf numFmtId="175" fontId="7" fillId="2" borderId="6" xfId="2" applyNumberFormat="1" applyFont="1" applyFill="1" applyBorder="1" applyAlignment="1">
      <alignment horizontal="center" vertical="center"/>
    </xf>
    <xf numFmtId="167" fontId="26" fillId="0" borderId="4" xfId="0" applyNumberFormat="1" applyFont="1" applyFill="1" applyBorder="1" applyAlignment="1">
      <alignment horizontal="center" vertical="center"/>
    </xf>
    <xf numFmtId="167" fontId="26" fillId="0" borderId="6" xfId="0" applyNumberFormat="1" applyFont="1" applyFill="1" applyBorder="1" applyAlignment="1">
      <alignment horizontal="center" vertical="center"/>
    </xf>
    <xf numFmtId="168" fontId="26" fillId="0" borderId="4" xfId="0" applyNumberFormat="1" applyFont="1" applyFill="1" applyBorder="1" applyAlignment="1">
      <alignment horizontal="center" vertical="center" wrapText="1"/>
    </xf>
    <xf numFmtId="168" fontId="26" fillId="0" borderId="6" xfId="0" applyNumberFormat="1" applyFont="1" applyFill="1" applyBorder="1" applyAlignment="1">
      <alignment horizontal="center" vertical="center" wrapText="1"/>
    </xf>
    <xf numFmtId="179" fontId="7" fillId="5" borderId="1" xfId="0" applyFont="1" applyFill="1" applyBorder="1" applyAlignment="1">
      <alignment horizontal="center" vertical="center"/>
    </xf>
    <xf numFmtId="179" fontId="8" fillId="0" borderId="0" xfId="0" applyFont="1" applyFill="1" applyAlignment="1">
      <alignment horizontal="left" vertical="center"/>
    </xf>
    <xf numFmtId="173" fontId="7" fillId="2" borderId="3" xfId="2" applyNumberFormat="1" applyFont="1" applyFill="1" applyBorder="1" applyAlignment="1">
      <alignment horizontal="center" vertical="center"/>
    </xf>
    <xf numFmtId="173" fontId="7" fillId="2" borderId="5" xfId="2" applyNumberFormat="1" applyFont="1" applyFill="1" applyBorder="1" applyAlignment="1">
      <alignment horizontal="center" vertical="center"/>
    </xf>
    <xf numFmtId="167" fontId="14" fillId="2" borderId="4" xfId="0" applyNumberFormat="1" applyFont="1" applyFill="1" applyBorder="1" applyAlignment="1">
      <alignment horizontal="center" vertical="center"/>
    </xf>
    <xf numFmtId="167" fontId="14" fillId="2" borderId="8" xfId="0" applyNumberFormat="1" applyFont="1" applyFill="1" applyBorder="1" applyAlignment="1">
      <alignment horizontal="center" vertical="center"/>
    </xf>
    <xf numFmtId="167" fontId="14" fillId="2" borderId="6" xfId="0" applyNumberFormat="1" applyFont="1" applyFill="1" applyBorder="1" applyAlignment="1">
      <alignment horizontal="center" vertical="center"/>
    </xf>
    <xf numFmtId="173" fontId="7" fillId="2" borderId="4" xfId="2" applyNumberFormat="1" applyFont="1" applyFill="1" applyBorder="1" applyAlignment="1">
      <alignment horizontal="center" vertical="center"/>
    </xf>
    <xf numFmtId="173" fontId="7" fillId="2" borderId="6" xfId="2" applyNumberFormat="1" applyFont="1" applyFill="1" applyBorder="1" applyAlignment="1">
      <alignment horizontal="center" vertical="center"/>
    </xf>
    <xf numFmtId="179" fontId="5" fillId="2" borderId="4" xfId="0" applyFont="1" applyFill="1" applyBorder="1" applyAlignment="1">
      <alignment horizontal="center" vertical="center"/>
    </xf>
    <xf numFmtId="179" fontId="5" fillId="2" borderId="8" xfId="0" applyFont="1" applyFill="1" applyBorder="1" applyAlignment="1">
      <alignment horizontal="center" vertical="center"/>
    </xf>
    <xf numFmtId="179" fontId="5" fillId="2" borderId="6" xfId="0" applyFont="1" applyFill="1" applyBorder="1" applyAlignment="1">
      <alignment horizontal="center" vertical="center"/>
    </xf>
    <xf numFmtId="179" fontId="7" fillId="5" borderId="7" xfId="4" applyFont="1" applyFill="1" applyBorder="1" applyAlignment="1">
      <alignment horizontal="center" vertical="center"/>
    </xf>
    <xf numFmtId="179" fontId="7" fillId="5" borderId="10" xfId="4" applyFont="1" applyFill="1" applyBorder="1" applyAlignment="1">
      <alignment horizontal="center" vertical="center"/>
    </xf>
    <xf numFmtId="179" fontId="7" fillId="5" borderId="2" xfId="4" applyFont="1" applyFill="1" applyBorder="1" applyAlignment="1">
      <alignment horizontal="center" vertical="center"/>
    </xf>
    <xf numFmtId="179" fontId="52" fillId="10" borderId="1" xfId="2" applyFont="1" applyFill="1" applyBorder="1" applyAlignment="1">
      <alignment horizontal="center" vertical="center" wrapText="1"/>
    </xf>
    <xf numFmtId="179" fontId="32" fillId="0" borderId="1" xfId="0" applyFont="1" applyBorder="1" applyAlignment="1">
      <alignment horizontal="center" vertical="center"/>
    </xf>
    <xf numFmtId="179" fontId="0" fillId="0" borderId="1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79" fontId="0" fillId="0" borderId="9" xfId="0" applyBorder="1" applyAlignment="1">
      <alignment horizontal="center" vertical="center"/>
    </xf>
  </cellXfs>
  <cellStyles count="13">
    <cellStyle name="Comma" xfId="7" builtinId="3"/>
    <cellStyle name="Normal" xfId="0" builtinId="0"/>
    <cellStyle name="千位分隔 2" xfId="9" xr:uid="{00000000-0005-0000-0000-00000B000000}"/>
    <cellStyle name="千位分隔 3" xfId="12" xr:uid="{00000000-0005-0000-0000-00000C000000}"/>
    <cellStyle name="常规 2" xfId="1" xr:uid="{00000000-0005-0000-0000-000001000000}"/>
    <cellStyle name="常规 2 2" xfId="6" xr:uid="{00000000-0005-0000-0000-000002000000}"/>
    <cellStyle name="常规 3" xfId="2" xr:uid="{00000000-0005-0000-0000-000003000000}"/>
    <cellStyle name="常规 3 2" xfId="5" xr:uid="{00000000-0005-0000-0000-000004000000}"/>
    <cellStyle name="常规 4" xfId="4" xr:uid="{00000000-0005-0000-0000-000005000000}"/>
    <cellStyle name="常规 4 2" xfId="10" xr:uid="{00000000-0005-0000-0000-000006000000}"/>
    <cellStyle name="常规 5" xfId="8" xr:uid="{00000000-0005-0000-0000-000007000000}"/>
    <cellStyle name="常规 6" xfId="11" xr:uid="{00000000-0005-0000-0000-000008000000}"/>
    <cellStyle name="常规_Sheet1" xfId="3" xr:uid="{00000000-0005-0000-0000-00000900000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D27A-C51D-4453-B3C1-7724372E71E8}">
  <dimension ref="A1:T3"/>
  <sheetViews>
    <sheetView workbookViewId="0"/>
  </sheetViews>
  <sheetFormatPr defaultRowHeight="15"/>
  <cols>
    <col min="2" max="2" width="9.140625" style="544"/>
    <col min="3" max="5" width="9.140625" style="545"/>
    <col min="6" max="20" width="9.140625" style="546"/>
  </cols>
  <sheetData>
    <row r="1" spans="1:20">
      <c r="A1" t="s">
        <v>365</v>
      </c>
      <c r="B1" s="544" t="s">
        <v>366</v>
      </c>
      <c r="C1" s="545" t="s">
        <v>367</v>
      </c>
      <c r="D1" s="545" t="s">
        <v>368</v>
      </c>
      <c r="E1" s="545" t="s">
        <v>369</v>
      </c>
      <c r="F1" s="546" t="s">
        <v>370</v>
      </c>
      <c r="G1" s="546" t="s">
        <v>371</v>
      </c>
      <c r="H1" s="546" t="s">
        <v>372</v>
      </c>
      <c r="I1" s="546" t="s">
        <v>373</v>
      </c>
      <c r="J1" s="546" t="s">
        <v>374</v>
      </c>
      <c r="K1" s="546" t="s">
        <v>375</v>
      </c>
      <c r="L1" s="546" t="s">
        <v>376</v>
      </c>
      <c r="M1" s="546" t="s">
        <v>377</v>
      </c>
      <c r="N1" s="546" t="s">
        <v>378</v>
      </c>
      <c r="O1" s="546" t="s">
        <v>379</v>
      </c>
      <c r="P1" s="546" t="s">
        <v>380</v>
      </c>
      <c r="Q1" s="546" t="s">
        <v>381</v>
      </c>
      <c r="R1" s="546" t="s">
        <v>119</v>
      </c>
      <c r="S1" s="546" t="s">
        <v>41</v>
      </c>
      <c r="T1" s="546" t="s">
        <v>382</v>
      </c>
    </row>
    <row r="2" spans="1:20">
      <c r="A2" t="s">
        <v>383</v>
      </c>
      <c r="B2" s="544" t="s">
        <v>384</v>
      </c>
      <c r="C2" s="545" t="s">
        <v>385</v>
      </c>
      <c r="D2" s="545" t="s">
        <v>385</v>
      </c>
      <c r="E2" s="545" t="s">
        <v>385</v>
      </c>
      <c r="F2" s="546" t="s">
        <v>386</v>
      </c>
      <c r="G2" s="546" t="s">
        <v>386</v>
      </c>
      <c r="H2" s="546" t="s">
        <v>386</v>
      </c>
      <c r="I2" s="546" t="s">
        <v>386</v>
      </c>
      <c r="J2" s="546" t="s">
        <v>386</v>
      </c>
      <c r="K2" s="546" t="s">
        <v>386</v>
      </c>
      <c r="L2" s="546" t="s">
        <v>386</v>
      </c>
      <c r="M2" s="546" t="s">
        <v>386</v>
      </c>
      <c r="N2" s="546" t="s">
        <v>386</v>
      </c>
      <c r="O2" s="546" t="s">
        <v>386</v>
      </c>
      <c r="P2" s="546" t="s">
        <v>386</v>
      </c>
      <c r="Q2" s="546" t="s">
        <v>386</v>
      </c>
      <c r="R2" s="546" t="s">
        <v>386</v>
      </c>
      <c r="S2" s="546" t="s">
        <v>386</v>
      </c>
      <c r="T2" s="546" t="s">
        <v>386</v>
      </c>
    </row>
    <row r="3" spans="1:20">
      <c r="A3" t="s">
        <v>387</v>
      </c>
      <c r="B3" s="544" t="s">
        <v>388</v>
      </c>
      <c r="C3" s="545" t="s">
        <v>389</v>
      </c>
      <c r="D3" s="545" t="s">
        <v>389</v>
      </c>
      <c r="E3" s="545" t="s">
        <v>389</v>
      </c>
      <c r="F3" s="546" t="s">
        <v>390</v>
      </c>
      <c r="G3" s="546" t="s">
        <v>390</v>
      </c>
      <c r="H3" s="546" t="s">
        <v>390</v>
      </c>
      <c r="I3" s="546" t="s">
        <v>390</v>
      </c>
      <c r="J3" s="546" t="s">
        <v>390</v>
      </c>
      <c r="K3" s="546" t="s">
        <v>390</v>
      </c>
      <c r="L3" s="546" t="s">
        <v>390</v>
      </c>
      <c r="M3" s="546" t="s">
        <v>390</v>
      </c>
      <c r="N3" s="546" t="s">
        <v>390</v>
      </c>
      <c r="O3" s="546" t="s">
        <v>390</v>
      </c>
      <c r="P3" s="546" t="s">
        <v>390</v>
      </c>
      <c r="Q3" s="546" t="s">
        <v>390</v>
      </c>
      <c r="R3" s="546" t="s">
        <v>390</v>
      </c>
      <c r="S3" s="546" t="s">
        <v>390</v>
      </c>
      <c r="T3" s="546" t="s">
        <v>390</v>
      </c>
    </row>
  </sheetData>
  <sheetProtection algorithmName="SHA-512" hashValue="5eKxfRF3q0x9bAayEWJXysqALT4NkxG/BPUdFQKpYvI5rWVRGFkGaGQP5l3d39anfpDdBgdf/Z/GV4UhS5TkjA==" saltValue="NqC+aUYzS+ZGSjB0f1t/Dg==" spinCount="100000" sheet="1" objects="1" scenarios="1"/>
  <dataValidations count="3">
    <dataValidation type="list" allowBlank="1" showInputMessage="1" showErrorMessage="1" sqref="B2:B1048576" xr:uid="{0781A6D0-4C0F-4084-8289-10E0C4404B7D}">
      <formula1>"Mutable,Inmutable"</formula1>
    </dataValidation>
    <dataValidation type="list" allowBlank="1" showInputMessage="1" showErrorMessage="1" sqref="C2:E1048576" xr:uid="{EC37E4E9-4D44-4092-A4CB-86CFFB061B92}">
      <formula1>"Visible,Invisible"</formula1>
    </dataValidation>
    <dataValidation type="list" allowBlank="1" showInputMessage="1" showErrorMessage="1" sqref="F2:T1048576" xr:uid="{DB7586D9-63E0-4400-9A7D-36D3C7FA7728}">
      <formula1>"Writable,ReadOnly,Invisible"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2172-7BDF-40AB-8428-CD8A59BEFAD8}">
  <dimension ref="A1:AB1"/>
  <sheetViews>
    <sheetView workbookViewId="0">
      <selection activeCell="I1" sqref="I1"/>
    </sheetView>
  </sheetViews>
  <sheetFormatPr defaultColWidth="9.140625" defaultRowHeight="15"/>
  <cols>
    <col min="1" max="2" width="10.42578125" style="481" bestFit="1" customWidth="1"/>
    <col min="3" max="4" width="13.5703125" style="475" customWidth="1"/>
    <col min="5" max="6" width="9.140625" style="483"/>
    <col min="7" max="7" width="10.42578125" style="481" bestFit="1" customWidth="1"/>
    <col min="8" max="8" width="9.140625" style="483"/>
    <col min="9" max="9" width="17.5703125" style="483" customWidth="1"/>
    <col min="10" max="11" width="9.140625" style="483"/>
    <col min="12" max="12" width="9.5703125" style="483" bestFit="1" customWidth="1"/>
    <col min="13" max="13" width="9.140625" style="475"/>
    <col min="14" max="24" width="9.140625" style="483"/>
    <col min="25" max="25" width="9.140625" style="475"/>
    <col min="26" max="26" width="23" style="475" customWidth="1"/>
    <col min="27" max="28" width="9.140625" style="505"/>
    <col min="29" max="16384" width="9.140625" style="475"/>
  </cols>
  <sheetData>
    <row r="1" spans="1:28" s="478" customFormat="1" ht="36">
      <c r="A1" s="479" t="s">
        <v>227</v>
      </c>
      <c r="B1" s="480" t="s">
        <v>1</v>
      </c>
      <c r="C1" s="477" t="s">
        <v>358</v>
      </c>
      <c r="D1" s="477" t="s">
        <v>360</v>
      </c>
      <c r="E1" s="485" t="s">
        <v>3</v>
      </c>
      <c r="F1" s="484" t="s">
        <v>228</v>
      </c>
      <c r="G1" s="488" t="s">
        <v>361</v>
      </c>
      <c r="H1" s="482" t="s">
        <v>359</v>
      </c>
      <c r="I1" s="483" t="str">
        <f>IF(ROW($I1)=1,"收款金额（自动）",SUMIF(C:C,$D1,H:H))</f>
        <v>收款金额（自动）</v>
      </c>
      <c r="J1" s="508" t="str">
        <f>IF(ROW($J1)=1,"收款比例",IF(SUMIF(D:D,$C1,I:I)=0,"",$H1/SUMIF(D:D,$C1,I:I)))</f>
        <v>收款比例</v>
      </c>
      <c r="K1" s="484" t="s">
        <v>257</v>
      </c>
      <c r="L1" s="486" t="s">
        <v>5</v>
      </c>
      <c r="M1" s="476" t="s">
        <v>302</v>
      </c>
      <c r="N1" s="485" t="s">
        <v>7</v>
      </c>
      <c r="O1" s="484" t="s">
        <v>229</v>
      </c>
      <c r="P1" s="485" t="s">
        <v>8</v>
      </c>
      <c r="Q1" s="485" t="s">
        <v>9</v>
      </c>
      <c r="R1" s="484" t="s">
        <v>258</v>
      </c>
      <c r="S1" s="484" t="s">
        <v>259</v>
      </c>
      <c r="T1" s="484" t="s">
        <v>260</v>
      </c>
      <c r="U1" s="484" t="s">
        <v>261</v>
      </c>
      <c r="V1" s="487" t="s">
        <v>304</v>
      </c>
      <c r="W1" s="484" t="s">
        <v>262</v>
      </c>
      <c r="X1" s="484" t="s">
        <v>263</v>
      </c>
      <c r="Y1" s="477" t="s">
        <v>11</v>
      </c>
      <c r="Z1" s="476" t="s">
        <v>10</v>
      </c>
      <c r="AA1" s="506" t="s">
        <v>12</v>
      </c>
      <c r="AB1" s="503" t="s">
        <v>139</v>
      </c>
    </row>
  </sheetData>
  <sheetProtection algorithmName="SHA-512" hashValue="Js+IyfH+c8fKCfB9lE7ds2ks9zlEFVEkSCNphZksgktNLo/MJoqBhDVr7qnOrpmCXGoo3/JPoSzeZOwIIldEHA==" saltValue="BiMoT4uNGAEDUCSvvpXrfA==" spinCount="100000" sheet="1" objects="1" scenarios="1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A7F8-5A23-49D1-96AC-315C19543CF6}">
  <dimension ref="A1:G6"/>
  <sheetViews>
    <sheetView workbookViewId="0">
      <selection activeCell="G28" sqref="G28"/>
    </sheetView>
  </sheetViews>
  <sheetFormatPr defaultRowHeight="15"/>
  <cols>
    <col min="4" max="4" width="21.5703125" style="481" bestFit="1" customWidth="1"/>
    <col min="7" max="7" width="27.42578125" customWidth="1"/>
  </cols>
  <sheetData>
    <row r="1" spans="1:7" s="318" customFormat="1" ht="25.5">
      <c r="A1" s="317" t="s">
        <v>358</v>
      </c>
      <c r="B1" s="396" t="s">
        <v>3</v>
      </c>
      <c r="C1" s="408" t="s">
        <v>228</v>
      </c>
      <c r="D1" s="488" t="s">
        <v>254</v>
      </c>
      <c r="E1" s="411" t="s">
        <v>255</v>
      </c>
      <c r="F1" s="402" t="s">
        <v>302</v>
      </c>
      <c r="G1" s="316" t="s">
        <v>10</v>
      </c>
    </row>
    <row r="2" spans="1:7">
      <c r="A2" s="472" t="s">
        <v>349</v>
      </c>
      <c r="B2" s="466"/>
      <c r="C2" s="350"/>
      <c r="D2" s="507">
        <v>43209</v>
      </c>
      <c r="E2" s="465">
        <v>5419.55</v>
      </c>
      <c r="F2" s="468" t="s">
        <v>300</v>
      </c>
      <c r="G2" s="466" t="s">
        <v>329</v>
      </c>
    </row>
    <row r="3" spans="1:7">
      <c r="A3" s="472" t="s">
        <v>349</v>
      </c>
      <c r="B3" s="466"/>
      <c r="C3" s="350"/>
      <c r="D3" s="507">
        <v>43237</v>
      </c>
      <c r="E3" s="465">
        <v>13079.5</v>
      </c>
      <c r="F3" s="468" t="s">
        <v>300</v>
      </c>
      <c r="G3" s="466" t="s">
        <v>329</v>
      </c>
    </row>
    <row r="4" spans="1:7">
      <c r="A4" s="472" t="s">
        <v>349</v>
      </c>
      <c r="B4" s="466"/>
      <c r="C4" s="350"/>
      <c r="D4" s="507">
        <v>43250</v>
      </c>
      <c r="E4" s="465">
        <v>14336.82</v>
      </c>
      <c r="F4" s="468" t="s">
        <v>300</v>
      </c>
      <c r="G4" s="466" t="s">
        <v>329</v>
      </c>
    </row>
    <row r="5" spans="1:7">
      <c r="A5" s="472" t="s">
        <v>349</v>
      </c>
      <c r="B5" s="466"/>
      <c r="C5" s="350"/>
      <c r="D5" s="507">
        <v>43272</v>
      </c>
      <c r="E5" s="465">
        <v>10456.6</v>
      </c>
      <c r="F5" s="468" t="s">
        <v>300</v>
      </c>
      <c r="G5" s="466" t="s">
        <v>329</v>
      </c>
    </row>
    <row r="6" spans="1:7">
      <c r="A6" s="472" t="s">
        <v>349</v>
      </c>
      <c r="B6" s="465">
        <v>54651.45</v>
      </c>
      <c r="C6" s="350">
        <f>E7</f>
        <v>0</v>
      </c>
      <c r="D6" s="507">
        <v>43279</v>
      </c>
      <c r="E6" s="465">
        <v>11286.98</v>
      </c>
      <c r="F6" s="468" t="s">
        <v>300</v>
      </c>
      <c r="G6" s="466" t="s">
        <v>329</v>
      </c>
    </row>
  </sheetData>
  <sheetProtection algorithmName="SHA-512" hashValue="eLUvRJwV3mqmDJOH3UKivXs5UaI9LNJ+fNAckKTwJi864AK2c8RR7VnD2DRdSMwL2p05aH99X2xXLFj2X4znDw==" saltValue="+M+29SbWftrJW5XkNqcEqQ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10A2-99C9-49C6-8D57-E82F2BE403C0}">
  <dimension ref="A1:M6"/>
  <sheetViews>
    <sheetView workbookViewId="0">
      <selection activeCell="E30" sqref="E30"/>
    </sheetView>
  </sheetViews>
  <sheetFormatPr defaultRowHeight="15"/>
  <cols>
    <col min="1" max="1" width="16" style="481" bestFit="1" customWidth="1"/>
    <col min="2" max="2" width="17.42578125" style="481" bestFit="1" customWidth="1"/>
    <col min="4" max="4" width="9.5703125" style="493" bestFit="1" customWidth="1"/>
    <col min="6" max="6" width="9.140625" style="496"/>
    <col min="7" max="7" width="9.7109375" style="499" bestFit="1" customWidth="1"/>
    <col min="8" max="8" width="9.140625" style="493"/>
    <col min="9" max="10" width="9.140625" style="475"/>
    <col min="11" max="12" width="9.140625" style="505"/>
  </cols>
  <sheetData>
    <row r="1" spans="1:13" ht="25.5">
      <c r="A1" s="479" t="s">
        <v>227</v>
      </c>
      <c r="B1" s="480" t="s">
        <v>1</v>
      </c>
      <c r="C1" s="317" t="s">
        <v>358</v>
      </c>
      <c r="D1" s="491" t="s">
        <v>5</v>
      </c>
      <c r="E1" s="402" t="s">
        <v>302</v>
      </c>
      <c r="F1" s="494" t="s">
        <v>7</v>
      </c>
      <c r="G1" s="497" t="s">
        <v>8</v>
      </c>
      <c r="H1" s="500" t="s">
        <v>9</v>
      </c>
      <c r="I1" s="477" t="s">
        <v>11</v>
      </c>
      <c r="J1" s="476" t="s">
        <v>10</v>
      </c>
      <c r="K1" s="506" t="s">
        <v>12</v>
      </c>
      <c r="L1" s="503" t="s">
        <v>139</v>
      </c>
    </row>
    <row r="2" spans="1:13">
      <c r="A2" s="489">
        <v>43252</v>
      </c>
      <c r="B2" s="490">
        <v>43191</v>
      </c>
      <c r="C2" s="473" t="s">
        <v>349</v>
      </c>
      <c r="D2" s="492">
        <v>262942.3</v>
      </c>
      <c r="E2" s="404"/>
      <c r="F2" s="495">
        <v>4990</v>
      </c>
      <c r="G2" s="498">
        <v>10530</v>
      </c>
      <c r="H2" s="501"/>
      <c r="I2" s="502" t="s">
        <v>18</v>
      </c>
      <c r="J2" s="502" t="s">
        <v>318</v>
      </c>
      <c r="K2" s="504">
        <v>0.1</v>
      </c>
      <c r="L2" s="504">
        <v>0.25</v>
      </c>
    </row>
    <row r="6" spans="1:13">
      <c r="M6" s="475"/>
    </row>
  </sheetData>
  <sheetProtection algorithmName="SHA-512" hashValue="pwE3Wa8AyK3EBATbbx1rZ90lPYwqSdT5dcOvC8CzrxJ/06Mil7R3+iARejqCG7hE7I1OYBBBoKsLD/saq+88Fg==" saltValue="X/99zxuYZY8BakBOKWVEvg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9"/>
  <sheetViews>
    <sheetView workbookViewId="0">
      <pane ySplit="2" topLeftCell="A3" activePane="bottomLeft" state="frozen"/>
      <selection pane="bottomLeft" activeCell="B8" sqref="B8"/>
    </sheetView>
  </sheetViews>
  <sheetFormatPr defaultColWidth="9" defaultRowHeight="15"/>
  <cols>
    <col min="1" max="1" width="9" style="223"/>
    <col min="2" max="2" width="10.7109375" style="225" customWidth="1"/>
    <col min="3" max="5" width="11.28515625" style="223" customWidth="1"/>
    <col min="6" max="6" width="16.5703125" style="224" customWidth="1"/>
    <col min="7" max="16384" width="9" style="223"/>
  </cols>
  <sheetData>
    <row r="1" spans="1:6">
      <c r="A1" s="227"/>
      <c r="B1" s="227"/>
      <c r="C1" s="583" t="s">
        <v>182</v>
      </c>
      <c r="D1" s="583"/>
      <c r="E1" s="583"/>
      <c r="F1" s="583"/>
    </row>
    <row r="2" spans="1:6">
      <c r="A2" s="227"/>
      <c r="B2" s="227"/>
      <c r="C2" s="228" t="s">
        <v>181</v>
      </c>
      <c r="D2" s="228" t="s">
        <v>180</v>
      </c>
      <c r="E2" s="228" t="s">
        <v>179</v>
      </c>
      <c r="F2" s="229" t="s">
        <v>178</v>
      </c>
    </row>
    <row r="3" spans="1:6">
      <c r="A3" s="293" t="s">
        <v>321</v>
      </c>
      <c r="B3" s="203">
        <v>20171127</v>
      </c>
      <c r="C3" s="447">
        <v>658.31</v>
      </c>
      <c r="D3" s="447">
        <v>658.81</v>
      </c>
      <c r="E3" s="447">
        <v>658.71</v>
      </c>
      <c r="F3" s="447">
        <f t="shared" ref="F3:F11" si="0">ROUND(AVERAGE(C3:E3)/100,2)</f>
        <v>6.59</v>
      </c>
    </row>
    <row r="4" spans="1:6">
      <c r="A4" s="293" t="s">
        <v>201</v>
      </c>
      <c r="B4" s="226">
        <v>20180106</v>
      </c>
      <c r="C4" s="447">
        <v>647.63</v>
      </c>
      <c r="D4" s="447">
        <v>647.63</v>
      </c>
      <c r="E4" s="447">
        <v>647.63</v>
      </c>
      <c r="F4" s="447">
        <f t="shared" si="0"/>
        <v>6.48</v>
      </c>
    </row>
    <row r="5" spans="1:6">
      <c r="A5" s="293" t="s">
        <v>201</v>
      </c>
      <c r="B5" s="226">
        <v>20180117</v>
      </c>
      <c r="C5" s="447">
        <v>642.64</v>
      </c>
      <c r="D5" s="447">
        <v>641.94000000000005</v>
      </c>
      <c r="E5" s="447">
        <v>642.19000000000005</v>
      </c>
      <c r="F5" s="447">
        <f t="shared" si="0"/>
        <v>6.42</v>
      </c>
    </row>
    <row r="6" spans="1:6">
      <c r="A6" s="293" t="s">
        <v>201</v>
      </c>
      <c r="B6" s="226">
        <v>20180126</v>
      </c>
      <c r="C6" s="447">
        <v>631.86</v>
      </c>
      <c r="D6" s="447">
        <v>631.61</v>
      </c>
      <c r="E6" s="447">
        <v>631.05999999999995</v>
      </c>
      <c r="F6" s="447">
        <f t="shared" si="0"/>
        <v>6.32</v>
      </c>
    </row>
    <row r="7" spans="1:6">
      <c r="A7" s="293" t="s">
        <v>201</v>
      </c>
      <c r="B7" s="226">
        <v>20180131</v>
      </c>
      <c r="C7" s="447">
        <v>631.36</v>
      </c>
      <c r="D7" s="447">
        <v>631.36</v>
      </c>
      <c r="E7" s="447">
        <v>628.16999999999996</v>
      </c>
      <c r="F7" s="447">
        <f t="shared" si="0"/>
        <v>6.3</v>
      </c>
    </row>
    <row r="8" spans="1:6">
      <c r="A8" s="293" t="s">
        <v>321</v>
      </c>
      <c r="B8" s="203">
        <v>20180206</v>
      </c>
      <c r="C8" s="447">
        <v>628.57000000000005</v>
      </c>
      <c r="D8" s="447">
        <v>628.32000000000005</v>
      </c>
      <c r="E8" s="447">
        <v>626.47</v>
      </c>
      <c r="F8" s="447">
        <f t="shared" si="0"/>
        <v>6.28</v>
      </c>
    </row>
    <row r="9" spans="1:6">
      <c r="A9" s="293" t="s">
        <v>201</v>
      </c>
      <c r="B9" s="226">
        <v>20180208</v>
      </c>
      <c r="C9" s="447">
        <v>629.07000000000005</v>
      </c>
      <c r="D9" s="447">
        <v>630.55999999999995</v>
      </c>
      <c r="E9" s="447">
        <v>630.86</v>
      </c>
      <c r="F9" s="447">
        <f t="shared" si="0"/>
        <v>6.3</v>
      </c>
    </row>
    <row r="10" spans="1:6">
      <c r="A10" s="293" t="s">
        <v>201</v>
      </c>
      <c r="B10" s="226">
        <v>20180212</v>
      </c>
      <c r="C10" s="447">
        <v>628.77</v>
      </c>
      <c r="D10" s="447">
        <v>629.32000000000005</v>
      </c>
      <c r="E10" s="447">
        <v>631.76</v>
      </c>
      <c r="F10" s="447">
        <f t="shared" si="0"/>
        <v>6.3</v>
      </c>
    </row>
    <row r="11" spans="1:6">
      <c r="A11" s="293" t="s">
        <v>201</v>
      </c>
      <c r="B11" s="226">
        <v>20180225</v>
      </c>
      <c r="C11" s="447">
        <v>632.21</v>
      </c>
      <c r="D11" s="447">
        <v>632.21</v>
      </c>
      <c r="E11" s="447">
        <v>632.21</v>
      </c>
      <c r="F11" s="447">
        <f t="shared" si="0"/>
        <v>6.32</v>
      </c>
    </row>
    <row r="12" spans="1:6">
      <c r="A12" s="293" t="s">
        <v>321</v>
      </c>
      <c r="B12" s="203">
        <v>20180307</v>
      </c>
      <c r="C12" s="447">
        <v>631.01</v>
      </c>
      <c r="D12" s="447">
        <v>631.42999999999995</v>
      </c>
      <c r="E12" s="447">
        <v>631.11</v>
      </c>
      <c r="F12" s="447">
        <f t="shared" ref="F12:F13" si="1">ROUND(AVERAGE(C12:E12)/100,2)</f>
        <v>6.31</v>
      </c>
    </row>
    <row r="13" spans="1:6">
      <c r="A13" s="293" t="s">
        <v>321</v>
      </c>
      <c r="B13" s="203">
        <v>20180308</v>
      </c>
      <c r="C13" s="447">
        <v>631.21</v>
      </c>
      <c r="D13" s="447">
        <v>631.30999999999995</v>
      </c>
      <c r="E13" s="447">
        <v>632.11</v>
      </c>
      <c r="F13" s="447">
        <f t="shared" si="1"/>
        <v>6.32</v>
      </c>
    </row>
    <row r="14" spans="1:6">
      <c r="A14" s="293" t="s">
        <v>201</v>
      </c>
      <c r="B14" s="226">
        <v>20180309</v>
      </c>
      <c r="C14" s="447">
        <v>633.01</v>
      </c>
      <c r="D14" s="447">
        <v>633.05999999999995</v>
      </c>
      <c r="E14" s="447">
        <v>632.51</v>
      </c>
      <c r="F14" s="447">
        <f>ROUND(AVERAGE(C14:E14)/100,2)</f>
        <v>6.33</v>
      </c>
    </row>
    <row r="15" spans="1:6">
      <c r="A15" s="293" t="s">
        <v>321</v>
      </c>
      <c r="B15" s="203">
        <v>20180314</v>
      </c>
      <c r="C15" s="447">
        <v>631.36</v>
      </c>
      <c r="D15" s="447">
        <v>630.36</v>
      </c>
      <c r="E15" s="447">
        <v>630.30999999999995</v>
      </c>
      <c r="F15" s="447">
        <f t="shared" ref="F15:F16" si="2">ROUND(AVERAGE(C15:E15)/100,2)</f>
        <v>6.31</v>
      </c>
    </row>
    <row r="16" spans="1:6">
      <c r="A16" s="293" t="s">
        <v>321</v>
      </c>
      <c r="B16" s="203">
        <v>20180320</v>
      </c>
      <c r="C16" s="447">
        <v>631.41</v>
      </c>
      <c r="D16" s="447">
        <v>631.38</v>
      </c>
      <c r="E16" s="447">
        <v>631.61</v>
      </c>
      <c r="F16" s="447">
        <f t="shared" si="2"/>
        <v>6.31</v>
      </c>
    </row>
    <row r="17" spans="1:6">
      <c r="A17" s="293" t="s">
        <v>201</v>
      </c>
      <c r="B17" s="226">
        <v>20180323</v>
      </c>
      <c r="C17" s="447">
        <v>632.21</v>
      </c>
      <c r="D17" s="447">
        <v>631.94000000000005</v>
      </c>
      <c r="E17" s="447">
        <v>630.96</v>
      </c>
      <c r="F17" s="447">
        <f>ROUND(AVERAGE(C17:E17)/100,2)</f>
        <v>6.32</v>
      </c>
    </row>
    <row r="18" spans="1:6">
      <c r="A18" s="293" t="s">
        <v>321</v>
      </c>
      <c r="B18" s="203">
        <v>20180328</v>
      </c>
      <c r="C18" s="447">
        <v>626.82000000000005</v>
      </c>
      <c r="D18" s="447">
        <v>626.53</v>
      </c>
      <c r="E18" s="447">
        <v>627.79999999999995</v>
      </c>
      <c r="F18" s="447">
        <f t="shared" ref="F18:F19" si="3">ROUND(AVERAGE(C18:E18)/100,2)</f>
        <v>6.27</v>
      </c>
    </row>
    <row r="19" spans="1:6">
      <c r="A19" s="293" t="s">
        <v>321</v>
      </c>
      <c r="B19" s="203">
        <v>20180402</v>
      </c>
      <c r="C19" s="447">
        <v>626.22</v>
      </c>
      <c r="D19" s="447">
        <v>626.77</v>
      </c>
      <c r="E19" s="447">
        <v>627.02</v>
      </c>
      <c r="F19" s="447">
        <f t="shared" si="3"/>
        <v>6.27</v>
      </c>
    </row>
    <row r="20" spans="1:6">
      <c r="A20" s="293" t="s">
        <v>201</v>
      </c>
      <c r="B20" s="226">
        <v>20180403</v>
      </c>
      <c r="C20" s="447">
        <v>627.22</v>
      </c>
      <c r="D20" s="447">
        <v>627.62</v>
      </c>
      <c r="E20" s="447">
        <v>627.12</v>
      </c>
      <c r="F20" s="447">
        <f t="shared" ref="F20:F27" si="4">ROUND(AVERAGE(C20:E20)/100,2)</f>
        <v>6.27</v>
      </c>
    </row>
    <row r="21" spans="1:6">
      <c r="A21" s="293" t="s">
        <v>321</v>
      </c>
      <c r="B21" s="203">
        <v>20180410</v>
      </c>
      <c r="C21" s="447">
        <v>629.51</v>
      </c>
      <c r="D21" s="447">
        <v>628.41999999999996</v>
      </c>
      <c r="E21" s="447">
        <v>627.91999999999996</v>
      </c>
      <c r="F21" s="447">
        <f t="shared" si="4"/>
        <v>6.29</v>
      </c>
    </row>
    <row r="22" spans="1:6">
      <c r="A22" s="293" t="s">
        <v>201</v>
      </c>
      <c r="B22" s="226">
        <v>20180411</v>
      </c>
      <c r="C22" s="447">
        <v>627.02</v>
      </c>
      <c r="D22" s="447">
        <v>627.07000000000005</v>
      </c>
      <c r="E22" s="447">
        <v>627.22</v>
      </c>
      <c r="F22" s="447">
        <f t="shared" si="4"/>
        <v>6.27</v>
      </c>
    </row>
    <row r="23" spans="1:6">
      <c r="A23" s="293" t="s">
        <v>201</v>
      </c>
      <c r="B23" s="226">
        <v>20180412</v>
      </c>
      <c r="C23" s="447">
        <v>626.32000000000005</v>
      </c>
      <c r="D23" s="447">
        <v>626.37</v>
      </c>
      <c r="E23" s="447">
        <v>627.27</v>
      </c>
      <c r="F23" s="447">
        <f t="shared" si="4"/>
        <v>6.27</v>
      </c>
    </row>
    <row r="24" spans="1:6">
      <c r="A24" s="293" t="s">
        <v>201</v>
      </c>
      <c r="B24" s="226">
        <v>20180413</v>
      </c>
      <c r="C24" s="447">
        <v>627.32000000000005</v>
      </c>
      <c r="D24" s="447">
        <v>627.78</v>
      </c>
      <c r="E24" s="447">
        <v>626.72</v>
      </c>
      <c r="F24" s="447">
        <f t="shared" si="4"/>
        <v>6.27</v>
      </c>
    </row>
    <row r="25" spans="1:6">
      <c r="A25" s="293" t="s">
        <v>321</v>
      </c>
      <c r="B25" s="203">
        <v>20180416</v>
      </c>
      <c r="C25" s="447">
        <v>626.82000000000005</v>
      </c>
      <c r="D25" s="447">
        <v>626.91999999999996</v>
      </c>
      <c r="E25" s="447">
        <v>626.82000000000005</v>
      </c>
      <c r="F25" s="447">
        <f t="shared" ref="F25" si="5">ROUND(AVERAGE(C25:E25)/100,2)</f>
        <v>6.27</v>
      </c>
    </row>
    <row r="26" spans="1:6">
      <c r="A26" s="293" t="s">
        <v>321</v>
      </c>
      <c r="B26" s="203">
        <v>20180418</v>
      </c>
      <c r="C26" s="447">
        <v>627.41999999999996</v>
      </c>
      <c r="D26" s="447">
        <v>627.47</v>
      </c>
      <c r="E26" s="447">
        <v>627.47</v>
      </c>
      <c r="F26" s="447">
        <f t="shared" si="4"/>
        <v>6.27</v>
      </c>
    </row>
    <row r="27" spans="1:6">
      <c r="A27" s="293" t="s">
        <v>201</v>
      </c>
      <c r="B27" s="226">
        <v>20180419</v>
      </c>
      <c r="C27" s="447">
        <v>626.27</v>
      </c>
      <c r="D27" s="447">
        <v>625.57000000000005</v>
      </c>
      <c r="E27" s="447">
        <v>626.62</v>
      </c>
      <c r="F27" s="447">
        <f t="shared" si="4"/>
        <v>6.26</v>
      </c>
    </row>
    <row r="28" spans="1:6">
      <c r="A28" s="293" t="s">
        <v>321</v>
      </c>
      <c r="B28" s="203">
        <v>20180420</v>
      </c>
      <c r="C28" s="447">
        <v>627.02</v>
      </c>
      <c r="D28" s="447">
        <v>627.32000000000005</v>
      </c>
      <c r="E28" s="447">
        <v>627.87</v>
      </c>
      <c r="F28" s="447">
        <f t="shared" ref="F28:F29" si="6">ROUND(AVERAGE(C28:E28)/100,2)</f>
        <v>6.27</v>
      </c>
    </row>
    <row r="29" spans="1:6">
      <c r="A29" s="293" t="s">
        <v>321</v>
      </c>
      <c r="B29" s="203">
        <v>20180424</v>
      </c>
      <c r="C29" s="447">
        <v>630.41</v>
      </c>
      <c r="D29" s="447">
        <v>629.94000000000005</v>
      </c>
      <c r="E29" s="447">
        <v>629.21</v>
      </c>
      <c r="F29" s="447">
        <f t="shared" si="6"/>
        <v>6.3</v>
      </c>
    </row>
    <row r="30" spans="1:6">
      <c r="A30" s="293" t="s">
        <v>201</v>
      </c>
      <c r="B30" s="226">
        <v>20180425</v>
      </c>
      <c r="C30" s="447">
        <v>629.21</v>
      </c>
      <c r="D30" s="447">
        <v>629.02</v>
      </c>
      <c r="E30" s="447">
        <v>630.61</v>
      </c>
      <c r="F30" s="447">
        <f>ROUND(AVERAGE(C30:E30)/100,2)</f>
        <v>6.3</v>
      </c>
    </row>
    <row r="31" spans="1:6">
      <c r="A31" s="293" t="s">
        <v>201</v>
      </c>
      <c r="B31" s="226">
        <v>20180428</v>
      </c>
      <c r="C31" s="447">
        <v>631.61</v>
      </c>
      <c r="D31" s="447">
        <v>631.51</v>
      </c>
      <c r="E31" s="447">
        <v>631.80999999999995</v>
      </c>
      <c r="F31" s="447">
        <f>ROUND(AVERAGE(C31:E31)/100,2)</f>
        <v>6.32</v>
      </c>
    </row>
    <row r="32" spans="1:6">
      <c r="A32" s="293" t="s">
        <v>321</v>
      </c>
      <c r="B32" s="203">
        <v>20180429</v>
      </c>
      <c r="C32" s="447">
        <v>631.80999999999995</v>
      </c>
      <c r="D32" s="447">
        <v>631.80999999999995</v>
      </c>
      <c r="E32" s="447">
        <v>631.80999999999995</v>
      </c>
      <c r="F32" s="447">
        <f t="shared" ref="F32:F59" si="7">ROUND(AVERAGE(C32:E32)/100,2)</f>
        <v>6.32</v>
      </c>
    </row>
    <row r="33" spans="1:6">
      <c r="A33" s="293" t="s">
        <v>321</v>
      </c>
      <c r="B33" s="203">
        <v>20180505</v>
      </c>
      <c r="C33" s="447">
        <v>634.79999999999995</v>
      </c>
      <c r="D33" s="447">
        <v>634.79999999999995</v>
      </c>
      <c r="E33" s="447">
        <v>634.79999999999995</v>
      </c>
      <c r="F33" s="447">
        <f t="shared" si="7"/>
        <v>6.35</v>
      </c>
    </row>
    <row r="34" spans="1:6">
      <c r="A34" s="293" t="s">
        <v>321</v>
      </c>
      <c r="B34" s="203">
        <v>20180507</v>
      </c>
      <c r="C34" s="447">
        <v>634.5</v>
      </c>
      <c r="D34" s="447">
        <v>634.14</v>
      </c>
      <c r="E34" s="447">
        <v>635.15</v>
      </c>
      <c r="F34" s="447">
        <f t="shared" si="7"/>
        <v>6.35</v>
      </c>
    </row>
    <row r="35" spans="1:6">
      <c r="A35" s="293" t="s">
        <v>321</v>
      </c>
      <c r="B35" s="203">
        <v>20180511</v>
      </c>
      <c r="C35" s="447">
        <v>632.80999999999995</v>
      </c>
      <c r="D35" s="447">
        <v>633.30999999999995</v>
      </c>
      <c r="E35" s="447">
        <v>632.01</v>
      </c>
      <c r="F35" s="447">
        <f t="shared" si="7"/>
        <v>6.33</v>
      </c>
    </row>
    <row r="36" spans="1:6">
      <c r="A36" s="293" t="s">
        <v>321</v>
      </c>
      <c r="B36" s="203">
        <v>20180515</v>
      </c>
      <c r="C36" s="447">
        <v>633.01</v>
      </c>
      <c r="D36" s="447">
        <v>633.30999999999995</v>
      </c>
      <c r="E36" s="447">
        <v>634.30999999999995</v>
      </c>
      <c r="F36" s="447">
        <f t="shared" si="7"/>
        <v>6.34</v>
      </c>
    </row>
    <row r="37" spans="1:6">
      <c r="A37" s="293" t="s">
        <v>321</v>
      </c>
      <c r="B37" s="203">
        <v>20180516</v>
      </c>
      <c r="C37" s="447">
        <v>636.1</v>
      </c>
      <c r="D37" s="447">
        <v>635.5</v>
      </c>
      <c r="E37" s="447">
        <v>635.65</v>
      </c>
      <c r="F37" s="447">
        <f t="shared" si="7"/>
        <v>6.36</v>
      </c>
    </row>
    <row r="38" spans="1:6">
      <c r="A38" s="293" t="s">
        <v>321</v>
      </c>
      <c r="B38" s="203">
        <v>20180517</v>
      </c>
      <c r="C38" s="447">
        <v>635.70000000000005</v>
      </c>
      <c r="D38" s="447">
        <v>634.65</v>
      </c>
      <c r="E38" s="447">
        <v>635.4</v>
      </c>
      <c r="F38" s="447">
        <f t="shared" si="7"/>
        <v>6.35</v>
      </c>
    </row>
    <row r="39" spans="1:6">
      <c r="A39" s="293" t="s">
        <v>321</v>
      </c>
      <c r="B39" s="203">
        <v>20180523</v>
      </c>
      <c r="C39" s="447">
        <v>635.29999999999995</v>
      </c>
      <c r="D39" s="447">
        <v>636.15</v>
      </c>
      <c r="E39" s="447">
        <v>637.15</v>
      </c>
      <c r="F39" s="447">
        <f t="shared" si="7"/>
        <v>6.36</v>
      </c>
    </row>
    <row r="40" spans="1:6">
      <c r="A40" s="293" t="s">
        <v>321</v>
      </c>
      <c r="B40" s="203">
        <v>20180529</v>
      </c>
      <c r="C40" s="447">
        <v>638.79999999999995</v>
      </c>
      <c r="D40" s="447">
        <v>639.94000000000005</v>
      </c>
      <c r="E40" s="447">
        <v>640.69000000000005</v>
      </c>
      <c r="F40" s="447">
        <f t="shared" si="7"/>
        <v>6.4</v>
      </c>
    </row>
    <row r="41" spans="1:6">
      <c r="A41" s="293" t="s">
        <v>321</v>
      </c>
      <c r="B41" s="203">
        <v>20180530</v>
      </c>
      <c r="C41" s="447">
        <v>640.79</v>
      </c>
      <c r="D41" s="447">
        <v>641.44000000000005</v>
      </c>
      <c r="E41" s="447">
        <v>640.78</v>
      </c>
      <c r="F41" s="447">
        <f t="shared" si="7"/>
        <v>6.41</v>
      </c>
    </row>
    <row r="42" spans="1:6">
      <c r="A42" s="293" t="s">
        <v>339</v>
      </c>
      <c r="B42" s="444">
        <v>43188</v>
      </c>
      <c r="C42" s="447">
        <v>628.62</v>
      </c>
      <c r="D42" s="447">
        <v>628.07000000000005</v>
      </c>
      <c r="E42" s="447">
        <v>627.62</v>
      </c>
      <c r="F42" s="447">
        <f t="shared" si="7"/>
        <v>6.28</v>
      </c>
    </row>
    <row r="43" spans="1:6">
      <c r="A43" s="293" t="s">
        <v>339</v>
      </c>
      <c r="B43" s="444">
        <v>43202</v>
      </c>
      <c r="C43" s="447">
        <v>626.32000000000005</v>
      </c>
      <c r="D43" s="447">
        <v>626.37</v>
      </c>
      <c r="E43" s="447">
        <v>627.37</v>
      </c>
      <c r="F43" s="447">
        <f t="shared" si="7"/>
        <v>6.27</v>
      </c>
    </row>
    <row r="44" spans="1:6">
      <c r="A44" s="293" t="s">
        <v>339</v>
      </c>
      <c r="B44" s="444">
        <v>43203</v>
      </c>
      <c r="C44" s="447">
        <v>627.32000000000005</v>
      </c>
      <c r="D44" s="447">
        <v>627.78</v>
      </c>
      <c r="E44" s="447">
        <v>626.72</v>
      </c>
      <c r="F44" s="447">
        <f t="shared" si="7"/>
        <v>6.27</v>
      </c>
    </row>
    <row r="45" spans="1:6">
      <c r="A45" s="293" t="s">
        <v>339</v>
      </c>
      <c r="B45" s="444">
        <v>43208</v>
      </c>
      <c r="C45" s="447">
        <v>627.41999999999996</v>
      </c>
      <c r="D45" s="447">
        <v>627.47</v>
      </c>
      <c r="E45" s="447">
        <v>627.47</v>
      </c>
      <c r="F45" s="447">
        <f t="shared" si="7"/>
        <v>6.27</v>
      </c>
    </row>
    <row r="46" spans="1:6">
      <c r="A46" s="293" t="s">
        <v>339</v>
      </c>
      <c r="B46" s="444">
        <v>43209</v>
      </c>
      <c r="C46" s="447">
        <v>626.47</v>
      </c>
      <c r="D46" s="447">
        <v>625.52</v>
      </c>
      <c r="E46" s="447">
        <v>626.52</v>
      </c>
      <c r="F46" s="447">
        <f t="shared" si="7"/>
        <v>6.26</v>
      </c>
    </row>
    <row r="47" spans="1:6">
      <c r="A47" s="293" t="s">
        <v>339</v>
      </c>
      <c r="B47" s="444">
        <v>43218</v>
      </c>
      <c r="C47" s="447">
        <v>631.61</v>
      </c>
      <c r="D47" s="447"/>
      <c r="E47" s="447">
        <v>631.80999999999995</v>
      </c>
      <c r="F47" s="447">
        <f t="shared" si="7"/>
        <v>6.32</v>
      </c>
    </row>
    <row r="48" spans="1:6">
      <c r="A48" s="293" t="s">
        <v>339</v>
      </c>
      <c r="B48" s="444">
        <v>43226</v>
      </c>
      <c r="C48" s="447">
        <v>634.79999999999995</v>
      </c>
      <c r="D48" s="447"/>
      <c r="E48" s="447"/>
      <c r="F48" s="447">
        <f t="shared" si="7"/>
        <v>6.35</v>
      </c>
    </row>
    <row r="49" spans="1:6">
      <c r="A49" s="293" t="s">
        <v>339</v>
      </c>
      <c r="B49" s="444">
        <v>43237</v>
      </c>
      <c r="C49" s="447">
        <v>635.70000000000005</v>
      </c>
      <c r="D49" s="447">
        <v>634.65</v>
      </c>
      <c r="E49" s="447">
        <v>635.4</v>
      </c>
      <c r="F49" s="447">
        <f t="shared" si="7"/>
        <v>6.35</v>
      </c>
    </row>
    <row r="50" spans="1:6">
      <c r="A50" s="293" t="s">
        <v>339</v>
      </c>
      <c r="B50" s="444">
        <v>43242</v>
      </c>
      <c r="C50" s="447">
        <v>635.79999999999995</v>
      </c>
      <c r="D50" s="447">
        <v>636.25</v>
      </c>
      <c r="E50" s="447">
        <v>635.78</v>
      </c>
      <c r="F50" s="447">
        <f t="shared" si="7"/>
        <v>6.36</v>
      </c>
    </row>
    <row r="51" spans="1:6">
      <c r="A51" s="293" t="s">
        <v>339</v>
      </c>
      <c r="B51" s="444">
        <v>43250</v>
      </c>
      <c r="C51" s="447">
        <v>640.79</v>
      </c>
      <c r="D51" s="447">
        <v>641.44000000000005</v>
      </c>
      <c r="E51" s="447">
        <v>641.24</v>
      </c>
      <c r="F51" s="447">
        <f t="shared" si="7"/>
        <v>6.41</v>
      </c>
    </row>
    <row r="52" spans="1:6">
      <c r="A52" s="293" t="s">
        <v>339</v>
      </c>
      <c r="B52" s="444">
        <v>43252</v>
      </c>
      <c r="C52" s="447">
        <v>639.99</v>
      </c>
      <c r="D52" s="447">
        <v>640.30999999999995</v>
      </c>
      <c r="E52" s="447">
        <v>640.34</v>
      </c>
      <c r="F52" s="447">
        <f t="shared" si="7"/>
        <v>6.4</v>
      </c>
    </row>
    <row r="53" spans="1:6">
      <c r="A53" s="293" t="s">
        <v>339</v>
      </c>
      <c r="B53" s="444">
        <v>43257</v>
      </c>
      <c r="C53" s="447">
        <v>639.29999999999995</v>
      </c>
      <c r="D53" s="447">
        <v>638.25</v>
      </c>
      <c r="E53" s="447">
        <v>638.29999999999995</v>
      </c>
      <c r="F53" s="447">
        <f t="shared" si="7"/>
        <v>6.39</v>
      </c>
    </row>
    <row r="54" spans="1:6">
      <c r="A54" s="293" t="s">
        <v>339</v>
      </c>
      <c r="B54" s="444">
        <v>43258</v>
      </c>
      <c r="C54" s="447">
        <v>637.6</v>
      </c>
      <c r="D54" s="447">
        <v>637.9</v>
      </c>
      <c r="E54" s="447">
        <v>638.1</v>
      </c>
      <c r="F54" s="447">
        <f t="shared" si="7"/>
        <v>6.38</v>
      </c>
    </row>
    <row r="55" spans="1:6">
      <c r="A55" s="293" t="s">
        <v>339</v>
      </c>
      <c r="B55" s="444">
        <v>43259</v>
      </c>
      <c r="C55" s="447">
        <v>638.4</v>
      </c>
      <c r="D55" s="447">
        <v>639.12</v>
      </c>
      <c r="E55" s="447">
        <v>639.79</v>
      </c>
      <c r="F55" s="447">
        <f t="shared" si="7"/>
        <v>6.39</v>
      </c>
    </row>
    <row r="56" spans="1:6">
      <c r="A56" s="293" t="s">
        <v>339</v>
      </c>
      <c r="B56" s="444">
        <v>43272</v>
      </c>
      <c r="C56" s="447">
        <v>646.08000000000004</v>
      </c>
      <c r="D56" s="447">
        <v>647.83000000000004</v>
      </c>
      <c r="E56" s="447">
        <v>648.88</v>
      </c>
      <c r="F56" s="447">
        <f t="shared" si="7"/>
        <v>6.48</v>
      </c>
    </row>
    <row r="57" spans="1:6">
      <c r="A57" s="293" t="s">
        <v>339</v>
      </c>
      <c r="B57" s="444">
        <v>43273</v>
      </c>
      <c r="C57" s="447">
        <v>647.78</v>
      </c>
      <c r="D57" s="447">
        <v>649.03</v>
      </c>
      <c r="E57" s="447">
        <v>648.17999999999995</v>
      </c>
      <c r="F57" s="447">
        <f t="shared" si="7"/>
        <v>6.48</v>
      </c>
    </row>
    <row r="58" spans="1:6">
      <c r="A58" s="293" t="s">
        <v>339</v>
      </c>
      <c r="B58" s="444">
        <v>43279</v>
      </c>
      <c r="C58" s="447">
        <v>659.86</v>
      </c>
      <c r="D58" s="447">
        <v>660.16</v>
      </c>
      <c r="E58" s="447">
        <v>661.5</v>
      </c>
      <c r="F58" s="447">
        <f t="shared" si="7"/>
        <v>6.61</v>
      </c>
    </row>
    <row r="59" spans="1:6">
      <c r="A59" s="293" t="s">
        <v>339</v>
      </c>
      <c r="B59" s="444">
        <v>43280</v>
      </c>
      <c r="C59" s="447">
        <v>661.45</v>
      </c>
      <c r="D59" s="447">
        <v>660.76</v>
      </c>
      <c r="E59" s="447">
        <v>660.26</v>
      </c>
      <c r="F59" s="447">
        <f t="shared" si="7"/>
        <v>6.61</v>
      </c>
    </row>
  </sheetData>
  <sheetProtection algorithmName="SHA-512" hashValue="D95QcKxwVBlWPWXGVGb0JrkyAw3ff35T3yAMmjo+effiAXYDSpxOiHRR73ihGZRN0tyoQ1KQslmUxiVlr+3KJg==" saltValue="OYJPAPAOxAYq4zQq/DtXfQ==" spinCount="100000" sheet="1" objects="1" scenarios="1"/>
  <autoFilter ref="A1:F41" xr:uid="{00000000-0009-0000-0000-000007000000}">
    <filterColumn colId="2" showButton="0"/>
    <filterColumn colId="3" showButton="0"/>
    <filterColumn colId="4" showButton="0"/>
  </autoFilter>
  <sortState xmlns:xlrd2="http://schemas.microsoft.com/office/spreadsheetml/2017/richdata2" ref="A3:F43">
    <sortCondition ref="B3:B43"/>
  </sortState>
  <mergeCells count="1">
    <mergeCell ref="C1:F1"/>
  </mergeCells>
  <phoneticPr fontId="42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0"/>
  <sheetViews>
    <sheetView topLeftCell="D1" workbookViewId="0">
      <selection activeCell="K7" sqref="K7"/>
    </sheetView>
  </sheetViews>
  <sheetFormatPr defaultRowHeight="15"/>
  <cols>
    <col min="1" max="1" width="13.85546875" customWidth="1"/>
    <col min="2" max="2" width="12.5703125" customWidth="1"/>
    <col min="3" max="3" width="14" customWidth="1"/>
    <col min="4" max="4" width="15.42578125" customWidth="1"/>
    <col min="5" max="5" width="15.5703125" customWidth="1"/>
    <col min="6" max="9" width="9.85546875" customWidth="1"/>
    <col min="11" max="11" width="13.7109375" customWidth="1"/>
    <col min="12" max="12" width="14.140625" customWidth="1"/>
    <col min="13" max="13" width="11.42578125" bestFit="1" customWidth="1"/>
    <col min="14" max="14" width="11.42578125" style="449" bestFit="1" customWidth="1"/>
    <col min="15" max="15" width="9.28515625" style="449" bestFit="1" customWidth="1"/>
    <col min="16" max="17" width="8.7109375" style="449"/>
  </cols>
  <sheetData>
    <row r="1" spans="1:15">
      <c r="A1" s="302" t="s">
        <v>1</v>
      </c>
      <c r="B1" s="301" t="s">
        <v>216</v>
      </c>
      <c r="C1" s="388" t="s">
        <v>296</v>
      </c>
      <c r="D1" s="584" t="s">
        <v>294</v>
      </c>
      <c r="E1" s="585"/>
      <c r="F1" s="585"/>
      <c r="G1" s="585"/>
      <c r="H1" s="585"/>
      <c r="I1" s="585"/>
      <c r="J1" s="394" t="s">
        <v>295</v>
      </c>
    </row>
    <row r="2" spans="1:15">
      <c r="A2" s="300">
        <v>43101</v>
      </c>
      <c r="B2" s="448">
        <v>0.45500000000000002</v>
      </c>
      <c r="D2" s="389" t="s">
        <v>283</v>
      </c>
      <c r="E2" s="395"/>
      <c r="F2" s="395" t="s">
        <v>284</v>
      </c>
      <c r="G2" s="395" t="s">
        <v>285</v>
      </c>
      <c r="H2" s="395" t="s">
        <v>286</v>
      </c>
      <c r="I2" s="395"/>
      <c r="J2" s="394"/>
    </row>
    <row r="3" spans="1:15" ht="24">
      <c r="A3" s="300">
        <v>43132</v>
      </c>
      <c r="B3" s="448">
        <v>0.7</v>
      </c>
      <c r="D3" s="390" t="s">
        <v>287</v>
      </c>
      <c r="E3" s="391" t="s">
        <v>292</v>
      </c>
      <c r="F3" s="391" t="s">
        <v>291</v>
      </c>
      <c r="G3" s="391" t="s">
        <v>288</v>
      </c>
      <c r="H3" s="391" t="s">
        <v>289</v>
      </c>
      <c r="I3" s="391" t="s">
        <v>293</v>
      </c>
      <c r="J3" s="261"/>
    </row>
    <row r="4" spans="1:15">
      <c r="A4" s="300">
        <v>43160</v>
      </c>
      <c r="B4" s="448">
        <v>0.55000000000000004</v>
      </c>
      <c r="D4" s="390" t="s">
        <v>290</v>
      </c>
      <c r="E4" s="392"/>
      <c r="F4" s="391">
        <v>0.55000000000000004</v>
      </c>
      <c r="G4" s="391">
        <v>0.52</v>
      </c>
      <c r="H4" s="391">
        <v>0.45500000000000002</v>
      </c>
      <c r="I4" s="391"/>
      <c r="J4" s="393">
        <v>0.75</v>
      </c>
    </row>
    <row r="5" spans="1:15">
      <c r="A5" s="300">
        <v>43191</v>
      </c>
      <c r="B5" s="448">
        <v>0.77600000000000002</v>
      </c>
      <c r="C5" s="348">
        <v>537258.37</v>
      </c>
      <c r="E5" s="449">
        <f>5000000/(C5*12)</f>
        <v>0.77554243904411713</v>
      </c>
    </row>
    <row r="6" spans="1:15">
      <c r="A6" s="300">
        <v>43221</v>
      </c>
      <c r="B6" s="448">
        <f>ROUND(E6,3)</f>
        <v>0.78900000000000003</v>
      </c>
      <c r="C6" s="348">
        <v>528259.18000000005</v>
      </c>
      <c r="E6" s="449">
        <f>5000000/(C6*12)</f>
        <v>0.78875423739283934</v>
      </c>
    </row>
    <row r="7" spans="1:15">
      <c r="A7" s="300">
        <v>43252</v>
      </c>
      <c r="B7" s="448">
        <f>ROUND(E7,3)</f>
        <v>0.47499999999999998</v>
      </c>
      <c r="C7" s="348">
        <v>876822.58</v>
      </c>
      <c r="E7" s="449">
        <f>5000000/(C7*12)</f>
        <v>0.47520065765946257</v>
      </c>
      <c r="K7" s="456" t="s">
        <v>346</v>
      </c>
      <c r="L7" s="457">
        <v>55407.66</v>
      </c>
      <c r="M7" s="458">
        <f>L7/C7</f>
        <v>6.3191415531292552E-2</v>
      </c>
      <c r="O7" s="449">
        <f>N10*M7</f>
        <v>252.76566212517022</v>
      </c>
    </row>
    <row r="8" spans="1:15">
      <c r="A8" s="300">
        <v>43282</v>
      </c>
      <c r="B8" s="261"/>
      <c r="K8" s="456" t="s">
        <v>344</v>
      </c>
      <c r="L8" s="457">
        <v>501414.92</v>
      </c>
      <c r="M8" s="458">
        <f>L8/C7</f>
        <v>0.57185447938624023</v>
      </c>
      <c r="O8" s="449">
        <f>N10*M8</f>
        <v>2287.4179175449608</v>
      </c>
    </row>
    <row r="9" spans="1:15">
      <c r="A9" s="300">
        <v>43313</v>
      </c>
      <c r="B9" s="261"/>
      <c r="K9" s="456" t="s">
        <v>345</v>
      </c>
      <c r="L9" s="457">
        <v>320000</v>
      </c>
      <c r="M9" s="458">
        <f>L9/C7</f>
        <v>0.36495410508246723</v>
      </c>
      <c r="O9" s="449">
        <f>N10*M9</f>
        <v>1459.8164203298688</v>
      </c>
    </row>
    <row r="10" spans="1:15">
      <c r="A10" s="300">
        <v>43344</v>
      </c>
      <c r="B10" s="261"/>
      <c r="K10" s="459"/>
      <c r="L10" s="457">
        <f>SUM(L7:L9)</f>
        <v>876822.58</v>
      </c>
      <c r="M10" s="458">
        <f>SUM(M7:M9)</f>
        <v>1</v>
      </c>
      <c r="N10" s="449">
        <v>4000</v>
      </c>
      <c r="O10" s="449">
        <f>SUM(O7:O9)</f>
        <v>4000</v>
      </c>
    </row>
    <row r="11" spans="1:15">
      <c r="A11" s="300">
        <v>43374</v>
      </c>
      <c r="B11" s="261"/>
      <c r="L11" s="449"/>
    </row>
    <row r="12" spans="1:15">
      <c r="A12" s="300">
        <v>43405</v>
      </c>
      <c r="B12" s="261"/>
      <c r="L12" s="449"/>
    </row>
    <row r="13" spans="1:15">
      <c r="A13" s="300">
        <v>43435</v>
      </c>
      <c r="B13" s="261"/>
      <c r="L13" s="449"/>
    </row>
    <row r="14" spans="1:15">
      <c r="L14" s="449"/>
    </row>
    <row r="15" spans="1:15">
      <c r="L15" s="449"/>
    </row>
    <row r="16" spans="1:15">
      <c r="L16" s="449"/>
    </row>
    <row r="17" spans="1:12">
      <c r="L17" s="449"/>
    </row>
    <row r="18" spans="1:12">
      <c r="A18" s="388" t="s">
        <v>343</v>
      </c>
      <c r="L18" s="449"/>
    </row>
    <row r="19" spans="1:12">
      <c r="L19" s="449"/>
    </row>
    <row r="20" spans="1:12">
      <c r="L20" s="449"/>
    </row>
  </sheetData>
  <sheetProtection algorithmName="SHA-512" hashValue="MC9wmbGFf3Tiy7D+fbqg1Hy5mGjBRQJI8xYwIf58+hmZGxSyiZjUBU02PmcR2RlWIN8y05AR/Fh3IVmWrdm8FA==" saltValue="q+cJpPLrpZiZTjt/LWrTNw==" spinCount="100000" sheet="1" objects="1" scenarios="1"/>
  <mergeCells count="1">
    <mergeCell ref="D1:I1"/>
  </mergeCells>
  <phoneticPr fontId="42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"/>
  <sheetViews>
    <sheetView workbookViewId="0">
      <selection activeCell="E16" sqref="E16"/>
    </sheetView>
  </sheetViews>
  <sheetFormatPr defaultRowHeight="15"/>
  <cols>
    <col min="1" max="1" width="10.85546875" customWidth="1"/>
    <col min="2" max="4" width="13.5703125" bestFit="1" customWidth="1"/>
    <col min="6" max="7" width="13.5703125" bestFit="1" customWidth="1"/>
    <col min="9" max="9" width="18.85546875" customWidth="1"/>
  </cols>
  <sheetData>
    <row r="1" spans="1:7" s="150" customFormat="1">
      <c r="A1" s="268" t="s">
        <v>194</v>
      </c>
      <c r="B1" s="268" t="s">
        <v>190</v>
      </c>
      <c r="C1" s="268" t="s">
        <v>193</v>
      </c>
      <c r="D1" s="268" t="s">
        <v>196</v>
      </c>
      <c r="E1" s="158"/>
      <c r="F1" s="268" t="s">
        <v>189</v>
      </c>
      <c r="G1" s="158"/>
    </row>
    <row r="2" spans="1:7">
      <c r="A2" s="442" t="s">
        <v>324</v>
      </c>
      <c r="B2" s="263">
        <v>216214.46</v>
      </c>
      <c r="C2" s="266">
        <f>9479-C4</f>
        <v>4079</v>
      </c>
      <c r="D2" s="263">
        <f>SUM(B5:C5)-D4-D3</f>
        <v>220293.45999999996</v>
      </c>
      <c r="E2" s="261"/>
      <c r="F2" s="263">
        <v>184016</v>
      </c>
      <c r="G2" s="266">
        <f>F5-G3-G4</f>
        <v>220293.56</v>
      </c>
    </row>
    <row r="3" spans="1:7">
      <c r="A3" s="443" t="s">
        <v>325</v>
      </c>
      <c r="B3" s="263">
        <v>55098</v>
      </c>
      <c r="C3" s="266"/>
      <c r="D3" s="263">
        <f>B3</f>
        <v>55098</v>
      </c>
      <c r="E3" s="262" t="s">
        <v>195</v>
      </c>
      <c r="F3" s="263">
        <v>96067.56</v>
      </c>
      <c r="G3" s="266">
        <f>D3</f>
        <v>55098</v>
      </c>
    </row>
    <row r="4" spans="1:7">
      <c r="A4" s="442" t="s">
        <v>326</v>
      </c>
      <c r="B4" s="263">
        <v>134677</v>
      </c>
      <c r="C4" s="263">
        <v>5400</v>
      </c>
      <c r="D4" s="263">
        <f>SUM(B4:C4)</f>
        <v>140077</v>
      </c>
      <c r="E4" s="262" t="s">
        <v>188</v>
      </c>
      <c r="F4" s="263">
        <v>135385</v>
      </c>
      <c r="G4" s="263">
        <f>D4</f>
        <v>140077</v>
      </c>
    </row>
    <row r="5" spans="1:7">
      <c r="A5" s="262" t="s">
        <v>191</v>
      </c>
      <c r="B5" s="263">
        <f>SUM(B2:B4)</f>
        <v>405989.45999999996</v>
      </c>
      <c r="C5" s="263">
        <f>SUM(C2:C4)</f>
        <v>9479</v>
      </c>
      <c r="D5" s="263"/>
      <c r="E5" s="261"/>
      <c r="F5" s="263">
        <f>SUM(F2:F4)</f>
        <v>415468.56</v>
      </c>
      <c r="G5" s="263"/>
    </row>
    <row r="6" spans="1:7">
      <c r="B6" s="586">
        <f>SUM(B5:C5)</f>
        <v>415468.45999999996</v>
      </c>
      <c r="C6" s="587"/>
      <c r="D6" s="267">
        <f>SUM(D2:D5)</f>
        <v>415468.45999999996</v>
      </c>
      <c r="G6" s="267">
        <f>SUM(G2:G5)</f>
        <v>415468.56</v>
      </c>
    </row>
  </sheetData>
  <sheetProtection algorithmName="SHA-512" hashValue="xUZI5U9cUGXw9Q0BlIOMS+IbfNQOWpnF4p/YO2YrV+R7cPQ2xrUtjr9dWYW75WHLroMju0p4OnSaMUoXNtxAFw==" saltValue="V8qorOktfoE1zYn4RK7Aiw==" spinCount="100000" sheet="1" objects="1" scenarios="1"/>
  <mergeCells count="1">
    <mergeCell ref="B6:C6"/>
  </mergeCells>
  <phoneticPr fontId="4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5545-87D0-4C63-A8F3-480A3F809E06}">
  <sheetPr>
    <pageSetUpPr fitToPage="1"/>
  </sheetPr>
  <dimension ref="A1:AE47"/>
  <sheetViews>
    <sheetView showGridLines="0" tabSelected="1" zoomScale="115" zoomScaleNormal="115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G15" sqref="G15"/>
    </sheetView>
  </sheetViews>
  <sheetFormatPr defaultColWidth="9" defaultRowHeight="15" outlineLevelRow="2"/>
  <cols>
    <col min="1" max="1" width="12.7109375" style="225" customWidth="1"/>
    <col min="2" max="2" width="10.28515625" style="519" customWidth="1"/>
    <col min="3" max="3" width="14.7109375" style="225" customWidth="1"/>
    <col min="4" max="4" width="15.42578125" style="225" customWidth="1"/>
    <col min="5" max="5" width="12.140625" style="308" customWidth="1"/>
    <col min="6" max="6" width="14.5703125" style="308" customWidth="1"/>
    <col min="7" max="7" width="12.85546875" style="308" customWidth="1"/>
    <col min="8" max="8" width="13.140625" style="519" customWidth="1"/>
    <col min="9" max="9" width="14.28515625" style="308" customWidth="1"/>
    <col min="10" max="10" width="12.5703125" style="308" customWidth="1"/>
    <col min="11" max="11" width="12.85546875" style="339" customWidth="1"/>
    <col min="12" max="12" width="6.5703125" style="441" customWidth="1"/>
    <col min="13" max="13" width="10.5703125" style="308" customWidth="1"/>
    <col min="14" max="14" width="9.7109375" style="407" customWidth="1"/>
    <col min="15" max="15" width="16.28515625" style="308" customWidth="1"/>
    <col min="16" max="16" width="18.7109375" style="308" customWidth="1"/>
    <col min="17" max="17" width="12.42578125" style="542" customWidth="1"/>
    <col min="18" max="18" width="12.42578125" style="308" customWidth="1"/>
    <col min="19" max="19" width="11" style="536" customWidth="1"/>
    <col min="20" max="20" width="14.140625" style="225" customWidth="1"/>
    <col min="21" max="21" width="13.7109375" style="308" customWidth="1"/>
    <col min="22" max="22" width="12.7109375" style="308" customWidth="1"/>
    <col min="23" max="23" width="14.42578125" style="308" customWidth="1"/>
    <col min="24" max="24" width="11.7109375" style="308" customWidth="1"/>
    <col min="25" max="25" width="10" style="464" customWidth="1"/>
    <col min="26" max="26" width="10.28515625" style="308" customWidth="1"/>
    <col min="27" max="27" width="13.5703125" style="308" customWidth="1"/>
    <col min="28" max="28" width="7.7109375" style="225" customWidth="1"/>
    <col min="29" max="29" width="30.7109375" style="225" customWidth="1"/>
    <col min="30" max="31" width="5.5703125" style="225" customWidth="1"/>
    <col min="32" max="16384" width="9" style="225"/>
  </cols>
  <sheetData>
    <row r="1" spans="1:31" s="318" customFormat="1" ht="36">
      <c r="A1" s="316" t="s">
        <v>227</v>
      </c>
      <c r="B1" s="521" t="s">
        <v>1</v>
      </c>
      <c r="C1" s="543" t="s">
        <v>2</v>
      </c>
      <c r="D1" s="317" t="s">
        <v>362</v>
      </c>
      <c r="E1" s="396" t="s">
        <v>3</v>
      </c>
      <c r="F1" s="511" t="s">
        <v>3</v>
      </c>
      <c r="G1" s="408" t="s">
        <v>228</v>
      </c>
      <c r="H1" s="513" t="s">
        <v>254</v>
      </c>
      <c r="I1" s="411" t="s">
        <v>255</v>
      </c>
      <c r="J1" s="512" t="s">
        <v>363</v>
      </c>
      <c r="K1" s="409" t="s">
        <v>256</v>
      </c>
      <c r="L1" s="436" t="s">
        <v>257</v>
      </c>
      <c r="M1" s="401" t="s">
        <v>5</v>
      </c>
      <c r="N1" s="402" t="s">
        <v>302</v>
      </c>
      <c r="O1" s="396" t="s">
        <v>7</v>
      </c>
      <c r="P1" s="396" t="s">
        <v>364</v>
      </c>
      <c r="Q1" s="537" t="s">
        <v>229</v>
      </c>
      <c r="R1" s="408" t="s">
        <v>229</v>
      </c>
      <c r="S1" s="497" t="s">
        <v>8</v>
      </c>
      <c r="T1" s="396" t="s">
        <v>9</v>
      </c>
      <c r="U1" s="410" t="s">
        <v>258</v>
      </c>
      <c r="V1" s="410" t="s">
        <v>259</v>
      </c>
      <c r="W1" s="410" t="s">
        <v>260</v>
      </c>
      <c r="X1" s="410" t="s">
        <v>261</v>
      </c>
      <c r="Y1" s="461" t="s">
        <v>304</v>
      </c>
      <c r="Z1" s="410" t="s">
        <v>262</v>
      </c>
      <c r="AA1" s="410" t="s">
        <v>263</v>
      </c>
      <c r="AB1" s="317" t="s">
        <v>11</v>
      </c>
      <c r="AC1" s="316" t="s">
        <v>10</v>
      </c>
      <c r="AD1" s="317" t="s">
        <v>12</v>
      </c>
      <c r="AE1" s="316" t="s">
        <v>139</v>
      </c>
    </row>
    <row r="2" spans="1:31" s="328" customFormat="1" ht="12.75" outlineLevel="2">
      <c r="A2" s="412"/>
      <c r="B2" s="522"/>
      <c r="C2" s="320" t="s">
        <v>347</v>
      </c>
      <c r="D2" s="320"/>
      <c r="E2" s="350"/>
      <c r="F2" s="365">
        <f t="shared" ref="F2:F32" si="0">SUMIF(C:C,$D2,E:E)</f>
        <v>0</v>
      </c>
      <c r="G2" s="350"/>
      <c r="H2" s="514">
        <v>43203</v>
      </c>
      <c r="I2" s="445">
        <v>19878.97</v>
      </c>
      <c r="J2" s="365">
        <f t="shared" ref="J2:J32" si="1">SUMIF(C:C,$D2,I:I)</f>
        <v>0</v>
      </c>
      <c r="K2" s="206">
        <f t="shared" ref="K2:K32" si="2">IF(SUMIF(D:D,$C2,J:J)=0,"",$I2/SUMIF(D:D,$C2,J:J))</f>
        <v>0.51311598080309917</v>
      </c>
      <c r="L2" s="437">
        <f>VLOOKUP(H2,汇率!$B$3:F100,5,0)</f>
        <v>6.27</v>
      </c>
      <c r="M2" s="321"/>
      <c r="N2" s="403" t="s">
        <v>300</v>
      </c>
      <c r="O2" s="243">
        <f t="shared" ref="O2:O30" si="3">IF($K2&lt;&gt;"",$K2*SUMIF(D:D,C2,P:P),"")</f>
        <v>2232.5676324742844</v>
      </c>
      <c r="P2" s="243"/>
      <c r="Q2" s="538">
        <f>I2-O2</f>
        <v>17646.402367525716</v>
      </c>
      <c r="R2" s="368" t="str">
        <f t="shared" ref="R2:R32" si="4">IF($D2="","",SUMIF(C:C,$D2,Q:Q))</f>
        <v/>
      </c>
      <c r="S2" s="532"/>
      <c r="T2" s="323"/>
      <c r="U2" s="255" t="str">
        <f>IF($R2="","",SUM(M2,S2,T2)/R2*1.005)</f>
        <v/>
      </c>
      <c r="V2" s="254">
        <f>IF(N2="N",L2*1.16/(1.16-0.09)-0.3,IF(N2=0,"错误",IF(I2&gt;N2,N2/I2*(L2*1.16/(1.16-0.13)-0.3)+(1-N2/I2)*(L2*1.16/(1.16-0.09)-0.3),"提醒")))</f>
        <v>6.4973831775700939</v>
      </c>
      <c r="W2" s="256" t="str">
        <f>IF($D2="","",VLOOKUP(B2,下单月成本!$A$2:$B$13,2,0))</f>
        <v/>
      </c>
      <c r="X2" s="252" t="str">
        <f t="shared" ref="X2:X31" si="5">IF($D2="","",$R2*(V2-U2-W2)*AD2*AE2)</f>
        <v/>
      </c>
      <c r="Y2" s="462"/>
      <c r="Z2" s="326"/>
      <c r="AA2" s="326"/>
      <c r="AB2" s="350"/>
      <c r="AC2" s="446" t="s">
        <v>327</v>
      </c>
      <c r="AD2" s="327"/>
      <c r="AE2" s="327"/>
    </row>
    <row r="3" spans="1:31" s="328" customFormat="1" ht="12.75" outlineLevel="2">
      <c r="B3" s="522"/>
      <c r="C3" s="320" t="s">
        <v>347</v>
      </c>
      <c r="D3" s="320"/>
      <c r="E3" s="445">
        <v>38795.4</v>
      </c>
      <c r="F3" s="365">
        <f t="shared" si="0"/>
        <v>0</v>
      </c>
      <c r="G3" s="350">
        <f>I4</f>
        <v>0</v>
      </c>
      <c r="H3" s="514">
        <v>43258</v>
      </c>
      <c r="I3" s="445">
        <v>18862.7</v>
      </c>
      <c r="J3" s="365">
        <f t="shared" si="1"/>
        <v>0</v>
      </c>
      <c r="K3" s="206">
        <f t="shared" si="2"/>
        <v>0.48688401919690094</v>
      </c>
      <c r="L3" s="437">
        <f>VLOOKUP(H3,汇率!$B$3:F101,5,0)</f>
        <v>6.38</v>
      </c>
      <c r="M3" s="321"/>
      <c r="N3" s="403" t="s">
        <v>300</v>
      </c>
      <c r="O3" s="243">
        <f t="shared" si="3"/>
        <v>2118.432367525716</v>
      </c>
      <c r="P3" s="243"/>
      <c r="Q3" s="538">
        <f>I3-O3</f>
        <v>16744.267632474286</v>
      </c>
      <c r="R3" s="368" t="str">
        <f t="shared" si="4"/>
        <v/>
      </c>
      <c r="S3" s="532"/>
      <c r="T3" s="323"/>
      <c r="U3" s="255" t="str">
        <f t="shared" ref="U3:U32" si="6">IF($R3="","",SUM(M3,S3,T3)/R3*1.005)</f>
        <v/>
      </c>
      <c r="V3" s="254">
        <f>IF(N3="N",L3*1.16/(1.16-0.09)-0.3,IF(N3=0,"错误",IF(I3&gt;N3,N3/I3*(L3*1.16/(1.16-0.13)-0.3)+(1-N3/I3)*(L3*1.16/(1.16-0.09)-0.3),"提醒")))</f>
        <v>6.6166355140186921</v>
      </c>
      <c r="W3" s="256" t="str">
        <f>IF($D3="","",VLOOKUP(B3,下单月成本!$A$2:$B$13,2,0))</f>
        <v/>
      </c>
      <c r="X3" s="252" t="str">
        <f t="shared" si="5"/>
        <v/>
      </c>
      <c r="Y3" s="462"/>
      <c r="Z3" s="326"/>
      <c r="AA3" s="326"/>
      <c r="AB3" s="350"/>
      <c r="AC3" s="446" t="s">
        <v>327</v>
      </c>
      <c r="AD3" s="327"/>
      <c r="AE3" s="327"/>
    </row>
    <row r="4" spans="1:31" s="328" customFormat="1" ht="17.100000000000001" customHeight="1" outlineLevel="1">
      <c r="A4" s="219">
        <v>43252</v>
      </c>
      <c r="B4" s="523">
        <v>43191</v>
      </c>
      <c r="C4" s="364"/>
      <c r="D4" s="364" t="s">
        <v>347</v>
      </c>
      <c r="E4" s="365"/>
      <c r="F4" s="365">
        <f t="shared" si="0"/>
        <v>38795.4</v>
      </c>
      <c r="G4" s="365">
        <f>SUBTOTAL(9,G2:G3)</f>
        <v>0</v>
      </c>
      <c r="H4" s="515"/>
      <c r="I4" s="365"/>
      <c r="J4" s="365">
        <f t="shared" si="1"/>
        <v>38741.67</v>
      </c>
      <c r="K4" s="206" t="str">
        <f t="shared" si="2"/>
        <v/>
      </c>
      <c r="L4" s="438"/>
      <c r="M4" s="365">
        <v>164119.04000000001</v>
      </c>
      <c r="N4" s="404"/>
      <c r="O4" s="243" t="str">
        <f t="shared" si="3"/>
        <v/>
      </c>
      <c r="P4" s="368">
        <v>4351</v>
      </c>
      <c r="Q4" s="539"/>
      <c r="R4" s="368">
        <f t="shared" si="4"/>
        <v>34390.67</v>
      </c>
      <c r="S4" s="533">
        <v>5670</v>
      </c>
      <c r="T4" s="369"/>
      <c r="U4" s="255">
        <f>IF($R4="","",SUM(M4,S4,T4)/R4*1.005)</f>
        <v>4.9617522775799365</v>
      </c>
      <c r="V4" s="255">
        <f>V2*K2+V3*K3</f>
        <v>6.5554452344388086</v>
      </c>
      <c r="W4" s="256">
        <f>IF($D4="","",VLOOKUP(B4,下单月成本!$A$2:$B$13,2,0))</f>
        <v>0.77600000000000002</v>
      </c>
      <c r="X4" s="252">
        <f t="shared" si="5"/>
        <v>703.02521601644264</v>
      </c>
      <c r="Y4" s="252"/>
      <c r="Z4" s="252">
        <f>X4*0.7+Y4</f>
        <v>492.11765121150984</v>
      </c>
      <c r="AA4" s="252">
        <f>IF(SUMIF(AB1:AB11,AB4,Z1:Z11)&gt;5000,Z4*0.875,Z4)-0.01</f>
        <v>492.10765121150985</v>
      </c>
      <c r="AB4" s="365" t="s">
        <v>18</v>
      </c>
      <c r="AC4" s="365" t="s">
        <v>327</v>
      </c>
      <c r="AD4" s="370">
        <v>0.1</v>
      </c>
      <c r="AE4" s="370">
        <v>0.25</v>
      </c>
    </row>
    <row r="5" spans="1:31" s="328" customFormat="1" ht="12.75" outlineLevel="2">
      <c r="B5" s="522"/>
      <c r="C5" s="320" t="s">
        <v>348</v>
      </c>
      <c r="D5" s="320"/>
      <c r="E5" s="350"/>
      <c r="F5" s="365">
        <f t="shared" si="0"/>
        <v>0</v>
      </c>
      <c r="G5" s="350"/>
      <c r="H5" s="514">
        <v>43208</v>
      </c>
      <c r="I5" s="445">
        <v>10079.1</v>
      </c>
      <c r="J5" s="365">
        <f t="shared" si="1"/>
        <v>0</v>
      </c>
      <c r="K5" s="206">
        <f t="shared" si="2"/>
        <v>0.30044713387188127</v>
      </c>
      <c r="L5" s="437">
        <f>VLOOKUP(H5,汇率!$B$3:F103,5,0)</f>
        <v>6.27</v>
      </c>
      <c r="M5" s="321"/>
      <c r="N5" s="403" t="s">
        <v>300</v>
      </c>
      <c r="O5" s="243">
        <f t="shared" si="3"/>
        <v>819.61978120249205</v>
      </c>
      <c r="P5" s="243"/>
      <c r="Q5" s="538">
        <f>I5-O5</f>
        <v>9259.4802187975074</v>
      </c>
      <c r="R5" s="368" t="str">
        <f t="shared" si="4"/>
        <v/>
      </c>
      <c r="S5" s="532"/>
      <c r="T5" s="323"/>
      <c r="U5" s="255" t="str">
        <f t="shared" si="6"/>
        <v/>
      </c>
      <c r="V5" s="254">
        <f>IF(N5="N",L5*1.16/(1.16-0.09)-0.3,IF(N5=0,"错误",IF(I5&gt;N5,N5/I5*(L5*1.16/(1.16-0.13)-0.3)+(1-N5/I5)*(L5*1.16/(1.16-0.09)-0.3),"提醒")))</f>
        <v>6.4973831775700939</v>
      </c>
      <c r="W5" s="256" t="str">
        <f>IF($D5="","",VLOOKUP(B5,下单月成本!$A$2:$B$13,2,0))</f>
        <v/>
      </c>
      <c r="X5" s="252" t="str">
        <f t="shared" si="5"/>
        <v/>
      </c>
      <c r="Y5" s="462"/>
      <c r="Z5" s="326"/>
      <c r="AA5" s="326"/>
      <c r="AB5" s="350"/>
      <c r="AC5" s="350" t="s">
        <v>328</v>
      </c>
      <c r="AD5" s="327"/>
      <c r="AE5" s="327"/>
    </row>
    <row r="6" spans="1:31" s="328" customFormat="1" ht="12.75" outlineLevel="2">
      <c r="B6" s="522"/>
      <c r="C6" s="320" t="s">
        <v>348</v>
      </c>
      <c r="D6" s="320"/>
      <c r="E6" s="445">
        <v>33597</v>
      </c>
      <c r="F6" s="365">
        <f t="shared" si="0"/>
        <v>0</v>
      </c>
      <c r="G6" s="350">
        <f>I7</f>
        <v>0</v>
      </c>
      <c r="H6" s="514">
        <v>43259</v>
      </c>
      <c r="I6" s="445">
        <v>23467.9</v>
      </c>
      <c r="J6" s="365">
        <f t="shared" si="1"/>
        <v>0</v>
      </c>
      <c r="K6" s="206">
        <f t="shared" si="2"/>
        <v>0.69955286612811884</v>
      </c>
      <c r="L6" s="437">
        <f>VLOOKUP(H6,汇率!$B$3:F104,5,0)</f>
        <v>6.39</v>
      </c>
      <c r="M6" s="321"/>
      <c r="N6" s="403" t="s">
        <v>300</v>
      </c>
      <c r="O6" s="243">
        <f t="shared" si="3"/>
        <v>1908.3802187975082</v>
      </c>
      <c r="P6" s="243"/>
      <c r="Q6" s="538">
        <f>I6-O6</f>
        <v>21559.519781202493</v>
      </c>
      <c r="R6" s="368" t="str">
        <f t="shared" si="4"/>
        <v/>
      </c>
      <c r="S6" s="532"/>
      <c r="T6" s="323"/>
      <c r="U6" s="255" t="str">
        <f t="shared" si="6"/>
        <v/>
      </c>
      <c r="V6" s="254">
        <f>IF(N6="N",L6*1.16/(1.16-0.09)-0.3,IF(N6=0,"错误",IF(I6&gt;N6,N6/I6*(L6*1.16/(1.16-0.13)-0.3)+(1-N6/I6)*(L6*1.16/(1.16-0.09)-0.3),"提醒")))</f>
        <v>6.6274766355140189</v>
      </c>
      <c r="W6" s="256" t="str">
        <f>IF($D6="","",VLOOKUP(B6,下单月成本!$A$2:$B$13,2,0))</f>
        <v/>
      </c>
      <c r="X6" s="252" t="str">
        <f t="shared" si="5"/>
        <v/>
      </c>
      <c r="Y6" s="462"/>
      <c r="Z6" s="326"/>
      <c r="AA6" s="326"/>
      <c r="AB6" s="350"/>
      <c r="AC6" s="350" t="s">
        <v>328</v>
      </c>
      <c r="AD6" s="327"/>
      <c r="AE6" s="327"/>
    </row>
    <row r="7" spans="1:31" s="328" customFormat="1" ht="17.100000000000001" customHeight="1" outlineLevel="1">
      <c r="A7" s="219">
        <v>43252</v>
      </c>
      <c r="B7" s="523">
        <v>43191</v>
      </c>
      <c r="C7" s="364"/>
      <c r="D7" s="364" t="s">
        <v>348</v>
      </c>
      <c r="E7" s="365"/>
      <c r="F7" s="365">
        <f t="shared" si="0"/>
        <v>33597</v>
      </c>
      <c r="G7" s="365">
        <f>SUBTOTAL(9,G5:G6)</f>
        <v>0</v>
      </c>
      <c r="H7" s="515"/>
      <c r="I7" s="365"/>
      <c r="J7" s="365">
        <f t="shared" si="1"/>
        <v>33547</v>
      </c>
      <c r="K7" s="206" t="str">
        <f t="shared" si="2"/>
        <v/>
      </c>
      <c r="L7" s="438"/>
      <c r="M7" s="365">
        <v>151667.70000000001</v>
      </c>
      <c r="N7" s="404"/>
      <c r="O7" s="243" t="str">
        <f t="shared" si="3"/>
        <v/>
      </c>
      <c r="P7" s="368">
        <v>2728</v>
      </c>
      <c r="Q7" s="539"/>
      <c r="R7" s="368">
        <f t="shared" si="4"/>
        <v>30819</v>
      </c>
      <c r="S7" s="533">
        <v>9355</v>
      </c>
      <c r="T7" s="369"/>
      <c r="U7" s="255">
        <f t="shared" si="6"/>
        <v>5.2509105908692693</v>
      </c>
      <c r="V7" s="255">
        <f>V5*K5+V6*K6</f>
        <v>6.5883904289392845</v>
      </c>
      <c r="W7" s="256">
        <f>IF($D7="","",VLOOKUP(B7,下单月成本!$A$2:$B$13,2,0))</f>
        <v>0.77600000000000002</v>
      </c>
      <c r="X7" s="252">
        <f t="shared" si="5"/>
        <v>1730.42471294798</v>
      </c>
      <c r="Y7" s="252"/>
      <c r="Z7" s="252">
        <f>X7*0.7+Y7</f>
        <v>1211.2972990635858</v>
      </c>
      <c r="AA7" s="252">
        <f>IF(SUMIF(AB5:AB22,AB7,Z5:Z22)&gt;5000,Z7*0.875,Z7)</f>
        <v>1059.8851366806375</v>
      </c>
      <c r="AB7" s="365" t="s">
        <v>18</v>
      </c>
      <c r="AC7" s="365" t="s">
        <v>328</v>
      </c>
      <c r="AD7" s="370">
        <v>0.4</v>
      </c>
      <c r="AE7" s="370">
        <v>0.25</v>
      </c>
    </row>
    <row r="8" spans="1:31" s="328" customFormat="1" ht="12.75" outlineLevel="2">
      <c r="B8" s="522"/>
      <c r="C8" s="472" t="s">
        <v>349</v>
      </c>
      <c r="D8" s="509"/>
      <c r="E8" s="466"/>
      <c r="F8" s="365">
        <f t="shared" si="0"/>
        <v>0</v>
      </c>
      <c r="G8" s="350"/>
      <c r="H8" s="516">
        <v>43209</v>
      </c>
      <c r="I8" s="465">
        <v>5419.55</v>
      </c>
      <c r="J8" s="365">
        <f t="shared" si="1"/>
        <v>0</v>
      </c>
      <c r="K8" s="206">
        <f t="shared" si="2"/>
        <v>9.9296530104279176E-2</v>
      </c>
      <c r="L8" s="437">
        <f>VLOOKUP(H8,汇率!$B$3:F106,5,0)</f>
        <v>6.26</v>
      </c>
      <c r="M8" s="321"/>
      <c r="N8" s="468" t="s">
        <v>300</v>
      </c>
      <c r="O8" s="243">
        <f t="shared" si="3"/>
        <v>495.48968522035307</v>
      </c>
      <c r="P8" s="243"/>
      <c r="Q8" s="538">
        <f>$I8-$O8</f>
        <v>4924.0603147796473</v>
      </c>
      <c r="R8" s="368" t="str">
        <f t="shared" si="4"/>
        <v/>
      </c>
      <c r="S8" s="532"/>
      <c r="T8" s="323"/>
      <c r="U8" s="255" t="str">
        <f t="shared" si="6"/>
        <v/>
      </c>
      <c r="V8" s="254">
        <f>IF(N8="N",L8*1.16/(1.16-0.09)-0.3,IF(N8=0,"错误",IF(I8&gt;N8,N8/I8*(L8*1.16/(1.16-0.13)-0.3)+(1-N8/I8)*(L8*1.16/(1.16-0.09)-0.3),"提醒")))</f>
        <v>6.4865420560747671</v>
      </c>
      <c r="W8" s="256" t="str">
        <f>IF($D8="","",VLOOKUP(B8,下单月成本!$A$2:$B$13,2,0))</f>
        <v/>
      </c>
      <c r="X8" s="252" t="str">
        <f t="shared" si="5"/>
        <v/>
      </c>
      <c r="Y8" s="462"/>
      <c r="Z8" s="326"/>
      <c r="AA8" s="326"/>
      <c r="AB8" s="350"/>
      <c r="AC8" s="466" t="s">
        <v>329</v>
      </c>
      <c r="AD8" s="327"/>
      <c r="AE8" s="327"/>
    </row>
    <row r="9" spans="1:31" s="328" customFormat="1" ht="12.75" outlineLevel="2">
      <c r="B9" s="522"/>
      <c r="C9" s="472" t="s">
        <v>349</v>
      </c>
      <c r="D9" s="509"/>
      <c r="E9" s="466"/>
      <c r="F9" s="365">
        <f t="shared" si="0"/>
        <v>0</v>
      </c>
      <c r="G9" s="350"/>
      <c r="H9" s="516">
        <v>43237</v>
      </c>
      <c r="I9" s="465">
        <v>13079.5</v>
      </c>
      <c r="J9" s="365">
        <f t="shared" si="1"/>
        <v>0</v>
      </c>
      <c r="K9" s="206">
        <f t="shared" si="2"/>
        <v>0.23964147678292838</v>
      </c>
      <c r="L9" s="437">
        <f>VLOOKUP(H9,汇率!$B$3:F107,5,0)</f>
        <v>6.35</v>
      </c>
      <c r="M9" s="321"/>
      <c r="N9" s="468" t="s">
        <v>300</v>
      </c>
      <c r="O9" s="243">
        <f t="shared" si="3"/>
        <v>1195.8109691468126</v>
      </c>
      <c r="P9" s="243"/>
      <c r="Q9" s="538">
        <f t="shared" ref="Q9:Q12" si="7">$I9-$O9</f>
        <v>11883.689030853187</v>
      </c>
      <c r="R9" s="368" t="str">
        <f t="shared" si="4"/>
        <v/>
      </c>
      <c r="S9" s="532"/>
      <c r="T9" s="323"/>
      <c r="U9" s="255" t="str">
        <f t="shared" si="6"/>
        <v/>
      </c>
      <c r="V9" s="254">
        <f>IF(N9="N",L9*1.16/(1.16-0.09)-0.3,IF(N9=0,"错误",IF(I9&gt;N9,N9/I9*(L9*1.16/(1.16-0.13)-0.3)+(1-N9/I9)*(L9*1.16/(1.16-0.09)-0.3),"提醒")))</f>
        <v>6.58411214953271</v>
      </c>
      <c r="W9" s="256" t="str">
        <f>IF($D9="","",VLOOKUP(B9,下单月成本!$A$2:$B$13,2,0))</f>
        <v/>
      </c>
      <c r="X9" s="252" t="str">
        <f t="shared" si="5"/>
        <v/>
      </c>
      <c r="Y9" s="462"/>
      <c r="Z9" s="326"/>
      <c r="AA9" s="326"/>
      <c r="AB9" s="350"/>
      <c r="AC9" s="466" t="s">
        <v>329</v>
      </c>
      <c r="AD9" s="327"/>
      <c r="AE9" s="327"/>
    </row>
    <row r="10" spans="1:31" s="328" customFormat="1" ht="12.75" outlineLevel="2">
      <c r="B10" s="522"/>
      <c r="C10" s="472" t="s">
        <v>349</v>
      </c>
      <c r="D10" s="509"/>
      <c r="E10" s="466"/>
      <c r="F10" s="365">
        <f t="shared" si="0"/>
        <v>0</v>
      </c>
      <c r="G10" s="350"/>
      <c r="H10" s="516">
        <v>43250</v>
      </c>
      <c r="I10" s="465">
        <v>14336.82</v>
      </c>
      <c r="J10" s="365">
        <f t="shared" si="1"/>
        <v>0</v>
      </c>
      <c r="K10" s="206">
        <f t="shared" si="2"/>
        <v>0.26267798594525965</v>
      </c>
      <c r="L10" s="437">
        <f>VLOOKUP(H10,汇率!$B$3:F108,5,0)</f>
        <v>6.41</v>
      </c>
      <c r="M10" s="321"/>
      <c r="N10" s="468" t="s">
        <v>300</v>
      </c>
      <c r="O10" s="243">
        <f t="shared" si="3"/>
        <v>1310.7631498668457</v>
      </c>
      <c r="P10" s="243"/>
      <c r="Q10" s="538">
        <f t="shared" si="7"/>
        <v>13026.056850133155</v>
      </c>
      <c r="R10" s="368" t="str">
        <f t="shared" si="4"/>
        <v/>
      </c>
      <c r="S10" s="532"/>
      <c r="T10" s="323"/>
      <c r="U10" s="255" t="str">
        <f t="shared" si="6"/>
        <v/>
      </c>
      <c r="V10" s="254">
        <f>IF(N10="N",L10*1.16/(1.16-0.09)-0.3,IF(N10=0,"错误",IF(I10&gt;N10,N10/I10*(L10*1.16/(1.16-0.13)-0.3)+(1-N10/I10)*(L10*1.16/(1.16-0.09)-0.3),"提醒")))</f>
        <v>6.6491588785046742</v>
      </c>
      <c r="W10" s="256" t="str">
        <f>IF($D10="","",VLOOKUP(B10,下单月成本!$A$2:$B$13,2,0))</f>
        <v/>
      </c>
      <c r="X10" s="252" t="str">
        <f t="shared" si="5"/>
        <v/>
      </c>
      <c r="Y10" s="462"/>
      <c r="Z10" s="326"/>
      <c r="AA10" s="326"/>
      <c r="AB10" s="350"/>
      <c r="AC10" s="466" t="s">
        <v>329</v>
      </c>
      <c r="AD10" s="327"/>
      <c r="AE10" s="327"/>
    </row>
    <row r="11" spans="1:31" s="328" customFormat="1" ht="12.75" outlineLevel="2">
      <c r="B11" s="522"/>
      <c r="C11" s="472" t="s">
        <v>349</v>
      </c>
      <c r="D11" s="509"/>
      <c r="E11" s="466"/>
      <c r="F11" s="365">
        <f t="shared" si="0"/>
        <v>0</v>
      </c>
      <c r="G11" s="350"/>
      <c r="H11" s="516">
        <v>43272</v>
      </c>
      <c r="I11" s="465">
        <v>10456.6</v>
      </c>
      <c r="J11" s="365">
        <f t="shared" si="1"/>
        <v>0</v>
      </c>
      <c r="K11" s="206">
        <f t="shared" si="2"/>
        <v>0.19158492802694055</v>
      </c>
      <c r="L11" s="437">
        <f>VLOOKUP(H11,汇率!$B$3:F109,5,0)</f>
        <v>6.48</v>
      </c>
      <c r="M11" s="321"/>
      <c r="N11" s="468" t="s">
        <v>300</v>
      </c>
      <c r="O11" s="243">
        <f t="shared" si="3"/>
        <v>956.0087908544333</v>
      </c>
      <c r="P11" s="243"/>
      <c r="Q11" s="538">
        <f t="shared" si="7"/>
        <v>9500.5912091455666</v>
      </c>
      <c r="R11" s="368" t="str">
        <f t="shared" si="4"/>
        <v/>
      </c>
      <c r="S11" s="532"/>
      <c r="T11" s="323"/>
      <c r="U11" s="255" t="str">
        <f t="shared" si="6"/>
        <v/>
      </c>
      <c r="V11" s="254">
        <f>IF(N11="N",L11*1.16/(1.16-0.09)-0.3,IF(N11=0,"错误",IF(I11&gt;N11,N11/I11*(L11*1.16/(1.16-0.13)-0.3)+(1-N11/I11)*(L11*1.16/(1.16-0.09)-0.3),"提醒")))</f>
        <v>6.7250467289719635</v>
      </c>
      <c r="W11" s="256" t="str">
        <f>IF($D11="","",VLOOKUP(B11,下单月成本!$A$2:$B$13,2,0))</f>
        <v/>
      </c>
      <c r="X11" s="252" t="str">
        <f t="shared" si="5"/>
        <v/>
      </c>
      <c r="Y11" s="462"/>
      <c r="Z11" s="326"/>
      <c r="AA11" s="326"/>
      <c r="AB11" s="350"/>
      <c r="AC11" s="466" t="s">
        <v>329</v>
      </c>
      <c r="AD11" s="327"/>
      <c r="AE11" s="327"/>
    </row>
    <row r="12" spans="1:31" s="328" customFormat="1" ht="12.75" outlineLevel="2">
      <c r="B12" s="522"/>
      <c r="C12" s="472" t="s">
        <v>349</v>
      </c>
      <c r="D12" s="509"/>
      <c r="E12" s="465">
        <v>54651.45</v>
      </c>
      <c r="F12" s="365">
        <f t="shared" si="0"/>
        <v>0</v>
      </c>
      <c r="G12" s="350">
        <f>I13</f>
        <v>0</v>
      </c>
      <c r="H12" s="516">
        <v>43279</v>
      </c>
      <c r="I12" s="465">
        <v>11286.98</v>
      </c>
      <c r="J12" s="365">
        <f t="shared" si="1"/>
        <v>0</v>
      </c>
      <c r="K12" s="206">
        <f t="shared" si="2"/>
        <v>0.20679907914059228</v>
      </c>
      <c r="L12" s="437">
        <f>VLOOKUP(H12,汇率!$B$3:F110,5,0)</f>
        <v>6.61</v>
      </c>
      <c r="M12" s="321"/>
      <c r="N12" s="468" t="s">
        <v>300</v>
      </c>
      <c r="O12" s="243">
        <f t="shared" si="3"/>
        <v>1031.9274049115554</v>
      </c>
      <c r="P12" s="243"/>
      <c r="Q12" s="538">
        <f t="shared" si="7"/>
        <v>10255.052595088444</v>
      </c>
      <c r="R12" s="368" t="str">
        <f t="shared" si="4"/>
        <v/>
      </c>
      <c r="S12" s="532"/>
      <c r="T12" s="323"/>
      <c r="U12" s="255" t="str">
        <f t="shared" si="6"/>
        <v/>
      </c>
      <c r="V12" s="254">
        <f>IF(N12="N",L12*1.16/(1.16-0.09)-0.3,IF(N12=0,"错误",IF(I12&gt;N12,N12/I12*(L12*1.16/(1.16-0.13)-0.3)+(1-N12/I12)*(L12*1.16/(1.16-0.09)-0.3),"提醒")))</f>
        <v>6.8659813084112162</v>
      </c>
      <c r="W12" s="256" t="str">
        <f>IF($D12="","",VLOOKUP(B12,下单月成本!$A$2:$B$13,2,0))</f>
        <v/>
      </c>
      <c r="X12" s="252" t="str">
        <f t="shared" si="5"/>
        <v/>
      </c>
      <c r="Y12" s="462"/>
      <c r="Z12" s="326"/>
      <c r="AA12" s="326"/>
      <c r="AB12" s="350"/>
      <c r="AC12" s="466" t="s">
        <v>329</v>
      </c>
      <c r="AD12" s="327"/>
      <c r="AE12" s="327"/>
    </row>
    <row r="13" spans="1:31" s="328" customFormat="1" ht="17.100000000000001" customHeight="1" outlineLevel="1">
      <c r="A13" s="219">
        <v>43252</v>
      </c>
      <c r="B13" s="524">
        <v>43191</v>
      </c>
      <c r="C13" s="510"/>
      <c r="D13" s="473" t="s">
        <v>349</v>
      </c>
      <c r="E13" s="354"/>
      <c r="F13" s="365">
        <f t="shared" si="0"/>
        <v>54651.45</v>
      </c>
      <c r="G13" s="365">
        <f>SUBTOTAL(9,G8:G12)</f>
        <v>0</v>
      </c>
      <c r="H13" s="515"/>
      <c r="I13" s="365"/>
      <c r="J13" s="365">
        <f t="shared" si="1"/>
        <v>54579.45</v>
      </c>
      <c r="K13" s="206" t="str">
        <f t="shared" si="2"/>
        <v/>
      </c>
      <c r="L13" s="438"/>
      <c r="M13" s="466">
        <v>262942.3</v>
      </c>
      <c r="N13" s="404"/>
      <c r="O13" s="243" t="str">
        <f t="shared" si="3"/>
        <v/>
      </c>
      <c r="P13" s="471">
        <v>4990</v>
      </c>
      <c r="Q13" s="538"/>
      <c r="R13" s="368">
        <f t="shared" si="4"/>
        <v>49589.45</v>
      </c>
      <c r="S13" s="498">
        <v>10530</v>
      </c>
      <c r="T13" s="369"/>
      <c r="U13" s="255">
        <f t="shared" si="6"/>
        <v>5.5423010640368053</v>
      </c>
      <c r="V13" s="255">
        <f>V8*K8+V9*K9+V10*K10+V11*K11+V12*K12</f>
        <v>6.6768013453216541</v>
      </c>
      <c r="W13" s="256">
        <f>IF($D13="","",VLOOKUP(B13,下单月成本!$A$2:$B$13,2,0))</f>
        <v>0.77600000000000002</v>
      </c>
      <c r="X13" s="252">
        <f t="shared" si="5"/>
        <v>444.44579434402362</v>
      </c>
      <c r="Y13" s="520">
        <f>下单月成本!O8</f>
        <v>2287.4179175449608</v>
      </c>
      <c r="Z13" s="252">
        <f>X13*0.7+Y13</f>
        <v>2598.5299735857775</v>
      </c>
      <c r="AA13" s="252">
        <f>IF(SUMIF(AB8:AB24,AB13,Z8:Z24)&gt;5000,Z13*0.875,Z13)</f>
        <v>2273.7137268875554</v>
      </c>
      <c r="AB13" s="466" t="s">
        <v>18</v>
      </c>
      <c r="AC13" s="466" t="s">
        <v>329</v>
      </c>
      <c r="AD13" s="469">
        <v>0.1</v>
      </c>
      <c r="AE13" s="469">
        <v>0.25</v>
      </c>
    </row>
    <row r="14" spans="1:31" s="328" customFormat="1" ht="12.75" outlineLevel="2">
      <c r="B14" s="522"/>
      <c r="C14" s="320" t="s">
        <v>350</v>
      </c>
      <c r="D14" s="320"/>
      <c r="E14" s="350"/>
      <c r="F14" s="365">
        <f t="shared" si="0"/>
        <v>0</v>
      </c>
      <c r="G14" s="350"/>
      <c r="H14" s="514">
        <v>43218</v>
      </c>
      <c r="I14" s="445">
        <v>21055</v>
      </c>
      <c r="J14" s="365">
        <f t="shared" si="1"/>
        <v>0</v>
      </c>
      <c r="K14" s="206">
        <f t="shared" si="2"/>
        <v>0.50238606537819142</v>
      </c>
      <c r="L14" s="437">
        <f>VLOOKUP(H14,汇率!$B$3:F112,5,0)</f>
        <v>6.32</v>
      </c>
      <c r="M14" s="321"/>
      <c r="N14" s="403" t="s">
        <v>300</v>
      </c>
      <c r="O14" s="243">
        <f t="shared" si="3"/>
        <v>2431.0461703650681</v>
      </c>
      <c r="P14" s="243"/>
      <c r="Q14" s="538">
        <f>I14-O14</f>
        <v>18623.953829634931</v>
      </c>
      <c r="R14" s="368" t="str">
        <f t="shared" si="4"/>
        <v/>
      </c>
      <c r="S14" s="532"/>
      <c r="T14" s="323"/>
      <c r="U14" s="255" t="str">
        <f t="shared" si="6"/>
        <v/>
      </c>
      <c r="V14" s="254">
        <f>IF(N14="N",L14*1.16/(1.16-0.09)-0.3,IF(N14=0,"错误",IF(I14&gt;N14,N14/I14*(L14*1.16/(1.16-0.13)-0.3)+(1-N14/I14)*(L14*1.16/(1.16-0.09)-0.3),"提醒")))</f>
        <v>6.5515887850467305</v>
      </c>
      <c r="W14" s="256" t="str">
        <f>IF($D14="","",VLOOKUP(B14,下单月成本!$A$2:$B$13,2,0))</f>
        <v/>
      </c>
      <c r="X14" s="252" t="str">
        <f t="shared" si="5"/>
        <v/>
      </c>
      <c r="Y14" s="462"/>
      <c r="Z14" s="326"/>
      <c r="AA14" s="326"/>
      <c r="AB14" s="350"/>
      <c r="AC14" s="350" t="s">
        <v>330</v>
      </c>
      <c r="AD14" s="327"/>
      <c r="AE14" s="327"/>
    </row>
    <row r="15" spans="1:31" s="328" customFormat="1" ht="12.6" customHeight="1" outlineLevel="2">
      <c r="B15" s="522"/>
      <c r="C15" s="320" t="s">
        <v>350</v>
      </c>
      <c r="D15" s="320"/>
      <c r="E15" s="445">
        <v>41930</v>
      </c>
      <c r="F15" s="365">
        <f t="shared" si="0"/>
        <v>0</v>
      </c>
      <c r="G15" s="350">
        <f>I16</f>
        <v>0</v>
      </c>
      <c r="H15" s="514">
        <v>43273</v>
      </c>
      <c r="I15" s="445">
        <v>20855</v>
      </c>
      <c r="J15" s="365">
        <f t="shared" si="1"/>
        <v>0</v>
      </c>
      <c r="K15" s="206">
        <f t="shared" si="2"/>
        <v>0.49761393462180864</v>
      </c>
      <c r="L15" s="437">
        <f>VLOOKUP(H15,汇率!$B$3:F113,5,0)</f>
        <v>6.48</v>
      </c>
      <c r="M15" s="321"/>
      <c r="N15" s="403" t="s">
        <v>300</v>
      </c>
      <c r="O15" s="243">
        <f t="shared" si="3"/>
        <v>2407.9538296349319</v>
      </c>
      <c r="P15" s="243"/>
      <c r="Q15" s="538">
        <f>I15-O15</f>
        <v>18447.046170365069</v>
      </c>
      <c r="R15" s="368" t="str">
        <f t="shared" si="4"/>
        <v/>
      </c>
      <c r="S15" s="532"/>
      <c r="T15" s="323"/>
      <c r="U15" s="255" t="str">
        <f t="shared" si="6"/>
        <v/>
      </c>
      <c r="V15" s="254">
        <f>IF(N15="N",L15*1.16/(1.16-0.09)-0.3,IF(N15=0,"错误",IF(I15&gt;N15,N15/I15*(L15*1.16/(1.16-0.13)-0.3)+(1-N15/I15)*(L15*1.16/(1.16-0.09)-0.3),"提醒")))</f>
        <v>6.7250467289719635</v>
      </c>
      <c r="W15" s="256" t="str">
        <f>IF($D15="","",VLOOKUP(B15,下单月成本!$A$2:$B$13,2,0))</f>
        <v/>
      </c>
      <c r="X15" s="252" t="str">
        <f t="shared" si="5"/>
        <v/>
      </c>
      <c r="Y15" s="462"/>
      <c r="Z15" s="326"/>
      <c r="AA15" s="326"/>
      <c r="AB15" s="350"/>
      <c r="AC15" s="350" t="s">
        <v>336</v>
      </c>
      <c r="AD15" s="327"/>
      <c r="AE15" s="327"/>
    </row>
    <row r="16" spans="1:31" s="328" customFormat="1" ht="17.100000000000001" customHeight="1" outlineLevel="1">
      <c r="A16" s="219">
        <v>43252</v>
      </c>
      <c r="B16" s="523">
        <v>43191</v>
      </c>
      <c r="C16" s="364"/>
      <c r="D16" s="364" t="s">
        <v>350</v>
      </c>
      <c r="E16" s="365"/>
      <c r="F16" s="365">
        <f t="shared" si="0"/>
        <v>41930</v>
      </c>
      <c r="G16" s="365">
        <f>SUBTOTAL(9,G14:G15)</f>
        <v>0</v>
      </c>
      <c r="H16" s="515"/>
      <c r="I16" s="365"/>
      <c r="J16" s="365">
        <f t="shared" si="1"/>
        <v>41910</v>
      </c>
      <c r="K16" s="206" t="str">
        <f t="shared" si="2"/>
        <v/>
      </c>
      <c r="L16" s="438"/>
      <c r="M16" s="365">
        <v>195317.95</v>
      </c>
      <c r="N16" s="404"/>
      <c r="O16" s="243" t="str">
        <f t="shared" si="3"/>
        <v/>
      </c>
      <c r="P16" s="368">
        <v>4839</v>
      </c>
      <c r="Q16" s="539"/>
      <c r="R16" s="368">
        <f t="shared" si="4"/>
        <v>37071</v>
      </c>
      <c r="S16" s="533">
        <v>5730</v>
      </c>
      <c r="T16" s="369"/>
      <c r="U16" s="255">
        <f t="shared" si="6"/>
        <v>5.4504380715383993</v>
      </c>
      <c r="V16" s="255">
        <f>V14*K14+V15*K15</f>
        <v>6.637903875014775</v>
      </c>
      <c r="W16" s="256">
        <f>IF($D16="","",VLOOKUP(B16,下单月成本!$A$2:$B$13,2,0))</f>
        <v>0.77600000000000002</v>
      </c>
      <c r="X16" s="252">
        <f t="shared" si="5"/>
        <v>3813.3622001681802</v>
      </c>
      <c r="Y16" s="252">
        <v>-2000</v>
      </c>
      <c r="Z16" s="252">
        <f>SUM(X16:Y16)*0.7</f>
        <v>1269.353540117726</v>
      </c>
      <c r="AA16" s="252">
        <f>IF(SUMIF(AB14:AB35,AB16,Z14:Z35)&gt;5000,Z16*0.875,Z16)</f>
        <v>1110.6843476030103</v>
      </c>
      <c r="AB16" s="365" t="s">
        <v>18</v>
      </c>
      <c r="AC16" s="365" t="s">
        <v>336</v>
      </c>
      <c r="AD16" s="370">
        <v>1</v>
      </c>
      <c r="AE16" s="370">
        <v>0.25</v>
      </c>
    </row>
    <row r="17" spans="1:31" s="328" customFormat="1" ht="12.75" outlineLevel="2">
      <c r="B17" s="522"/>
      <c r="C17" s="320" t="s">
        <v>351</v>
      </c>
      <c r="D17" s="320"/>
      <c r="E17" s="350"/>
      <c r="F17" s="365">
        <f t="shared" si="0"/>
        <v>0</v>
      </c>
      <c r="G17" s="350"/>
      <c r="H17" s="514">
        <v>43242</v>
      </c>
      <c r="I17" s="445">
        <v>10846.5</v>
      </c>
      <c r="J17" s="365">
        <f t="shared" si="1"/>
        <v>0</v>
      </c>
      <c r="K17" s="206">
        <f t="shared" si="2"/>
        <v>0.24536817102137767</v>
      </c>
      <c r="L17" s="437">
        <f>VLOOKUP(H17,汇率!$B$3:F115,5,0)</f>
        <v>6.36</v>
      </c>
      <c r="M17" s="321"/>
      <c r="N17" s="403" t="s">
        <v>300</v>
      </c>
      <c r="O17" s="243">
        <f t="shared" si="3"/>
        <v>687.03087885985747</v>
      </c>
      <c r="P17" s="243"/>
      <c r="Q17" s="538">
        <f>I17-O17</f>
        <v>10159.469121140142</v>
      </c>
      <c r="R17" s="368" t="str">
        <f t="shared" si="4"/>
        <v/>
      </c>
      <c r="S17" s="532"/>
      <c r="T17" s="323"/>
      <c r="U17" s="255" t="str">
        <f t="shared" si="6"/>
        <v/>
      </c>
      <c r="V17" s="254">
        <f>IF(N17="N",L17*1.16/(1.16-0.09)-0.3,IF(N17=0,"错误",IF(I17&gt;N17,N17/I17*(L17*1.16/(1.16-0.13)-0.3)+(1-N17/I17)*(L17*1.16/(1.16-0.09)-0.3),"提醒")))</f>
        <v>6.5949532710280385</v>
      </c>
      <c r="W17" s="256" t="str">
        <f>IF($D17="","",VLOOKUP(B17,下单月成本!$A$2:$B$13,2,0))</f>
        <v/>
      </c>
      <c r="X17" s="252" t="str">
        <f t="shared" si="5"/>
        <v/>
      </c>
      <c r="Y17" s="462"/>
      <c r="Z17" s="326"/>
      <c r="AA17" s="326"/>
      <c r="AB17" s="350"/>
      <c r="AC17" s="350" t="s">
        <v>331</v>
      </c>
      <c r="AD17" s="327"/>
      <c r="AE17" s="327"/>
    </row>
    <row r="18" spans="1:31" s="328" customFormat="1" ht="12.75" outlineLevel="2">
      <c r="B18" s="522"/>
      <c r="C18" s="320" t="s">
        <v>351</v>
      </c>
      <c r="D18" s="320"/>
      <c r="E18" s="445">
        <v>44205</v>
      </c>
      <c r="F18" s="365">
        <f t="shared" si="0"/>
        <v>0</v>
      </c>
      <c r="G18" s="350">
        <f>I19</f>
        <v>0</v>
      </c>
      <c r="H18" s="514">
        <v>43280</v>
      </c>
      <c r="I18" s="445">
        <v>33358.5</v>
      </c>
      <c r="J18" s="365">
        <f t="shared" si="1"/>
        <v>0</v>
      </c>
      <c r="K18" s="206">
        <f t="shared" si="2"/>
        <v>0.75463182897862235</v>
      </c>
      <c r="L18" s="437">
        <f>VLOOKUP(H18,汇率!$B$3:F116,5,0)</f>
        <v>6.61</v>
      </c>
      <c r="M18" s="321"/>
      <c r="N18" s="403" t="s">
        <v>300</v>
      </c>
      <c r="O18" s="243">
        <f t="shared" si="3"/>
        <v>2112.9691211401428</v>
      </c>
      <c r="P18" s="243"/>
      <c r="Q18" s="538">
        <f>I18-O18</f>
        <v>31245.530878859856</v>
      </c>
      <c r="R18" s="368" t="str">
        <f t="shared" si="4"/>
        <v/>
      </c>
      <c r="S18" s="532"/>
      <c r="T18" s="323"/>
      <c r="U18" s="255" t="str">
        <f t="shared" si="6"/>
        <v/>
      </c>
      <c r="V18" s="254">
        <f>IF(N18="N",L18*1.16/(1.16-0.09)-0.3,IF(N18=0,"错误",IF(I18&gt;N18,N18/I18*(L18*1.16/(1.16-0.13)-0.3)+(1-N18/I18)*(L18*1.16/(1.16-0.09)-0.3),"提醒")))</f>
        <v>6.8659813084112162</v>
      </c>
      <c r="W18" s="256" t="str">
        <f>IF($D18="","",VLOOKUP(B18,下单月成本!$A$2:$B$13,2,0))</f>
        <v/>
      </c>
      <c r="X18" s="252" t="str">
        <f t="shared" si="5"/>
        <v/>
      </c>
      <c r="Y18" s="462"/>
      <c r="Z18" s="326"/>
      <c r="AA18" s="326"/>
      <c r="AB18" s="350"/>
      <c r="AC18" s="350" t="s">
        <v>331</v>
      </c>
      <c r="AD18" s="327"/>
      <c r="AE18" s="327"/>
    </row>
    <row r="19" spans="1:31" s="328" customFormat="1" ht="17.100000000000001" customHeight="1" outlineLevel="1">
      <c r="A19" s="219">
        <v>43252</v>
      </c>
      <c r="B19" s="523">
        <v>43221</v>
      </c>
      <c r="C19" s="364"/>
      <c r="D19" s="364" t="s">
        <v>351</v>
      </c>
      <c r="E19" s="365"/>
      <c r="F19" s="365">
        <f t="shared" si="0"/>
        <v>44205</v>
      </c>
      <c r="G19" s="365">
        <f>SUBTOTAL(9,G17:G18)</f>
        <v>0</v>
      </c>
      <c r="H19" s="515"/>
      <c r="I19" s="365"/>
      <c r="J19" s="365">
        <f t="shared" si="1"/>
        <v>44205</v>
      </c>
      <c r="K19" s="206" t="str">
        <f t="shared" si="2"/>
        <v/>
      </c>
      <c r="L19" s="438"/>
      <c r="M19" s="365">
        <v>185505</v>
      </c>
      <c r="N19" s="404"/>
      <c r="O19" s="243" t="str">
        <f t="shared" si="3"/>
        <v/>
      </c>
      <c r="P19" s="368">
        <v>2800</v>
      </c>
      <c r="Q19" s="539"/>
      <c r="R19" s="368">
        <f t="shared" si="4"/>
        <v>41405</v>
      </c>
      <c r="S19" s="533">
        <v>5060</v>
      </c>
      <c r="T19" s="369"/>
      <c r="U19" s="255">
        <f t="shared" si="6"/>
        <v>4.6254757879483153</v>
      </c>
      <c r="V19" s="255">
        <f>V17*K17+V18*K18</f>
        <v>6.799479654582993</v>
      </c>
      <c r="W19" s="256">
        <f>IF($D19="","",VLOOKUP(B19,下单月成本!$A$2:$B$13,2,0))</f>
        <v>0.78900000000000003</v>
      </c>
      <c r="X19" s="252">
        <f t="shared" si="5"/>
        <v>1433.6521274502206</v>
      </c>
      <c r="Y19" s="252">
        <v>10000</v>
      </c>
      <c r="Z19" s="252">
        <f>X19*0.7+Y19</f>
        <v>11003.556489215154</v>
      </c>
      <c r="AA19" s="252">
        <f>IF(SUMIF(AB15:AB38,AB19,Z15:Z38)&gt;5000,Z19*0.875,Z19)</f>
        <v>9628.1119280632593</v>
      </c>
      <c r="AB19" s="365" t="s">
        <v>18</v>
      </c>
      <c r="AC19" s="365" t="s">
        <v>331</v>
      </c>
      <c r="AD19" s="370">
        <v>0.1</v>
      </c>
      <c r="AE19" s="370">
        <v>0.25</v>
      </c>
    </row>
    <row r="20" spans="1:31" s="328" customFormat="1" ht="12.75" outlineLevel="2">
      <c r="B20" s="522"/>
      <c r="C20" s="320" t="s">
        <v>352</v>
      </c>
      <c r="D20" s="320"/>
      <c r="E20" s="445">
        <v>22345</v>
      </c>
      <c r="F20" s="365">
        <f t="shared" si="0"/>
        <v>0</v>
      </c>
      <c r="G20" s="350">
        <f>I21</f>
        <v>0</v>
      </c>
      <c r="H20" s="514">
        <v>43257</v>
      </c>
      <c r="I20" s="445">
        <v>22320</v>
      </c>
      <c r="J20" s="365">
        <f t="shared" si="1"/>
        <v>0</v>
      </c>
      <c r="K20" s="206">
        <f t="shared" si="2"/>
        <v>1</v>
      </c>
      <c r="L20" s="437">
        <f>VLOOKUP(H20,汇率!$B$3:F118,5,0)</f>
        <v>6.39</v>
      </c>
      <c r="M20" s="321"/>
      <c r="N20" s="403" t="s">
        <v>300</v>
      </c>
      <c r="O20" s="243">
        <f t="shared" si="3"/>
        <v>0</v>
      </c>
      <c r="P20" s="243"/>
      <c r="Q20" s="538">
        <f>I20-O20</f>
        <v>22320</v>
      </c>
      <c r="R20" s="368" t="str">
        <f t="shared" si="4"/>
        <v/>
      </c>
      <c r="S20" s="532"/>
      <c r="T20" s="323"/>
      <c r="U20" s="255" t="str">
        <f t="shared" si="6"/>
        <v/>
      </c>
      <c r="V20" s="254">
        <f>IF(N20="N",L20*1.16/(1.16-0.09)-0.3,IF(N20=0,"错误",IF(I20&gt;N20,N20/I20*(L20*1.16/(1.16-0.13)-0.3)+(1-N20/I20)*(L20*1.16/(1.16-0.09)-0.3),"提醒")))</f>
        <v>6.6274766355140189</v>
      </c>
      <c r="W20" s="256" t="str">
        <f>IF($D20="","",VLOOKUP(B20,下单月成本!$A$2:$B$13,2,0))</f>
        <v/>
      </c>
      <c r="X20" s="252" t="str">
        <f t="shared" si="5"/>
        <v/>
      </c>
      <c r="Y20" s="462"/>
      <c r="Z20" s="326"/>
      <c r="AA20" s="326"/>
      <c r="AB20" s="350"/>
      <c r="AC20" s="350" t="s">
        <v>337</v>
      </c>
      <c r="AD20" s="327"/>
      <c r="AE20" s="327"/>
    </row>
    <row r="21" spans="1:31" s="328" customFormat="1" ht="17.100000000000001" customHeight="1" outlineLevel="1">
      <c r="A21" s="219">
        <v>43252</v>
      </c>
      <c r="B21" s="523">
        <v>43252</v>
      </c>
      <c r="C21" s="364"/>
      <c r="D21" s="364" t="s">
        <v>352</v>
      </c>
      <c r="E21" s="365"/>
      <c r="F21" s="365">
        <f t="shared" si="0"/>
        <v>22345</v>
      </c>
      <c r="G21" s="365">
        <f>SUBTOTAL(9,G20:G20)</f>
        <v>0</v>
      </c>
      <c r="H21" s="515"/>
      <c r="I21" s="365"/>
      <c r="J21" s="365">
        <f t="shared" si="1"/>
        <v>22320</v>
      </c>
      <c r="K21" s="206" t="str">
        <f t="shared" si="2"/>
        <v/>
      </c>
      <c r="L21" s="438"/>
      <c r="M21" s="365" t="s">
        <v>357</v>
      </c>
      <c r="N21" s="404"/>
      <c r="O21" s="243" t="str">
        <f t="shared" si="3"/>
        <v/>
      </c>
      <c r="P21" s="368">
        <v>0</v>
      </c>
      <c r="Q21" s="539"/>
      <c r="R21" s="368">
        <f t="shared" si="4"/>
        <v>22320</v>
      </c>
      <c r="S21" s="533">
        <v>3165</v>
      </c>
      <c r="T21" s="369"/>
      <c r="U21" s="255">
        <f t="shared" si="6"/>
        <v>0.1425100806451613</v>
      </c>
      <c r="V21" s="255">
        <f>V20*K20</f>
        <v>6.6274766355140189</v>
      </c>
      <c r="W21" s="256">
        <f>IF($D21="","",VLOOKUP(B21,下单月成本!$A$2:$B$13,2,0))</f>
        <v>0.47499999999999998</v>
      </c>
      <c r="X21" s="252">
        <f t="shared" si="5"/>
        <v>3353.561337616823</v>
      </c>
      <c r="Y21" s="252"/>
      <c r="Z21" s="252">
        <f>X21*0.7+Y21</f>
        <v>2347.492936331776</v>
      </c>
      <c r="AA21" s="252">
        <f>IF(SUMIF(AB18:AB39,AB21,Z18:Z39)&gt;5000,Z21*0.875,Z21)-0.04</f>
        <v>2054.0163192903042</v>
      </c>
      <c r="AB21" s="365" t="s">
        <v>29</v>
      </c>
      <c r="AC21" s="365" t="s">
        <v>337</v>
      </c>
      <c r="AD21" s="370">
        <v>0.1</v>
      </c>
      <c r="AE21" s="370">
        <v>0.25</v>
      </c>
    </row>
    <row r="22" spans="1:31" s="328" customFormat="1" ht="12.75" outlineLevel="2">
      <c r="B22" s="522"/>
      <c r="C22" s="320" t="s">
        <v>353</v>
      </c>
      <c r="D22" s="320"/>
      <c r="E22" s="350"/>
      <c r="F22" s="365">
        <f t="shared" si="0"/>
        <v>0</v>
      </c>
      <c r="G22" s="350"/>
      <c r="H22" s="514">
        <v>43188</v>
      </c>
      <c r="I22" s="445">
        <v>19865.5</v>
      </c>
      <c r="J22" s="365">
        <f t="shared" si="1"/>
        <v>0</v>
      </c>
      <c r="K22" s="206">
        <f t="shared" si="2"/>
        <v>0.29971635913761108</v>
      </c>
      <c r="L22" s="437">
        <f>VLOOKUP(H22,汇率!$B$3:F120,5,0)</f>
        <v>6.28</v>
      </c>
      <c r="M22" s="321"/>
      <c r="N22" s="403" t="s">
        <v>300</v>
      </c>
      <c r="O22" s="243">
        <f t="shared" si="3"/>
        <v>0</v>
      </c>
      <c r="P22" s="243"/>
      <c r="Q22" s="538">
        <f>I22-O22</f>
        <v>19865.5</v>
      </c>
      <c r="R22" s="368" t="str">
        <f t="shared" si="4"/>
        <v/>
      </c>
      <c r="S22" s="532"/>
      <c r="T22" s="323"/>
      <c r="U22" s="255" t="str">
        <f t="shared" si="6"/>
        <v/>
      </c>
      <c r="V22" s="254">
        <f>IF(N22="N",L22*1.16/(1.16-0.09)-0.3,IF(N22=0,"错误",IF(I22&gt;N22,N22/I22*(L22*1.16/(1.16-0.13)-0.3)+(1-N22/I22)*(L22*1.16/(1.16-0.09)-0.3),"提醒")))</f>
        <v>6.5082242990654215</v>
      </c>
      <c r="W22" s="256" t="str">
        <f>IF($D22="","",VLOOKUP(B22,下单月成本!$A$2:$B$13,2,0))</f>
        <v/>
      </c>
      <c r="X22" s="252" t="str">
        <f t="shared" si="5"/>
        <v/>
      </c>
      <c r="Y22" s="462"/>
      <c r="Z22" s="326"/>
      <c r="AA22" s="326"/>
      <c r="AB22" s="350"/>
      <c r="AC22" s="350" t="s">
        <v>338</v>
      </c>
      <c r="AD22" s="327"/>
      <c r="AE22" s="327"/>
    </row>
    <row r="23" spans="1:31" s="328" customFormat="1" ht="12.75" outlineLevel="2">
      <c r="B23" s="522"/>
      <c r="C23" s="320" t="s">
        <v>353</v>
      </c>
      <c r="D23" s="320"/>
      <c r="E23" s="445">
        <v>66375</v>
      </c>
      <c r="F23" s="365">
        <f t="shared" si="0"/>
        <v>0</v>
      </c>
      <c r="G23" s="350">
        <f>I24</f>
        <v>0</v>
      </c>
      <c r="H23" s="514">
        <v>43252</v>
      </c>
      <c r="I23" s="445">
        <v>46415.5</v>
      </c>
      <c r="J23" s="365">
        <f t="shared" si="1"/>
        <v>0</v>
      </c>
      <c r="K23" s="206">
        <f t="shared" si="2"/>
        <v>0.70028364086238892</v>
      </c>
      <c r="L23" s="437">
        <f>VLOOKUP(H23,汇率!$B$3:F121,5,0)</f>
        <v>6.4</v>
      </c>
      <c r="M23" s="321"/>
      <c r="N23" s="403" t="s">
        <v>300</v>
      </c>
      <c r="O23" s="243">
        <f t="shared" si="3"/>
        <v>0</v>
      </c>
      <c r="P23" s="243"/>
      <c r="Q23" s="538">
        <f>I23-O23</f>
        <v>46415.5</v>
      </c>
      <c r="R23" s="368" t="str">
        <f t="shared" si="4"/>
        <v/>
      </c>
      <c r="S23" s="532"/>
      <c r="T23" s="323"/>
      <c r="U23" s="255" t="str">
        <f t="shared" si="6"/>
        <v/>
      </c>
      <c r="V23" s="254">
        <f>IF(N23="N",L23*1.16/(1.16-0.09)-0.3,IF(N23=0,"错误",IF(I23&gt;N23,N23/I23*(L23*1.16/(1.16-0.13)-0.3)+(1-N23/I23)*(L23*1.16/(1.16-0.09)-0.3),"提醒")))</f>
        <v>6.6383177570093466</v>
      </c>
      <c r="W23" s="256" t="str">
        <f>IF($D23="","",VLOOKUP(B23,下单月成本!$A$2:$B$13,2,0))</f>
        <v/>
      </c>
      <c r="X23" s="252" t="str">
        <f t="shared" si="5"/>
        <v/>
      </c>
      <c r="Y23" s="462"/>
      <c r="Z23" s="326"/>
      <c r="AA23" s="326"/>
      <c r="AB23" s="350"/>
      <c r="AC23" s="350" t="s">
        <v>338</v>
      </c>
      <c r="AD23" s="327"/>
      <c r="AE23" s="327"/>
    </row>
    <row r="24" spans="1:31" s="328" customFormat="1" ht="17.100000000000001" customHeight="1" outlineLevel="1">
      <c r="A24" s="219">
        <v>43252</v>
      </c>
      <c r="B24" s="523">
        <v>43160</v>
      </c>
      <c r="C24" s="364"/>
      <c r="D24" s="364" t="s">
        <v>353</v>
      </c>
      <c r="E24" s="365"/>
      <c r="F24" s="365">
        <f t="shared" si="0"/>
        <v>66375</v>
      </c>
      <c r="G24" s="365">
        <f>SUBTOTAL(9,G22:G23)</f>
        <v>0</v>
      </c>
      <c r="H24" s="515"/>
      <c r="I24" s="365"/>
      <c r="J24" s="365">
        <f t="shared" si="1"/>
        <v>66281</v>
      </c>
      <c r="K24" s="206" t="str">
        <f t="shared" si="2"/>
        <v/>
      </c>
      <c r="L24" s="438"/>
      <c r="M24" s="365">
        <v>376445</v>
      </c>
      <c r="N24" s="404"/>
      <c r="O24" s="243" t="str">
        <f t="shared" si="3"/>
        <v/>
      </c>
      <c r="P24" s="368">
        <v>0</v>
      </c>
      <c r="Q24" s="539"/>
      <c r="R24" s="368">
        <f t="shared" si="4"/>
        <v>66281</v>
      </c>
      <c r="S24" s="533">
        <v>11890</v>
      </c>
      <c r="T24" s="369"/>
      <c r="U24" s="255">
        <f t="shared" si="6"/>
        <v>5.888213439748947</v>
      </c>
      <c r="V24" s="255">
        <f>V22*K22+V23*K23</f>
        <v>6.5993266194467708</v>
      </c>
      <c r="W24" s="256">
        <f>IF($D24="","",VLOOKUP(B24,下单月成本!$A$2:$B$13,2,0))</f>
        <v>0.55000000000000004</v>
      </c>
      <c r="X24" s="252">
        <f t="shared" si="5"/>
        <v>266.96856658878647</v>
      </c>
      <c r="Y24" s="252"/>
      <c r="Z24" s="252">
        <f>X24*0.7+Y24</f>
        <v>186.87799661215053</v>
      </c>
      <c r="AA24" s="252">
        <f>IF(SUMIF(AB21:AB40,AB24,Z21:Z40)&gt;5000,Z24*0.875,Z24)</f>
        <v>163.5182470356317</v>
      </c>
      <c r="AB24" s="365" t="s">
        <v>29</v>
      </c>
      <c r="AC24" s="365" t="s">
        <v>338</v>
      </c>
      <c r="AD24" s="370">
        <v>0.1</v>
      </c>
      <c r="AE24" s="370">
        <v>0.25</v>
      </c>
    </row>
    <row r="25" spans="1:31" s="328" customFormat="1" ht="12.75" outlineLevel="2">
      <c r="B25" s="522"/>
      <c r="C25" s="320" t="s">
        <v>354</v>
      </c>
      <c r="D25" s="320"/>
      <c r="E25" s="350"/>
      <c r="F25" s="365">
        <f t="shared" si="0"/>
        <v>0</v>
      </c>
      <c r="G25" s="350"/>
      <c r="H25" s="514">
        <v>43202</v>
      </c>
      <c r="I25" s="445">
        <v>17465.25</v>
      </c>
      <c r="J25" s="365">
        <f t="shared" si="1"/>
        <v>0</v>
      </c>
      <c r="K25" s="206">
        <f t="shared" si="2"/>
        <v>0.49028703768685522</v>
      </c>
      <c r="L25" s="437">
        <f>VLOOKUP(H25,汇率!$B$3:F123,5,0)</f>
        <v>6.27</v>
      </c>
      <c r="M25" s="321"/>
      <c r="N25" s="403" t="s">
        <v>300</v>
      </c>
      <c r="O25" s="243">
        <f t="shared" si="3"/>
        <v>1472.3319741736261</v>
      </c>
      <c r="P25" s="243"/>
      <c r="Q25" s="538">
        <f>I25-O25</f>
        <v>15992.918025826373</v>
      </c>
      <c r="R25" s="368" t="str">
        <f t="shared" si="4"/>
        <v/>
      </c>
      <c r="S25" s="532"/>
      <c r="T25" s="323"/>
      <c r="U25" s="255" t="str">
        <f t="shared" si="6"/>
        <v/>
      </c>
      <c r="V25" s="254">
        <f>IF(N25="N",L25*1.16/(1.16-0.09)-0.3,IF(N25=0,"错误",IF(I25&gt;N25,N25/I25*(L25*1.16/(1.16-0.13)-0.3)+(1-N25/I25)*(L25*1.16/(1.16-0.09)-0.3),"提醒")))</f>
        <v>6.4973831775700939</v>
      </c>
      <c r="W25" s="256" t="str">
        <f>IF($D25="","",VLOOKUP(B25,下单月成本!$A$2:$B$13,2,0))</f>
        <v/>
      </c>
      <c r="X25" s="252" t="str">
        <f t="shared" si="5"/>
        <v/>
      </c>
      <c r="Y25" s="462"/>
      <c r="Z25" s="326"/>
      <c r="AA25" s="326"/>
      <c r="AB25" s="350"/>
      <c r="AC25" s="350" t="s">
        <v>332</v>
      </c>
      <c r="AD25" s="327"/>
      <c r="AE25" s="327"/>
    </row>
    <row r="26" spans="1:31" s="328" customFormat="1" ht="12.75" outlineLevel="2">
      <c r="B26" s="522"/>
      <c r="C26" s="320" t="s">
        <v>354</v>
      </c>
      <c r="D26" s="320"/>
      <c r="E26" s="445">
        <v>35674.5</v>
      </c>
      <c r="F26" s="365">
        <f t="shared" si="0"/>
        <v>0</v>
      </c>
      <c r="G26" s="350">
        <f>I27</f>
        <v>0</v>
      </c>
      <c r="H26" s="514">
        <v>43272</v>
      </c>
      <c r="I26" s="445">
        <v>18157.25</v>
      </c>
      <c r="J26" s="365">
        <f t="shared" si="1"/>
        <v>0</v>
      </c>
      <c r="K26" s="206">
        <f t="shared" si="2"/>
        <v>0.50971296231314478</v>
      </c>
      <c r="L26" s="437">
        <f>VLOOKUP(H26,汇率!$B$3:F124,5,0)</f>
        <v>6.48</v>
      </c>
      <c r="M26" s="321"/>
      <c r="N26" s="403" t="s">
        <v>300</v>
      </c>
      <c r="O26" s="243">
        <f t="shared" si="3"/>
        <v>1530.6680258263739</v>
      </c>
      <c r="P26" s="243"/>
      <c r="Q26" s="538">
        <f>I26-O26</f>
        <v>16626.581974173627</v>
      </c>
      <c r="R26" s="368" t="str">
        <f t="shared" si="4"/>
        <v/>
      </c>
      <c r="S26" s="532"/>
      <c r="T26" s="323"/>
      <c r="U26" s="255" t="str">
        <f t="shared" si="6"/>
        <v/>
      </c>
      <c r="V26" s="254">
        <f>IF(N26="N",L26*1.16/(1.16-0.09)-0.3,IF(N26=0,"错误",IF(I26&gt;N26,N26/I26*(L26*1.16/(1.16-0.13)-0.3)+(1-N26/I26)*(L26*1.16/(1.16-0.09)-0.3),"提醒")))</f>
        <v>6.7250467289719635</v>
      </c>
      <c r="W26" s="256" t="str">
        <f>IF($D26="","",VLOOKUP(B26,下单月成本!$A$2:$B$13,2,0))</f>
        <v/>
      </c>
      <c r="X26" s="252" t="str">
        <f t="shared" si="5"/>
        <v/>
      </c>
      <c r="Y26" s="462"/>
      <c r="Z26" s="326"/>
      <c r="AA26" s="326"/>
      <c r="AB26" s="350"/>
      <c r="AC26" s="350" t="s">
        <v>332</v>
      </c>
      <c r="AD26" s="327"/>
      <c r="AE26" s="327"/>
    </row>
    <row r="27" spans="1:31" s="328" customFormat="1" ht="17.100000000000001" customHeight="1" outlineLevel="1">
      <c r="A27" s="219">
        <v>43252</v>
      </c>
      <c r="B27" s="523">
        <v>43191</v>
      </c>
      <c r="C27" s="364"/>
      <c r="D27" s="364" t="s">
        <v>354</v>
      </c>
      <c r="E27" s="365"/>
      <c r="F27" s="365">
        <f t="shared" si="0"/>
        <v>35674.5</v>
      </c>
      <c r="G27" s="365">
        <f>SUBTOTAL(9,G25:G26)</f>
        <v>0</v>
      </c>
      <c r="H27" s="515"/>
      <c r="I27" s="365"/>
      <c r="J27" s="365">
        <f t="shared" si="1"/>
        <v>35622.5</v>
      </c>
      <c r="K27" s="206" t="str">
        <f t="shared" si="2"/>
        <v/>
      </c>
      <c r="L27" s="438"/>
      <c r="M27" s="365">
        <v>156922</v>
      </c>
      <c r="N27" s="404"/>
      <c r="O27" s="243" t="str">
        <f t="shared" si="3"/>
        <v/>
      </c>
      <c r="P27" s="368">
        <v>3003</v>
      </c>
      <c r="Q27" s="539"/>
      <c r="R27" s="368">
        <f t="shared" si="4"/>
        <v>32619.5</v>
      </c>
      <c r="S27" s="533">
        <v>4770</v>
      </c>
      <c r="T27" s="369"/>
      <c r="U27" s="255">
        <f t="shared" si="6"/>
        <v>4.9816968377810813</v>
      </c>
      <c r="V27" s="255">
        <f>V25*K25+V26*K26</f>
        <v>6.6134262407658717</v>
      </c>
      <c r="W27" s="256">
        <f>IF($D27="","",VLOOKUP(B27,下单月成本!$A$2:$B$13,2,0))</f>
        <v>0.77600000000000002</v>
      </c>
      <c r="X27" s="252">
        <f t="shared" si="5"/>
        <v>697.83663151655935</v>
      </c>
      <c r="Y27" s="252">
        <f>下单月成本!O9</f>
        <v>1459.8164203298688</v>
      </c>
      <c r="Z27" s="252">
        <f>X27*0.7+Y27</f>
        <v>1948.3020623914604</v>
      </c>
      <c r="AA27" s="252">
        <f>IF(SUMIF(AB26:AB48,AB27,Z26:Z48)&gt;5000,Z27*0.875,Z27)</f>
        <v>1704.7643045925279</v>
      </c>
      <c r="AB27" s="365" t="s">
        <v>29</v>
      </c>
      <c r="AC27" s="365" t="s">
        <v>332</v>
      </c>
      <c r="AD27" s="370">
        <v>0.1</v>
      </c>
      <c r="AE27" s="370">
        <v>0.25</v>
      </c>
    </row>
    <row r="28" spans="1:31" s="328" customFormat="1" ht="12.75" outlineLevel="2">
      <c r="B28" s="522"/>
      <c r="C28" s="320" t="s">
        <v>355</v>
      </c>
      <c r="D28" s="320"/>
      <c r="E28" s="350"/>
      <c r="F28" s="365">
        <f t="shared" si="0"/>
        <v>0</v>
      </c>
      <c r="G28" s="350"/>
      <c r="H28" s="514">
        <v>43226</v>
      </c>
      <c r="I28" s="445">
        <v>19399.7</v>
      </c>
      <c r="J28" s="365">
        <f t="shared" si="1"/>
        <v>0</v>
      </c>
      <c r="K28" s="206">
        <f t="shared" si="2"/>
        <v>0.5</v>
      </c>
      <c r="L28" s="437">
        <f>VLOOKUP(H28,汇率!$B$3:F123,5,0)</f>
        <v>6.35</v>
      </c>
      <c r="M28" s="321"/>
      <c r="N28" s="403" t="s">
        <v>300</v>
      </c>
      <c r="O28" s="243">
        <f t="shared" si="3"/>
        <v>0</v>
      </c>
      <c r="P28" s="243"/>
      <c r="Q28" s="538">
        <f>I28-O28</f>
        <v>19399.7</v>
      </c>
      <c r="R28" s="368" t="str">
        <f t="shared" si="4"/>
        <v/>
      </c>
      <c r="S28" s="532"/>
      <c r="T28" s="323"/>
      <c r="U28" s="255" t="str">
        <f t="shared" si="6"/>
        <v/>
      </c>
      <c r="V28" s="254">
        <f>IF(N28="N",L28*1.16/(1.16-0.09)-0.3,IF(N28=0,"错误",IF(I28&gt;N28,N28/I28*(L28*1.16/(1.16-0.13)-0.3)+(1-N28/I28)*(L28*1.16/(1.16-0.09)-0.3),"提醒")))</f>
        <v>6.58411214953271</v>
      </c>
      <c r="W28" s="256" t="str">
        <f>IF($D28="","",VLOOKUP(B28,下单月成本!$A$2:$B$13,2,0))</f>
        <v/>
      </c>
      <c r="X28" s="252" t="str">
        <f t="shared" si="5"/>
        <v/>
      </c>
      <c r="Y28" s="462"/>
      <c r="Z28" s="326"/>
      <c r="AA28" s="326"/>
      <c r="AB28" s="350"/>
      <c r="AC28" s="350" t="s">
        <v>333</v>
      </c>
      <c r="AD28" s="327"/>
      <c r="AE28" s="327"/>
    </row>
    <row r="29" spans="1:31" s="328" customFormat="1" ht="12.75" outlineLevel="2">
      <c r="B29" s="522"/>
      <c r="C29" s="320" t="s">
        <v>355</v>
      </c>
      <c r="D29" s="320"/>
      <c r="E29" s="445">
        <v>38799.4</v>
      </c>
      <c r="F29" s="365">
        <f t="shared" si="0"/>
        <v>0</v>
      </c>
      <c r="G29" s="350">
        <f>I30</f>
        <v>0</v>
      </c>
      <c r="H29" s="514">
        <v>43280</v>
      </c>
      <c r="I29" s="445">
        <v>19399.7</v>
      </c>
      <c r="J29" s="365">
        <f t="shared" si="1"/>
        <v>0</v>
      </c>
      <c r="K29" s="206">
        <f t="shared" si="2"/>
        <v>0.5</v>
      </c>
      <c r="L29" s="437">
        <f>VLOOKUP(H29,汇率!$B$3:F124,5,0)</f>
        <v>6.61</v>
      </c>
      <c r="M29" s="321"/>
      <c r="N29" s="403" t="s">
        <v>300</v>
      </c>
      <c r="O29" s="243">
        <f t="shared" si="3"/>
        <v>0</v>
      </c>
      <c r="P29" s="243"/>
      <c r="Q29" s="538">
        <f>I29-O29</f>
        <v>19399.7</v>
      </c>
      <c r="R29" s="368" t="str">
        <f t="shared" si="4"/>
        <v/>
      </c>
      <c r="S29" s="532"/>
      <c r="T29" s="323"/>
      <c r="U29" s="255" t="str">
        <f t="shared" si="6"/>
        <v/>
      </c>
      <c r="V29" s="254">
        <f>IF(N29="N",L29*1.16/(1.16-0.09)-0.3,IF(N29=0,"错误",IF(I29&gt;N29,N29/I29*(L29*1.16/(1.16-0.13)-0.3)+(1-N29/I29)*(L29*1.16/(1.16-0.09)-0.3),"提醒")))</f>
        <v>6.8659813084112162</v>
      </c>
      <c r="W29" s="256" t="str">
        <f>IF($D29="","",VLOOKUP(B29,下单月成本!$A$2:$B$13,2,0))</f>
        <v/>
      </c>
      <c r="X29" s="252" t="str">
        <f t="shared" si="5"/>
        <v/>
      </c>
      <c r="Y29" s="462"/>
      <c r="Z29" s="326"/>
      <c r="AA29" s="326"/>
      <c r="AB29" s="350"/>
      <c r="AC29" s="350" t="s">
        <v>333</v>
      </c>
      <c r="AD29" s="327"/>
      <c r="AE29" s="327"/>
    </row>
    <row r="30" spans="1:31" s="328" customFormat="1" ht="17.100000000000001" customHeight="1" outlineLevel="1">
      <c r="A30" s="219">
        <v>43252</v>
      </c>
      <c r="B30" s="523">
        <v>43221</v>
      </c>
      <c r="C30" s="364"/>
      <c r="D30" s="364" t="s">
        <v>355</v>
      </c>
      <c r="E30" s="365"/>
      <c r="F30" s="365">
        <f t="shared" si="0"/>
        <v>38799.4</v>
      </c>
      <c r="G30" s="365">
        <f>SUBTOTAL(9,G28:G29)</f>
        <v>0</v>
      </c>
      <c r="H30" s="515"/>
      <c r="I30" s="365"/>
      <c r="J30" s="365">
        <f t="shared" si="1"/>
        <v>38799.4</v>
      </c>
      <c r="K30" s="206" t="str">
        <f t="shared" si="2"/>
        <v/>
      </c>
      <c r="L30" s="438"/>
      <c r="M30" s="365">
        <v>203937.5</v>
      </c>
      <c r="N30" s="404"/>
      <c r="O30" s="243" t="str">
        <f t="shared" si="3"/>
        <v/>
      </c>
      <c r="P30" s="368">
        <v>0</v>
      </c>
      <c r="Q30" s="539"/>
      <c r="R30" s="368">
        <f t="shared" si="4"/>
        <v>38799.4</v>
      </c>
      <c r="S30" s="533">
        <v>5968</v>
      </c>
      <c r="T30" s="369"/>
      <c r="U30" s="255">
        <f t="shared" si="6"/>
        <v>5.4370693232369565</v>
      </c>
      <c r="V30" s="255">
        <f>V28*K28+V29*K29</f>
        <v>6.7250467289719627</v>
      </c>
      <c r="W30" s="256">
        <f>IF($D30="","",VLOOKUP(B30,下单月成本!$A$2:$B$13,2,0))</f>
        <v>0.78900000000000003</v>
      </c>
      <c r="X30" s="252">
        <f t="shared" si="5"/>
        <v>4840.0059890186994</v>
      </c>
      <c r="Y30" s="252">
        <v>-2400</v>
      </c>
      <c r="Z30" s="252">
        <f>X30*0.7+Y30</f>
        <v>988.00419231308933</v>
      </c>
      <c r="AA30" s="252">
        <f>IF(SUMIF(AB24:AB48,AB30,Z24:Z48)&gt;5000,Z30*0.875,Z30)</f>
        <v>864.50366827395317</v>
      </c>
      <c r="AB30" s="365" t="s">
        <v>29</v>
      </c>
      <c r="AC30" s="365" t="s">
        <v>333</v>
      </c>
      <c r="AD30" s="370">
        <v>1</v>
      </c>
      <c r="AE30" s="370">
        <v>0.25</v>
      </c>
    </row>
    <row r="31" spans="1:31" s="328" customFormat="1" ht="12.75" outlineLevel="2">
      <c r="B31" s="522"/>
      <c r="C31" s="320"/>
      <c r="D31" s="320"/>
      <c r="E31" s="445"/>
      <c r="F31" s="365">
        <f t="shared" si="0"/>
        <v>0</v>
      </c>
      <c r="G31" s="350"/>
      <c r="H31" s="514"/>
      <c r="I31" s="445"/>
      <c r="J31" s="365">
        <f t="shared" si="1"/>
        <v>0</v>
      </c>
      <c r="K31" s="206" t="str">
        <f t="shared" si="2"/>
        <v/>
      </c>
      <c r="L31" s="437"/>
      <c r="M31" s="321"/>
      <c r="N31" s="403"/>
      <c r="O31" s="243"/>
      <c r="P31" s="243"/>
      <c r="Q31" s="538"/>
      <c r="R31" s="368" t="str">
        <f t="shared" si="4"/>
        <v/>
      </c>
      <c r="S31" s="532"/>
      <c r="T31" s="323"/>
      <c r="U31" s="255" t="str">
        <f t="shared" si="6"/>
        <v/>
      </c>
      <c r="V31" s="254"/>
      <c r="W31" s="256" t="str">
        <f>IF($D31="","",VLOOKUP(B31,下单月成本!$A$2:$B$13,2,0))</f>
        <v/>
      </c>
      <c r="X31" s="252" t="str">
        <f t="shared" si="5"/>
        <v/>
      </c>
      <c r="Y31" s="462"/>
      <c r="Z31" s="326"/>
      <c r="AA31" s="326"/>
      <c r="AB31" s="350"/>
      <c r="AC31" s="350"/>
      <c r="AD31" s="327"/>
      <c r="AE31" s="327"/>
    </row>
    <row r="32" spans="1:31" s="328" customFormat="1" ht="17.100000000000001" customHeight="1" outlineLevel="1">
      <c r="A32" s="219">
        <v>43252</v>
      </c>
      <c r="B32" s="523">
        <v>43252</v>
      </c>
      <c r="C32" s="364"/>
      <c r="D32" s="364"/>
      <c r="E32" s="365"/>
      <c r="F32" s="365">
        <f t="shared" si="0"/>
        <v>0</v>
      </c>
      <c r="G32" s="365"/>
      <c r="H32" s="515"/>
      <c r="I32" s="365"/>
      <c r="J32" s="365">
        <f t="shared" si="1"/>
        <v>0</v>
      </c>
      <c r="K32" s="206" t="str">
        <f t="shared" si="2"/>
        <v/>
      </c>
      <c r="L32" s="438"/>
      <c r="M32" s="365"/>
      <c r="N32" s="404"/>
      <c r="O32" s="368"/>
      <c r="P32" s="368"/>
      <c r="Q32" s="539"/>
      <c r="R32" s="368" t="str">
        <f t="shared" si="4"/>
        <v/>
      </c>
      <c r="S32" s="533"/>
      <c r="T32" s="369"/>
      <c r="U32" s="255" t="str">
        <f t="shared" si="6"/>
        <v/>
      </c>
      <c r="V32" s="255"/>
      <c r="W32" s="256" t="str">
        <f>IF($D32="","",VLOOKUP(B32,下单月成本!$A$2:$B$13,2,0))</f>
        <v/>
      </c>
      <c r="X32" s="252" t="str">
        <f>IF($D32="","",$R32*(V32-U32-W32)*AD32*AE32)</f>
        <v/>
      </c>
      <c r="Y32" s="252">
        <f>下单月成本!O7</f>
        <v>252.76566212517022</v>
      </c>
      <c r="Z32" s="252" t="e">
        <f>X32*0.7+Y32</f>
        <v>#VALUE!</v>
      </c>
      <c r="AA32" s="252" t="e">
        <f>IF(SUMIF(AB26:AB50,AB32,Z26:Z50)&gt;5000,Z32*0.875,Z32)+0.03</f>
        <v>#VALUE!</v>
      </c>
      <c r="AB32" s="365" t="s">
        <v>356</v>
      </c>
      <c r="AC32" s="365"/>
      <c r="AD32" s="370"/>
      <c r="AE32" s="370"/>
    </row>
    <row r="33" spans="1:31" s="328" customFormat="1" ht="21.6" customHeight="1">
      <c r="A33" s="385"/>
      <c r="B33" s="525"/>
      <c r="C33" s="386"/>
      <c r="D33" s="386" t="s">
        <v>266</v>
      </c>
      <c r="E33" s="451"/>
      <c r="F33" s="451">
        <f>SUBTOTAL(9,F2:F31)</f>
        <v>376372.75</v>
      </c>
      <c r="G33" s="451">
        <f>SUBTOTAL(9,G2:G31)</f>
        <v>0</v>
      </c>
      <c r="H33" s="517"/>
      <c r="I33" s="451"/>
      <c r="J33" s="451">
        <f>SUBTOTAL(9,J2:J31)</f>
        <v>376006.02</v>
      </c>
      <c r="K33" s="453"/>
      <c r="L33" s="454"/>
      <c r="M33" s="451">
        <f>SUBTOTAL(9,M2:M32)</f>
        <v>1696856.49</v>
      </c>
      <c r="N33" s="453"/>
      <c r="O33" s="455">
        <f>SUM(O4,O7,O13,O16,O19,O21,O24,O27,O32)</f>
        <v>0</v>
      </c>
      <c r="P33" s="455">
        <f>SUM(P4,P7,P13,P16,P19,P21,P24,P27,P32)</f>
        <v>22711</v>
      </c>
      <c r="Q33" s="540">
        <f>SUBTOTAL(9,Q2:Q31)</f>
        <v>353295.02</v>
      </c>
      <c r="R33" s="455">
        <f>SUBTOTAL(9,R2:R31)</f>
        <v>353295.02</v>
      </c>
      <c r="S33" s="534">
        <f>SUBTOTAL(9,S2:S32)</f>
        <v>62138</v>
      </c>
      <c r="T33" s="359"/>
      <c r="U33" s="360"/>
      <c r="V33" s="361"/>
      <c r="W33" s="361"/>
      <c r="X33" s="417">
        <f>SUM(X2:X32)</f>
        <v>17283.282575667716</v>
      </c>
      <c r="Y33" s="418">
        <f>SUM(Y2:Y32)</f>
        <v>9600</v>
      </c>
      <c r="Z33" s="417" t="e">
        <f>SUM(Z2:Z32)</f>
        <v>#VALUE!</v>
      </c>
      <c r="AA33" s="417" t="e">
        <f>SUM(AA2:AA32)</f>
        <v>#VALUE!</v>
      </c>
      <c r="AB33" s="355"/>
      <c r="AC33" s="362"/>
      <c r="AD33" s="363"/>
      <c r="AE33" s="363"/>
    </row>
    <row r="34" spans="1:31" s="338" customFormat="1" ht="12.75">
      <c r="A34" s="331"/>
      <c r="B34" s="526"/>
      <c r="C34" s="331"/>
      <c r="D34" s="331"/>
      <c r="E34" s="332"/>
      <c r="F34" s="332"/>
      <c r="G34" s="332"/>
      <c r="H34" s="518"/>
      <c r="I34" s="332"/>
      <c r="J34" s="332"/>
      <c r="K34" s="334"/>
      <c r="L34" s="440"/>
      <c r="M34" s="335"/>
      <c r="N34" s="406"/>
      <c r="O34" s="332"/>
      <c r="P34" s="332"/>
      <c r="Q34" s="541"/>
      <c r="R34" s="332"/>
      <c r="S34" s="535"/>
      <c r="T34" s="336"/>
      <c r="U34" s="335"/>
      <c r="V34" s="335"/>
      <c r="W34" s="335"/>
      <c r="X34" s="335"/>
      <c r="Y34" s="463"/>
      <c r="Z34" s="335"/>
      <c r="AA34" s="335"/>
      <c r="AB34" s="337"/>
      <c r="AC34" s="420" t="s">
        <v>314</v>
      </c>
      <c r="AD34" s="337"/>
      <c r="AE34" s="337"/>
    </row>
    <row r="35" spans="1:31" ht="24.95" customHeight="1">
      <c r="B35" s="527" t="s">
        <v>85</v>
      </c>
      <c r="C35" s="341"/>
      <c r="D35" s="341"/>
      <c r="G35" s="387">
        <f>G33</f>
        <v>0</v>
      </c>
      <c r="I35" s="387">
        <f>I33-G33</f>
        <v>0</v>
      </c>
      <c r="J35" s="387">
        <f>J33-H33</f>
        <v>376006.02</v>
      </c>
      <c r="Z35" s="343">
        <f>SUMIF(AB2:AB32,AB35,Z2:Z32)</f>
        <v>16574.854953193753</v>
      </c>
      <c r="AA35" s="343">
        <f>SUMIF(AB2:AB32,AB35,AA2:AA32)</f>
        <v>14564.502790445973</v>
      </c>
      <c r="AB35" s="344" t="s">
        <v>18</v>
      </c>
      <c r="AC35" s="344"/>
    </row>
    <row r="36" spans="1:31" ht="24.95" customHeight="1">
      <c r="B36" s="527" t="s">
        <v>86</v>
      </c>
      <c r="C36" s="341"/>
      <c r="D36" s="341"/>
      <c r="G36" s="342">
        <f>O33</f>
        <v>0</v>
      </c>
      <c r="Z36" s="343">
        <f>SUMIF(AB2:AB32,AB36,Z2:Z32)</f>
        <v>5470.6771876484763</v>
      </c>
      <c r="AA36" s="343">
        <f>SUMIF(AB2:AB32,AB36,AA2:AA32)</f>
        <v>4786.8025391924166</v>
      </c>
      <c r="AB36" s="344" t="s">
        <v>29</v>
      </c>
      <c r="AC36" s="344"/>
    </row>
    <row r="37" spans="1:31" ht="24.95" customHeight="1">
      <c r="B37" s="527" t="s">
        <v>87</v>
      </c>
      <c r="C37" s="341"/>
      <c r="D37" s="341"/>
      <c r="G37" s="342">
        <f>G35-G36</f>
        <v>0</v>
      </c>
      <c r="Z37" s="343" t="e">
        <f>SUMIF(AB2:AB32,AB37,Z2:Z32)</f>
        <v>#VALUE!</v>
      </c>
      <c r="AA37" s="343" t="e">
        <f>SUMIF(AB2:AB32,AB37,AA2:AA32)</f>
        <v>#VALUE!</v>
      </c>
      <c r="AB37" s="365" t="s">
        <v>356</v>
      </c>
      <c r="AC37" s="344"/>
    </row>
    <row r="38" spans="1:31" ht="24.95" customHeight="1">
      <c r="B38" s="527" t="s">
        <v>88</v>
      </c>
      <c r="C38" s="345"/>
      <c r="D38" s="345"/>
      <c r="G38" s="346">
        <f>M33+S33+T33</f>
        <v>1758994.49</v>
      </c>
      <c r="M38" s="225"/>
      <c r="Z38" s="329" t="e">
        <f>SUM(Z35:Z37)</f>
        <v>#VALUE!</v>
      </c>
      <c r="AA38" s="329" t="e">
        <f>SUM(AA35:AA37)</f>
        <v>#VALUE!</v>
      </c>
      <c r="AB38" s="330" t="s">
        <v>264</v>
      </c>
      <c r="AC38" s="419"/>
    </row>
    <row r="39" spans="1:31">
      <c r="B39" s="527" t="s">
        <v>89</v>
      </c>
      <c r="C39" s="347"/>
      <c r="D39" s="347"/>
      <c r="G39" s="347" t="e">
        <f>G38/G37*1.005</f>
        <v>#DIV/0!</v>
      </c>
    </row>
    <row r="41" spans="1:31">
      <c r="B41" s="528" t="s">
        <v>341</v>
      </c>
    </row>
    <row r="42" spans="1:31">
      <c r="B42" s="528" t="s">
        <v>340</v>
      </c>
    </row>
    <row r="43" spans="1:31">
      <c r="B43" s="528" t="s">
        <v>342</v>
      </c>
    </row>
    <row r="45" spans="1:31">
      <c r="B45" s="529"/>
      <c r="C45" s="400" t="s">
        <v>297</v>
      </c>
      <c r="D45" s="400" t="s">
        <v>297</v>
      </c>
    </row>
    <row r="46" spans="1:31">
      <c r="B46" s="530"/>
      <c r="C46" s="400" t="s">
        <v>298</v>
      </c>
      <c r="D46" s="400" t="s">
        <v>298</v>
      </c>
    </row>
    <row r="47" spans="1:31">
      <c r="B47" s="531"/>
      <c r="C47" s="400" t="s">
        <v>299</v>
      </c>
      <c r="D47" s="400" t="s">
        <v>299</v>
      </c>
    </row>
  </sheetData>
  <autoFilter ref="A1:AE39" xr:uid="{00000000-0009-0000-0000-000006000000}">
    <sortState xmlns:xlrd2="http://schemas.microsoft.com/office/spreadsheetml/2017/richdata2" ref="A2:AE39">
      <sortCondition ref="H1:H39"/>
    </sortState>
  </autoFilter>
  <conditionalFormatting sqref="V2:V3">
    <cfRule type="containsText" dxfId="41" priority="18" operator="containsText" text="错误">
      <formula>NOT(ISERROR(SEARCH("错误",V2)))</formula>
    </cfRule>
    <cfRule type="cellIs" dxfId="40" priority="19" operator="equal">
      <formula>"提醒"</formula>
    </cfRule>
  </conditionalFormatting>
  <conditionalFormatting sqref="V22:V23 V20 V17:V18 V14:V15 V8:V9 V5:V6 V11:V12">
    <cfRule type="containsText" dxfId="39" priority="16" operator="containsText" text="错误">
      <formula>NOT(ISERROR(SEARCH("错误",V5)))</formula>
    </cfRule>
    <cfRule type="cellIs" dxfId="38" priority="17" operator="equal">
      <formula>"提醒"</formula>
    </cfRule>
  </conditionalFormatting>
  <conditionalFormatting sqref="X2:X32">
    <cfRule type="cellIs" dxfId="37" priority="14" operator="lessThan">
      <formula>0</formula>
    </cfRule>
  </conditionalFormatting>
  <conditionalFormatting sqref="V10">
    <cfRule type="containsText" dxfId="36" priority="12" operator="containsText" text="错误">
      <formula>NOT(ISERROR(SEARCH("错误",V10)))</formula>
    </cfRule>
    <cfRule type="cellIs" dxfId="35" priority="13" operator="equal">
      <formula>"提醒"</formula>
    </cfRule>
  </conditionalFormatting>
  <conditionalFormatting sqref="V26">
    <cfRule type="containsText" dxfId="34" priority="10" operator="containsText" text="错误">
      <formula>NOT(ISERROR(SEARCH("错误",V26)))</formula>
    </cfRule>
    <cfRule type="cellIs" dxfId="33" priority="11" operator="equal">
      <formula>"提醒"</formula>
    </cfRule>
  </conditionalFormatting>
  <conditionalFormatting sqref="V31">
    <cfRule type="containsText" dxfId="32" priority="8" operator="containsText" text="错误">
      <formula>NOT(ISERROR(SEARCH("错误",V31)))</formula>
    </cfRule>
    <cfRule type="cellIs" dxfId="31" priority="9" operator="equal">
      <formula>"提醒"</formula>
    </cfRule>
  </conditionalFormatting>
  <conditionalFormatting sqref="V25">
    <cfRule type="containsText" dxfId="30" priority="6" operator="containsText" text="错误">
      <formula>NOT(ISERROR(SEARCH("错误",V25)))</formula>
    </cfRule>
    <cfRule type="cellIs" dxfId="29" priority="7" operator="equal">
      <formula>"提醒"</formula>
    </cfRule>
  </conditionalFormatting>
  <conditionalFormatting sqref="V29">
    <cfRule type="containsText" dxfId="28" priority="3" operator="containsText" text="错误">
      <formula>NOT(ISERROR(SEARCH("错误",V29)))</formula>
    </cfRule>
    <cfRule type="cellIs" dxfId="27" priority="4" operator="equal">
      <formula>"提醒"</formula>
    </cfRule>
  </conditionalFormatting>
  <conditionalFormatting sqref="V28">
    <cfRule type="containsText" dxfId="26" priority="1" operator="containsText" text="错误">
      <formula>NOT(ISERROR(SEARCH("错误",V28)))</formula>
    </cfRule>
    <cfRule type="cellIs" dxfId="25" priority="2" operator="equal">
      <formula>"提醒"</formula>
    </cfRule>
  </conditionalFormatting>
  <pageMargins left="0" right="0" top="0.19685039370078741" bottom="0.19685039370078741" header="0.51181102362204722" footer="0.51181102362204722"/>
  <pageSetup paperSize="9" scale="5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opLeftCell="C1" workbookViewId="0">
      <pane ySplit="2" topLeftCell="A3" activePane="bottomLeft" state="frozen"/>
      <selection pane="bottomLeft" activeCell="H9" sqref="H9"/>
    </sheetView>
  </sheetViews>
  <sheetFormatPr defaultColWidth="9" defaultRowHeight="15"/>
  <cols>
    <col min="1" max="1" width="9.7109375" customWidth="1"/>
    <col min="2" max="2" width="14.7109375" customWidth="1"/>
    <col min="3" max="3" width="16.140625" customWidth="1"/>
    <col min="4" max="5" width="11.85546875" customWidth="1"/>
    <col min="6" max="6" width="13.85546875" customWidth="1"/>
    <col min="8" max="9" width="10.7109375" style="434" customWidth="1"/>
    <col min="10" max="10" width="10.7109375" customWidth="1"/>
    <col min="12" max="12" width="22.85546875" customWidth="1"/>
  </cols>
  <sheetData>
    <row r="1" spans="1:14" ht="21" customHeight="1">
      <c r="A1" s="551" t="s">
        <v>0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</row>
    <row r="2" spans="1:14" ht="27">
      <c r="A2" s="163" t="s">
        <v>197</v>
      </c>
      <c r="B2" s="163" t="s">
        <v>1</v>
      </c>
      <c r="C2" s="163" t="s">
        <v>2</v>
      </c>
      <c r="D2" s="164" t="s">
        <v>3</v>
      </c>
      <c r="E2" s="165" t="s">
        <v>4</v>
      </c>
      <c r="F2" s="163" t="s">
        <v>5</v>
      </c>
      <c r="G2" s="163" t="s">
        <v>6</v>
      </c>
      <c r="H2" s="166" t="s">
        <v>7</v>
      </c>
      <c r="I2" s="167" t="s">
        <v>8</v>
      </c>
      <c r="J2" s="167" t="s">
        <v>9</v>
      </c>
      <c r="K2" s="163" t="s">
        <v>11</v>
      </c>
      <c r="L2" s="163" t="s">
        <v>10</v>
      </c>
      <c r="M2" s="163" t="s">
        <v>12</v>
      </c>
      <c r="N2" s="168" t="s">
        <v>13</v>
      </c>
    </row>
    <row r="3" spans="1:14">
      <c r="A3" s="22" t="s">
        <v>50</v>
      </c>
      <c r="B3" s="16" t="s">
        <v>14</v>
      </c>
      <c r="C3" s="17" t="s">
        <v>15</v>
      </c>
      <c r="D3" s="18">
        <v>64947.4</v>
      </c>
      <c r="E3" s="18">
        <v>64947.4</v>
      </c>
      <c r="F3" s="19">
        <v>388980.1</v>
      </c>
      <c r="G3" s="19" t="s">
        <v>16</v>
      </c>
      <c r="H3" s="422">
        <v>4150</v>
      </c>
      <c r="I3" s="423">
        <v>11840</v>
      </c>
      <c r="J3" s="72"/>
      <c r="K3" s="78" t="s">
        <v>18</v>
      </c>
      <c r="L3" s="77" t="s">
        <v>17</v>
      </c>
      <c r="M3" s="78">
        <v>1</v>
      </c>
      <c r="N3" s="145">
        <v>0.3</v>
      </c>
    </row>
    <row r="4" spans="1:14">
      <c r="A4" s="22" t="s">
        <v>50</v>
      </c>
      <c r="B4" s="16" t="s">
        <v>19</v>
      </c>
      <c r="C4" s="17" t="s">
        <v>20</v>
      </c>
      <c r="D4" s="18">
        <f>78554.42</f>
        <v>78554.42</v>
      </c>
      <c r="E4" s="18">
        <f>78554.42-7500</f>
        <v>71054.42</v>
      </c>
      <c r="F4" s="19">
        <v>368997.38</v>
      </c>
      <c r="G4" s="19" t="s">
        <v>16</v>
      </c>
      <c r="H4" s="422">
        <v>7800</v>
      </c>
      <c r="I4" s="423">
        <v>14800</v>
      </c>
      <c r="J4" s="72"/>
      <c r="K4" s="78" t="s">
        <v>18</v>
      </c>
      <c r="L4" s="77" t="s">
        <v>21</v>
      </c>
      <c r="M4" s="78">
        <v>0.5</v>
      </c>
      <c r="N4" s="145">
        <v>0.35</v>
      </c>
    </row>
    <row r="5" spans="1:14">
      <c r="A5" s="22" t="s">
        <v>50</v>
      </c>
      <c r="B5" s="16" t="s">
        <v>22</v>
      </c>
      <c r="C5" s="17" t="s">
        <v>23</v>
      </c>
      <c r="D5" s="18">
        <v>191358.07999999999</v>
      </c>
      <c r="E5" s="18">
        <v>191358.07999999999</v>
      </c>
      <c r="F5" s="19">
        <v>1121500</v>
      </c>
      <c r="G5" s="19" t="s">
        <v>16</v>
      </c>
      <c r="H5" s="424">
        <v>7000</v>
      </c>
      <c r="I5" s="425">
        <v>33250</v>
      </c>
      <c r="J5" s="72"/>
      <c r="K5" s="78" t="s">
        <v>18</v>
      </c>
      <c r="L5" s="77" t="s">
        <v>24</v>
      </c>
      <c r="M5" s="78">
        <v>0.7</v>
      </c>
      <c r="N5" s="145">
        <v>0.35</v>
      </c>
    </row>
    <row r="6" spans="1:14">
      <c r="A6" s="22" t="s">
        <v>50</v>
      </c>
      <c r="B6" s="16" t="s">
        <v>22</v>
      </c>
      <c r="C6" s="17" t="s">
        <v>25</v>
      </c>
      <c r="D6" s="18">
        <v>35693.06</v>
      </c>
      <c r="E6" s="18">
        <v>35693.06</v>
      </c>
      <c r="F6" s="19">
        <v>241427.5</v>
      </c>
      <c r="G6" s="19" t="s">
        <v>16</v>
      </c>
      <c r="H6" s="424">
        <v>2000</v>
      </c>
      <c r="I6" s="425">
        <v>6830</v>
      </c>
      <c r="J6" s="72"/>
      <c r="K6" s="78" t="s">
        <v>18</v>
      </c>
      <c r="L6" s="77" t="s">
        <v>24</v>
      </c>
      <c r="M6" s="78">
        <v>0.7</v>
      </c>
      <c r="N6" s="145">
        <v>0.35</v>
      </c>
    </row>
    <row r="7" spans="1:14">
      <c r="A7" s="22" t="s">
        <v>50</v>
      </c>
      <c r="B7" s="16" t="s">
        <v>26</v>
      </c>
      <c r="C7" s="70" t="s">
        <v>27</v>
      </c>
      <c r="D7" s="18">
        <v>24720</v>
      </c>
      <c r="E7" s="18">
        <v>24720</v>
      </c>
      <c r="F7" s="19">
        <v>125200</v>
      </c>
      <c r="G7" s="71" t="s">
        <v>16</v>
      </c>
      <c r="H7" s="547">
        <v>9773</v>
      </c>
      <c r="I7" s="549">
        <v>11840</v>
      </c>
      <c r="J7" s="91"/>
      <c r="K7" s="70" t="s">
        <v>29</v>
      </c>
      <c r="L7" s="92" t="s">
        <v>28</v>
      </c>
      <c r="M7" s="78">
        <v>0.1</v>
      </c>
      <c r="N7" s="145">
        <v>0.2</v>
      </c>
    </row>
    <row r="8" spans="1:14">
      <c r="A8" s="22" t="s">
        <v>50</v>
      </c>
      <c r="B8" s="16" t="s">
        <v>26</v>
      </c>
      <c r="C8" s="70" t="s">
        <v>30</v>
      </c>
      <c r="D8" s="18">
        <v>47360</v>
      </c>
      <c r="E8" s="18">
        <v>47360</v>
      </c>
      <c r="F8" s="19">
        <v>240800</v>
      </c>
      <c r="G8" s="19" t="s">
        <v>16</v>
      </c>
      <c r="H8" s="548"/>
      <c r="I8" s="550"/>
      <c r="J8" s="72"/>
      <c r="K8" s="70" t="s">
        <v>29</v>
      </c>
      <c r="L8" s="92" t="s">
        <v>28</v>
      </c>
      <c r="M8" s="78">
        <v>0.1</v>
      </c>
      <c r="N8" s="145">
        <v>0.2</v>
      </c>
    </row>
    <row r="9" spans="1:14">
      <c r="A9" s="22" t="s">
        <v>50</v>
      </c>
      <c r="B9" s="16" t="s">
        <v>26</v>
      </c>
      <c r="C9" s="70" t="s">
        <v>31</v>
      </c>
      <c r="D9" s="18">
        <v>45850.5</v>
      </c>
      <c r="E9" s="18">
        <v>45850.5</v>
      </c>
      <c r="F9" s="19">
        <v>191000</v>
      </c>
      <c r="G9" s="71" t="s">
        <v>16</v>
      </c>
      <c r="H9" s="426">
        <v>6669</v>
      </c>
      <c r="I9" s="427">
        <v>13880</v>
      </c>
      <c r="J9" s="91"/>
      <c r="K9" s="70" t="s">
        <v>29</v>
      </c>
      <c r="L9" s="92" t="s">
        <v>28</v>
      </c>
      <c r="M9" s="78">
        <v>0.1</v>
      </c>
      <c r="N9" s="145">
        <v>0.2</v>
      </c>
    </row>
    <row r="10" spans="1:14">
      <c r="A10" s="22" t="s">
        <v>50</v>
      </c>
      <c r="B10" s="16" t="s">
        <v>32</v>
      </c>
      <c r="C10" s="70" t="s">
        <v>33</v>
      </c>
      <c r="D10" s="18">
        <v>59168</v>
      </c>
      <c r="E10" s="18">
        <v>59168</v>
      </c>
      <c r="F10" s="19">
        <v>308480</v>
      </c>
      <c r="G10" s="19" t="s">
        <v>16</v>
      </c>
      <c r="H10" s="426">
        <v>6732</v>
      </c>
      <c r="I10" s="427">
        <v>11590</v>
      </c>
      <c r="J10" s="72"/>
      <c r="K10" s="70" t="s">
        <v>29</v>
      </c>
      <c r="L10" s="92" t="s">
        <v>28</v>
      </c>
      <c r="M10" s="78">
        <v>0.1</v>
      </c>
      <c r="N10" s="145">
        <v>0.2</v>
      </c>
    </row>
    <row r="11" spans="1:14">
      <c r="A11" s="22" t="s">
        <v>50</v>
      </c>
      <c r="B11" s="16" t="s">
        <v>34</v>
      </c>
      <c r="C11" s="70" t="s">
        <v>35</v>
      </c>
      <c r="D11" s="18">
        <v>42873</v>
      </c>
      <c r="E11" s="18">
        <v>42873</v>
      </c>
      <c r="F11" s="19">
        <v>243526</v>
      </c>
      <c r="G11" s="19" t="s">
        <v>16</v>
      </c>
      <c r="H11" s="422">
        <v>0</v>
      </c>
      <c r="I11" s="423">
        <v>1750</v>
      </c>
      <c r="J11" s="72"/>
      <c r="K11" s="70" t="s">
        <v>29</v>
      </c>
      <c r="L11" s="92" t="s">
        <v>36</v>
      </c>
      <c r="M11" s="78">
        <v>0.1</v>
      </c>
      <c r="N11" s="145">
        <v>0.2</v>
      </c>
    </row>
    <row r="12" spans="1:14">
      <c r="A12" s="22" t="s">
        <v>50</v>
      </c>
      <c r="B12" s="16" t="s">
        <v>34</v>
      </c>
      <c r="C12" s="70" t="s">
        <v>37</v>
      </c>
      <c r="D12" s="18">
        <v>4135</v>
      </c>
      <c r="E12" s="18">
        <v>4135</v>
      </c>
      <c r="F12" s="19">
        <v>23550</v>
      </c>
      <c r="G12" s="19" t="s">
        <v>16</v>
      </c>
      <c r="H12" s="426">
        <v>0</v>
      </c>
      <c r="I12" s="427">
        <v>1082</v>
      </c>
      <c r="J12" s="72"/>
      <c r="K12" s="70" t="s">
        <v>29</v>
      </c>
      <c r="L12" s="92" t="s">
        <v>38</v>
      </c>
      <c r="M12" s="78">
        <v>0.1</v>
      </c>
      <c r="N12" s="145">
        <v>0.2</v>
      </c>
    </row>
    <row r="13" spans="1:14">
      <c r="A13" s="22" t="s">
        <v>50</v>
      </c>
      <c r="B13" s="16" t="s">
        <v>34</v>
      </c>
      <c r="C13" s="70" t="s">
        <v>39</v>
      </c>
      <c r="D13" s="18">
        <v>1307.4000000000001</v>
      </c>
      <c r="E13" s="18">
        <v>1307.4000000000001</v>
      </c>
      <c r="F13" s="19">
        <v>7950</v>
      </c>
      <c r="G13" s="19" t="s">
        <v>16</v>
      </c>
      <c r="H13" s="428">
        <v>0</v>
      </c>
      <c r="I13" s="429">
        <v>384.5</v>
      </c>
      <c r="J13" s="72"/>
      <c r="K13" s="70" t="s">
        <v>41</v>
      </c>
      <c r="L13" s="146" t="s">
        <v>40</v>
      </c>
      <c r="M13" s="78">
        <v>0.7</v>
      </c>
      <c r="N13" s="145">
        <v>0.2</v>
      </c>
    </row>
    <row r="14" spans="1:14">
      <c r="A14" s="22" t="s">
        <v>50</v>
      </c>
      <c r="B14" s="16" t="s">
        <v>22</v>
      </c>
      <c r="C14" s="70" t="s">
        <v>42</v>
      </c>
      <c r="D14" s="18">
        <v>10545</v>
      </c>
      <c r="E14" s="18">
        <v>10545</v>
      </c>
      <c r="F14" s="19">
        <f>55000+105</f>
        <v>55105</v>
      </c>
      <c r="G14" s="19" t="s">
        <v>16</v>
      </c>
      <c r="H14" s="428">
        <v>0</v>
      </c>
      <c r="I14" s="429">
        <v>2019.2</v>
      </c>
      <c r="J14" s="72">
        <v>1450</v>
      </c>
      <c r="K14" s="70" t="s">
        <v>41</v>
      </c>
      <c r="L14" s="146" t="s">
        <v>43</v>
      </c>
      <c r="M14" s="78">
        <v>0.1</v>
      </c>
      <c r="N14" s="145">
        <v>0.2</v>
      </c>
    </row>
    <row r="15" spans="1:14">
      <c r="A15" s="22" t="s">
        <v>79</v>
      </c>
      <c r="B15" s="16" t="s">
        <v>44</v>
      </c>
      <c r="C15" s="17" t="s">
        <v>45</v>
      </c>
      <c r="D15" s="18">
        <v>22133.759999999998</v>
      </c>
      <c r="E15" s="18">
        <v>22133.759999999998</v>
      </c>
      <c r="F15" s="19">
        <v>120066</v>
      </c>
      <c r="G15" s="19" t="s">
        <v>16</v>
      </c>
      <c r="H15" s="430">
        <v>1580</v>
      </c>
      <c r="I15" s="431">
        <v>3737</v>
      </c>
      <c r="J15" s="72"/>
      <c r="K15" s="78" t="s">
        <v>18</v>
      </c>
      <c r="L15" s="77" t="s">
        <v>46</v>
      </c>
      <c r="M15" s="78">
        <v>0.1</v>
      </c>
      <c r="N15" s="79">
        <v>0.3</v>
      </c>
    </row>
    <row r="16" spans="1:14">
      <c r="A16" s="22" t="s">
        <v>79</v>
      </c>
      <c r="B16" s="16" t="s">
        <v>47</v>
      </c>
      <c r="C16" s="17" t="s">
        <v>48</v>
      </c>
      <c r="D16" s="18">
        <v>39164.800000000003</v>
      </c>
      <c r="E16" s="18">
        <v>39164.800000000003</v>
      </c>
      <c r="F16" s="19">
        <v>210059.78</v>
      </c>
      <c r="G16" s="19" t="s">
        <v>16</v>
      </c>
      <c r="H16" s="430">
        <v>4943</v>
      </c>
      <c r="I16" s="431">
        <v>5340</v>
      </c>
      <c r="J16" s="72"/>
      <c r="K16" s="78" t="s">
        <v>18</v>
      </c>
      <c r="L16" s="77" t="s">
        <v>49</v>
      </c>
      <c r="M16" s="78">
        <v>0.7</v>
      </c>
      <c r="N16" s="79">
        <v>0.25</v>
      </c>
    </row>
    <row r="17" spans="1:14">
      <c r="A17" s="22" t="s">
        <v>79</v>
      </c>
      <c r="B17" s="16" t="s">
        <v>50</v>
      </c>
      <c r="C17" s="70" t="s">
        <v>51</v>
      </c>
      <c r="D17" s="18">
        <v>33500</v>
      </c>
      <c r="E17" s="18">
        <v>33500</v>
      </c>
      <c r="F17" s="19">
        <v>168800</v>
      </c>
      <c r="G17" s="71" t="s">
        <v>16</v>
      </c>
      <c r="H17" s="428">
        <v>3167</v>
      </c>
      <c r="I17" s="429">
        <v>5770</v>
      </c>
      <c r="J17" s="91"/>
      <c r="K17" s="70" t="s">
        <v>29</v>
      </c>
      <c r="L17" s="92" t="s">
        <v>52</v>
      </c>
      <c r="M17" s="78">
        <v>0.1</v>
      </c>
      <c r="N17" s="79">
        <v>0.25</v>
      </c>
    </row>
    <row r="18" spans="1:14">
      <c r="A18" s="22" t="s">
        <v>79</v>
      </c>
      <c r="B18" s="16" t="s">
        <v>50</v>
      </c>
      <c r="C18" s="70" t="s">
        <v>53</v>
      </c>
      <c r="D18" s="18">
        <v>43150.86</v>
      </c>
      <c r="E18" s="18">
        <v>43150.86</v>
      </c>
      <c r="F18" s="19">
        <v>230629.2</v>
      </c>
      <c r="G18" s="19" t="s">
        <v>16</v>
      </c>
      <c r="H18" s="428"/>
      <c r="I18" s="429">
        <f>4144.5+5200</f>
        <v>9344.5</v>
      </c>
      <c r="J18" s="72"/>
      <c r="K18" s="70" t="s">
        <v>29</v>
      </c>
      <c r="L18" s="92" t="s">
        <v>54</v>
      </c>
      <c r="M18" s="78">
        <v>1</v>
      </c>
      <c r="N18" s="79">
        <v>0.25</v>
      </c>
    </row>
    <row r="19" spans="1:14">
      <c r="A19" s="22" t="s">
        <v>198</v>
      </c>
      <c r="B19" s="16" t="s">
        <v>55</v>
      </c>
      <c r="C19" s="17" t="s">
        <v>56</v>
      </c>
      <c r="D19" s="18">
        <f>74268.7+71533.8</f>
        <v>145802.5</v>
      </c>
      <c r="E19" s="18">
        <v>145790.57</v>
      </c>
      <c r="F19" s="19">
        <v>674270.9</v>
      </c>
      <c r="G19" s="19" t="s">
        <v>16</v>
      </c>
      <c r="H19" s="430">
        <f>5824+5814</f>
        <v>11638</v>
      </c>
      <c r="I19" s="431">
        <f>10480+9880</f>
        <v>20360</v>
      </c>
      <c r="J19" s="72"/>
      <c r="K19" s="78" t="s">
        <v>18</v>
      </c>
      <c r="L19" s="77" t="s">
        <v>57</v>
      </c>
      <c r="M19" s="79">
        <v>0.2</v>
      </c>
      <c r="N19" s="79">
        <v>0.2</v>
      </c>
    </row>
    <row r="20" spans="1:14">
      <c r="A20" s="22" t="s">
        <v>198</v>
      </c>
      <c r="B20" s="16" t="s">
        <v>34</v>
      </c>
      <c r="C20" s="17" t="s">
        <v>58</v>
      </c>
      <c r="D20" s="18">
        <v>32822.379999999997</v>
      </c>
      <c r="E20" s="18">
        <v>32822.379999999997</v>
      </c>
      <c r="F20" s="19">
        <v>196414</v>
      </c>
      <c r="G20" s="19" t="s">
        <v>16</v>
      </c>
      <c r="H20" s="430">
        <v>1980</v>
      </c>
      <c r="I20" s="431">
        <v>5575</v>
      </c>
      <c r="J20" s="72"/>
      <c r="K20" s="78" t="s">
        <v>18</v>
      </c>
      <c r="L20" s="77" t="s">
        <v>59</v>
      </c>
      <c r="M20" s="79">
        <v>0.1</v>
      </c>
      <c r="N20" s="79">
        <v>0.3</v>
      </c>
    </row>
    <row r="21" spans="1:14">
      <c r="A21" s="22" t="s">
        <v>198</v>
      </c>
      <c r="B21" s="16" t="s">
        <v>34</v>
      </c>
      <c r="C21" s="17" t="s">
        <v>60</v>
      </c>
      <c r="D21" s="18">
        <v>27565</v>
      </c>
      <c r="E21" s="18">
        <v>27565</v>
      </c>
      <c r="F21" s="19">
        <v>151026</v>
      </c>
      <c r="G21" s="19" t="s">
        <v>16</v>
      </c>
      <c r="H21" s="430">
        <v>1980</v>
      </c>
      <c r="I21" s="431">
        <v>5020</v>
      </c>
      <c r="J21" s="72"/>
      <c r="K21" s="78" t="s">
        <v>18</v>
      </c>
      <c r="L21" s="77" t="s">
        <v>59</v>
      </c>
      <c r="M21" s="79">
        <v>0.1</v>
      </c>
      <c r="N21" s="79">
        <v>0.3</v>
      </c>
    </row>
    <row r="22" spans="1:14">
      <c r="A22" s="22" t="s">
        <v>198</v>
      </c>
      <c r="B22" s="16" t="s">
        <v>19</v>
      </c>
      <c r="C22" s="17" t="s">
        <v>61</v>
      </c>
      <c r="D22" s="18">
        <v>305000</v>
      </c>
      <c r="E22" s="18">
        <f>304070.22-77619</f>
        <v>226451.21999999997</v>
      </c>
      <c r="F22" s="19">
        <v>1124584</v>
      </c>
      <c r="G22" s="19" t="s">
        <v>16</v>
      </c>
      <c r="H22" s="430">
        <v>4485</v>
      </c>
      <c r="I22" s="431">
        <v>48016</v>
      </c>
      <c r="J22" s="72"/>
      <c r="K22" s="78" t="s">
        <v>18</v>
      </c>
      <c r="L22" s="77" t="s">
        <v>62</v>
      </c>
      <c r="M22" s="79">
        <v>0.7</v>
      </c>
      <c r="N22" s="79">
        <v>0.35</v>
      </c>
    </row>
    <row r="23" spans="1:14">
      <c r="A23" s="22" t="s">
        <v>198</v>
      </c>
      <c r="B23" s="16" t="s">
        <v>34</v>
      </c>
      <c r="C23" s="17" t="s">
        <v>63</v>
      </c>
      <c r="D23" s="18">
        <f>158795.2+151917.3</f>
        <v>310712.5</v>
      </c>
      <c r="E23" s="18">
        <v>310652.5</v>
      </c>
      <c r="F23" s="19">
        <v>1453300</v>
      </c>
      <c r="G23" s="19" t="s">
        <v>16</v>
      </c>
      <c r="H23" s="430">
        <f>23236+23669</f>
        <v>46905</v>
      </c>
      <c r="I23" s="431">
        <f>22180+21930</f>
        <v>44110</v>
      </c>
      <c r="J23" s="72"/>
      <c r="K23" s="78" t="s">
        <v>18</v>
      </c>
      <c r="L23" s="77" t="s">
        <v>64</v>
      </c>
      <c r="M23" s="84">
        <v>0.2</v>
      </c>
      <c r="N23" s="79">
        <v>0.3</v>
      </c>
    </row>
    <row r="24" spans="1:14">
      <c r="A24" s="22" t="s">
        <v>198</v>
      </c>
      <c r="B24" s="16" t="s">
        <v>19</v>
      </c>
      <c r="C24" s="17" t="s">
        <v>65</v>
      </c>
      <c r="D24" s="18">
        <v>67094.990000000005</v>
      </c>
      <c r="E24" s="18">
        <f>33236.57+33858.43</f>
        <v>67095</v>
      </c>
      <c r="F24" s="19">
        <f>162950+162850</f>
        <v>325800</v>
      </c>
      <c r="G24" s="19" t="s">
        <v>16</v>
      </c>
      <c r="H24" s="430">
        <v>5530</v>
      </c>
      <c r="I24" s="431">
        <v>9290</v>
      </c>
      <c r="J24" s="72"/>
      <c r="K24" s="78" t="s">
        <v>18</v>
      </c>
      <c r="L24" s="77" t="s">
        <v>59</v>
      </c>
      <c r="M24" s="79">
        <v>0.1</v>
      </c>
      <c r="N24" s="79">
        <v>0.35</v>
      </c>
    </row>
    <row r="25" spans="1:14">
      <c r="A25" s="22" t="s">
        <v>198</v>
      </c>
      <c r="B25" s="16" t="s">
        <v>66</v>
      </c>
      <c r="C25" s="17" t="s">
        <v>67</v>
      </c>
      <c r="D25" s="18">
        <v>29192.75</v>
      </c>
      <c r="E25" s="18">
        <v>29192.75</v>
      </c>
      <c r="F25" s="19">
        <f>165949-15950</f>
        <v>149999</v>
      </c>
      <c r="G25" s="19" t="s">
        <v>16</v>
      </c>
      <c r="H25" s="430">
        <v>2980</v>
      </c>
      <c r="I25" s="431">
        <v>10270</v>
      </c>
      <c r="J25" s="72"/>
      <c r="K25" s="78" t="s">
        <v>18</v>
      </c>
      <c r="L25" s="77" t="s">
        <v>59</v>
      </c>
      <c r="M25" s="79">
        <v>0.1</v>
      </c>
      <c r="N25" s="79">
        <v>0.25</v>
      </c>
    </row>
    <row r="26" spans="1:14">
      <c r="A26" s="22" t="s">
        <v>198</v>
      </c>
      <c r="B26" s="16" t="s">
        <v>66</v>
      </c>
      <c r="C26" s="17" t="s">
        <v>68</v>
      </c>
      <c r="D26" s="18">
        <v>86591.55</v>
      </c>
      <c r="E26" s="18">
        <v>86591.55</v>
      </c>
      <c r="F26" s="19">
        <v>433667</v>
      </c>
      <c r="G26" s="19" t="s">
        <v>16</v>
      </c>
      <c r="H26" s="430">
        <v>8952</v>
      </c>
      <c r="I26" s="431">
        <v>14150</v>
      </c>
      <c r="J26" s="72"/>
      <c r="K26" s="78" t="s">
        <v>18</v>
      </c>
      <c r="L26" s="77" t="s">
        <v>21</v>
      </c>
      <c r="M26" s="79">
        <v>0.4</v>
      </c>
      <c r="N26" s="79">
        <v>0.25</v>
      </c>
    </row>
    <row r="27" spans="1:14">
      <c r="A27" s="22" t="s">
        <v>198</v>
      </c>
      <c r="B27" s="16" t="s">
        <v>69</v>
      </c>
      <c r="C27" s="70" t="s">
        <v>70</v>
      </c>
      <c r="D27" s="18">
        <v>103836.45</v>
      </c>
      <c r="E27" s="18">
        <v>103836.44</v>
      </c>
      <c r="F27" s="19">
        <v>547949.19999999995</v>
      </c>
      <c r="G27" s="71" t="s">
        <v>16</v>
      </c>
      <c r="H27" s="428">
        <v>13239</v>
      </c>
      <c r="I27" s="429">
        <v>17410</v>
      </c>
      <c r="J27" s="91"/>
      <c r="K27" s="70" t="s">
        <v>29</v>
      </c>
      <c r="L27" s="92" t="s">
        <v>71</v>
      </c>
      <c r="M27" s="78">
        <v>0.1</v>
      </c>
      <c r="N27" s="79">
        <v>0.25</v>
      </c>
    </row>
    <row r="28" spans="1:14">
      <c r="A28" s="22" t="s">
        <v>198</v>
      </c>
      <c r="B28" s="16" t="s">
        <v>72</v>
      </c>
      <c r="C28" s="70" t="s">
        <v>73</v>
      </c>
      <c r="D28" s="18">
        <v>11051</v>
      </c>
      <c r="E28" s="18">
        <v>11000.5</v>
      </c>
      <c r="F28" s="19">
        <v>50900</v>
      </c>
      <c r="G28" s="71" t="s">
        <v>16</v>
      </c>
      <c r="H28" s="428">
        <v>1879.68</v>
      </c>
      <c r="I28" s="429">
        <v>978.88</v>
      </c>
      <c r="J28" s="91"/>
      <c r="K28" s="70" t="s">
        <v>29</v>
      </c>
      <c r="L28" s="92" t="s">
        <v>74</v>
      </c>
      <c r="M28" s="78">
        <v>0.1</v>
      </c>
      <c r="N28" s="79">
        <v>0.25</v>
      </c>
    </row>
    <row r="29" spans="1:14">
      <c r="A29" s="22" t="s">
        <v>198</v>
      </c>
      <c r="B29" s="16" t="s">
        <v>72</v>
      </c>
      <c r="C29" s="70" t="s">
        <v>75</v>
      </c>
      <c r="D29" s="18">
        <v>77620</v>
      </c>
      <c r="E29" s="18">
        <v>77611</v>
      </c>
      <c r="F29" s="19">
        <v>414862</v>
      </c>
      <c r="G29" s="71" t="s">
        <v>16</v>
      </c>
      <c r="H29" s="428"/>
      <c r="I29" s="429">
        <f>6400+4920</f>
        <v>11320</v>
      </c>
      <c r="J29" s="72"/>
      <c r="K29" s="70" t="s">
        <v>29</v>
      </c>
      <c r="L29" s="92" t="s">
        <v>76</v>
      </c>
      <c r="M29" s="78">
        <v>0.7</v>
      </c>
      <c r="N29" s="79">
        <v>0.35</v>
      </c>
    </row>
    <row r="30" spans="1:14">
      <c r="A30" s="22" t="s">
        <v>198</v>
      </c>
      <c r="B30" s="16" t="s">
        <v>50</v>
      </c>
      <c r="C30" s="70" t="s">
        <v>77</v>
      </c>
      <c r="D30" s="18">
        <v>23464.32</v>
      </c>
      <c r="E30" s="18">
        <v>23363.34</v>
      </c>
      <c r="F30" s="19">
        <v>134677</v>
      </c>
      <c r="G30" s="71" t="s">
        <v>16</v>
      </c>
      <c r="H30" s="428"/>
      <c r="I30" s="429">
        <f>2600+2800</f>
        <v>5400</v>
      </c>
      <c r="J30" s="91"/>
      <c r="K30" s="70" t="s">
        <v>41</v>
      </c>
      <c r="L30" s="94" t="s">
        <v>78</v>
      </c>
      <c r="M30" s="78">
        <v>0.1</v>
      </c>
      <c r="N30" s="79">
        <v>0.25</v>
      </c>
    </row>
    <row r="31" spans="1:14">
      <c r="A31" s="22" t="s">
        <v>198</v>
      </c>
      <c r="B31" s="16" t="s">
        <v>79</v>
      </c>
      <c r="C31" s="70" t="s">
        <v>80</v>
      </c>
      <c r="D31" s="18">
        <f>4490/6.26</f>
        <v>717.25239616613419</v>
      </c>
      <c r="E31" s="18">
        <f>4490/6.26</f>
        <v>717.25239616613419</v>
      </c>
      <c r="F31" s="19">
        <v>3740</v>
      </c>
      <c r="G31" s="71" t="s">
        <v>16</v>
      </c>
      <c r="H31" s="428"/>
      <c r="I31" s="429"/>
      <c r="J31" s="72"/>
      <c r="K31" s="70" t="s">
        <v>41</v>
      </c>
      <c r="L31" s="94" t="s">
        <v>81</v>
      </c>
      <c r="M31" s="78">
        <v>0.7</v>
      </c>
      <c r="N31" s="79">
        <v>0.25</v>
      </c>
    </row>
    <row r="32" spans="1:14">
      <c r="A32" s="22" t="s">
        <v>198</v>
      </c>
      <c r="B32" s="22" t="s">
        <v>79</v>
      </c>
      <c r="C32" s="70" t="s">
        <v>82</v>
      </c>
      <c r="D32" s="24">
        <v>7504</v>
      </c>
      <c r="E32" s="24">
        <v>7480</v>
      </c>
      <c r="F32" s="25">
        <v>33630</v>
      </c>
      <c r="G32" s="71" t="s">
        <v>16</v>
      </c>
      <c r="H32" s="428">
        <v>300</v>
      </c>
      <c r="I32" s="429">
        <v>4760</v>
      </c>
      <c r="J32" s="72"/>
      <c r="K32" s="70" t="s">
        <v>41</v>
      </c>
      <c r="L32" s="94" t="s">
        <v>83</v>
      </c>
      <c r="M32" s="83">
        <v>0.1</v>
      </c>
      <c r="N32" s="79">
        <v>0.25</v>
      </c>
    </row>
    <row r="33" spans="1:14" s="382" customFormat="1">
      <c r="A33" s="371" t="s">
        <v>202</v>
      </c>
      <c r="B33" s="300">
        <v>43101</v>
      </c>
      <c r="C33" s="372" t="s">
        <v>146</v>
      </c>
      <c r="D33" s="373">
        <v>134459</v>
      </c>
      <c r="E33" s="373">
        <v>133579</v>
      </c>
      <c r="F33" s="374">
        <v>803868</v>
      </c>
      <c r="G33" s="375" t="s">
        <v>16</v>
      </c>
      <c r="H33" s="376">
        <v>7120</v>
      </c>
      <c r="I33" s="377">
        <v>30355</v>
      </c>
      <c r="J33" s="378"/>
      <c r="K33" s="379" t="s">
        <v>18</v>
      </c>
      <c r="L33" s="380" t="s">
        <v>204</v>
      </c>
      <c r="M33" s="381">
        <v>1</v>
      </c>
      <c r="N33" s="381">
        <v>0.25</v>
      </c>
    </row>
    <row r="34" spans="1:14" s="382" customFormat="1">
      <c r="A34" s="371" t="s">
        <v>202</v>
      </c>
      <c r="B34" s="300">
        <v>43132</v>
      </c>
      <c r="C34" s="372" t="s">
        <v>145</v>
      </c>
      <c r="D34" s="373">
        <v>27758</v>
      </c>
      <c r="E34" s="373">
        <v>27738</v>
      </c>
      <c r="F34" s="374">
        <v>140414</v>
      </c>
      <c r="G34" s="375" t="s">
        <v>16</v>
      </c>
      <c r="H34" s="376">
        <v>2030</v>
      </c>
      <c r="I34" s="377">
        <v>4360</v>
      </c>
      <c r="J34" s="378"/>
      <c r="K34" s="379" t="s">
        <v>18</v>
      </c>
      <c r="L34" s="380" t="s">
        <v>153</v>
      </c>
      <c r="M34" s="381">
        <v>0.1</v>
      </c>
      <c r="N34" s="381">
        <v>0.25</v>
      </c>
    </row>
    <row r="35" spans="1:14" s="382" customFormat="1">
      <c r="A35" s="371" t="s">
        <v>202</v>
      </c>
      <c r="B35" s="300">
        <v>43101</v>
      </c>
      <c r="C35" s="372" t="s">
        <v>144</v>
      </c>
      <c r="D35" s="373">
        <v>18720</v>
      </c>
      <c r="E35" s="373">
        <v>18720</v>
      </c>
      <c r="F35" s="374">
        <v>66000</v>
      </c>
      <c r="G35" s="375" t="s">
        <v>16</v>
      </c>
      <c r="H35" s="376">
        <v>4439.5</v>
      </c>
      <c r="I35" s="377">
        <v>900</v>
      </c>
      <c r="J35" s="378"/>
      <c r="K35" s="379" t="s">
        <v>29</v>
      </c>
      <c r="L35" s="380" t="s">
        <v>205</v>
      </c>
      <c r="M35" s="381">
        <v>0.1</v>
      </c>
      <c r="N35" s="381">
        <v>0.25</v>
      </c>
    </row>
    <row r="36" spans="1:14" s="382" customFormat="1">
      <c r="A36" s="371" t="s">
        <v>202</v>
      </c>
      <c r="B36" s="300">
        <v>43101</v>
      </c>
      <c r="C36" s="372" t="s">
        <v>143</v>
      </c>
      <c r="D36" s="373">
        <v>65250</v>
      </c>
      <c r="E36" s="373">
        <v>64968</v>
      </c>
      <c r="F36" s="374">
        <v>386500</v>
      </c>
      <c r="G36" s="375" t="s">
        <v>16</v>
      </c>
      <c r="H36" s="376">
        <v>0</v>
      </c>
      <c r="I36" s="377">
        <v>14340</v>
      </c>
      <c r="J36" s="378"/>
      <c r="K36" s="379" t="s">
        <v>29</v>
      </c>
      <c r="L36" s="380" t="s">
        <v>150</v>
      </c>
      <c r="M36" s="381">
        <v>0.1</v>
      </c>
      <c r="N36" s="381">
        <v>0.25</v>
      </c>
    </row>
    <row r="37" spans="1:14" s="382" customFormat="1">
      <c r="A37" s="371" t="s">
        <v>202</v>
      </c>
      <c r="B37" s="300">
        <v>43132</v>
      </c>
      <c r="C37" s="372" t="s">
        <v>142</v>
      </c>
      <c r="D37" s="373">
        <v>35550.36</v>
      </c>
      <c r="E37" s="373">
        <v>36813.71</v>
      </c>
      <c r="F37" s="374">
        <v>190544.4</v>
      </c>
      <c r="G37" s="375" t="s">
        <v>16</v>
      </c>
      <c r="H37" s="376">
        <v>1780</v>
      </c>
      <c r="I37" s="377">
        <v>5590</v>
      </c>
      <c r="J37" s="378"/>
      <c r="K37" s="379" t="s">
        <v>29</v>
      </c>
      <c r="L37" s="380" t="s">
        <v>151</v>
      </c>
      <c r="M37" s="381">
        <v>0.4</v>
      </c>
      <c r="N37" s="381">
        <v>0.25</v>
      </c>
    </row>
    <row r="38" spans="1:14" s="382" customFormat="1">
      <c r="A38" s="371" t="s">
        <v>202</v>
      </c>
      <c r="B38" s="383">
        <v>43160</v>
      </c>
      <c r="C38" s="372" t="s">
        <v>141</v>
      </c>
      <c r="D38" s="373">
        <v>15012.74</v>
      </c>
      <c r="E38" s="373">
        <v>14936.74</v>
      </c>
      <c r="F38" s="374">
        <v>74348.42</v>
      </c>
      <c r="G38" s="375" t="s">
        <v>16</v>
      </c>
      <c r="H38" s="376">
        <v>0</v>
      </c>
      <c r="I38" s="377">
        <v>4615</v>
      </c>
      <c r="J38" s="378"/>
      <c r="K38" s="379" t="s">
        <v>29</v>
      </c>
      <c r="L38" s="380" t="s">
        <v>152</v>
      </c>
      <c r="M38" s="381">
        <v>0.7</v>
      </c>
      <c r="N38" s="381">
        <v>0.25</v>
      </c>
    </row>
    <row r="39" spans="1:14" s="382" customFormat="1">
      <c r="A39" s="371" t="s">
        <v>202</v>
      </c>
      <c r="B39" s="300">
        <v>43132</v>
      </c>
      <c r="C39" s="372" t="s">
        <v>140</v>
      </c>
      <c r="D39" s="373">
        <v>9644.7000000000007</v>
      </c>
      <c r="E39" s="373">
        <v>9624.7099999999991</v>
      </c>
      <c r="F39" s="377">
        <v>55098</v>
      </c>
      <c r="G39" s="375" t="s">
        <v>16</v>
      </c>
      <c r="H39" s="376"/>
      <c r="I39" s="377">
        <v>6450</v>
      </c>
      <c r="J39" s="378"/>
      <c r="K39" s="379" t="s">
        <v>41</v>
      </c>
      <c r="L39" s="380" t="s">
        <v>149</v>
      </c>
      <c r="M39" s="381">
        <v>0.1</v>
      </c>
      <c r="N39" s="381">
        <v>0.25</v>
      </c>
    </row>
    <row r="40" spans="1:14" s="382" customFormat="1">
      <c r="A40" s="269" t="s">
        <v>321</v>
      </c>
      <c r="B40" s="219">
        <v>43132</v>
      </c>
      <c r="C40" s="364" t="s">
        <v>267</v>
      </c>
      <c r="D40" s="365">
        <v>33478.75</v>
      </c>
      <c r="E40" s="365">
        <v>36628.75</v>
      </c>
      <c r="F40" s="367">
        <v>176419.08</v>
      </c>
      <c r="G40" s="404"/>
      <c r="H40" s="368">
        <v>2260</v>
      </c>
      <c r="I40" s="369">
        <v>6119</v>
      </c>
      <c r="J40" s="369"/>
      <c r="K40" s="365" t="s">
        <v>18</v>
      </c>
      <c r="L40" s="365" t="s">
        <v>318</v>
      </c>
      <c r="M40" s="421">
        <v>0.1</v>
      </c>
      <c r="N40" s="421">
        <v>0.25</v>
      </c>
    </row>
    <row r="41" spans="1:14" s="382" customFormat="1">
      <c r="A41" s="269" t="s">
        <v>321</v>
      </c>
      <c r="B41" s="219">
        <v>43160</v>
      </c>
      <c r="C41" s="364" t="s">
        <v>268</v>
      </c>
      <c r="D41" s="365">
        <v>29998</v>
      </c>
      <c r="E41" s="365">
        <v>28648.35</v>
      </c>
      <c r="F41" s="367">
        <v>144160</v>
      </c>
      <c r="G41" s="404"/>
      <c r="H41" s="368">
        <v>2050</v>
      </c>
      <c r="I41" s="369">
        <v>3848</v>
      </c>
      <c r="J41" s="369"/>
      <c r="K41" s="365" t="s">
        <v>18</v>
      </c>
      <c r="L41" s="365" t="s">
        <v>318</v>
      </c>
      <c r="M41" s="421">
        <v>0.1</v>
      </c>
      <c r="N41" s="421">
        <v>0.25</v>
      </c>
    </row>
    <row r="42" spans="1:14" s="382" customFormat="1">
      <c r="A42" s="269" t="s">
        <v>321</v>
      </c>
      <c r="B42" s="219">
        <v>43160</v>
      </c>
      <c r="C42" s="364" t="s">
        <v>269</v>
      </c>
      <c r="D42" s="365">
        <v>29121.5</v>
      </c>
      <c r="E42" s="365">
        <v>30471.5</v>
      </c>
      <c r="F42" s="367">
        <v>123197.5</v>
      </c>
      <c r="G42" s="404"/>
      <c r="H42" s="368">
        <v>2180</v>
      </c>
      <c r="I42" s="369">
        <v>4092</v>
      </c>
      <c r="J42" s="369"/>
      <c r="K42" s="365" t="s">
        <v>18</v>
      </c>
      <c r="L42" s="365" t="s">
        <v>318</v>
      </c>
      <c r="M42" s="421">
        <v>0.1</v>
      </c>
      <c r="N42" s="421">
        <v>0.25</v>
      </c>
    </row>
    <row r="43" spans="1:14" s="382" customFormat="1">
      <c r="A43" s="269" t="s">
        <v>321</v>
      </c>
      <c r="B43" s="219">
        <v>43160</v>
      </c>
      <c r="C43" s="364" t="s">
        <v>270</v>
      </c>
      <c r="D43" s="365">
        <v>28615</v>
      </c>
      <c r="E43" s="365">
        <v>28613.41</v>
      </c>
      <c r="F43" s="367">
        <v>130490</v>
      </c>
      <c r="G43" s="404"/>
      <c r="H43" s="368">
        <v>2230</v>
      </c>
      <c r="I43" s="369">
        <v>5520</v>
      </c>
      <c r="J43" s="369"/>
      <c r="K43" s="365" t="s">
        <v>18</v>
      </c>
      <c r="L43" s="365" t="s">
        <v>318</v>
      </c>
      <c r="M43" s="421">
        <v>0.1</v>
      </c>
      <c r="N43" s="421">
        <v>0.25</v>
      </c>
    </row>
    <row r="44" spans="1:14" s="382" customFormat="1">
      <c r="A44" s="269" t="s">
        <v>321</v>
      </c>
      <c r="B44" s="219">
        <v>43160</v>
      </c>
      <c r="C44" s="364" t="s">
        <v>271</v>
      </c>
      <c r="D44" s="365">
        <v>34135</v>
      </c>
      <c r="E44" s="365">
        <v>34283.24</v>
      </c>
      <c r="F44" s="367">
        <v>151362.5</v>
      </c>
      <c r="G44" s="404"/>
      <c r="H44" s="368">
        <v>2280</v>
      </c>
      <c r="I44" s="369">
        <v>5670</v>
      </c>
      <c r="J44" s="369"/>
      <c r="K44" s="365" t="s">
        <v>18</v>
      </c>
      <c r="L44" s="365" t="s">
        <v>318</v>
      </c>
      <c r="M44" s="421">
        <v>0.1</v>
      </c>
      <c r="N44" s="421">
        <v>0.25</v>
      </c>
    </row>
    <row r="45" spans="1:14" s="382" customFormat="1">
      <c r="A45" s="269" t="s">
        <v>321</v>
      </c>
      <c r="B45" s="219">
        <v>43160</v>
      </c>
      <c r="C45" s="364" t="s">
        <v>272</v>
      </c>
      <c r="D45" s="365">
        <v>36131</v>
      </c>
      <c r="E45" s="365">
        <v>36131</v>
      </c>
      <c r="F45" s="367">
        <v>157308.32</v>
      </c>
      <c r="G45" s="404"/>
      <c r="H45" s="368">
        <v>6495</v>
      </c>
      <c r="I45" s="369">
        <v>6600</v>
      </c>
      <c r="J45" s="369"/>
      <c r="K45" s="365" t="s">
        <v>18</v>
      </c>
      <c r="L45" s="365" t="s">
        <v>246</v>
      </c>
      <c r="M45" s="421">
        <v>0.7</v>
      </c>
      <c r="N45" s="421">
        <v>0.25</v>
      </c>
    </row>
    <row r="46" spans="1:14" s="382" customFormat="1">
      <c r="A46" s="269" t="s">
        <v>321</v>
      </c>
      <c r="B46" s="219">
        <v>43160</v>
      </c>
      <c r="C46" s="364" t="s">
        <v>273</v>
      </c>
      <c r="D46" s="365">
        <v>406860</v>
      </c>
      <c r="E46" s="365">
        <v>406860</v>
      </c>
      <c r="F46" s="367">
        <v>1972215</v>
      </c>
      <c r="G46" s="404"/>
      <c r="H46" s="368">
        <v>50829</v>
      </c>
      <c r="I46" s="369">
        <v>70650</v>
      </c>
      <c r="J46" s="369"/>
      <c r="K46" s="365" t="s">
        <v>18</v>
      </c>
      <c r="L46" s="365" t="s">
        <v>247</v>
      </c>
      <c r="M46" s="421">
        <v>0.1</v>
      </c>
      <c r="N46" s="421">
        <v>0.25</v>
      </c>
    </row>
    <row r="47" spans="1:14" s="382" customFormat="1">
      <c r="A47" s="269" t="s">
        <v>321</v>
      </c>
      <c r="B47" s="219">
        <v>43160</v>
      </c>
      <c r="C47" s="364" t="s">
        <v>274</v>
      </c>
      <c r="D47" s="365">
        <v>30245.06</v>
      </c>
      <c r="E47" s="365">
        <v>27065.059999999998</v>
      </c>
      <c r="F47" s="367">
        <v>130356.42</v>
      </c>
      <c r="G47" s="404"/>
      <c r="H47" s="368">
        <v>1670</v>
      </c>
      <c r="I47" s="369">
        <v>4521</v>
      </c>
      <c r="J47" s="369"/>
      <c r="K47" s="365" t="s">
        <v>18</v>
      </c>
      <c r="L47" s="365" t="s">
        <v>318</v>
      </c>
      <c r="M47" s="421">
        <v>0.1</v>
      </c>
      <c r="N47" s="421">
        <v>0.25</v>
      </c>
    </row>
    <row r="48" spans="1:14" s="382" customFormat="1">
      <c r="A48" s="269" t="s">
        <v>321</v>
      </c>
      <c r="B48" s="219">
        <v>43191</v>
      </c>
      <c r="C48" s="364" t="s">
        <v>275</v>
      </c>
      <c r="D48" s="365">
        <v>45182.2</v>
      </c>
      <c r="E48" s="365">
        <v>45130.93</v>
      </c>
      <c r="F48" s="367">
        <v>190224</v>
      </c>
      <c r="G48" s="404"/>
      <c r="H48" s="368">
        <v>4015</v>
      </c>
      <c r="I48" s="369">
        <v>5960</v>
      </c>
      <c r="J48" s="369"/>
      <c r="K48" s="365" t="s">
        <v>18</v>
      </c>
      <c r="L48" s="365" t="s">
        <v>248</v>
      </c>
      <c r="M48" s="421">
        <v>0.1</v>
      </c>
      <c r="N48" s="421">
        <v>0.25</v>
      </c>
    </row>
    <row r="49" spans="1:14" s="382" customFormat="1">
      <c r="A49" s="269" t="s">
        <v>321</v>
      </c>
      <c r="B49" s="219">
        <v>43040</v>
      </c>
      <c r="C49" s="364" t="s">
        <v>276</v>
      </c>
      <c r="D49" s="365">
        <v>34390.39</v>
      </c>
      <c r="E49" s="365">
        <v>34584.33</v>
      </c>
      <c r="F49" s="367">
        <v>220293.46</v>
      </c>
      <c r="G49" s="404"/>
      <c r="H49" s="368">
        <v>0</v>
      </c>
      <c r="I49" s="369">
        <v>5400</v>
      </c>
      <c r="J49" s="369"/>
      <c r="K49" s="365" t="s">
        <v>41</v>
      </c>
      <c r="L49" s="365" t="s">
        <v>78</v>
      </c>
      <c r="M49" s="421">
        <v>0.1</v>
      </c>
      <c r="N49" s="421">
        <v>0.25</v>
      </c>
    </row>
    <row r="50" spans="1:14" s="382" customFormat="1">
      <c r="A50" s="269" t="s">
        <v>321</v>
      </c>
      <c r="B50" s="219">
        <v>43160</v>
      </c>
      <c r="C50" s="364" t="s">
        <v>277</v>
      </c>
      <c r="D50" s="365">
        <v>57177.440000000002</v>
      </c>
      <c r="E50" s="365">
        <v>57150.95</v>
      </c>
      <c r="F50" s="367">
        <v>307333.52</v>
      </c>
      <c r="G50" s="404"/>
      <c r="H50" s="368">
        <v>0</v>
      </c>
      <c r="I50" s="369">
        <v>10090</v>
      </c>
      <c r="J50" s="369"/>
      <c r="K50" s="365" t="s">
        <v>41</v>
      </c>
      <c r="L50" s="365" t="s">
        <v>319</v>
      </c>
      <c r="M50" s="421">
        <v>0.4</v>
      </c>
      <c r="N50" s="421">
        <v>0.25</v>
      </c>
    </row>
    <row r="51" spans="1:14" s="382" customFormat="1">
      <c r="A51" s="269" t="s">
        <v>321</v>
      </c>
      <c r="B51" s="219">
        <v>43160</v>
      </c>
      <c r="C51" s="364" t="s">
        <v>278</v>
      </c>
      <c r="D51" s="365">
        <v>121733</v>
      </c>
      <c r="E51" s="365">
        <v>121639</v>
      </c>
      <c r="F51" s="367">
        <v>635533.74</v>
      </c>
      <c r="G51" s="404"/>
      <c r="H51" s="368">
        <v>0</v>
      </c>
      <c r="I51" s="369">
        <v>17755</v>
      </c>
      <c r="J51" s="369"/>
      <c r="K51" s="365" t="s">
        <v>41</v>
      </c>
      <c r="L51" s="365" t="s">
        <v>320</v>
      </c>
      <c r="M51" s="421">
        <v>1</v>
      </c>
      <c r="N51" s="421">
        <v>0.25</v>
      </c>
    </row>
    <row r="52" spans="1:14" s="382" customFormat="1">
      <c r="A52" s="269" t="s">
        <v>321</v>
      </c>
      <c r="B52" s="219">
        <v>43191</v>
      </c>
      <c r="C52" s="364" t="s">
        <v>279</v>
      </c>
      <c r="D52" s="365">
        <v>8840</v>
      </c>
      <c r="E52" s="365">
        <v>8764</v>
      </c>
      <c r="F52" s="367">
        <v>45500</v>
      </c>
      <c r="G52" s="404"/>
      <c r="H52" s="368">
        <v>0</v>
      </c>
      <c r="I52" s="369">
        <v>1570</v>
      </c>
      <c r="J52" s="369"/>
      <c r="K52" s="365" t="s">
        <v>41</v>
      </c>
      <c r="L52" s="365" t="s">
        <v>245</v>
      </c>
      <c r="M52" s="421">
        <v>0.4</v>
      </c>
      <c r="N52" s="421">
        <v>0.25</v>
      </c>
    </row>
    <row r="53" spans="1:14" s="382" customFormat="1">
      <c r="A53" s="269" t="s">
        <v>321</v>
      </c>
      <c r="B53" s="219">
        <v>43160</v>
      </c>
      <c r="C53" s="364" t="s">
        <v>280</v>
      </c>
      <c r="D53" s="365">
        <v>51779.8</v>
      </c>
      <c r="E53" s="365">
        <v>51635.8</v>
      </c>
      <c r="F53" s="367">
        <v>246977.96</v>
      </c>
      <c r="G53" s="404"/>
      <c r="H53" s="368">
        <v>0</v>
      </c>
      <c r="I53" s="369">
        <v>6110</v>
      </c>
      <c r="J53" s="369"/>
      <c r="K53" s="365" t="s">
        <v>29</v>
      </c>
      <c r="L53" s="365" t="s">
        <v>249</v>
      </c>
      <c r="M53" s="421">
        <v>1</v>
      </c>
      <c r="N53" s="421">
        <v>0.25</v>
      </c>
    </row>
    <row r="54" spans="1:14" s="382" customFormat="1">
      <c r="A54" s="269" t="s">
        <v>321</v>
      </c>
      <c r="B54" s="219">
        <v>43191</v>
      </c>
      <c r="C54" s="364" t="s">
        <v>281</v>
      </c>
      <c r="D54" s="365">
        <v>12962.5</v>
      </c>
      <c r="E54" s="365">
        <v>12962.5</v>
      </c>
      <c r="F54" s="367">
        <v>67350</v>
      </c>
      <c r="G54" s="404"/>
      <c r="H54" s="368">
        <v>0</v>
      </c>
      <c r="I54" s="369">
        <v>5335</v>
      </c>
      <c r="J54" s="369"/>
      <c r="K54" s="365" t="s">
        <v>29</v>
      </c>
      <c r="L54" s="365" t="s">
        <v>316</v>
      </c>
      <c r="M54" s="421">
        <v>0.1</v>
      </c>
      <c r="N54" s="421">
        <v>0.25</v>
      </c>
    </row>
    <row r="55" spans="1:14" s="382" customFormat="1">
      <c r="A55" s="371"/>
      <c r="B55" s="300"/>
      <c r="C55" s="372"/>
      <c r="D55" s="373"/>
      <c r="E55" s="373"/>
      <c r="F55" s="377"/>
      <c r="G55" s="375"/>
      <c r="H55" s="376"/>
      <c r="I55" s="377"/>
      <c r="J55" s="378"/>
      <c r="K55" s="379"/>
      <c r="L55" s="380"/>
      <c r="M55" s="381"/>
      <c r="N55" s="381"/>
    </row>
    <row r="56" spans="1:14">
      <c r="A56" s="552" t="s">
        <v>199</v>
      </c>
      <c r="B56" s="553"/>
      <c r="C56" s="554"/>
      <c r="D56" s="132">
        <f>SUM(D3:D55)</f>
        <v>3240480.4123961665</v>
      </c>
      <c r="E56" s="132">
        <f>SUM(E3:E55)</f>
        <v>3154079.7623961675</v>
      </c>
      <c r="F56" s="133">
        <f>SUM(F3:F55)</f>
        <v>16156384.380000001</v>
      </c>
      <c r="G56" s="132"/>
      <c r="H56" s="432">
        <f>SUM(H3:H55)</f>
        <v>243061.18</v>
      </c>
      <c r="I56" s="433">
        <f>SUM(I3:I55)</f>
        <v>555967.08000000007</v>
      </c>
      <c r="J56" s="133">
        <f>SUM(J3:J55)</f>
        <v>1450</v>
      </c>
      <c r="K56" s="136"/>
      <c r="L56" s="136"/>
      <c r="M56" s="137"/>
      <c r="N56" s="137"/>
    </row>
    <row r="59" spans="1:14">
      <c r="B59" s="134" t="s">
        <v>85</v>
      </c>
      <c r="C59" s="112">
        <f>E56</f>
        <v>3154079.7623961675</v>
      </c>
    </row>
    <row r="60" spans="1:14">
      <c r="B60" s="134" t="s">
        <v>86</v>
      </c>
      <c r="C60" s="112">
        <f>H56</f>
        <v>243061.18</v>
      </c>
    </row>
    <row r="61" spans="1:14">
      <c r="B61" s="111" t="s">
        <v>87</v>
      </c>
      <c r="C61" s="112">
        <f>C59-C60</f>
        <v>2911018.5823961673</v>
      </c>
    </row>
    <row r="62" spans="1:14">
      <c r="B62" s="134" t="s">
        <v>88</v>
      </c>
      <c r="C62" s="113">
        <f>F56+I56+J56</f>
        <v>16713801.460000001</v>
      </c>
    </row>
    <row r="63" spans="1:14">
      <c r="B63" s="134" t="s">
        <v>89</v>
      </c>
      <c r="C63" s="114">
        <f>C62/C61*1.005</f>
        <v>5.7702724980454994</v>
      </c>
    </row>
  </sheetData>
  <sheetProtection algorithmName="SHA-512" hashValue="fYCKtaCQJjTawgta3j/6N/qJuOffBlqAuvNjuAcbJcgMFj1W5MJb6TcidGRAUB8n9hyFH9ub1yF27JIMo5LNPA==" saltValue="YlctmJ2gDH8ehRtJ2/yYkA==" spinCount="100000" sheet="1" objects="1" scenarios="1"/>
  <autoFilter ref="B2:N56" xr:uid="{00000000-0009-0000-0000-000000000000}"/>
  <mergeCells count="4">
    <mergeCell ref="H7:H8"/>
    <mergeCell ref="I7:I8"/>
    <mergeCell ref="A1:N1"/>
    <mergeCell ref="A56:C56"/>
  </mergeCells>
  <phoneticPr fontId="42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0"/>
  <sheetViews>
    <sheetView showGridLines="0" workbookViewId="0">
      <selection activeCell="E20" sqref="E20"/>
    </sheetView>
  </sheetViews>
  <sheetFormatPr defaultColWidth="9" defaultRowHeight="15"/>
  <cols>
    <col min="1" max="1" width="11.42578125" customWidth="1"/>
    <col min="2" max="2" width="14.140625" customWidth="1"/>
    <col min="3" max="3" width="13.7109375" customWidth="1"/>
    <col min="4" max="4" width="17.28515625" customWidth="1"/>
    <col min="5" max="5" width="15.42578125" customWidth="1"/>
    <col min="6" max="6" width="9.140625" customWidth="1"/>
    <col min="7" max="7" width="13.5703125" customWidth="1"/>
    <col min="8" max="8" width="12.85546875" customWidth="1"/>
    <col min="9" max="9" width="11.42578125" customWidth="1"/>
    <col min="10" max="10" width="24.140625" customWidth="1"/>
    <col min="11" max="11" width="10.42578125" customWidth="1"/>
    <col min="13" max="13" width="7.85546875" customWidth="1"/>
  </cols>
  <sheetData>
    <row r="1" spans="1:13" ht="19.5" customHeight="1">
      <c r="A1" s="3" t="s">
        <v>90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3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3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3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2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35" t="s">
        <v>13</v>
      </c>
    </row>
    <row r="5" spans="1:13">
      <c r="A5" s="16" t="s">
        <v>14</v>
      </c>
      <c r="B5" s="17" t="s">
        <v>15</v>
      </c>
      <c r="C5" s="18">
        <v>64947.4</v>
      </c>
      <c r="D5" s="18">
        <v>64947.4</v>
      </c>
      <c r="E5" s="19">
        <v>388980.1</v>
      </c>
      <c r="F5" s="19" t="s">
        <v>16</v>
      </c>
      <c r="G5" s="138">
        <v>4150</v>
      </c>
      <c r="H5" s="139">
        <v>11840</v>
      </c>
      <c r="I5" s="72"/>
      <c r="J5" s="77" t="s">
        <v>17</v>
      </c>
      <c r="K5" s="78" t="s">
        <v>18</v>
      </c>
      <c r="L5" s="78">
        <v>1</v>
      </c>
      <c r="M5" s="145">
        <v>0.3</v>
      </c>
    </row>
    <row r="6" spans="1:13">
      <c r="A6" s="16" t="s">
        <v>19</v>
      </c>
      <c r="B6" s="17" t="s">
        <v>20</v>
      </c>
      <c r="C6" s="18">
        <f>78554.42</f>
        <v>78554.42</v>
      </c>
      <c r="D6" s="18">
        <f>78554.42-7500</f>
        <v>71054.42</v>
      </c>
      <c r="E6" s="19">
        <v>368997.38</v>
      </c>
      <c r="F6" s="19" t="s">
        <v>16</v>
      </c>
      <c r="G6" s="138">
        <v>7800</v>
      </c>
      <c r="H6" s="139">
        <v>14800</v>
      </c>
      <c r="I6" s="72"/>
      <c r="J6" s="77" t="s">
        <v>21</v>
      </c>
      <c r="K6" s="78" t="s">
        <v>18</v>
      </c>
      <c r="L6" s="78">
        <v>0.5</v>
      </c>
      <c r="M6" s="145">
        <v>0.35</v>
      </c>
    </row>
    <row r="7" spans="1:13">
      <c r="A7" s="16" t="s">
        <v>22</v>
      </c>
      <c r="B7" s="17" t="s">
        <v>23</v>
      </c>
      <c r="C7" s="18">
        <v>191358.07999999999</v>
      </c>
      <c r="D7" s="18">
        <v>191358.07999999999</v>
      </c>
      <c r="E7" s="19">
        <v>1121500</v>
      </c>
      <c r="F7" s="19" t="s">
        <v>16</v>
      </c>
      <c r="G7" s="140">
        <v>7000</v>
      </c>
      <c r="H7" s="141">
        <v>33250</v>
      </c>
      <c r="I7" s="72"/>
      <c r="J7" s="77" t="s">
        <v>24</v>
      </c>
      <c r="K7" s="78" t="s">
        <v>18</v>
      </c>
      <c r="L7" s="78">
        <v>0.7</v>
      </c>
      <c r="M7" s="145">
        <v>0.35</v>
      </c>
    </row>
    <row r="8" spans="1:13">
      <c r="A8" s="16" t="s">
        <v>22</v>
      </c>
      <c r="B8" s="17" t="s">
        <v>25</v>
      </c>
      <c r="C8" s="18">
        <v>35693.06</v>
      </c>
      <c r="D8" s="18">
        <v>35693.06</v>
      </c>
      <c r="E8" s="19">
        <v>241427.5</v>
      </c>
      <c r="F8" s="19" t="s">
        <v>16</v>
      </c>
      <c r="G8" s="140">
        <v>2000</v>
      </c>
      <c r="H8" s="141">
        <v>6830</v>
      </c>
      <c r="I8" s="72"/>
      <c r="J8" s="77" t="s">
        <v>24</v>
      </c>
      <c r="K8" s="78" t="s">
        <v>18</v>
      </c>
      <c r="L8" s="78">
        <v>0.7</v>
      </c>
      <c r="M8" s="145">
        <v>0.35</v>
      </c>
    </row>
    <row r="9" spans="1:13">
      <c r="A9" s="26" t="s">
        <v>91</v>
      </c>
      <c r="B9" s="27"/>
      <c r="C9" s="28">
        <f>SUM(C5:C8)</f>
        <v>370552.96</v>
      </c>
      <c r="D9" s="28"/>
      <c r="E9" s="29"/>
      <c r="F9" s="29"/>
      <c r="G9" s="28"/>
      <c r="H9" s="30"/>
      <c r="I9" s="30"/>
      <c r="J9" s="86"/>
      <c r="K9" s="87"/>
      <c r="L9" s="27"/>
    </row>
    <row r="10" spans="1:13">
      <c r="A10" s="31" t="s">
        <v>92</v>
      </c>
      <c r="B10" s="31"/>
      <c r="C10" s="32"/>
      <c r="D10" s="32"/>
      <c r="E10" s="33"/>
      <c r="F10" s="33"/>
      <c r="G10" s="32"/>
      <c r="H10" s="34"/>
      <c r="I10" s="34"/>
      <c r="J10" s="31"/>
      <c r="K10" s="31"/>
      <c r="L10" s="33"/>
    </row>
    <row r="11" spans="1:13">
      <c r="A11" s="33">
        <v>1</v>
      </c>
      <c r="B11" s="35" t="s">
        <v>93</v>
      </c>
      <c r="C11" s="36"/>
      <c r="D11" s="36"/>
      <c r="E11" s="37"/>
      <c r="F11" s="37"/>
      <c r="G11" s="36"/>
      <c r="H11" s="38"/>
      <c r="I11" s="38"/>
      <c r="J11" s="31"/>
      <c r="K11" s="88"/>
      <c r="L11" s="33"/>
    </row>
    <row r="12" spans="1:13">
      <c r="A12" s="39">
        <v>2</v>
      </c>
      <c r="B12" s="555" t="s">
        <v>94</v>
      </c>
      <c r="C12" s="555"/>
      <c r="D12" s="41"/>
      <c r="E12" s="39"/>
      <c r="F12" s="42"/>
      <c r="G12" s="41"/>
      <c r="H12" s="43"/>
      <c r="I12" s="89"/>
      <c r="J12" s="45"/>
      <c r="K12" s="45"/>
      <c r="L12" s="39"/>
    </row>
    <row r="13" spans="1:13">
      <c r="A13" s="39"/>
      <c r="B13" s="17" t="s">
        <v>15</v>
      </c>
      <c r="C13" s="44">
        <f>(E5+H5)/(D5-G5)*1.005</f>
        <v>6.6256813695980412</v>
      </c>
      <c r="D13" s="41"/>
      <c r="E13" s="39"/>
      <c r="F13" s="42"/>
      <c r="G13" s="41"/>
      <c r="H13" s="43"/>
      <c r="I13" s="89"/>
      <c r="J13" s="45"/>
      <c r="K13" s="45"/>
      <c r="L13" s="39"/>
    </row>
    <row r="14" spans="1:13">
      <c r="A14" s="39"/>
      <c r="B14" s="17" t="s">
        <v>20</v>
      </c>
      <c r="C14" s="44">
        <f>(E6+H6)/(D6-G6)*1.005</f>
        <v>6.0978563537536186</v>
      </c>
      <c r="D14" s="41"/>
      <c r="E14" s="39"/>
      <c r="F14" s="42"/>
      <c r="G14" s="41"/>
      <c r="H14" s="43"/>
      <c r="I14" s="89"/>
      <c r="J14" s="45"/>
      <c r="K14" s="45"/>
      <c r="L14" s="39"/>
    </row>
    <row r="15" spans="1:13">
      <c r="A15" s="39"/>
      <c r="B15" s="17" t="s">
        <v>23</v>
      </c>
      <c r="C15" s="44">
        <f>(E7+H7)/(D7-G7)*1.005</f>
        <v>6.2949437854852901</v>
      </c>
      <c r="D15" s="41"/>
      <c r="E15" s="39"/>
      <c r="F15" s="42"/>
      <c r="G15" s="41"/>
      <c r="H15" s="43"/>
      <c r="I15" s="89"/>
      <c r="J15" s="45"/>
      <c r="K15" s="45"/>
      <c r="L15" s="39"/>
    </row>
    <row r="16" spans="1:13">
      <c r="A16" s="39"/>
      <c r="B16" s="17" t="s">
        <v>25</v>
      </c>
      <c r="C16" s="44">
        <f>(E8+H8)/(D8-G8)*1.005</f>
        <v>7.4050498084768792</v>
      </c>
      <c r="D16" s="41"/>
      <c r="E16" s="39"/>
      <c r="F16" s="42"/>
      <c r="G16" s="41"/>
      <c r="H16" s="43"/>
      <c r="I16" s="89"/>
      <c r="J16" s="45"/>
      <c r="K16" s="45"/>
      <c r="L16" s="39"/>
    </row>
    <row r="17" spans="1:13">
      <c r="A17" s="45"/>
      <c r="B17" s="39"/>
      <c r="C17" s="41"/>
      <c r="D17" s="41"/>
      <c r="E17" s="39"/>
      <c r="F17" s="42"/>
      <c r="G17" s="41"/>
      <c r="H17" s="43"/>
      <c r="I17" s="89"/>
      <c r="J17" s="45"/>
      <c r="K17" s="90"/>
      <c r="L17" s="39"/>
    </row>
    <row r="18" spans="1:13">
      <c r="A18" s="39">
        <v>3</v>
      </c>
      <c r="B18" s="46" t="s">
        <v>95</v>
      </c>
      <c r="C18" s="47"/>
      <c r="D18" s="48" t="s">
        <v>96</v>
      </c>
      <c r="E18" s="47" t="s">
        <v>97</v>
      </c>
      <c r="F18" s="47" t="s">
        <v>98</v>
      </c>
      <c r="G18" s="41"/>
      <c r="H18" s="43"/>
      <c r="I18" s="89"/>
      <c r="J18" s="45"/>
      <c r="K18" s="90"/>
      <c r="L18" s="39"/>
    </row>
    <row r="19" spans="1:13">
      <c r="A19" s="39"/>
      <c r="B19" s="17" t="s">
        <v>15</v>
      </c>
      <c r="C19" s="49">
        <f>(6.88-C13-F19)*(D5-G5)*1*0.3</f>
        <v>-6350.5565999999881</v>
      </c>
      <c r="D19" s="54">
        <v>0.45500000000000002</v>
      </c>
      <c r="E19" s="54">
        <v>0.75</v>
      </c>
      <c r="F19" s="54">
        <f t="shared" ref="F19:F22" si="0">(E19+D19)/2</f>
        <v>0.60250000000000004</v>
      </c>
      <c r="G19" s="41"/>
      <c r="H19" s="43"/>
      <c r="I19" s="89"/>
      <c r="J19" s="45"/>
      <c r="K19" s="90"/>
      <c r="L19" s="39"/>
    </row>
    <row r="20" spans="1:13">
      <c r="A20" s="39"/>
      <c r="B20" s="17" t="s">
        <v>20</v>
      </c>
      <c r="C20" s="49">
        <f>(6.88-C14-F20)*(D6-G6)*0.5*0.35</f>
        <v>1988.5695637500044</v>
      </c>
      <c r="D20" s="54">
        <v>0.45500000000000002</v>
      </c>
      <c r="E20" s="54">
        <v>0.75</v>
      </c>
      <c r="F20" s="54">
        <f t="shared" si="0"/>
        <v>0.60250000000000004</v>
      </c>
      <c r="G20" s="41"/>
      <c r="H20" s="43"/>
      <c r="I20" s="89"/>
      <c r="J20" s="45"/>
      <c r="K20" s="90"/>
      <c r="L20" s="39"/>
    </row>
    <row r="21" spans="1:13">
      <c r="A21" s="39"/>
      <c r="B21" s="17" t="s">
        <v>23</v>
      </c>
      <c r="C21" s="49">
        <f>(6.88-C15-F21)*(D7-G7)*0.7*0.35</f>
        <v>-787.89618599999426</v>
      </c>
      <c r="D21" s="54">
        <v>0.45500000000000002</v>
      </c>
      <c r="E21" s="54">
        <v>0.75</v>
      </c>
      <c r="F21" s="54">
        <f t="shared" si="0"/>
        <v>0.60250000000000004</v>
      </c>
      <c r="G21" s="41"/>
      <c r="H21" s="43"/>
      <c r="I21" s="89"/>
      <c r="J21" s="45"/>
      <c r="K21" s="90"/>
      <c r="L21" s="39"/>
    </row>
    <row r="22" spans="1:13">
      <c r="A22" s="39"/>
      <c r="B22" s="17" t="s">
        <v>25</v>
      </c>
      <c r="C22" s="49">
        <f>(6.88-C16-F22)*(D8-G8)*0.7*0.35</f>
        <v>-9307.6978207499997</v>
      </c>
      <c r="D22" s="54">
        <v>0.45500000000000002</v>
      </c>
      <c r="E22" s="54">
        <v>0.75</v>
      </c>
      <c r="F22" s="54">
        <f t="shared" si="0"/>
        <v>0.60250000000000004</v>
      </c>
      <c r="G22" s="41"/>
      <c r="H22" s="43"/>
      <c r="I22" s="89"/>
      <c r="J22" s="45"/>
      <c r="K22" s="90"/>
      <c r="L22" s="39"/>
    </row>
    <row r="23" spans="1:13">
      <c r="A23" s="39"/>
      <c r="B23" s="55" t="s">
        <v>99</v>
      </c>
      <c r="C23" s="49">
        <f>C20</f>
        <v>1988.5695637500044</v>
      </c>
      <c r="D23" s="47"/>
      <c r="E23" s="47"/>
      <c r="F23" s="47"/>
      <c r="G23" s="41"/>
      <c r="H23" s="43"/>
      <c r="I23" s="89"/>
      <c r="J23" s="45"/>
      <c r="K23" s="90"/>
      <c r="L23" s="39"/>
    </row>
    <row r="24" spans="1:13">
      <c r="A24" s="33"/>
      <c r="B24" s="124" t="s">
        <v>100</v>
      </c>
      <c r="C24" s="59">
        <f>C23*0.7</f>
        <v>1391.9986946250031</v>
      </c>
      <c r="D24" s="41"/>
      <c r="E24" s="39"/>
      <c r="F24" s="42"/>
      <c r="G24" s="41"/>
      <c r="H24" s="43"/>
      <c r="I24" s="34"/>
      <c r="J24" s="31"/>
      <c r="K24" s="31"/>
      <c r="L24" s="33"/>
    </row>
    <row r="25" spans="1:13">
      <c r="A25" s="63"/>
      <c r="B25" s="63"/>
      <c r="C25" s="64"/>
      <c r="D25" s="63"/>
      <c r="E25" s="64"/>
      <c r="F25" s="64"/>
      <c r="G25" s="64"/>
      <c r="H25" s="64"/>
      <c r="I25" s="64"/>
      <c r="J25" s="63"/>
      <c r="K25" s="63"/>
      <c r="L25" s="64"/>
    </row>
    <row r="26" spans="1:13">
      <c r="A26" s="63"/>
      <c r="B26" s="63"/>
      <c r="C26" s="64"/>
      <c r="D26" s="63"/>
      <c r="E26" s="64"/>
      <c r="F26" s="64"/>
      <c r="G26" s="64"/>
      <c r="H26" s="64"/>
      <c r="I26" s="64"/>
      <c r="J26" s="63"/>
      <c r="K26" s="63"/>
      <c r="L26" s="64"/>
    </row>
    <row r="27" spans="1:13">
      <c r="A27" s="65"/>
      <c r="B27" s="66"/>
      <c r="C27" s="67"/>
      <c r="D27" s="68"/>
      <c r="E27" s="69"/>
      <c r="F27" s="65"/>
      <c r="G27" s="68"/>
      <c r="H27" s="69"/>
      <c r="I27" s="69"/>
      <c r="J27" s="65"/>
      <c r="K27" s="65"/>
      <c r="L27" s="65"/>
    </row>
    <row r="28" spans="1:13">
      <c r="A28" s="8" t="s">
        <v>29</v>
      </c>
      <c r="B28" s="8"/>
      <c r="C28" s="9"/>
      <c r="D28" s="9"/>
      <c r="E28" s="10"/>
      <c r="F28" s="10"/>
      <c r="G28" s="9"/>
      <c r="H28" s="11"/>
      <c r="I28" s="11"/>
      <c r="J28" s="8"/>
      <c r="K28" s="8"/>
      <c r="L28" s="10"/>
    </row>
    <row r="29" spans="1:13" ht="25.5">
      <c r="A29" s="12" t="s">
        <v>1</v>
      </c>
      <c r="B29" s="12" t="s">
        <v>2</v>
      </c>
      <c r="C29" s="13" t="s">
        <v>3</v>
      </c>
      <c r="D29" s="14" t="s">
        <v>4</v>
      </c>
      <c r="E29" s="12" t="s">
        <v>5</v>
      </c>
      <c r="F29" s="12" t="s">
        <v>6</v>
      </c>
      <c r="G29" s="13" t="s">
        <v>7</v>
      </c>
      <c r="H29" s="15" t="s">
        <v>8</v>
      </c>
      <c r="I29" s="15" t="s">
        <v>9</v>
      </c>
      <c r="J29" s="12" t="s">
        <v>10</v>
      </c>
      <c r="K29" s="12" t="s">
        <v>11</v>
      </c>
      <c r="L29" s="12" t="s">
        <v>12</v>
      </c>
      <c r="M29" s="135" t="s">
        <v>13</v>
      </c>
    </row>
    <row r="30" spans="1:13">
      <c r="A30" s="16" t="s">
        <v>26</v>
      </c>
      <c r="B30" s="70" t="s">
        <v>27</v>
      </c>
      <c r="C30" s="18">
        <v>24720</v>
      </c>
      <c r="D30" s="18">
        <v>24720</v>
      </c>
      <c r="E30" s="19">
        <v>125200</v>
      </c>
      <c r="F30" s="71" t="s">
        <v>16</v>
      </c>
      <c r="G30" s="564">
        <v>9773</v>
      </c>
      <c r="H30" s="566">
        <v>11840</v>
      </c>
      <c r="I30" s="91"/>
      <c r="J30" s="92" t="s">
        <v>28</v>
      </c>
      <c r="K30" s="70" t="s">
        <v>29</v>
      </c>
      <c r="L30" s="78">
        <v>0.1</v>
      </c>
      <c r="M30" s="145">
        <v>0.2</v>
      </c>
    </row>
    <row r="31" spans="1:13">
      <c r="A31" s="16" t="s">
        <v>26</v>
      </c>
      <c r="B31" s="70" t="s">
        <v>30</v>
      </c>
      <c r="C31" s="18">
        <v>47360</v>
      </c>
      <c r="D31" s="18">
        <v>47360</v>
      </c>
      <c r="E31" s="19">
        <v>240800</v>
      </c>
      <c r="F31" s="19" t="s">
        <v>16</v>
      </c>
      <c r="G31" s="565"/>
      <c r="H31" s="567"/>
      <c r="I31" s="72"/>
      <c r="J31" s="92" t="s">
        <v>28</v>
      </c>
      <c r="K31" s="70" t="s">
        <v>29</v>
      </c>
      <c r="L31" s="78">
        <v>0.1</v>
      </c>
      <c r="M31" s="145">
        <v>0.2</v>
      </c>
    </row>
    <row r="32" spans="1:13">
      <c r="A32" s="16" t="s">
        <v>26</v>
      </c>
      <c r="B32" s="70" t="s">
        <v>31</v>
      </c>
      <c r="C32" s="18">
        <v>45850.5</v>
      </c>
      <c r="D32" s="18">
        <v>45850.5</v>
      </c>
      <c r="E32" s="19">
        <v>191000</v>
      </c>
      <c r="F32" s="71" t="s">
        <v>16</v>
      </c>
      <c r="G32" s="142">
        <v>6669</v>
      </c>
      <c r="H32" s="143">
        <v>13880</v>
      </c>
      <c r="I32" s="91"/>
      <c r="J32" s="92" t="s">
        <v>28</v>
      </c>
      <c r="K32" s="70" t="s">
        <v>29</v>
      </c>
      <c r="L32" s="78">
        <v>0.1</v>
      </c>
      <c r="M32" s="145">
        <v>0.2</v>
      </c>
    </row>
    <row r="33" spans="1:13">
      <c r="A33" s="16" t="s">
        <v>32</v>
      </c>
      <c r="B33" s="70" t="s">
        <v>33</v>
      </c>
      <c r="C33" s="18">
        <v>59168</v>
      </c>
      <c r="D33" s="18">
        <v>59168</v>
      </c>
      <c r="E33" s="19">
        <v>308480</v>
      </c>
      <c r="F33" s="19" t="s">
        <v>16</v>
      </c>
      <c r="G33" s="142">
        <v>6732</v>
      </c>
      <c r="H33" s="143">
        <v>11590</v>
      </c>
      <c r="I33" s="72"/>
      <c r="J33" s="92" t="s">
        <v>28</v>
      </c>
      <c r="K33" s="70" t="s">
        <v>29</v>
      </c>
      <c r="L33" s="78">
        <v>0.1</v>
      </c>
      <c r="M33" s="145">
        <v>0.2</v>
      </c>
    </row>
    <row r="34" spans="1:13">
      <c r="A34" s="16" t="s">
        <v>34</v>
      </c>
      <c r="B34" s="70" t="s">
        <v>35</v>
      </c>
      <c r="C34" s="18">
        <v>42873</v>
      </c>
      <c r="D34" s="18">
        <v>42873</v>
      </c>
      <c r="E34" s="19">
        <v>243526</v>
      </c>
      <c r="F34" s="19" t="s">
        <v>16</v>
      </c>
      <c r="G34" s="138">
        <v>0</v>
      </c>
      <c r="H34" s="139">
        <v>1750</v>
      </c>
      <c r="I34" s="72"/>
      <c r="J34" s="92" t="s">
        <v>36</v>
      </c>
      <c r="K34" s="70" t="s">
        <v>29</v>
      </c>
      <c r="L34" s="78">
        <v>0.1</v>
      </c>
      <c r="M34" s="145">
        <v>0.2</v>
      </c>
    </row>
    <row r="35" spans="1:13">
      <c r="A35" s="16" t="s">
        <v>34</v>
      </c>
      <c r="B35" s="70" t="s">
        <v>37</v>
      </c>
      <c r="C35" s="18">
        <v>4135</v>
      </c>
      <c r="D35" s="18">
        <v>4135</v>
      </c>
      <c r="E35" s="19">
        <v>23550</v>
      </c>
      <c r="F35" s="19" t="s">
        <v>16</v>
      </c>
      <c r="G35" s="142">
        <v>0</v>
      </c>
      <c r="H35" s="143">
        <v>1082</v>
      </c>
      <c r="I35" s="72"/>
      <c r="J35" s="92" t="s">
        <v>38</v>
      </c>
      <c r="K35" s="70" t="s">
        <v>29</v>
      </c>
      <c r="L35" s="78">
        <v>0.1</v>
      </c>
      <c r="M35" s="145">
        <v>0.2</v>
      </c>
    </row>
    <row r="36" spans="1:13">
      <c r="A36" s="26" t="s">
        <v>91</v>
      </c>
      <c r="B36" s="27"/>
      <c r="C36" s="28">
        <f>SUM(C30:C35)</f>
        <v>224106.5</v>
      </c>
      <c r="D36" s="28"/>
      <c r="E36" s="29"/>
      <c r="F36" s="29"/>
      <c r="G36" s="28"/>
      <c r="H36" s="30"/>
      <c r="I36" s="30"/>
      <c r="J36" s="86"/>
      <c r="K36" s="87"/>
      <c r="L36" s="27"/>
    </row>
    <row r="37" spans="1:13">
      <c r="A37" s="31" t="s">
        <v>92</v>
      </c>
      <c r="B37" s="31"/>
      <c r="C37" s="32"/>
      <c r="D37" s="32"/>
      <c r="E37" s="33"/>
      <c r="F37" s="33"/>
      <c r="G37" s="32"/>
      <c r="H37" s="34"/>
      <c r="I37" s="34"/>
      <c r="J37" s="31"/>
      <c r="K37" s="31"/>
      <c r="L37" s="33"/>
    </row>
    <row r="38" spans="1:13">
      <c r="A38" s="33">
        <v>1</v>
      </c>
      <c r="B38" s="35" t="s">
        <v>101</v>
      </c>
      <c r="C38" s="36"/>
      <c r="D38" s="36"/>
      <c r="E38" s="37"/>
      <c r="F38" s="37"/>
      <c r="G38" s="36"/>
      <c r="H38" s="38"/>
      <c r="I38" s="38"/>
      <c r="J38" s="31"/>
      <c r="K38" s="88"/>
      <c r="L38" s="33"/>
    </row>
    <row r="39" spans="1:13">
      <c r="A39" s="39">
        <v>2</v>
      </c>
      <c r="B39" s="555" t="s">
        <v>94</v>
      </c>
      <c r="C39" s="555"/>
      <c r="D39" s="41"/>
      <c r="E39" s="39"/>
      <c r="F39" s="42"/>
      <c r="G39" s="41"/>
      <c r="H39" s="43"/>
      <c r="I39" s="89"/>
      <c r="J39" s="45"/>
      <c r="K39" s="45"/>
      <c r="L39" s="39"/>
    </row>
    <row r="40" spans="1:13">
      <c r="A40" s="39"/>
      <c r="B40" s="70" t="s">
        <v>27</v>
      </c>
      <c r="C40" s="558">
        <f>(E30+E31+H30)/(D30+D31-G30)*1.005</f>
        <v>6.0944869757812121</v>
      </c>
      <c r="D40" s="41"/>
      <c r="E40" s="39"/>
      <c r="F40" s="42"/>
      <c r="G40" s="41"/>
      <c r="H40" s="43"/>
      <c r="I40" s="89"/>
      <c r="J40" s="45"/>
      <c r="K40" s="45"/>
      <c r="L40" s="39"/>
    </row>
    <row r="41" spans="1:13">
      <c r="A41" s="39"/>
      <c r="B41" s="70" t="s">
        <v>30</v>
      </c>
      <c r="C41" s="559"/>
      <c r="D41" s="41"/>
      <c r="E41" s="39"/>
      <c r="F41" s="42"/>
      <c r="G41" s="41"/>
      <c r="H41" s="43"/>
      <c r="I41" s="89"/>
      <c r="J41" s="45"/>
      <c r="K41" s="45"/>
      <c r="L41" s="39"/>
    </row>
    <row r="42" spans="1:13">
      <c r="A42" s="39"/>
      <c r="B42" s="70" t="s">
        <v>31</v>
      </c>
      <c r="C42" s="44">
        <f>(E32+H32)/(D32-G32)*1.005</f>
        <v>5.2551433712338724</v>
      </c>
      <c r="D42" s="41"/>
      <c r="E42" s="39"/>
      <c r="F42" s="42"/>
      <c r="G42" s="41"/>
      <c r="H42" s="43"/>
      <c r="I42" s="89"/>
      <c r="J42" s="45"/>
      <c r="K42" s="45"/>
      <c r="L42" s="39"/>
    </row>
    <row r="43" spans="1:13">
      <c r="A43" s="39"/>
      <c r="B43" s="70" t="s">
        <v>33</v>
      </c>
      <c r="C43" s="44">
        <f>(E33+H33)/(D33-G33)*1.005</f>
        <v>6.1345325730414215</v>
      </c>
      <c r="D43" s="41"/>
      <c r="E43" s="39"/>
      <c r="F43" s="42"/>
      <c r="G43" s="41"/>
      <c r="H43" s="43"/>
      <c r="I43" s="89"/>
      <c r="J43" s="45"/>
      <c r="K43" s="45"/>
      <c r="L43" s="39"/>
    </row>
    <row r="44" spans="1:13">
      <c r="A44" s="39"/>
      <c r="B44" s="70" t="s">
        <v>35</v>
      </c>
      <c r="C44" s="44">
        <f>(E34+H34)/(D34-G34)*1.005</f>
        <v>5.7495948499055345</v>
      </c>
      <c r="D44" s="41"/>
      <c r="E44" s="39"/>
      <c r="F44" s="42"/>
      <c r="G44" s="41"/>
      <c r="H44" s="43"/>
      <c r="I44" s="89"/>
      <c r="J44" s="45"/>
      <c r="K44" s="45"/>
      <c r="L44" s="39"/>
    </row>
    <row r="45" spans="1:13">
      <c r="A45" s="39"/>
      <c r="B45" s="70" t="s">
        <v>37</v>
      </c>
      <c r="C45" s="44">
        <f>(E35+H35)/(D35-G35)*1.005</f>
        <v>5.9867376058041106</v>
      </c>
      <c r="D45" s="41"/>
      <c r="E45" s="39"/>
      <c r="F45" s="42"/>
      <c r="G45" s="41"/>
      <c r="H45" s="43"/>
      <c r="I45" s="89"/>
      <c r="J45" s="45"/>
      <c r="K45" s="45"/>
      <c r="L45" s="39"/>
    </row>
    <row r="46" spans="1:13">
      <c r="A46" s="45"/>
      <c r="B46" s="39"/>
      <c r="C46" s="41"/>
      <c r="D46" s="41"/>
      <c r="E46" s="39"/>
      <c r="F46" s="42"/>
      <c r="G46" s="41"/>
      <c r="H46" s="43"/>
      <c r="I46" s="89"/>
      <c r="J46" s="45"/>
      <c r="K46" s="90"/>
      <c r="L46" s="39"/>
    </row>
    <row r="47" spans="1:13">
      <c r="A47" s="39">
        <v>3</v>
      </c>
      <c r="B47" s="46" t="s">
        <v>95</v>
      </c>
      <c r="C47" s="47"/>
      <c r="D47" s="48" t="s">
        <v>96</v>
      </c>
      <c r="E47" s="47" t="s">
        <v>97</v>
      </c>
      <c r="F47" s="47" t="s">
        <v>98</v>
      </c>
      <c r="G47" s="41"/>
      <c r="H47" s="43"/>
      <c r="I47" s="89"/>
      <c r="J47" s="45"/>
      <c r="K47" s="90"/>
      <c r="L47" s="39"/>
    </row>
    <row r="48" spans="1:13">
      <c r="A48" s="39"/>
      <c r="B48" s="70" t="s">
        <v>27</v>
      </c>
      <c r="C48" s="560">
        <f>(6.88-C40-F48)*(D30+D31-G30)*0.1*0.2</f>
        <v>228.05985000000015</v>
      </c>
      <c r="D48" s="562">
        <v>0.45500000000000002</v>
      </c>
      <c r="E48" s="562">
        <f t="shared" ref="E48:E53" si="1">0.75</f>
        <v>0.75</v>
      </c>
      <c r="F48" s="562">
        <f t="shared" ref="F48:F53" si="2">(E48+D48)/2</f>
        <v>0.60250000000000004</v>
      </c>
      <c r="G48" s="41"/>
      <c r="H48" s="43"/>
      <c r="I48" s="89"/>
      <c r="J48" s="45"/>
      <c r="K48" s="90"/>
      <c r="L48" s="39"/>
    </row>
    <row r="49" spans="1:13">
      <c r="A49" s="39"/>
      <c r="B49" s="70" t="s">
        <v>30</v>
      </c>
      <c r="C49" s="561"/>
      <c r="D49" s="563"/>
      <c r="E49" s="563"/>
      <c r="F49" s="563"/>
      <c r="G49" s="41"/>
      <c r="H49" s="43"/>
      <c r="I49" s="89"/>
      <c r="J49" s="45"/>
      <c r="K49" s="90"/>
      <c r="L49" s="39"/>
    </row>
    <row r="50" spans="1:13">
      <c r="A50" s="39"/>
      <c r="B50" s="70" t="s">
        <v>31</v>
      </c>
      <c r="C50" s="49">
        <f>(6.88-F50-C42)*(D32-G32)*0.1*0.2</f>
        <v>801.14932500000043</v>
      </c>
      <c r="D50" s="54">
        <v>0.45500000000000002</v>
      </c>
      <c r="E50" s="54">
        <f t="shared" si="1"/>
        <v>0.75</v>
      </c>
      <c r="F50" s="54">
        <f t="shared" si="2"/>
        <v>0.60250000000000004</v>
      </c>
      <c r="G50" s="41"/>
      <c r="H50" s="43"/>
      <c r="I50" s="89"/>
      <c r="J50" s="45"/>
      <c r="K50" s="90"/>
      <c r="L50" s="39"/>
    </row>
    <row r="51" spans="1:13">
      <c r="A51" s="39"/>
      <c r="B51" s="70" t="s">
        <v>33</v>
      </c>
      <c r="C51" s="144">
        <f>(6.88-F51-C43)*(D33-G33)*0.1*0.2</f>
        <v>149.9328000000003</v>
      </c>
      <c r="D51" s="54">
        <v>0.45500000000000002</v>
      </c>
      <c r="E51" s="54">
        <f t="shared" si="1"/>
        <v>0.75</v>
      </c>
      <c r="F51" s="54">
        <f t="shared" si="2"/>
        <v>0.60250000000000004</v>
      </c>
      <c r="G51" s="556" t="s">
        <v>102</v>
      </c>
      <c r="H51" s="556"/>
      <c r="I51" s="89"/>
      <c r="J51" s="45"/>
      <c r="K51" s="90"/>
      <c r="L51" s="39"/>
    </row>
    <row r="52" spans="1:13">
      <c r="A52" s="39"/>
      <c r="B52" s="70" t="s">
        <v>35</v>
      </c>
      <c r="C52" s="49">
        <f>(6.88-F52-C44)*(D34-G34)*0.1*0.2</f>
        <v>452.6575500000003</v>
      </c>
      <c r="D52" s="54">
        <v>0.45500000000000002</v>
      </c>
      <c r="E52" s="54">
        <f t="shared" si="1"/>
        <v>0.75</v>
      </c>
      <c r="F52" s="54">
        <f t="shared" si="2"/>
        <v>0.60250000000000004</v>
      </c>
      <c r="G52" s="41"/>
      <c r="H52" s="43"/>
      <c r="I52" s="89"/>
      <c r="J52" s="45"/>
      <c r="K52" s="90"/>
      <c r="L52" s="39"/>
    </row>
    <row r="53" spans="1:13">
      <c r="A53" s="39"/>
      <c r="B53" s="70" t="s">
        <v>37</v>
      </c>
      <c r="C53" s="49">
        <f>(6.88-F53-C45)*(D35-G35)*0.1*0.2</f>
        <v>24.046050000000044</v>
      </c>
      <c r="D53" s="54">
        <v>0.45500000000000002</v>
      </c>
      <c r="E53" s="54">
        <f t="shared" si="1"/>
        <v>0.75</v>
      </c>
      <c r="F53" s="54">
        <f t="shared" si="2"/>
        <v>0.60250000000000004</v>
      </c>
      <c r="G53" s="41"/>
      <c r="H53" s="43"/>
      <c r="I53" s="89"/>
      <c r="J53" s="45"/>
      <c r="K53" s="90"/>
      <c r="L53" s="39"/>
    </row>
    <row r="54" spans="1:13">
      <c r="A54" s="39"/>
      <c r="B54" s="47" t="s">
        <v>99</v>
      </c>
      <c r="C54" s="49">
        <f>SUM(C48:C53)</f>
        <v>1655.8455750000014</v>
      </c>
      <c r="D54" s="47"/>
      <c r="E54" s="47"/>
      <c r="F54" s="47"/>
      <c r="G54" s="41"/>
      <c r="H54" s="43"/>
      <c r="I54" s="89"/>
      <c r="J54" s="45"/>
      <c r="K54" s="90"/>
      <c r="L54" s="39"/>
    </row>
    <row r="55" spans="1:13">
      <c r="A55" s="33"/>
      <c r="B55" s="126" t="s">
        <v>100</v>
      </c>
      <c r="C55" s="75">
        <f>C54*0.7</f>
        <v>1159.091902500001</v>
      </c>
      <c r="D55" s="41"/>
      <c r="E55" s="39"/>
      <c r="F55" s="42"/>
      <c r="G55" s="41"/>
      <c r="H55" s="43"/>
      <c r="I55" s="34"/>
      <c r="J55" s="31"/>
      <c r="K55" s="31"/>
      <c r="L55" s="33"/>
    </row>
    <row r="56" spans="1:13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4"/>
    </row>
    <row r="57" spans="1:13">
      <c r="A57" s="8" t="s">
        <v>41</v>
      </c>
      <c r="B57" s="8"/>
      <c r="C57" s="9"/>
      <c r="D57" s="9"/>
      <c r="E57" s="10"/>
      <c r="F57" s="10"/>
      <c r="G57" s="9"/>
      <c r="H57" s="11"/>
      <c r="I57" s="11"/>
      <c r="J57" s="8"/>
      <c r="K57" s="8"/>
      <c r="L57" s="8"/>
    </row>
    <row r="58" spans="1:13" ht="25.5">
      <c r="A58" s="12" t="s">
        <v>1</v>
      </c>
      <c r="B58" s="12" t="s">
        <v>2</v>
      </c>
      <c r="C58" s="13" t="s">
        <v>3</v>
      </c>
      <c r="D58" s="14" t="s">
        <v>4</v>
      </c>
      <c r="E58" s="12" t="s">
        <v>5</v>
      </c>
      <c r="F58" s="12" t="s">
        <v>6</v>
      </c>
      <c r="G58" s="13" t="s">
        <v>7</v>
      </c>
      <c r="H58" s="15" t="s">
        <v>8</v>
      </c>
      <c r="I58" s="15" t="s">
        <v>9</v>
      </c>
      <c r="J58" s="12" t="s">
        <v>10</v>
      </c>
      <c r="K58" s="12" t="s">
        <v>11</v>
      </c>
      <c r="L58" s="12" t="s">
        <v>12</v>
      </c>
      <c r="M58" s="135" t="s">
        <v>13</v>
      </c>
    </row>
    <row r="59" spans="1:13">
      <c r="A59" s="16" t="s">
        <v>34</v>
      </c>
      <c r="B59" s="70" t="s">
        <v>39</v>
      </c>
      <c r="C59" s="18">
        <v>1307.4000000000001</v>
      </c>
      <c r="D59" s="18">
        <v>1307.4000000000001</v>
      </c>
      <c r="E59" s="19">
        <v>7950</v>
      </c>
      <c r="F59" s="19" t="s">
        <v>16</v>
      </c>
      <c r="G59" s="18">
        <v>0</v>
      </c>
      <c r="H59" s="72">
        <v>384.5</v>
      </c>
      <c r="I59" s="72"/>
      <c r="J59" s="146" t="s">
        <v>40</v>
      </c>
      <c r="K59" s="70" t="s">
        <v>41</v>
      </c>
      <c r="L59" s="78">
        <v>0.7</v>
      </c>
      <c r="M59" s="145">
        <v>0.2</v>
      </c>
    </row>
    <row r="60" spans="1:13">
      <c r="A60" s="16" t="s">
        <v>22</v>
      </c>
      <c r="B60" s="70" t="s">
        <v>42</v>
      </c>
      <c r="C60" s="18">
        <v>10545</v>
      </c>
      <c r="D60" s="18">
        <v>10545</v>
      </c>
      <c r="E60" s="19">
        <f>55000+700</f>
        <v>55700</v>
      </c>
      <c r="F60" s="19" t="s">
        <v>16</v>
      </c>
      <c r="G60" s="18">
        <v>0</v>
      </c>
      <c r="H60" s="72">
        <v>2019.2</v>
      </c>
      <c r="I60" s="72">
        <f>1450+105</f>
        <v>1555</v>
      </c>
      <c r="J60" s="146" t="s">
        <v>43</v>
      </c>
      <c r="K60" s="70" t="s">
        <v>41</v>
      </c>
      <c r="L60" s="78">
        <v>0.1</v>
      </c>
      <c r="M60" s="145">
        <v>0.2</v>
      </c>
    </row>
    <row r="61" spans="1:13">
      <c r="A61" s="26"/>
      <c r="B61" s="27"/>
      <c r="C61" s="28">
        <f>SUM(C59:C60)</f>
        <v>11852.4</v>
      </c>
      <c r="D61" s="28"/>
      <c r="E61" s="29"/>
      <c r="F61" s="29"/>
      <c r="G61" s="28"/>
      <c r="H61" s="30"/>
      <c r="I61" s="30"/>
      <c r="J61" s="86"/>
      <c r="K61" s="87"/>
      <c r="L61" s="115"/>
    </row>
    <row r="62" spans="1:13">
      <c r="A62" s="8" t="s">
        <v>92</v>
      </c>
      <c r="B62" s="8"/>
      <c r="C62" s="9"/>
      <c r="D62" s="9"/>
      <c r="E62" s="10"/>
      <c r="F62" s="10"/>
      <c r="G62" s="9"/>
      <c r="H62" s="11"/>
      <c r="I62" s="11"/>
      <c r="J62" s="8"/>
      <c r="K62" s="8"/>
      <c r="L62" s="8"/>
    </row>
    <row r="63" spans="1:13">
      <c r="A63" s="10">
        <v>1</v>
      </c>
      <c r="B63" s="35" t="s">
        <v>103</v>
      </c>
      <c r="C63" s="9"/>
      <c r="D63" s="9"/>
      <c r="E63" s="10"/>
      <c r="F63" s="10"/>
      <c r="G63" s="9"/>
      <c r="H63" s="11"/>
      <c r="I63" s="11"/>
      <c r="J63" s="8"/>
      <c r="K63" s="8"/>
      <c r="L63" s="8"/>
    </row>
    <row r="64" spans="1:13">
      <c r="A64" s="10">
        <v>2</v>
      </c>
      <c r="B64" s="8" t="s">
        <v>104</v>
      </c>
      <c r="C64" s="9"/>
      <c r="D64" s="9"/>
      <c r="E64" s="10"/>
      <c r="F64" s="10"/>
      <c r="G64" s="9"/>
      <c r="H64" s="11"/>
      <c r="I64" s="11"/>
      <c r="J64" s="8"/>
      <c r="K64" s="8"/>
      <c r="L64" s="8"/>
    </row>
    <row r="65" spans="1:13">
      <c r="A65" s="10"/>
      <c r="B65" s="70" t="s">
        <v>39</v>
      </c>
      <c r="C65" s="99">
        <f>(E59+H59+I59)/(D59-G59)*1.005</f>
        <v>6.4067404772831562</v>
      </c>
      <c r="D65" s="9"/>
      <c r="E65" s="10"/>
      <c r="F65" s="10"/>
      <c r="G65" s="9"/>
      <c r="H65" s="11"/>
      <c r="I65" s="11"/>
      <c r="J65" s="8"/>
      <c r="K65" s="8"/>
      <c r="L65" s="8"/>
    </row>
    <row r="66" spans="1:13">
      <c r="A66" s="10"/>
      <c r="B66" s="70" t="s">
        <v>42</v>
      </c>
      <c r="C66" s="99">
        <f>(E60+H60+I60)/(D60-G60)*1.005</f>
        <v>5.649176955903271</v>
      </c>
      <c r="D66" s="9"/>
      <c r="E66" s="10"/>
      <c r="F66" s="10"/>
      <c r="G66" s="9"/>
      <c r="H66" s="11"/>
      <c r="I66" s="11"/>
      <c r="J66" s="8"/>
      <c r="K66" s="8"/>
      <c r="L66" s="8"/>
    </row>
    <row r="67" spans="1:13">
      <c r="A67" s="10">
        <v>3</v>
      </c>
      <c r="B67" s="96" t="s">
        <v>105</v>
      </c>
      <c r="C67" s="97"/>
      <c r="D67" s="147" t="s">
        <v>106</v>
      </c>
      <c r="E67" s="98" t="s">
        <v>107</v>
      </c>
      <c r="F67" s="98" t="s">
        <v>108</v>
      </c>
      <c r="G67" s="9"/>
      <c r="H67" s="11"/>
      <c r="I67" s="11"/>
      <c r="J67" s="8"/>
      <c r="K67" s="8"/>
      <c r="L67" s="8"/>
    </row>
    <row r="68" spans="1:13">
      <c r="A68" s="10"/>
      <c r="B68" s="70" t="s">
        <v>39</v>
      </c>
      <c r="C68" s="99">
        <f>(6.88-C65-F68)*(D59-G59)*0.7*0.2</f>
        <v>-50.6534699999998</v>
      </c>
      <c r="D68" s="98">
        <v>0.75</v>
      </c>
      <c r="E68" s="98">
        <v>0.75</v>
      </c>
      <c r="F68" s="98">
        <f>(E68+D68)/2</f>
        <v>0.75</v>
      </c>
      <c r="G68" s="9"/>
      <c r="H68" s="11"/>
      <c r="I68" s="11"/>
      <c r="J68" s="8"/>
      <c r="K68" s="8"/>
      <c r="L68" s="8"/>
    </row>
    <row r="69" spans="1:13">
      <c r="A69" s="8"/>
      <c r="B69" s="70" t="s">
        <v>42</v>
      </c>
      <c r="C69" s="99">
        <f>(6.88-C66-F69)*(D60-G60)*0.1*0.2</f>
        <v>101.40558000000016</v>
      </c>
      <c r="D69" s="98">
        <v>0.75</v>
      </c>
      <c r="E69" s="100">
        <v>0.75</v>
      </c>
      <c r="F69" s="100">
        <f>(D69+E69)/2</f>
        <v>0.75</v>
      </c>
      <c r="G69" s="9"/>
      <c r="H69" s="11"/>
      <c r="I69" s="11"/>
      <c r="J69" s="8"/>
      <c r="K69" s="8"/>
      <c r="L69" s="8"/>
    </row>
    <row r="70" spans="1:13">
      <c r="A70" s="33"/>
      <c r="B70" s="126" t="s">
        <v>100</v>
      </c>
      <c r="C70" s="148">
        <f>C69*0.7</f>
        <v>70.983906000000104</v>
      </c>
      <c r="D70" s="41"/>
      <c r="E70" s="39"/>
      <c r="F70" s="42"/>
      <c r="G70" s="41"/>
      <c r="H70" s="43"/>
      <c r="I70" s="34"/>
      <c r="J70" s="31"/>
      <c r="K70" s="31"/>
      <c r="L70" s="31"/>
    </row>
    <row r="71" spans="1:13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4"/>
    </row>
    <row r="75" spans="1:13">
      <c r="A75" s="128" t="s">
        <v>109</v>
      </c>
      <c r="B75" s="129">
        <f>C24+C55+C70</f>
        <v>2622.074503125004</v>
      </c>
    </row>
    <row r="78" spans="1:13">
      <c r="A78" s="149" t="s">
        <v>110</v>
      </c>
      <c r="C78" s="150"/>
      <c r="D78" s="150"/>
      <c r="E78" s="150"/>
      <c r="F78" s="150"/>
      <c r="G78" s="150"/>
      <c r="H78" s="150"/>
      <c r="I78" s="150"/>
    </row>
    <row r="79" spans="1:13" ht="27">
      <c r="A79" s="151" t="s">
        <v>1</v>
      </c>
      <c r="B79" s="151" t="s">
        <v>2</v>
      </c>
      <c r="C79" s="152" t="s">
        <v>3</v>
      </c>
      <c r="D79" s="153" t="s">
        <v>4</v>
      </c>
      <c r="E79" s="151" t="s">
        <v>5</v>
      </c>
      <c r="F79" s="151" t="s">
        <v>6</v>
      </c>
      <c r="G79" s="154" t="s">
        <v>7</v>
      </c>
      <c r="H79" s="155" t="s">
        <v>8</v>
      </c>
      <c r="I79" s="155" t="s">
        <v>9</v>
      </c>
      <c r="J79" s="151" t="s">
        <v>10</v>
      </c>
      <c r="K79" s="151" t="s">
        <v>11</v>
      </c>
      <c r="L79" s="151" t="s">
        <v>12</v>
      </c>
      <c r="M79" s="135" t="s">
        <v>13</v>
      </c>
    </row>
    <row r="80" spans="1:13">
      <c r="A80" s="16" t="s">
        <v>14</v>
      </c>
      <c r="B80" s="17" t="s">
        <v>15</v>
      </c>
      <c r="C80" s="18">
        <v>64947.4</v>
      </c>
      <c r="D80" s="18">
        <v>64947.4</v>
      </c>
      <c r="E80" s="19">
        <v>388980.1</v>
      </c>
      <c r="F80" s="19" t="s">
        <v>16</v>
      </c>
      <c r="G80" s="138">
        <v>4150</v>
      </c>
      <c r="H80" s="139">
        <v>11840</v>
      </c>
      <c r="I80" s="72"/>
      <c r="J80" s="77" t="s">
        <v>17</v>
      </c>
      <c r="K80" s="78" t="s">
        <v>18</v>
      </c>
      <c r="L80" s="78">
        <v>1</v>
      </c>
      <c r="M80" s="145">
        <v>0.3</v>
      </c>
    </row>
    <row r="81" spans="1:13">
      <c r="A81" s="16" t="s">
        <v>19</v>
      </c>
      <c r="B81" s="17" t="s">
        <v>20</v>
      </c>
      <c r="C81" s="18">
        <f>78554.42</f>
        <v>78554.42</v>
      </c>
      <c r="D81" s="18">
        <f>78554.42-7500</f>
        <v>71054.42</v>
      </c>
      <c r="E81" s="19">
        <v>368997.38</v>
      </c>
      <c r="F81" s="19" t="s">
        <v>16</v>
      </c>
      <c r="G81" s="138">
        <v>7800</v>
      </c>
      <c r="H81" s="139">
        <v>14800</v>
      </c>
      <c r="I81" s="72"/>
      <c r="J81" s="77" t="s">
        <v>21</v>
      </c>
      <c r="K81" s="78" t="s">
        <v>18</v>
      </c>
      <c r="L81" s="78">
        <v>0.5</v>
      </c>
      <c r="M81" s="145">
        <v>0.35</v>
      </c>
    </row>
    <row r="82" spans="1:13">
      <c r="A82" s="16" t="s">
        <v>22</v>
      </c>
      <c r="B82" s="17" t="s">
        <v>23</v>
      </c>
      <c r="C82" s="18">
        <v>191358.07999999999</v>
      </c>
      <c r="D82" s="18">
        <v>191358.07999999999</v>
      </c>
      <c r="E82" s="19">
        <v>1121500</v>
      </c>
      <c r="F82" s="19" t="s">
        <v>16</v>
      </c>
      <c r="G82" s="140">
        <v>7000</v>
      </c>
      <c r="H82" s="141">
        <v>33250</v>
      </c>
      <c r="I82" s="72"/>
      <c r="J82" s="77" t="s">
        <v>24</v>
      </c>
      <c r="K82" s="78" t="s">
        <v>18</v>
      </c>
      <c r="L82" s="78">
        <v>0.7</v>
      </c>
      <c r="M82" s="145">
        <v>0.35</v>
      </c>
    </row>
    <row r="83" spans="1:13">
      <c r="A83" s="16" t="s">
        <v>22</v>
      </c>
      <c r="B83" s="17" t="s">
        <v>25</v>
      </c>
      <c r="C83" s="18">
        <v>35693.06</v>
      </c>
      <c r="D83" s="18">
        <v>35693.06</v>
      </c>
      <c r="E83" s="19">
        <v>241427.5</v>
      </c>
      <c r="F83" s="19" t="s">
        <v>16</v>
      </c>
      <c r="G83" s="140">
        <v>2000</v>
      </c>
      <c r="H83" s="141">
        <v>6830</v>
      </c>
      <c r="I83" s="72"/>
      <c r="J83" s="77" t="s">
        <v>24</v>
      </c>
      <c r="K83" s="78" t="s">
        <v>18</v>
      </c>
      <c r="L83" s="78">
        <v>0.7</v>
      </c>
      <c r="M83" s="145">
        <v>0.35</v>
      </c>
    </row>
    <row r="84" spans="1:13">
      <c r="A84" s="16" t="s">
        <v>26</v>
      </c>
      <c r="B84" s="70" t="s">
        <v>27</v>
      </c>
      <c r="C84" s="18">
        <v>24720</v>
      </c>
      <c r="D84" s="18">
        <v>24720</v>
      </c>
      <c r="E84" s="19">
        <v>125200</v>
      </c>
      <c r="F84" s="71" t="s">
        <v>16</v>
      </c>
      <c r="G84" s="564">
        <v>9773</v>
      </c>
      <c r="H84" s="566">
        <v>11840</v>
      </c>
      <c r="I84" s="91"/>
      <c r="J84" s="92" t="s">
        <v>28</v>
      </c>
      <c r="K84" s="70" t="s">
        <v>29</v>
      </c>
      <c r="L84" s="78">
        <v>0.1</v>
      </c>
      <c r="M84" s="145">
        <v>0.2</v>
      </c>
    </row>
    <row r="85" spans="1:13">
      <c r="A85" s="16" t="s">
        <v>26</v>
      </c>
      <c r="B85" s="70" t="s">
        <v>30</v>
      </c>
      <c r="C85" s="18">
        <v>47360</v>
      </c>
      <c r="D85" s="18">
        <v>47360</v>
      </c>
      <c r="E85" s="19">
        <v>240800</v>
      </c>
      <c r="F85" s="19" t="s">
        <v>16</v>
      </c>
      <c r="G85" s="565"/>
      <c r="H85" s="567"/>
      <c r="I85" s="72"/>
      <c r="J85" s="92" t="s">
        <v>28</v>
      </c>
      <c r="K85" s="70" t="s">
        <v>29</v>
      </c>
      <c r="L85" s="78">
        <v>0.1</v>
      </c>
      <c r="M85" s="145">
        <v>0.2</v>
      </c>
    </row>
    <row r="86" spans="1:13">
      <c r="A86" s="16" t="s">
        <v>26</v>
      </c>
      <c r="B86" s="70" t="s">
        <v>31</v>
      </c>
      <c r="C86" s="18">
        <v>45850.5</v>
      </c>
      <c r="D86" s="18">
        <v>45850.5</v>
      </c>
      <c r="E86" s="19">
        <v>191000</v>
      </c>
      <c r="F86" s="71" t="s">
        <v>16</v>
      </c>
      <c r="G86" s="142">
        <v>6669</v>
      </c>
      <c r="H86" s="143">
        <v>13880</v>
      </c>
      <c r="I86" s="91"/>
      <c r="J86" s="92" t="s">
        <v>28</v>
      </c>
      <c r="K86" s="70" t="s">
        <v>29</v>
      </c>
      <c r="L86" s="78">
        <v>0.1</v>
      </c>
      <c r="M86" s="145">
        <v>0.2</v>
      </c>
    </row>
    <row r="87" spans="1:13">
      <c r="A87" s="16" t="s">
        <v>32</v>
      </c>
      <c r="B87" s="70" t="s">
        <v>33</v>
      </c>
      <c r="C87" s="18">
        <v>59168</v>
      </c>
      <c r="D87" s="18">
        <v>59168</v>
      </c>
      <c r="E87" s="19">
        <v>308480</v>
      </c>
      <c r="F87" s="19" t="s">
        <v>16</v>
      </c>
      <c r="G87" s="142">
        <v>6732</v>
      </c>
      <c r="H87" s="143">
        <v>11590</v>
      </c>
      <c r="I87" s="72"/>
      <c r="J87" s="92" t="s">
        <v>28</v>
      </c>
      <c r="K87" s="70" t="s">
        <v>29</v>
      </c>
      <c r="L87" s="78">
        <v>0.1</v>
      </c>
      <c r="M87" s="145">
        <v>0.2</v>
      </c>
    </row>
    <row r="88" spans="1:13">
      <c r="A88" s="16" t="s">
        <v>34</v>
      </c>
      <c r="B88" s="70" t="s">
        <v>35</v>
      </c>
      <c r="C88" s="18">
        <v>42873</v>
      </c>
      <c r="D88" s="18">
        <v>42873</v>
      </c>
      <c r="E88" s="19">
        <v>243526</v>
      </c>
      <c r="F88" s="19" t="s">
        <v>16</v>
      </c>
      <c r="G88" s="138">
        <v>0</v>
      </c>
      <c r="H88" s="139">
        <v>1750</v>
      </c>
      <c r="I88" s="72"/>
      <c r="J88" s="92" t="s">
        <v>36</v>
      </c>
      <c r="K88" s="70" t="s">
        <v>29</v>
      </c>
      <c r="L88" s="78">
        <v>0.1</v>
      </c>
      <c r="M88" s="145">
        <v>0.2</v>
      </c>
    </row>
    <row r="89" spans="1:13">
      <c r="A89" s="16" t="s">
        <v>34</v>
      </c>
      <c r="B89" s="70" t="s">
        <v>37</v>
      </c>
      <c r="C89" s="18">
        <v>4135</v>
      </c>
      <c r="D89" s="18">
        <v>4135</v>
      </c>
      <c r="E89" s="19">
        <v>23550</v>
      </c>
      <c r="F89" s="19" t="s">
        <v>16</v>
      </c>
      <c r="G89" s="142">
        <v>0</v>
      </c>
      <c r="H89" s="143">
        <v>1082</v>
      </c>
      <c r="I89" s="72"/>
      <c r="J89" s="92" t="s">
        <v>38</v>
      </c>
      <c r="K89" s="70" t="s">
        <v>29</v>
      </c>
      <c r="L89" s="78">
        <v>0.1</v>
      </c>
      <c r="M89" s="145">
        <v>0.2</v>
      </c>
    </row>
    <row r="90" spans="1:13">
      <c r="A90" s="16" t="s">
        <v>34</v>
      </c>
      <c r="B90" s="70" t="s">
        <v>39</v>
      </c>
      <c r="C90" s="18">
        <v>1307.4000000000001</v>
      </c>
      <c r="D90" s="18">
        <v>1307.4000000000001</v>
      </c>
      <c r="E90" s="19">
        <v>7950</v>
      </c>
      <c r="F90" s="19" t="s">
        <v>16</v>
      </c>
      <c r="G90" s="18">
        <v>0</v>
      </c>
      <c r="H90" s="72">
        <v>384.5</v>
      </c>
      <c r="I90" s="72"/>
      <c r="J90" s="146" t="s">
        <v>40</v>
      </c>
      <c r="K90" s="70" t="s">
        <v>41</v>
      </c>
      <c r="L90" s="78">
        <v>0.7</v>
      </c>
      <c r="M90" s="145">
        <v>0.2</v>
      </c>
    </row>
    <row r="91" spans="1:13">
      <c r="A91" s="16" t="s">
        <v>22</v>
      </c>
      <c r="B91" s="70" t="s">
        <v>42</v>
      </c>
      <c r="C91" s="18">
        <v>10545</v>
      </c>
      <c r="D91" s="18">
        <v>10545</v>
      </c>
      <c r="E91" s="19">
        <f>55000+105</f>
        <v>55105</v>
      </c>
      <c r="F91" s="19" t="s">
        <v>16</v>
      </c>
      <c r="G91" s="18">
        <v>0</v>
      </c>
      <c r="H91" s="72">
        <v>2019.2</v>
      </c>
      <c r="I91" s="72">
        <v>1450</v>
      </c>
      <c r="J91" s="146" t="s">
        <v>43</v>
      </c>
      <c r="K91" s="70" t="s">
        <v>41</v>
      </c>
      <c r="L91" s="78">
        <v>0.1</v>
      </c>
      <c r="M91" s="145">
        <v>0.2</v>
      </c>
    </row>
    <row r="92" spans="1:13">
      <c r="A92" s="557" t="s">
        <v>84</v>
      </c>
      <c r="B92" s="557"/>
      <c r="C92" s="156">
        <f>SUM(C80:C91)</f>
        <v>606511.86</v>
      </c>
      <c r="D92" s="156">
        <f>SUM(D80:D91)</f>
        <v>599011.86</v>
      </c>
      <c r="E92" s="157">
        <f>SUM(E80:E91)</f>
        <v>3316515.98</v>
      </c>
      <c r="F92" s="156"/>
      <c r="G92" s="156">
        <f>SUM(G80:G91)</f>
        <v>44124</v>
      </c>
      <c r="H92" s="157">
        <f>SUM(H80:H91)</f>
        <v>109265.7</v>
      </c>
      <c r="I92" s="157">
        <f>SUM(I80:I91)</f>
        <v>1450</v>
      </c>
      <c r="J92" s="161"/>
      <c r="K92" s="161"/>
      <c r="L92" s="162"/>
      <c r="M92" s="162"/>
    </row>
    <row r="94" spans="1:13">
      <c r="A94" s="134" t="s">
        <v>85</v>
      </c>
      <c r="B94" s="112">
        <f>D92</f>
        <v>599011.86</v>
      </c>
    </row>
    <row r="95" spans="1:13">
      <c r="A95" s="134" t="s">
        <v>86</v>
      </c>
      <c r="B95" s="112">
        <f>G92</f>
        <v>44124</v>
      </c>
    </row>
    <row r="96" spans="1:13">
      <c r="A96" s="111" t="s">
        <v>87</v>
      </c>
      <c r="B96" s="112">
        <f>B94-B95</f>
        <v>554887.86</v>
      </c>
    </row>
    <row r="97" spans="1:2">
      <c r="A97" s="134" t="s">
        <v>88</v>
      </c>
      <c r="B97" s="113">
        <f>E92+H92+I92</f>
        <v>3427231.68</v>
      </c>
    </row>
    <row r="98" spans="1:2">
      <c r="A98" s="134" t="s">
        <v>89</v>
      </c>
      <c r="B98" s="114">
        <f>B97/B96*1.005</f>
        <v>6.2073223919514113</v>
      </c>
    </row>
    <row r="116" spans="7:8" ht="21" customHeight="1">
      <c r="G116" s="158" t="s">
        <v>111</v>
      </c>
      <c r="H116" s="158" t="s">
        <v>112</v>
      </c>
    </row>
    <row r="117" spans="7:8" ht="21" customHeight="1">
      <c r="G117" s="158" t="s">
        <v>113</v>
      </c>
      <c r="H117" s="159">
        <f>C24</f>
        <v>1391.9986946250031</v>
      </c>
    </row>
    <row r="118" spans="7:8" ht="21" customHeight="1">
      <c r="G118" s="158" t="s">
        <v>114</v>
      </c>
      <c r="H118" s="159">
        <f>C55</f>
        <v>1159.091902500001</v>
      </c>
    </row>
    <row r="119" spans="7:8" ht="21" customHeight="1">
      <c r="G119" s="158" t="s">
        <v>115</v>
      </c>
      <c r="H119" s="159">
        <v>70.98</v>
      </c>
    </row>
    <row r="120" spans="7:8" ht="21" customHeight="1">
      <c r="G120" s="158" t="s">
        <v>84</v>
      </c>
      <c r="H120" s="160">
        <f>SUM(H117:H119)</f>
        <v>2622.070597125004</v>
      </c>
    </row>
  </sheetData>
  <sheetProtection algorithmName="SHA-512" hashValue="cdWfyybpcXgf7p5AT2r5ieLQ2MC3B6ogpDa4xYiKxZCSFhR2Uhb9t7fCK2Po9Dw2IDWwthCk6XKCi8NrEaveUQ==" saltValue="jKAk8PQfsBwBFQ9HHPFR2A==" spinCount="100000" sheet="1" objects="1" scenarios="1"/>
  <mergeCells count="13">
    <mergeCell ref="B12:C12"/>
    <mergeCell ref="B39:C39"/>
    <mergeCell ref="G51:H51"/>
    <mergeCell ref="A92:B92"/>
    <mergeCell ref="C40:C41"/>
    <mergeCell ref="C48:C49"/>
    <mergeCell ref="D48:D49"/>
    <mergeCell ref="E48:E49"/>
    <mergeCell ref="F48:F49"/>
    <mergeCell ref="G30:G31"/>
    <mergeCell ref="G84:G85"/>
    <mergeCell ref="H30:H31"/>
    <mergeCell ref="H84:H85"/>
  </mergeCells>
  <phoneticPr fontId="42" type="noConversion"/>
  <pageMargins left="0.75" right="0.75" top="1" bottom="1" header="0.5" footer="0.5"/>
  <pageSetup paperSize="9" scale="78" orientation="landscape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showGridLines="0" topLeftCell="A4" workbookViewId="0">
      <selection activeCell="E57" sqref="E57"/>
    </sheetView>
  </sheetViews>
  <sheetFormatPr defaultColWidth="9" defaultRowHeight="15"/>
  <cols>
    <col min="1" max="2" width="12.140625" customWidth="1"/>
    <col min="3" max="3" width="13.42578125" customWidth="1"/>
    <col min="4" max="5" width="14.140625" customWidth="1"/>
    <col min="6" max="9" width="12.140625" customWidth="1"/>
    <col min="10" max="10" width="19.42578125" customWidth="1"/>
    <col min="11" max="12" width="12.140625" customWidth="1"/>
  </cols>
  <sheetData>
    <row r="1" spans="1:13">
      <c r="A1" s="3" t="s">
        <v>116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3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3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3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2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35" t="s">
        <v>13</v>
      </c>
    </row>
    <row r="5" spans="1:13">
      <c r="A5" s="16" t="s">
        <v>44</v>
      </c>
      <c r="B5" s="17" t="s">
        <v>45</v>
      </c>
      <c r="C5" s="18">
        <v>22133.759999999998</v>
      </c>
      <c r="D5" s="18">
        <v>22133.759999999998</v>
      </c>
      <c r="E5" s="19">
        <v>120066</v>
      </c>
      <c r="F5" s="19" t="s">
        <v>16</v>
      </c>
      <c r="G5" s="20">
        <v>1580</v>
      </c>
      <c r="H5" s="21">
        <v>3737</v>
      </c>
      <c r="I5" s="72"/>
      <c r="J5" s="77" t="s">
        <v>46</v>
      </c>
      <c r="K5" s="78" t="s">
        <v>18</v>
      </c>
      <c r="L5" s="78">
        <v>0.1</v>
      </c>
      <c r="M5" s="79">
        <v>0.3</v>
      </c>
    </row>
    <row r="6" spans="1:13">
      <c r="A6" s="16" t="s">
        <v>47</v>
      </c>
      <c r="B6" s="17" t="s">
        <v>48</v>
      </c>
      <c r="C6" s="18">
        <v>39164.800000000003</v>
      </c>
      <c r="D6" s="18">
        <v>39164.800000000003</v>
      </c>
      <c r="E6" s="19">
        <v>210059.78</v>
      </c>
      <c r="F6" s="19" t="s">
        <v>16</v>
      </c>
      <c r="G6" s="20">
        <v>4943</v>
      </c>
      <c r="H6" s="21">
        <v>5340</v>
      </c>
      <c r="I6" s="72"/>
      <c r="J6" s="77" t="s">
        <v>49</v>
      </c>
      <c r="K6" s="78" t="s">
        <v>18</v>
      </c>
      <c r="L6" s="78">
        <v>0.7</v>
      </c>
      <c r="M6" s="79">
        <v>0.25</v>
      </c>
    </row>
    <row r="7" spans="1:13">
      <c r="A7" s="26" t="s">
        <v>91</v>
      </c>
      <c r="B7" s="27"/>
      <c r="C7" s="28">
        <f>SUM(C5:C6)</f>
        <v>61298.559999999998</v>
      </c>
      <c r="D7" s="28"/>
      <c r="E7" s="29"/>
      <c r="F7" s="29"/>
      <c r="G7" s="28"/>
      <c r="H7" s="30"/>
      <c r="I7" s="30"/>
      <c r="J7" s="86"/>
      <c r="K7" s="87"/>
      <c r="L7" s="27"/>
    </row>
    <row r="8" spans="1:13">
      <c r="A8" s="31" t="s">
        <v>92</v>
      </c>
      <c r="B8" s="31"/>
      <c r="C8" s="32"/>
      <c r="D8" s="32"/>
      <c r="E8" s="33"/>
      <c r="F8" s="33"/>
      <c r="G8" s="32"/>
      <c r="H8" s="34"/>
      <c r="I8" s="34"/>
      <c r="J8" s="31"/>
      <c r="K8" s="31"/>
      <c r="L8" s="33"/>
    </row>
    <row r="9" spans="1:13">
      <c r="A9" s="33">
        <v>1</v>
      </c>
      <c r="B9" s="35" t="s">
        <v>117</v>
      </c>
      <c r="C9" s="36"/>
      <c r="D9" s="36"/>
      <c r="E9" s="37"/>
      <c r="F9" s="37"/>
      <c r="G9" s="36"/>
      <c r="H9" s="38"/>
      <c r="I9" s="38"/>
      <c r="J9" s="31"/>
      <c r="K9" s="88"/>
      <c r="L9" s="33"/>
    </row>
    <row r="10" spans="1:13">
      <c r="A10" s="39">
        <v>2</v>
      </c>
      <c r="B10" s="555" t="s">
        <v>94</v>
      </c>
      <c r="C10" s="555"/>
      <c r="D10" s="40"/>
      <c r="E10" s="39"/>
      <c r="F10" s="42"/>
      <c r="G10" s="41"/>
      <c r="H10" s="43"/>
      <c r="I10" s="89"/>
      <c r="J10" s="45"/>
      <c r="K10" s="45"/>
      <c r="L10" s="39"/>
    </row>
    <row r="11" spans="1:13">
      <c r="A11" s="39"/>
      <c r="B11" s="17" t="s">
        <v>45</v>
      </c>
      <c r="C11" s="44">
        <f>(E5+H5+I5)/(D5-G5)*1.005</f>
        <v>6.0534916725698853</v>
      </c>
      <c r="D11" s="118"/>
      <c r="E11" s="39"/>
      <c r="F11" s="42"/>
      <c r="G11" s="41"/>
      <c r="H11" s="43"/>
      <c r="I11" s="89"/>
      <c r="J11" s="45"/>
      <c r="K11" s="45"/>
      <c r="L11" s="39"/>
    </row>
    <row r="12" spans="1:13">
      <c r="A12" s="39"/>
      <c r="B12" s="17" t="s">
        <v>48</v>
      </c>
      <c r="C12" s="44">
        <f>(E6+H6+I6)/(D6-G6)*1.005</f>
        <v>6.3256982069908645</v>
      </c>
      <c r="D12" s="118"/>
      <c r="E12" s="39"/>
      <c r="F12" s="42"/>
      <c r="G12" s="41"/>
      <c r="H12" s="43"/>
      <c r="I12" s="89"/>
      <c r="J12" s="45"/>
      <c r="K12" s="45"/>
      <c r="L12" s="39"/>
    </row>
    <row r="13" spans="1:13">
      <c r="A13" s="45"/>
      <c r="B13" s="39"/>
      <c r="C13" s="41"/>
      <c r="D13" s="41"/>
      <c r="E13" s="39"/>
      <c r="F13" s="42"/>
      <c r="G13" s="41"/>
      <c r="H13" s="43"/>
      <c r="I13" s="89"/>
      <c r="J13" s="45"/>
      <c r="K13" s="90"/>
      <c r="L13" s="39"/>
    </row>
    <row r="14" spans="1:13">
      <c r="A14" s="39">
        <v>3</v>
      </c>
      <c r="B14" s="46" t="s">
        <v>95</v>
      </c>
      <c r="C14" s="47"/>
      <c r="D14" s="48" t="s">
        <v>118</v>
      </c>
      <c r="E14" s="119" t="s">
        <v>119</v>
      </c>
      <c r="F14" s="47" t="s">
        <v>98</v>
      </c>
      <c r="G14" s="56"/>
      <c r="H14" s="41"/>
      <c r="I14" s="43"/>
      <c r="J14" s="89"/>
      <c r="K14" s="45"/>
      <c r="L14" s="90"/>
    </row>
    <row r="15" spans="1:13">
      <c r="A15" s="39"/>
      <c r="B15" s="17" t="s">
        <v>45</v>
      </c>
      <c r="C15" s="49">
        <f>(6.88-C11-F15)*(D5-G5)*0.1*0.3</f>
        <v>62.591333999999776</v>
      </c>
      <c r="D15" s="120">
        <v>0.7</v>
      </c>
      <c r="E15" s="121">
        <v>0.75</v>
      </c>
      <c r="F15" s="54">
        <f>(D15+E15)/2</f>
        <v>0.72499999999999998</v>
      </c>
      <c r="G15" s="122"/>
      <c r="H15" s="41"/>
      <c r="I15" s="43"/>
      <c r="J15" s="89"/>
      <c r="K15" s="45"/>
      <c r="L15" s="90"/>
    </row>
    <row r="16" spans="1:13">
      <c r="A16" s="39"/>
      <c r="B16" s="17" t="s">
        <v>48</v>
      </c>
      <c r="C16" s="49">
        <f>(6.75-C12-F16)*(D6-G6)*0.7*0.25</f>
        <v>-1800.8259324999942</v>
      </c>
      <c r="D16" s="120">
        <v>0.7</v>
      </c>
      <c r="E16" s="121">
        <v>0.75</v>
      </c>
      <c r="F16" s="54">
        <f>(D16+E16)/2</f>
        <v>0.72499999999999998</v>
      </c>
      <c r="G16" s="122"/>
      <c r="H16" s="41"/>
      <c r="I16" s="43"/>
      <c r="J16" s="89"/>
      <c r="K16" s="45"/>
      <c r="L16" s="90"/>
    </row>
    <row r="17" spans="1:13">
      <c r="A17" s="39"/>
      <c r="B17" s="55" t="s">
        <v>99</v>
      </c>
      <c r="C17" s="49">
        <f>C15</f>
        <v>62.591333999999776</v>
      </c>
      <c r="D17" s="49"/>
      <c r="E17" s="123"/>
      <c r="F17" s="47"/>
      <c r="G17" s="56"/>
      <c r="H17" s="41"/>
      <c r="I17" s="43"/>
      <c r="J17" s="89"/>
      <c r="K17" s="45"/>
      <c r="L17" s="90"/>
    </row>
    <row r="18" spans="1:13">
      <c r="A18" s="33"/>
      <c r="B18" s="124" t="s">
        <v>100</v>
      </c>
      <c r="C18" s="59">
        <f>C17*0.7</f>
        <v>43.813933799999838</v>
      </c>
      <c r="D18" s="125"/>
      <c r="E18" s="39"/>
      <c r="F18" s="42"/>
      <c r="G18" s="41"/>
      <c r="H18" s="43"/>
      <c r="I18" s="34"/>
      <c r="J18" s="31"/>
      <c r="K18" s="31"/>
      <c r="L18" s="33"/>
    </row>
    <row r="19" spans="1:13">
      <c r="A19" s="63"/>
      <c r="B19" s="63"/>
      <c r="C19" s="64"/>
      <c r="D19" s="64"/>
      <c r="E19" s="64"/>
      <c r="F19" s="64"/>
      <c r="G19" s="64"/>
      <c r="H19" s="64"/>
      <c r="I19" s="64"/>
      <c r="J19" s="63"/>
      <c r="K19" s="63"/>
      <c r="L19" s="64"/>
    </row>
    <row r="20" spans="1:13">
      <c r="A20" s="63"/>
      <c r="B20" s="63"/>
      <c r="C20" s="64"/>
      <c r="D20" s="64"/>
      <c r="E20" s="64"/>
      <c r="F20" s="64"/>
      <c r="G20" s="64"/>
      <c r="H20" s="64"/>
      <c r="I20" s="64"/>
      <c r="J20" s="63"/>
      <c r="K20" s="63"/>
      <c r="L20" s="64"/>
    </row>
    <row r="21" spans="1:13">
      <c r="A21" s="65"/>
      <c r="B21" s="66"/>
      <c r="C21" s="67"/>
      <c r="D21" s="125"/>
      <c r="E21" s="69"/>
      <c r="F21" s="65"/>
      <c r="G21" s="68"/>
      <c r="H21" s="69"/>
      <c r="I21" s="69"/>
      <c r="J21" s="65"/>
      <c r="K21" s="65"/>
      <c r="L21" s="65"/>
    </row>
    <row r="22" spans="1:13">
      <c r="A22" s="8" t="s">
        <v>29</v>
      </c>
      <c r="B22" s="8"/>
      <c r="C22" s="9"/>
      <c r="D22" s="9"/>
      <c r="E22" s="10"/>
      <c r="F22" s="10"/>
      <c r="G22" s="9"/>
      <c r="H22" s="11"/>
      <c r="I22" s="11"/>
      <c r="J22" s="8"/>
      <c r="K22" s="8"/>
      <c r="L22" s="10"/>
    </row>
    <row r="23" spans="1:13" ht="25.5">
      <c r="A23" s="12" t="s">
        <v>1</v>
      </c>
      <c r="B23" s="12" t="s">
        <v>2</v>
      </c>
      <c r="C23" s="13" t="s">
        <v>3</v>
      </c>
      <c r="D23" s="14" t="s">
        <v>4</v>
      </c>
      <c r="E23" s="12" t="s">
        <v>5</v>
      </c>
      <c r="F23" s="12" t="s">
        <v>6</v>
      </c>
      <c r="G23" s="13" t="s">
        <v>7</v>
      </c>
      <c r="H23" s="15" t="s">
        <v>8</v>
      </c>
      <c r="I23" s="15" t="s">
        <v>9</v>
      </c>
      <c r="J23" s="12" t="s">
        <v>10</v>
      </c>
      <c r="K23" s="12" t="s">
        <v>11</v>
      </c>
      <c r="L23" s="12" t="s">
        <v>12</v>
      </c>
      <c r="M23" s="135" t="s">
        <v>13</v>
      </c>
    </row>
    <row r="24" spans="1:13">
      <c r="A24" s="16" t="s">
        <v>50</v>
      </c>
      <c r="B24" s="70" t="s">
        <v>51</v>
      </c>
      <c r="C24" s="18">
        <v>33500</v>
      </c>
      <c r="D24" s="18">
        <v>33500</v>
      </c>
      <c r="E24" s="19">
        <v>168800</v>
      </c>
      <c r="F24" s="71" t="s">
        <v>16</v>
      </c>
      <c r="G24" s="18">
        <v>3167</v>
      </c>
      <c r="H24" s="72">
        <v>5770</v>
      </c>
      <c r="I24" s="91"/>
      <c r="J24" s="92" t="s">
        <v>52</v>
      </c>
      <c r="K24" s="70" t="s">
        <v>29</v>
      </c>
      <c r="L24" s="78">
        <v>0.1</v>
      </c>
      <c r="M24" s="79">
        <v>0.25</v>
      </c>
    </row>
    <row r="25" spans="1:13">
      <c r="A25" s="16" t="s">
        <v>50</v>
      </c>
      <c r="B25" s="70" t="s">
        <v>53</v>
      </c>
      <c r="C25" s="18">
        <v>43150.86</v>
      </c>
      <c r="D25" s="18">
        <v>43150.86</v>
      </c>
      <c r="E25" s="19">
        <v>230629.2</v>
      </c>
      <c r="F25" s="19" t="s">
        <v>16</v>
      </c>
      <c r="G25" s="18"/>
      <c r="H25" s="72">
        <f>4144.5+5200</f>
        <v>9344.5</v>
      </c>
      <c r="I25" s="72"/>
      <c r="J25" s="92" t="s">
        <v>54</v>
      </c>
      <c r="K25" s="70" t="s">
        <v>29</v>
      </c>
      <c r="L25" s="78">
        <v>1</v>
      </c>
      <c r="M25" s="79">
        <v>0.25</v>
      </c>
    </row>
    <row r="26" spans="1:13">
      <c r="A26" s="26" t="s">
        <v>91</v>
      </c>
      <c r="B26" s="27"/>
      <c r="C26" s="28">
        <f>SUM(C24:C25)</f>
        <v>76650.86</v>
      </c>
      <c r="D26" s="28"/>
      <c r="E26" s="29"/>
      <c r="F26" s="29"/>
      <c r="G26" s="28"/>
      <c r="H26" s="30"/>
      <c r="I26" s="30"/>
      <c r="J26" s="86"/>
      <c r="K26" s="87"/>
      <c r="L26" s="27"/>
    </row>
    <row r="27" spans="1:13">
      <c r="A27" s="31" t="s">
        <v>92</v>
      </c>
      <c r="B27" s="31"/>
      <c r="C27" s="32"/>
      <c r="D27" s="32"/>
      <c r="E27" s="33"/>
      <c r="F27" s="33"/>
      <c r="G27" s="32"/>
      <c r="H27" s="34"/>
      <c r="I27" s="34"/>
      <c r="J27" s="31"/>
      <c r="K27" s="31"/>
      <c r="L27" s="33"/>
    </row>
    <row r="28" spans="1:13">
      <c r="A28" s="33">
        <v>1</v>
      </c>
      <c r="B28" s="35" t="s">
        <v>120</v>
      </c>
      <c r="C28" s="36"/>
      <c r="D28" s="36"/>
      <c r="E28" s="37"/>
      <c r="F28" s="37"/>
      <c r="G28" s="36"/>
      <c r="H28" s="38"/>
      <c r="I28" s="38"/>
      <c r="J28" s="31"/>
      <c r="K28" s="88"/>
      <c r="L28" s="33"/>
    </row>
    <row r="29" spans="1:13">
      <c r="A29" s="39">
        <v>2</v>
      </c>
      <c r="B29" s="555" t="s">
        <v>94</v>
      </c>
      <c r="C29" s="555"/>
      <c r="D29" s="40"/>
      <c r="E29" s="39"/>
      <c r="F29" s="42"/>
      <c r="G29" s="41"/>
      <c r="H29" s="43"/>
      <c r="I29" s="89"/>
      <c r="J29" s="45"/>
      <c r="K29" s="45"/>
      <c r="L29" s="39"/>
    </row>
    <row r="30" spans="1:13">
      <c r="A30" s="39"/>
      <c r="B30" s="70" t="s">
        <v>51</v>
      </c>
      <c r="C30" s="44">
        <f>(E24+H24+I24)/(D24-G24)*1.005</f>
        <v>5.7838937790525167</v>
      </c>
      <c r="D30" s="118"/>
      <c r="E30" s="39"/>
      <c r="F30" s="42"/>
      <c r="G30" s="41"/>
      <c r="H30" s="43"/>
      <c r="I30" s="89"/>
      <c r="J30" s="45"/>
      <c r="K30" s="45"/>
      <c r="L30" s="39"/>
    </row>
    <row r="31" spans="1:13">
      <c r="A31" s="39"/>
      <c r="B31" s="70" t="s">
        <v>53</v>
      </c>
      <c r="C31" s="44">
        <f>(E25+H25+I25)/(D25-G25)*1.005</f>
        <v>5.5890790704982471</v>
      </c>
      <c r="D31" s="118"/>
      <c r="E31" s="39"/>
      <c r="F31" s="42"/>
      <c r="G31" s="41"/>
      <c r="H31" s="43"/>
      <c r="I31" s="89"/>
      <c r="J31" s="45"/>
      <c r="K31" s="45"/>
      <c r="L31" s="39"/>
    </row>
    <row r="32" spans="1:13">
      <c r="A32" s="45"/>
      <c r="B32" s="39"/>
      <c r="C32" s="41"/>
      <c r="D32" s="41"/>
      <c r="E32" s="39"/>
      <c r="F32" s="42"/>
      <c r="G32" s="41"/>
      <c r="H32" s="43"/>
      <c r="I32" s="89"/>
      <c r="J32" s="45"/>
      <c r="K32" s="90"/>
      <c r="L32" s="39"/>
    </row>
    <row r="33" spans="1:13">
      <c r="A33" s="39">
        <v>3</v>
      </c>
      <c r="B33" s="46" t="s">
        <v>95</v>
      </c>
      <c r="C33" s="47"/>
      <c r="D33" s="47" t="s">
        <v>97</v>
      </c>
      <c r="E33" s="56"/>
      <c r="F33" s="41"/>
      <c r="G33" s="43"/>
      <c r="H33" s="89"/>
      <c r="I33" s="45"/>
      <c r="J33" s="90"/>
      <c r="K33" s="39"/>
    </row>
    <row r="34" spans="1:13">
      <c r="A34" s="39"/>
      <c r="B34" s="70" t="s">
        <v>51</v>
      </c>
      <c r="C34" s="49">
        <f>(6.8-C30-D34)*(D24-G24)*0.1*0.25</f>
        <v>425.50087500000012</v>
      </c>
      <c r="D34" s="54">
        <v>0.45500000000000002</v>
      </c>
      <c r="E34" s="122"/>
      <c r="F34" s="41"/>
      <c r="G34" s="43"/>
      <c r="H34" s="89"/>
      <c r="I34" s="45"/>
      <c r="J34" s="90"/>
      <c r="K34" s="39"/>
    </row>
    <row r="35" spans="1:13">
      <c r="A35" s="39"/>
      <c r="B35" s="70" t="s">
        <v>53</v>
      </c>
      <c r="C35" s="49">
        <f>(6.8-C31-D35)*(D25-G25)*1*0.25</f>
        <v>8154.6595499999994</v>
      </c>
      <c r="D35" s="54">
        <v>0.45500000000000002</v>
      </c>
      <c r="E35" s="122"/>
      <c r="F35" s="41"/>
      <c r="G35" s="43"/>
      <c r="H35" s="89"/>
      <c r="I35" s="45"/>
      <c r="J35" s="90"/>
      <c r="K35" s="39"/>
    </row>
    <row r="36" spans="1:13">
      <c r="A36" s="39"/>
      <c r="B36" s="47" t="s">
        <v>99</v>
      </c>
      <c r="C36" s="49">
        <f>SUM(C34:C35)</f>
        <v>8580.160425</v>
      </c>
      <c r="D36" s="47"/>
      <c r="E36" s="56"/>
      <c r="F36" s="41"/>
      <c r="G36" s="43"/>
      <c r="H36" s="89"/>
      <c r="I36" s="45"/>
      <c r="J36" s="90"/>
      <c r="K36" s="39"/>
    </row>
    <row r="37" spans="1:13">
      <c r="A37" s="33"/>
      <c r="B37" s="126" t="s">
        <v>100</v>
      </c>
      <c r="C37" s="75">
        <f>C36*0.7</f>
        <v>6006.1122974999998</v>
      </c>
      <c r="D37" s="69"/>
      <c r="E37" s="61"/>
      <c r="F37" s="42"/>
      <c r="G37" s="41"/>
      <c r="H37" s="43"/>
      <c r="I37" s="34"/>
      <c r="J37" s="31"/>
      <c r="K37" s="31"/>
      <c r="L37" s="33"/>
    </row>
    <row r="38" spans="1:13">
      <c r="A38" s="63"/>
      <c r="B38" s="127" t="s">
        <v>121</v>
      </c>
      <c r="C38" s="75">
        <f>C37*0.875</f>
        <v>5255.3482603124994</v>
      </c>
      <c r="D38" s="63"/>
      <c r="E38" s="63"/>
      <c r="F38" s="63"/>
      <c r="G38" s="63"/>
      <c r="H38" s="63"/>
      <c r="I38" s="63"/>
      <c r="J38" s="63"/>
      <c r="K38" s="63"/>
      <c r="L38" s="64"/>
    </row>
    <row r="42" spans="1:13">
      <c r="A42" s="128" t="s">
        <v>109</v>
      </c>
      <c r="B42" s="129">
        <f>C18+C38</f>
        <v>5299.1621941124995</v>
      </c>
    </row>
    <row r="45" spans="1:13">
      <c r="A45" s="130" t="s">
        <v>122</v>
      </c>
      <c r="B45" s="81"/>
      <c r="C45" s="131"/>
      <c r="D45" s="131"/>
      <c r="E45" s="131"/>
      <c r="F45" s="131"/>
      <c r="G45" s="131"/>
      <c r="H45" s="131"/>
      <c r="I45" s="131"/>
      <c r="J45" s="81"/>
      <c r="K45" s="81"/>
      <c r="L45" s="81"/>
      <c r="M45" s="81"/>
    </row>
    <row r="46" spans="1:13" ht="25.5">
      <c r="A46" s="12" t="s">
        <v>1</v>
      </c>
      <c r="B46" s="12" t="s">
        <v>2</v>
      </c>
      <c r="C46" s="13" t="s">
        <v>3</v>
      </c>
      <c r="D46" s="14" t="s">
        <v>4</v>
      </c>
      <c r="E46" s="12" t="s">
        <v>5</v>
      </c>
      <c r="F46" s="12" t="s">
        <v>6</v>
      </c>
      <c r="G46" s="13" t="s">
        <v>7</v>
      </c>
      <c r="H46" s="15" t="s">
        <v>8</v>
      </c>
      <c r="I46" s="15" t="s">
        <v>9</v>
      </c>
      <c r="J46" s="12" t="s">
        <v>10</v>
      </c>
      <c r="K46" s="12" t="s">
        <v>11</v>
      </c>
      <c r="L46" s="12" t="s">
        <v>12</v>
      </c>
      <c r="M46" s="135" t="s">
        <v>13</v>
      </c>
    </row>
    <row r="47" spans="1:13">
      <c r="A47" s="16" t="s">
        <v>44</v>
      </c>
      <c r="B47" s="17" t="s">
        <v>45</v>
      </c>
      <c r="C47" s="18">
        <v>22133.759999999998</v>
      </c>
      <c r="D47" s="18">
        <v>22133.759999999998</v>
      </c>
      <c r="E47" s="19">
        <v>120066</v>
      </c>
      <c r="F47" s="19" t="s">
        <v>16</v>
      </c>
      <c r="G47" s="20">
        <v>1580</v>
      </c>
      <c r="H47" s="21">
        <v>3737</v>
      </c>
      <c r="I47" s="72"/>
      <c r="J47" s="77" t="s">
        <v>46</v>
      </c>
      <c r="K47" s="78" t="s">
        <v>18</v>
      </c>
      <c r="L47" s="78">
        <v>0.1</v>
      </c>
      <c r="M47" s="79">
        <v>0.3</v>
      </c>
    </row>
    <row r="48" spans="1:13">
      <c r="A48" s="16" t="s">
        <v>47</v>
      </c>
      <c r="B48" s="17" t="s">
        <v>48</v>
      </c>
      <c r="C48" s="18">
        <v>39164.800000000003</v>
      </c>
      <c r="D48" s="18">
        <v>39164.800000000003</v>
      </c>
      <c r="E48" s="19">
        <v>210059.78</v>
      </c>
      <c r="F48" s="19" t="s">
        <v>16</v>
      </c>
      <c r="G48" s="20">
        <v>4943</v>
      </c>
      <c r="H48" s="21">
        <v>5340</v>
      </c>
      <c r="I48" s="72"/>
      <c r="J48" s="77" t="s">
        <v>49</v>
      </c>
      <c r="K48" s="78" t="s">
        <v>18</v>
      </c>
      <c r="L48" s="78">
        <v>0.7</v>
      </c>
      <c r="M48" s="79">
        <v>0.25</v>
      </c>
    </row>
    <row r="49" spans="1:13">
      <c r="A49" s="16" t="s">
        <v>50</v>
      </c>
      <c r="B49" s="70" t="s">
        <v>51</v>
      </c>
      <c r="C49" s="18">
        <v>33500</v>
      </c>
      <c r="D49" s="18">
        <v>33500</v>
      </c>
      <c r="E49" s="19">
        <v>168800</v>
      </c>
      <c r="F49" s="71" t="s">
        <v>16</v>
      </c>
      <c r="G49" s="18">
        <v>3167</v>
      </c>
      <c r="H49" s="72">
        <v>5770</v>
      </c>
      <c r="I49" s="91"/>
      <c r="J49" s="92" t="s">
        <v>52</v>
      </c>
      <c r="K49" s="70" t="s">
        <v>29</v>
      </c>
      <c r="L49" s="78">
        <v>0.1</v>
      </c>
      <c r="M49" s="79">
        <v>0.25</v>
      </c>
    </row>
    <row r="50" spans="1:13">
      <c r="A50" s="16" t="s">
        <v>50</v>
      </c>
      <c r="B50" s="70" t="s">
        <v>53</v>
      </c>
      <c r="C50" s="18">
        <v>43150.86</v>
      </c>
      <c r="D50" s="18">
        <v>43150.86</v>
      </c>
      <c r="E50" s="19">
        <v>230629.2</v>
      </c>
      <c r="F50" s="19" t="s">
        <v>16</v>
      </c>
      <c r="G50" s="18"/>
      <c r="H50" s="72">
        <f>4144.5+5200</f>
        <v>9344.5</v>
      </c>
      <c r="I50" s="72"/>
      <c r="J50" s="92" t="s">
        <v>54</v>
      </c>
      <c r="K50" s="70" t="s">
        <v>29</v>
      </c>
      <c r="L50" s="78">
        <v>1</v>
      </c>
      <c r="M50" s="79">
        <v>0.25</v>
      </c>
    </row>
    <row r="51" spans="1:13">
      <c r="A51" s="557" t="s">
        <v>84</v>
      </c>
      <c r="B51" s="568"/>
      <c r="C51" s="132">
        <f>SUM(C47:C50)</f>
        <v>137949.41999999998</v>
      </c>
      <c r="D51" s="132">
        <f>SUM(D47:D50)</f>
        <v>137949.41999999998</v>
      </c>
      <c r="E51" s="133">
        <f>SUM(E47:E50)</f>
        <v>729554.98</v>
      </c>
      <c r="F51" s="132"/>
      <c r="G51" s="132">
        <f>SUM(G47:G50)</f>
        <v>9690</v>
      </c>
      <c r="H51" s="133">
        <f>SUM(H47:H50)</f>
        <v>24191.5</v>
      </c>
      <c r="I51" s="133">
        <f>SUM(I47:I50)</f>
        <v>0</v>
      </c>
      <c r="J51" s="136"/>
      <c r="K51" s="136"/>
      <c r="L51" s="137"/>
      <c r="M51" s="137"/>
    </row>
    <row r="52" spans="1:13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1:13">
      <c r="A53" s="134" t="s">
        <v>85</v>
      </c>
      <c r="B53" s="112">
        <f>D51</f>
        <v>137949.41999999998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1:13">
      <c r="A54" s="134" t="s">
        <v>86</v>
      </c>
      <c r="B54" s="112">
        <f>G51</f>
        <v>9690</v>
      </c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1:13">
      <c r="A55" s="111" t="s">
        <v>87</v>
      </c>
      <c r="B55" s="112">
        <f>B53-B54</f>
        <v>128259.41999999998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1:13">
      <c r="A56" s="134" t="s">
        <v>88</v>
      </c>
      <c r="B56" s="113">
        <f>E51+H51+I51</f>
        <v>753746.48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1:13">
      <c r="A57" s="134" t="s">
        <v>89</v>
      </c>
      <c r="B57" s="114">
        <f>B56/B55*1.005</f>
        <v>5.906117557681144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1:13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60" spans="1:13" ht="24" customHeight="1"/>
  </sheetData>
  <sheetProtection algorithmName="SHA-512" hashValue="KZ7g50soDcz8h2dsm8Z8ovGzO7e4rm18v85LxRr+td2m/rPeab06f8ihs42c3u7Ht1qsriYb6odWQYzfgASawg==" saltValue="IqsVxYXfrplaEgOBeSCLdg==" spinCount="100000" sheet="1" objects="1" scenarios="1"/>
  <mergeCells count="3">
    <mergeCell ref="B10:C10"/>
    <mergeCell ref="B29:C29"/>
    <mergeCell ref="A51:B51"/>
  </mergeCells>
  <phoneticPr fontId="42" type="noConversion"/>
  <pageMargins left="0.75" right="0.75" top="1" bottom="1" header="0.51180555555555596" footer="0.51180555555555596"/>
  <pageSetup paperSize="9" scale="55"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8"/>
  <sheetViews>
    <sheetView showGridLines="0" topLeftCell="A4" workbookViewId="0">
      <pane ySplit="1" topLeftCell="A98" activePane="bottomLeft" state="frozen"/>
      <selection activeCell="A4" sqref="A4"/>
      <selection pane="bottomLeft" activeCell="D108" sqref="D108:D109"/>
    </sheetView>
  </sheetViews>
  <sheetFormatPr defaultColWidth="9" defaultRowHeight="15"/>
  <cols>
    <col min="1" max="1" width="10.5703125" style="2" customWidth="1"/>
    <col min="2" max="2" width="14.42578125" style="2" customWidth="1"/>
    <col min="3" max="3" width="13.85546875" style="2" customWidth="1"/>
    <col min="4" max="4" width="15" style="2" customWidth="1"/>
    <col min="5" max="5" width="13.5703125" style="2" customWidth="1"/>
    <col min="6" max="6" width="7.140625" style="2" customWidth="1"/>
    <col min="7" max="7" width="14.85546875" style="2" customWidth="1"/>
    <col min="8" max="8" width="14" style="2" customWidth="1"/>
    <col min="9" max="9" width="10.28515625" style="2" customWidth="1"/>
    <col min="10" max="10" width="13.7109375" style="2" customWidth="1"/>
    <col min="11" max="11" width="7.42578125" style="2" customWidth="1"/>
    <col min="12" max="12" width="7" style="2" customWidth="1"/>
    <col min="13" max="13" width="10.28515625" style="2" customWidth="1"/>
    <col min="14" max="16" width="9" style="2"/>
  </cols>
  <sheetData>
    <row r="1" spans="1:16">
      <c r="A1" s="3" t="s">
        <v>123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6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6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6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74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2" t="s">
        <v>13</v>
      </c>
    </row>
    <row r="5" spans="1:16">
      <c r="A5" s="16" t="s">
        <v>55</v>
      </c>
      <c r="B5" s="17" t="s">
        <v>56</v>
      </c>
      <c r="C5" s="18">
        <f>74268.7+71533.8</f>
        <v>145802.5</v>
      </c>
      <c r="D5" s="169">
        <v>145790.57</v>
      </c>
      <c r="E5" s="171">
        <v>674270.9</v>
      </c>
      <c r="F5" s="19" t="s">
        <v>16</v>
      </c>
      <c r="G5" s="170">
        <f>5824+5814</f>
        <v>11638</v>
      </c>
      <c r="H5" s="172">
        <f>10480+9880</f>
        <v>20360</v>
      </c>
      <c r="I5" s="173"/>
      <c r="J5" s="77" t="s">
        <v>57</v>
      </c>
      <c r="K5" s="78" t="s">
        <v>18</v>
      </c>
      <c r="L5" s="79">
        <v>0.2</v>
      </c>
      <c r="M5" s="79">
        <v>0.2</v>
      </c>
      <c r="N5" s="80" t="s">
        <v>124</v>
      </c>
      <c r="O5" s="81"/>
    </row>
    <row r="6" spans="1:16">
      <c r="A6" s="16" t="s">
        <v>34</v>
      </c>
      <c r="B6" s="17" t="s">
        <v>58</v>
      </c>
      <c r="C6" s="18">
        <v>32822.379999999997</v>
      </c>
      <c r="D6" s="169">
        <v>32822.379999999997</v>
      </c>
      <c r="E6" s="171">
        <v>196414</v>
      </c>
      <c r="F6" s="19" t="s">
        <v>16</v>
      </c>
      <c r="G6" s="170">
        <v>1980</v>
      </c>
      <c r="H6" s="172">
        <v>5575</v>
      </c>
      <c r="I6" s="173"/>
      <c r="J6" s="77" t="s">
        <v>59</v>
      </c>
      <c r="K6" s="78" t="s">
        <v>18</v>
      </c>
      <c r="L6" s="79">
        <v>0.1</v>
      </c>
      <c r="M6" s="79">
        <v>0.3</v>
      </c>
      <c r="N6" s="81"/>
      <c r="O6" s="81"/>
    </row>
    <row r="7" spans="1:16">
      <c r="A7" s="16" t="s">
        <v>34</v>
      </c>
      <c r="B7" s="17" t="s">
        <v>60</v>
      </c>
      <c r="C7" s="18">
        <v>27565</v>
      </c>
      <c r="D7" s="169">
        <v>27565</v>
      </c>
      <c r="E7" s="171">
        <v>151026</v>
      </c>
      <c r="F7" s="19" t="s">
        <v>16</v>
      </c>
      <c r="G7" s="170">
        <v>1980</v>
      </c>
      <c r="H7" s="172">
        <v>5020</v>
      </c>
      <c r="I7" s="173"/>
      <c r="J7" s="77" t="s">
        <v>59</v>
      </c>
      <c r="K7" s="78" t="s">
        <v>18</v>
      </c>
      <c r="L7" s="79">
        <v>0.1</v>
      </c>
      <c r="M7" s="79">
        <v>0.3</v>
      </c>
      <c r="N7" s="81"/>
      <c r="O7" s="81"/>
    </row>
    <row r="8" spans="1:16">
      <c r="A8" s="16" t="s">
        <v>19</v>
      </c>
      <c r="B8" s="17" t="s">
        <v>61</v>
      </c>
      <c r="C8" s="18">
        <v>305000</v>
      </c>
      <c r="D8" s="169">
        <f>304070.22-77619</f>
        <v>226451.21999999997</v>
      </c>
      <c r="E8" s="171">
        <v>1124584</v>
      </c>
      <c r="F8" s="19" t="s">
        <v>16</v>
      </c>
      <c r="G8" s="170">
        <v>4485</v>
      </c>
      <c r="H8" s="172">
        <v>48016</v>
      </c>
      <c r="I8" s="173"/>
      <c r="J8" s="77" t="s">
        <v>62</v>
      </c>
      <c r="K8" s="78" t="s">
        <v>18</v>
      </c>
      <c r="L8" s="79">
        <v>0.7</v>
      </c>
      <c r="M8" s="79">
        <v>0.35</v>
      </c>
      <c r="N8" s="81"/>
      <c r="O8" s="81"/>
    </row>
    <row r="9" spans="1:16" s="1" customFormat="1">
      <c r="A9" s="22" t="s">
        <v>34</v>
      </c>
      <c r="B9" s="23" t="s">
        <v>63</v>
      </c>
      <c r="C9" s="24">
        <f>158795.2+151917.3</f>
        <v>310712.5</v>
      </c>
      <c r="D9" s="169">
        <v>310652.5</v>
      </c>
      <c r="E9" s="171">
        <v>1453300</v>
      </c>
      <c r="F9" s="25" t="s">
        <v>16</v>
      </c>
      <c r="G9" s="170">
        <f>23236+23669</f>
        <v>46905</v>
      </c>
      <c r="H9" s="172">
        <f>22180+21930</f>
        <v>44110</v>
      </c>
      <c r="I9" s="173"/>
      <c r="J9" s="82" t="s">
        <v>64</v>
      </c>
      <c r="K9" s="83" t="s">
        <v>18</v>
      </c>
      <c r="L9" s="84">
        <v>0.2</v>
      </c>
      <c r="M9" s="84">
        <v>0.3</v>
      </c>
      <c r="N9" s="569" t="s">
        <v>125</v>
      </c>
      <c r="O9" s="569"/>
      <c r="P9" s="85"/>
    </row>
    <row r="10" spans="1:16">
      <c r="A10" s="16" t="s">
        <v>19</v>
      </c>
      <c r="B10" s="17" t="s">
        <v>65</v>
      </c>
      <c r="C10" s="18">
        <v>67094.990000000005</v>
      </c>
      <c r="D10" s="169">
        <f>33236.57+33858.43</f>
        <v>67095</v>
      </c>
      <c r="E10" s="171">
        <f>162950+162850</f>
        <v>325800</v>
      </c>
      <c r="F10" s="19" t="s">
        <v>16</v>
      </c>
      <c r="G10" s="170">
        <v>5530</v>
      </c>
      <c r="H10" s="172">
        <v>9290</v>
      </c>
      <c r="I10" s="173"/>
      <c r="J10" s="77" t="s">
        <v>59</v>
      </c>
      <c r="K10" s="78" t="s">
        <v>18</v>
      </c>
      <c r="L10" s="79">
        <v>0.1</v>
      </c>
      <c r="M10" s="79">
        <v>0.35</v>
      </c>
      <c r="N10" s="81"/>
      <c r="O10" s="81"/>
    </row>
    <row r="11" spans="1:16">
      <c r="A11" s="16" t="s">
        <v>66</v>
      </c>
      <c r="B11" s="17" t="s">
        <v>67</v>
      </c>
      <c r="C11" s="18">
        <v>29192.75</v>
      </c>
      <c r="D11" s="169">
        <v>29192.75</v>
      </c>
      <c r="E11" s="171">
        <f>165949-15950</f>
        <v>149999</v>
      </c>
      <c r="F11" s="19" t="s">
        <v>16</v>
      </c>
      <c r="G11" s="170">
        <v>2980</v>
      </c>
      <c r="H11" s="172">
        <v>10270</v>
      </c>
      <c r="I11" s="173"/>
      <c r="J11" s="77" t="s">
        <v>59</v>
      </c>
      <c r="K11" s="78" t="s">
        <v>18</v>
      </c>
      <c r="L11" s="79">
        <v>0.1</v>
      </c>
      <c r="M11" s="79">
        <v>0.25</v>
      </c>
      <c r="N11" s="81"/>
      <c r="O11" s="81"/>
    </row>
    <row r="12" spans="1:16">
      <c r="A12" s="16" t="s">
        <v>66</v>
      </c>
      <c r="B12" s="17" t="s">
        <v>68</v>
      </c>
      <c r="C12" s="18">
        <v>86591.55</v>
      </c>
      <c r="D12" s="169">
        <v>86591.55</v>
      </c>
      <c r="E12" s="171">
        <v>433667</v>
      </c>
      <c r="F12" s="19" t="s">
        <v>16</v>
      </c>
      <c r="G12" s="170">
        <v>8952</v>
      </c>
      <c r="H12" s="172">
        <v>14150</v>
      </c>
      <c r="I12" s="173"/>
      <c r="J12" s="77" t="s">
        <v>21</v>
      </c>
      <c r="K12" s="78" t="s">
        <v>18</v>
      </c>
      <c r="L12" s="79">
        <v>0.4</v>
      </c>
      <c r="M12" s="79">
        <v>0.25</v>
      </c>
      <c r="N12" s="81" t="s">
        <v>126</v>
      </c>
      <c r="O12" s="81"/>
    </row>
    <row r="13" spans="1:16">
      <c r="A13" s="26" t="s">
        <v>91</v>
      </c>
      <c r="B13" s="27"/>
      <c r="C13" s="28">
        <f>SUM(C5:C12)</f>
        <v>1004781.67</v>
      </c>
      <c r="D13" s="28"/>
      <c r="E13" s="29"/>
      <c r="F13" s="29"/>
      <c r="G13" s="28"/>
      <c r="H13" s="30"/>
      <c r="I13" s="30"/>
      <c r="J13" s="86"/>
      <c r="K13" s="87"/>
      <c r="L13" s="27"/>
      <c r="N13" s="81"/>
      <c r="O13" s="81"/>
    </row>
    <row r="14" spans="1:16">
      <c r="A14" s="31" t="s">
        <v>127</v>
      </c>
      <c r="B14" s="31"/>
      <c r="C14" s="32"/>
      <c r="D14" s="32"/>
      <c r="E14" s="33"/>
      <c r="F14" s="33"/>
      <c r="G14" s="32"/>
      <c r="H14" s="34"/>
      <c r="I14" s="34"/>
      <c r="J14" s="31"/>
      <c r="K14" s="31"/>
      <c r="L14" s="33"/>
    </row>
    <row r="15" spans="1:16">
      <c r="A15" s="33">
        <v>1</v>
      </c>
      <c r="B15" s="35" t="s">
        <v>128</v>
      </c>
      <c r="C15" s="36"/>
      <c r="D15" s="36"/>
      <c r="E15" s="37"/>
      <c r="F15" s="37"/>
      <c r="G15" s="36"/>
      <c r="H15" s="38"/>
      <c r="I15" s="38"/>
      <c r="J15" s="31"/>
      <c r="K15" s="88"/>
      <c r="L15" s="33"/>
    </row>
    <row r="16" spans="1:16">
      <c r="A16" s="39">
        <v>2</v>
      </c>
      <c r="B16" s="555" t="s">
        <v>129</v>
      </c>
      <c r="C16" s="555"/>
      <c r="D16" s="41"/>
      <c r="E16" s="39"/>
      <c r="F16" s="42"/>
      <c r="G16" s="41"/>
      <c r="H16" s="43"/>
      <c r="I16" s="89"/>
      <c r="J16" s="45"/>
      <c r="K16" s="45"/>
      <c r="L16" s="39"/>
    </row>
    <row r="17" spans="1:12">
      <c r="A17" s="39"/>
      <c r="B17" s="17" t="s">
        <v>56</v>
      </c>
      <c r="C17" s="44">
        <f>(E5+H5+I5)/(D5-G5)*1.005</f>
        <v>5.2038067887927895</v>
      </c>
      <c r="D17" s="41"/>
      <c r="E17" s="39"/>
      <c r="F17" s="42"/>
      <c r="G17" s="41"/>
      <c r="H17" s="43"/>
      <c r="I17" s="89"/>
      <c r="J17" s="45"/>
      <c r="K17" s="45"/>
      <c r="L17" s="39"/>
    </row>
    <row r="18" spans="1:12">
      <c r="A18" s="39"/>
      <c r="B18" s="17" t="s">
        <v>58</v>
      </c>
      <c r="C18" s="44">
        <f t="shared" ref="C18:C24" si="0">(E6+H6+I6)/(D6-G6)*1.005</f>
        <v>6.5818184264638457</v>
      </c>
      <c r="D18" s="41"/>
      <c r="E18" s="39"/>
      <c r="F18" s="42"/>
      <c r="G18" s="41"/>
      <c r="H18" s="43"/>
      <c r="I18" s="89"/>
      <c r="J18" s="45"/>
      <c r="K18" s="45"/>
      <c r="L18" s="39"/>
    </row>
    <row r="19" spans="1:12">
      <c r="A19" s="39"/>
      <c r="B19" s="17" t="s">
        <v>60</v>
      </c>
      <c r="C19" s="44">
        <f t="shared" si="0"/>
        <v>6.1296161813562628</v>
      </c>
      <c r="D19" s="41"/>
      <c r="E19" s="39"/>
      <c r="F19" s="42"/>
      <c r="G19" s="41"/>
      <c r="H19" s="43"/>
      <c r="I19" s="89"/>
      <c r="J19" s="45"/>
      <c r="K19" s="45"/>
      <c r="L19" s="39"/>
    </row>
    <row r="20" spans="1:12">
      <c r="A20" s="39"/>
      <c r="B20" s="17" t="s">
        <v>61</v>
      </c>
      <c r="C20" s="44">
        <f t="shared" si="0"/>
        <v>5.3091997512053863</v>
      </c>
      <c r="D20" s="41"/>
      <c r="E20" s="39"/>
      <c r="F20" s="42"/>
      <c r="G20" s="41"/>
      <c r="H20" s="43"/>
      <c r="I20" s="89"/>
      <c r="J20" s="45"/>
      <c r="K20" s="45"/>
      <c r="L20" s="39"/>
    </row>
    <row r="21" spans="1:12">
      <c r="A21" s="39"/>
      <c r="B21" s="17" t="s">
        <v>63</v>
      </c>
      <c r="C21" s="44">
        <f t="shared" si="0"/>
        <v>5.7058248893354433</v>
      </c>
      <c r="D21" s="41"/>
      <c r="E21" s="39"/>
      <c r="F21" s="42"/>
      <c r="G21" s="41"/>
      <c r="H21" s="43"/>
      <c r="I21" s="89"/>
      <c r="J21" s="45"/>
      <c r="K21" s="45"/>
      <c r="L21" s="39"/>
    </row>
    <row r="22" spans="1:12">
      <c r="A22" s="39"/>
      <c r="B22" s="17" t="s">
        <v>65</v>
      </c>
      <c r="C22" s="44">
        <f t="shared" si="0"/>
        <v>5.4700795906765203</v>
      </c>
      <c r="D22" s="41"/>
      <c r="E22" s="39"/>
      <c r="F22" s="42"/>
      <c r="G22" s="41"/>
      <c r="H22" s="43"/>
      <c r="I22" s="89"/>
      <c r="J22" s="45"/>
      <c r="K22" s="45"/>
      <c r="L22" s="39"/>
    </row>
    <row r="23" spans="1:12">
      <c r="A23" s="39"/>
      <c r="B23" s="17" t="s">
        <v>67</v>
      </c>
      <c r="C23" s="44">
        <f t="shared" si="0"/>
        <v>6.1447328113227337</v>
      </c>
      <c r="D23" s="41"/>
      <c r="E23" s="39"/>
      <c r="F23" s="42"/>
      <c r="G23" s="41"/>
      <c r="H23" s="43"/>
      <c r="I23" s="89"/>
      <c r="J23" s="45"/>
      <c r="K23" s="45"/>
      <c r="L23" s="39"/>
    </row>
    <row r="24" spans="1:12">
      <c r="A24" s="39"/>
      <c r="B24" s="17" t="s">
        <v>68</v>
      </c>
      <c r="C24" s="44">
        <f t="shared" si="0"/>
        <v>5.7967374231303497</v>
      </c>
      <c r="D24" s="41"/>
      <c r="E24" s="39"/>
      <c r="F24" s="42"/>
      <c r="G24" s="41"/>
      <c r="H24" s="43"/>
      <c r="I24" s="89"/>
      <c r="J24" s="45"/>
      <c r="K24" s="45"/>
      <c r="L24" s="39"/>
    </row>
    <row r="25" spans="1:12">
      <c r="A25" s="45"/>
      <c r="B25" s="39"/>
      <c r="C25" s="41"/>
      <c r="D25" s="41"/>
      <c r="E25" s="39"/>
      <c r="F25" s="42"/>
      <c r="G25" s="41"/>
      <c r="H25" s="43"/>
      <c r="I25" s="89"/>
      <c r="J25" s="45"/>
      <c r="K25" s="90"/>
      <c r="L25" s="39"/>
    </row>
    <row r="26" spans="1:12">
      <c r="A26" s="39">
        <v>3</v>
      </c>
      <c r="B26" s="46" t="s">
        <v>130</v>
      </c>
      <c r="C26" s="47"/>
      <c r="D26" s="48" t="s">
        <v>131</v>
      </c>
      <c r="E26" s="47" t="s">
        <v>119</v>
      </c>
      <c r="F26" s="47" t="s">
        <v>132</v>
      </c>
      <c r="G26" s="41"/>
      <c r="H26" s="43"/>
      <c r="I26" s="89"/>
      <c r="J26" s="45"/>
      <c r="K26" s="90"/>
      <c r="L26" s="39"/>
    </row>
    <row r="27" spans="1:12">
      <c r="A27" s="39"/>
      <c r="B27" s="17" t="s">
        <v>56</v>
      </c>
      <c r="C27" s="49">
        <f>(D5-G5)*(7.1-C17-F27)*L5*M5</f>
        <v>6687.2008800000031</v>
      </c>
      <c r="D27" s="50">
        <v>0.55000000000000004</v>
      </c>
      <c r="E27" s="51">
        <v>0.75</v>
      </c>
      <c r="F27" s="50">
        <f>(D27+E27)/2</f>
        <v>0.65</v>
      </c>
      <c r="G27" s="41"/>
      <c r="H27" s="43"/>
      <c r="I27" s="89"/>
      <c r="J27" s="45"/>
      <c r="K27" s="90"/>
      <c r="L27" s="39"/>
    </row>
    <row r="28" spans="1:12">
      <c r="A28" s="39"/>
      <c r="B28" s="17" t="s">
        <v>58</v>
      </c>
      <c r="C28" s="49">
        <f t="shared" ref="C28:C32" si="1">(D6-G6)*(6.88-C18-F28)*L6*M6</f>
        <v>-325.52752799999973</v>
      </c>
      <c r="D28" s="50">
        <v>0.55000000000000004</v>
      </c>
      <c r="E28" s="50">
        <v>0.75</v>
      </c>
      <c r="F28" s="50">
        <f t="shared" ref="F28:F32" si="2">(D28+E28)/2</f>
        <v>0.65</v>
      </c>
      <c r="G28" s="41"/>
      <c r="H28" s="43"/>
      <c r="I28" s="89"/>
      <c r="J28" s="45"/>
      <c r="K28" s="90"/>
      <c r="L28" s="39"/>
    </row>
    <row r="29" spans="1:12">
      <c r="A29" s="39"/>
      <c r="B29" s="17" t="s">
        <v>60</v>
      </c>
      <c r="C29" s="49">
        <f t="shared" si="1"/>
        <v>77.049600000000353</v>
      </c>
      <c r="D29" s="50">
        <v>0.55000000000000004</v>
      </c>
      <c r="E29" s="50">
        <v>0.75</v>
      </c>
      <c r="F29" s="50">
        <f t="shared" si="2"/>
        <v>0.65</v>
      </c>
      <c r="G29" s="41"/>
      <c r="H29" s="43"/>
      <c r="I29" s="89"/>
      <c r="J29" s="45"/>
      <c r="K29" s="90"/>
      <c r="L29" s="39"/>
    </row>
    <row r="30" spans="1:12">
      <c r="A30" s="39"/>
      <c r="B30" s="17" t="s">
        <v>61</v>
      </c>
      <c r="C30" s="49">
        <f t="shared" si="1"/>
        <v>50074.704896999974</v>
      </c>
      <c r="D30" s="50">
        <v>0.55000000000000004</v>
      </c>
      <c r="E30" s="50">
        <v>0.75</v>
      </c>
      <c r="F30" s="50">
        <f t="shared" si="2"/>
        <v>0.65</v>
      </c>
      <c r="G30" s="41"/>
      <c r="H30" s="43"/>
      <c r="I30" s="89"/>
      <c r="J30" s="45"/>
      <c r="K30" s="90"/>
      <c r="L30" s="39"/>
    </row>
    <row r="31" spans="1:12">
      <c r="A31" s="39"/>
      <c r="B31" s="17" t="s">
        <v>63</v>
      </c>
      <c r="C31" s="52">
        <f t="shared" si="1"/>
        <v>8294.9925000000094</v>
      </c>
      <c r="D31" s="50">
        <v>0.55000000000000004</v>
      </c>
      <c r="E31" s="50">
        <v>0.75</v>
      </c>
      <c r="F31" s="50">
        <f t="shared" si="2"/>
        <v>0.65</v>
      </c>
      <c r="G31" s="41"/>
      <c r="H31" s="43"/>
      <c r="I31" s="89"/>
      <c r="J31" s="45"/>
      <c r="K31" s="90"/>
      <c r="L31" s="39"/>
    </row>
    <row r="32" spans="1:12">
      <c r="A32" s="39"/>
      <c r="B32" s="17" t="s">
        <v>65</v>
      </c>
      <c r="C32" s="49">
        <f t="shared" si="1"/>
        <v>1637.4575000000009</v>
      </c>
      <c r="D32" s="53">
        <v>0.55000000000000004</v>
      </c>
      <c r="E32" s="50">
        <v>0.75</v>
      </c>
      <c r="F32" s="50">
        <f t="shared" si="2"/>
        <v>0.65</v>
      </c>
      <c r="G32" s="41"/>
      <c r="H32" s="43"/>
      <c r="I32" s="89"/>
      <c r="J32" s="45"/>
      <c r="K32" s="90"/>
      <c r="L32" s="39"/>
    </row>
    <row r="33" spans="1:13">
      <c r="A33" s="39"/>
      <c r="B33" s="17" t="s">
        <v>67</v>
      </c>
      <c r="C33" s="49">
        <f>(D11-G11)*(6.8-C23-E33)*L11*M11</f>
        <v>131.23884375000017</v>
      </c>
      <c r="D33" s="570"/>
      <c r="E33" s="54">
        <v>0.45500000000000002</v>
      </c>
      <c r="F33" s="575"/>
      <c r="G33" s="41"/>
      <c r="H33" s="43"/>
      <c r="I33" s="89"/>
      <c r="J33" s="45"/>
      <c r="K33" s="90"/>
      <c r="L33" s="39"/>
    </row>
    <row r="34" spans="1:13">
      <c r="A34" s="39"/>
      <c r="B34" s="17" t="s">
        <v>68</v>
      </c>
      <c r="C34" s="49">
        <f>(D12-G12)*(6.8-C24-E34)*L12*M12</f>
        <v>4256.685975000004</v>
      </c>
      <c r="D34" s="571"/>
      <c r="E34" s="54">
        <v>0.45500000000000002</v>
      </c>
      <c r="F34" s="576"/>
      <c r="G34" s="41"/>
      <c r="H34" s="43"/>
      <c r="I34" s="89"/>
      <c r="J34" s="45"/>
      <c r="K34" s="90"/>
      <c r="L34" s="39"/>
    </row>
    <row r="35" spans="1:13">
      <c r="A35" s="39"/>
      <c r="B35" s="55" t="s">
        <v>84</v>
      </c>
      <c r="C35" s="49">
        <f>C27+C29+C30+C31+C32+C33+C34</f>
        <v>71159.330195749993</v>
      </c>
      <c r="D35" s="56"/>
      <c r="E35" s="56"/>
      <c r="F35" s="56"/>
      <c r="G35" s="41"/>
      <c r="H35" s="43"/>
      <c r="I35" s="89"/>
      <c r="J35" s="45"/>
      <c r="K35" s="90"/>
      <c r="L35" s="39"/>
    </row>
    <row r="36" spans="1:13">
      <c r="A36" s="39"/>
      <c r="B36" s="57" t="s">
        <v>207</v>
      </c>
      <c r="C36" s="49">
        <f>C35*70%</f>
        <v>49811.531137024991</v>
      </c>
      <c r="D36" s="56"/>
      <c r="E36" s="56"/>
      <c r="F36" s="56"/>
      <c r="G36" s="41"/>
      <c r="H36" s="43"/>
      <c r="I36" s="89"/>
      <c r="J36" s="45"/>
      <c r="K36" s="90"/>
      <c r="L36" s="39"/>
    </row>
    <row r="37" spans="1:13">
      <c r="A37" s="33"/>
      <c r="B37" s="58" t="s">
        <v>209</v>
      </c>
      <c r="C37" s="59">
        <f>C36*0.875</f>
        <v>43585.089744896868</v>
      </c>
      <c r="D37" s="60"/>
      <c r="E37" s="61"/>
      <c r="F37" s="62"/>
      <c r="G37" s="41"/>
      <c r="H37" s="43"/>
      <c r="I37" s="34"/>
      <c r="J37" s="31"/>
      <c r="K37" s="31"/>
      <c r="L37" s="33"/>
    </row>
    <row r="38" spans="1:13">
      <c r="A38" s="63"/>
      <c r="B38" s="63"/>
      <c r="C38" s="64"/>
      <c r="D38" s="63"/>
      <c r="E38" s="64"/>
      <c r="F38" s="64"/>
      <c r="G38" s="64"/>
      <c r="H38" s="64"/>
      <c r="I38" s="64"/>
      <c r="J38" s="63"/>
      <c r="K38" s="63"/>
      <c r="L38" s="64"/>
    </row>
    <row r="39" spans="1:13">
      <c r="A39" s="63"/>
      <c r="B39" s="63"/>
      <c r="C39" s="64"/>
      <c r="D39" s="63"/>
      <c r="E39" s="64"/>
      <c r="F39" s="64"/>
      <c r="G39" s="64"/>
      <c r="H39" s="64"/>
      <c r="I39" s="64"/>
      <c r="J39" s="63"/>
      <c r="K39" s="63"/>
      <c r="L39" s="64"/>
    </row>
    <row r="40" spans="1:13">
      <c r="A40" s="65"/>
      <c r="B40" s="66"/>
      <c r="C40" s="67"/>
      <c r="D40" s="68"/>
      <c r="E40" s="69"/>
      <c r="F40" s="65"/>
      <c r="G40" s="68"/>
      <c r="H40" s="69"/>
      <c r="I40" s="69"/>
      <c r="J40" s="65"/>
      <c r="K40" s="65"/>
      <c r="L40" s="65"/>
    </row>
    <row r="41" spans="1:13">
      <c r="A41" s="8" t="s">
        <v>29</v>
      </c>
      <c r="B41" s="8"/>
      <c r="C41" s="9"/>
      <c r="D41" s="9"/>
      <c r="E41" s="10"/>
      <c r="F41" s="10"/>
      <c r="G41" s="9"/>
      <c r="H41" s="11"/>
      <c r="I41" s="11"/>
      <c r="J41" s="8"/>
      <c r="K41" s="8"/>
      <c r="L41" s="10"/>
    </row>
    <row r="42" spans="1:13" ht="25.5">
      <c r="A42" s="12" t="s">
        <v>1</v>
      </c>
      <c r="B42" s="12" t="s">
        <v>2</v>
      </c>
      <c r="C42" s="13" t="s">
        <v>3</v>
      </c>
      <c r="D42" s="14" t="s">
        <v>4</v>
      </c>
      <c r="E42" s="12" t="s">
        <v>5</v>
      </c>
      <c r="F42" s="12" t="s">
        <v>6</v>
      </c>
      <c r="G42" s="13" t="s">
        <v>7</v>
      </c>
      <c r="H42" s="15" t="s">
        <v>8</v>
      </c>
      <c r="I42" s="15" t="s">
        <v>9</v>
      </c>
      <c r="J42" s="12" t="s">
        <v>10</v>
      </c>
      <c r="K42" s="12" t="s">
        <v>11</v>
      </c>
      <c r="L42" s="12" t="s">
        <v>12</v>
      </c>
      <c r="M42" s="12" t="s">
        <v>13</v>
      </c>
    </row>
    <row r="43" spans="1:13">
      <c r="A43" s="16" t="s">
        <v>69</v>
      </c>
      <c r="B43" s="70" t="s">
        <v>70</v>
      </c>
      <c r="C43" s="18">
        <v>103836.45</v>
      </c>
      <c r="D43" s="18">
        <v>103836.44</v>
      </c>
      <c r="E43" s="19">
        <v>547949.19999999995</v>
      </c>
      <c r="F43" s="71" t="s">
        <v>16</v>
      </c>
      <c r="G43" s="18">
        <v>13239</v>
      </c>
      <c r="H43" s="72">
        <v>17410</v>
      </c>
      <c r="I43" s="91"/>
      <c r="J43" s="92" t="s">
        <v>71</v>
      </c>
      <c r="K43" s="70" t="s">
        <v>29</v>
      </c>
      <c r="L43" s="78">
        <v>0.1</v>
      </c>
      <c r="M43" s="93">
        <v>0.2</v>
      </c>
    </row>
    <row r="44" spans="1:13">
      <c r="A44" s="16" t="s">
        <v>66</v>
      </c>
      <c r="B44" s="70" t="s">
        <v>73</v>
      </c>
      <c r="C44" s="18">
        <v>11051</v>
      </c>
      <c r="D44" s="18">
        <v>11000.5</v>
      </c>
      <c r="E44" s="19">
        <v>50900</v>
      </c>
      <c r="F44" s="71" t="s">
        <v>16</v>
      </c>
      <c r="G44" s="18">
        <v>1879.68</v>
      </c>
      <c r="H44" s="72">
        <v>978.88</v>
      </c>
      <c r="I44" s="91"/>
      <c r="J44" s="92" t="s">
        <v>74</v>
      </c>
      <c r="K44" s="70" t="s">
        <v>29</v>
      </c>
      <c r="L44" s="78">
        <v>0.1</v>
      </c>
      <c r="M44" s="79">
        <v>0.25</v>
      </c>
    </row>
    <row r="45" spans="1:13">
      <c r="A45" s="16" t="s">
        <v>66</v>
      </c>
      <c r="B45" s="70" t="s">
        <v>75</v>
      </c>
      <c r="C45" s="18">
        <v>77620</v>
      </c>
      <c r="D45" s="18">
        <v>77611</v>
      </c>
      <c r="E45" s="19">
        <v>414862</v>
      </c>
      <c r="F45" s="71" t="s">
        <v>16</v>
      </c>
      <c r="G45" s="18"/>
      <c r="H45" s="72">
        <f>6400+4920</f>
        <v>11320</v>
      </c>
      <c r="I45" s="72"/>
      <c r="J45" s="92" t="s">
        <v>76</v>
      </c>
      <c r="K45" s="70" t="s">
        <v>29</v>
      </c>
      <c r="L45" s="78">
        <v>0.7</v>
      </c>
      <c r="M45" s="79">
        <v>0.35</v>
      </c>
    </row>
    <row r="46" spans="1:13">
      <c r="A46" s="26" t="s">
        <v>91</v>
      </c>
      <c r="B46" s="27"/>
      <c r="C46" s="28">
        <f>SUM(C43:C45)</f>
        <v>192507.45</v>
      </c>
      <c r="D46" s="28"/>
      <c r="E46" s="29"/>
      <c r="F46" s="29"/>
      <c r="G46" s="28"/>
      <c r="H46" s="30"/>
      <c r="I46" s="30"/>
      <c r="J46" s="86"/>
      <c r="K46" s="87"/>
      <c r="L46" s="27"/>
    </row>
    <row r="47" spans="1:13">
      <c r="A47" s="31" t="s">
        <v>127</v>
      </c>
      <c r="B47" s="31"/>
      <c r="C47" s="32"/>
      <c r="D47" s="32"/>
      <c r="E47" s="33"/>
      <c r="F47" s="33"/>
      <c r="G47" s="32"/>
      <c r="H47" s="34"/>
      <c r="I47" s="34"/>
      <c r="J47" s="31"/>
      <c r="K47" s="31"/>
      <c r="L47" s="33"/>
    </row>
    <row r="48" spans="1:13">
      <c r="A48" s="33">
        <v>1</v>
      </c>
      <c r="B48" s="35" t="s">
        <v>133</v>
      </c>
      <c r="C48" s="36"/>
      <c r="D48" s="36"/>
      <c r="E48" s="37"/>
      <c r="F48" s="37"/>
      <c r="G48" s="36"/>
      <c r="H48" s="38"/>
      <c r="I48" s="38"/>
      <c r="J48" s="31"/>
      <c r="K48" s="88"/>
      <c r="L48" s="33"/>
    </row>
    <row r="49" spans="1:13">
      <c r="A49" s="39">
        <v>2</v>
      </c>
      <c r="B49" s="555" t="s">
        <v>129</v>
      </c>
      <c r="C49" s="555"/>
      <c r="D49" s="41"/>
      <c r="E49" s="39"/>
      <c r="F49" s="42"/>
      <c r="G49" s="41"/>
      <c r="H49" s="43"/>
      <c r="I49" s="89"/>
      <c r="J49" s="45"/>
      <c r="K49" s="45"/>
      <c r="L49" s="39"/>
    </row>
    <row r="50" spans="1:13">
      <c r="A50" s="39"/>
      <c r="B50" s="70" t="s">
        <v>70</v>
      </c>
      <c r="C50" s="44">
        <f>(E43+H43+I43)/(D43-G43)*1.005</f>
        <v>6.2715458185131929</v>
      </c>
      <c r="D50" s="41"/>
      <c r="E50" s="39"/>
      <c r="F50" s="42"/>
      <c r="G50" s="41"/>
      <c r="H50" s="43"/>
      <c r="I50" s="89"/>
      <c r="J50" s="45"/>
      <c r="K50" s="45"/>
      <c r="L50" s="39"/>
    </row>
    <row r="51" spans="1:13">
      <c r="A51" s="39"/>
      <c r="B51" s="70" t="s">
        <v>73</v>
      </c>
      <c r="C51" s="44">
        <f>(E44+H44+I44)/(D44-G44)*1.005</f>
        <v>5.7164020778833482</v>
      </c>
      <c r="D51" s="41"/>
      <c r="E51" s="39"/>
      <c r="F51" s="42"/>
      <c r="G51" s="41"/>
      <c r="H51" s="43"/>
      <c r="I51" s="89"/>
      <c r="J51" s="45"/>
      <c r="K51" s="45"/>
      <c r="L51" s="39"/>
    </row>
    <row r="52" spans="1:13">
      <c r="A52" s="39"/>
      <c r="B52" s="70" t="s">
        <v>75</v>
      </c>
      <c r="C52" s="44">
        <f>(E45+H45+I45)/(D45-G45)*1.005</f>
        <v>5.5187139709577249</v>
      </c>
      <c r="D52" s="41"/>
      <c r="E52" s="39"/>
      <c r="F52" s="42"/>
      <c r="G52" s="41"/>
      <c r="H52" s="43"/>
      <c r="I52" s="89"/>
      <c r="J52" s="45"/>
      <c r="K52" s="45"/>
      <c r="L52" s="39"/>
    </row>
    <row r="53" spans="1:13">
      <c r="A53" s="45"/>
      <c r="B53" s="39"/>
      <c r="C53" s="41"/>
      <c r="D53" s="41"/>
      <c r="E53" s="39"/>
      <c r="F53" s="42"/>
      <c r="G53" s="41"/>
      <c r="H53" s="43"/>
      <c r="I53" s="89"/>
      <c r="J53" s="45"/>
      <c r="K53" s="90"/>
      <c r="L53" s="39"/>
    </row>
    <row r="54" spans="1:13">
      <c r="A54" s="39">
        <v>3</v>
      </c>
      <c r="B54" s="46" t="s">
        <v>130</v>
      </c>
      <c r="C54" s="47"/>
      <c r="D54" s="48" t="s">
        <v>131</v>
      </c>
      <c r="E54" s="47" t="s">
        <v>119</v>
      </c>
      <c r="F54" s="47" t="s">
        <v>132</v>
      </c>
      <c r="G54" s="41"/>
      <c r="H54" s="43"/>
      <c r="I54" s="89"/>
      <c r="J54" s="45"/>
      <c r="K54" s="90"/>
      <c r="L54" s="39"/>
    </row>
    <row r="55" spans="1:13">
      <c r="A55" s="39"/>
      <c r="B55" s="70" t="s">
        <v>70</v>
      </c>
      <c r="C55" s="73">
        <f>(D43-G43)*(6.88-F55-C50)*L43*M43</f>
        <v>-75.278895999998554</v>
      </c>
      <c r="D55" s="54">
        <v>0.55000000000000004</v>
      </c>
      <c r="E55" s="54">
        <f>0.75</f>
        <v>0.75</v>
      </c>
      <c r="F55" s="54">
        <f>(E55+D55)/2</f>
        <v>0.65</v>
      </c>
      <c r="G55" s="41"/>
      <c r="H55" s="43"/>
      <c r="I55" s="89"/>
      <c r="J55" s="45"/>
      <c r="K55" s="90"/>
      <c r="L55" s="39"/>
    </row>
    <row r="56" spans="1:13">
      <c r="A56" s="39"/>
      <c r="B56" s="70" t="s">
        <v>73</v>
      </c>
      <c r="C56" s="49">
        <f>(D44-G44)*(6.8-C51-E56)*L44*M44</f>
        <v>143.33321249999995</v>
      </c>
      <c r="D56" s="562"/>
      <c r="E56" s="54">
        <v>0.45500000000000002</v>
      </c>
      <c r="F56" s="562"/>
      <c r="G56" s="41"/>
      <c r="H56" s="43"/>
      <c r="I56" s="89"/>
      <c r="J56" s="45"/>
      <c r="K56" s="90"/>
      <c r="L56" s="39"/>
    </row>
    <row r="57" spans="1:13">
      <c r="A57" s="39"/>
      <c r="B57" s="70" t="s">
        <v>75</v>
      </c>
      <c r="C57" s="49">
        <f>(D45-G45)*(6.8-C52-E57)*L45*M45</f>
        <v>15711.576824999996</v>
      </c>
      <c r="D57" s="563"/>
      <c r="E57" s="54">
        <v>0.45500000000000002</v>
      </c>
      <c r="F57" s="563"/>
      <c r="G57" s="41"/>
      <c r="H57" s="43"/>
      <c r="I57" s="89"/>
      <c r="J57" s="45"/>
      <c r="K57" s="90"/>
      <c r="L57" s="39"/>
    </row>
    <row r="58" spans="1:13">
      <c r="A58" s="39"/>
      <c r="B58" s="47" t="s">
        <v>84</v>
      </c>
      <c r="C58" s="49">
        <f>C56+C57</f>
        <v>15854.910037499996</v>
      </c>
      <c r="D58" s="56"/>
      <c r="E58" s="56"/>
      <c r="F58" s="56"/>
      <c r="G58" s="41"/>
      <c r="H58" s="43"/>
      <c r="I58" s="89"/>
      <c r="J58" s="45"/>
      <c r="K58" s="90"/>
      <c r="L58" s="39"/>
    </row>
    <row r="59" spans="1:13">
      <c r="A59" s="39"/>
      <c r="B59" s="57" t="s">
        <v>100</v>
      </c>
      <c r="C59" s="49">
        <f>C58*70%</f>
        <v>11098.437026249996</v>
      </c>
      <c r="D59" s="74"/>
      <c r="E59" s="74"/>
      <c r="F59" s="74"/>
      <c r="G59" s="41"/>
      <c r="H59" s="43"/>
      <c r="I59" s="89"/>
      <c r="J59" s="45"/>
      <c r="K59" s="90"/>
      <c r="L59" s="39"/>
    </row>
    <row r="60" spans="1:13">
      <c r="A60" s="33"/>
      <c r="B60" s="58" t="s">
        <v>121</v>
      </c>
      <c r="C60" s="75">
        <f>C59*0.875</f>
        <v>9711.1323979687459</v>
      </c>
      <c r="D60" s="41"/>
      <c r="E60" s="39"/>
      <c r="F60" s="42"/>
      <c r="G60" s="41"/>
      <c r="H60" s="43"/>
      <c r="I60" s="34"/>
      <c r="J60" s="31"/>
      <c r="K60" s="31"/>
      <c r="L60" s="33"/>
    </row>
    <row r="61" spans="1:13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4"/>
    </row>
    <row r="62" spans="1:13">
      <c r="A62" s="8" t="s">
        <v>41</v>
      </c>
      <c r="B62" s="8"/>
      <c r="C62" s="9"/>
      <c r="D62" s="9"/>
      <c r="E62" s="10"/>
      <c r="F62" s="10"/>
      <c r="G62" s="9"/>
      <c r="H62" s="11"/>
      <c r="I62" s="11"/>
      <c r="J62" s="8"/>
      <c r="K62" s="8"/>
      <c r="L62" s="8"/>
    </row>
    <row r="63" spans="1:13" ht="25.5">
      <c r="A63" s="12" t="s">
        <v>1</v>
      </c>
      <c r="B63" s="12" t="s">
        <v>2</v>
      </c>
      <c r="C63" s="13" t="s">
        <v>3</v>
      </c>
      <c r="D63" s="14" t="s">
        <v>4</v>
      </c>
      <c r="E63" s="12" t="s">
        <v>5</v>
      </c>
      <c r="F63" s="12" t="s">
        <v>6</v>
      </c>
      <c r="G63" s="13" t="s">
        <v>7</v>
      </c>
      <c r="H63" s="15" t="s">
        <v>8</v>
      </c>
      <c r="I63" s="15" t="s">
        <v>9</v>
      </c>
      <c r="J63" s="12" t="s">
        <v>10</v>
      </c>
      <c r="K63" s="12" t="s">
        <v>11</v>
      </c>
      <c r="L63" s="12" t="s">
        <v>12</v>
      </c>
      <c r="M63" s="12" t="s">
        <v>13</v>
      </c>
    </row>
    <row r="64" spans="1:13">
      <c r="A64" s="16" t="s">
        <v>66</v>
      </c>
      <c r="B64" s="70" t="s">
        <v>77</v>
      </c>
      <c r="C64" s="18">
        <v>23464.32</v>
      </c>
      <c r="D64" s="18">
        <v>23363.34</v>
      </c>
      <c r="E64" s="19">
        <v>134677</v>
      </c>
      <c r="F64" s="71" t="s">
        <v>16</v>
      </c>
      <c r="G64" s="18"/>
      <c r="H64" s="72">
        <f>2600+2800</f>
        <v>5400</v>
      </c>
      <c r="I64" s="91"/>
      <c r="J64" s="94" t="s">
        <v>78</v>
      </c>
      <c r="K64" s="70" t="s">
        <v>41</v>
      </c>
      <c r="L64" s="78">
        <v>0.1</v>
      </c>
      <c r="M64" s="79">
        <v>0.25</v>
      </c>
    </row>
    <row r="65" spans="1:13">
      <c r="A65" s="16" t="s">
        <v>134</v>
      </c>
      <c r="B65" s="70" t="s">
        <v>80</v>
      </c>
      <c r="C65" s="18">
        <f>4490/6.26</f>
        <v>717.25239616613419</v>
      </c>
      <c r="D65" s="18">
        <f>4490/6.26</f>
        <v>717.25239616613419</v>
      </c>
      <c r="E65" s="19">
        <v>3740</v>
      </c>
      <c r="F65" s="71" t="s">
        <v>16</v>
      </c>
      <c r="G65" s="18"/>
      <c r="H65" s="72"/>
      <c r="I65" s="72"/>
      <c r="J65" s="94" t="s">
        <v>81</v>
      </c>
      <c r="K65" s="70" t="s">
        <v>41</v>
      </c>
      <c r="L65" s="78">
        <v>0.7</v>
      </c>
      <c r="M65" s="79">
        <v>0.25</v>
      </c>
    </row>
    <row r="66" spans="1:13">
      <c r="A66" s="16" t="s">
        <v>134</v>
      </c>
      <c r="B66" s="70" t="s">
        <v>82</v>
      </c>
      <c r="C66" s="18">
        <v>7504</v>
      </c>
      <c r="D66" s="18">
        <v>7480</v>
      </c>
      <c r="E66" s="19">
        <v>33630</v>
      </c>
      <c r="F66" s="71" t="s">
        <v>16</v>
      </c>
      <c r="G66" s="18">
        <v>300</v>
      </c>
      <c r="H66" s="72">
        <v>4760</v>
      </c>
      <c r="I66" s="72"/>
      <c r="J66" s="94" t="s">
        <v>83</v>
      </c>
      <c r="K66" s="70" t="s">
        <v>41</v>
      </c>
      <c r="L66" s="78">
        <v>0.1</v>
      </c>
      <c r="M66" s="79">
        <v>0.25</v>
      </c>
    </row>
    <row r="67" spans="1:13">
      <c r="A67" s="26"/>
      <c r="B67" s="27"/>
      <c r="C67" s="28">
        <f>SUM(C64:C66)</f>
        <v>31685.572396166135</v>
      </c>
      <c r="D67" s="28"/>
      <c r="E67" s="29"/>
      <c r="F67" s="29"/>
      <c r="G67" s="28"/>
      <c r="H67" s="30"/>
      <c r="I67" s="30"/>
      <c r="J67" s="86"/>
      <c r="K67" s="87"/>
      <c r="L67" s="115"/>
    </row>
    <row r="68" spans="1:13">
      <c r="A68" s="8" t="s">
        <v>127</v>
      </c>
      <c r="B68" s="8"/>
      <c r="C68" s="9"/>
      <c r="D68" s="9"/>
      <c r="E68" s="10"/>
      <c r="F68" s="10"/>
      <c r="G68" s="9"/>
      <c r="H68" s="11"/>
      <c r="I68" s="11"/>
      <c r="J68" s="8"/>
      <c r="K68" s="8"/>
      <c r="L68" s="8"/>
    </row>
    <row r="69" spans="1:13">
      <c r="A69" s="10">
        <v>1</v>
      </c>
      <c r="B69" s="35" t="s">
        <v>135</v>
      </c>
      <c r="C69" s="9"/>
      <c r="D69" s="9"/>
      <c r="E69" s="10"/>
      <c r="F69" s="10"/>
      <c r="G69" s="9"/>
      <c r="H69" s="11"/>
      <c r="I69" s="11"/>
      <c r="J69" s="8"/>
      <c r="K69" s="8"/>
      <c r="L69" s="8"/>
    </row>
    <row r="70" spans="1:13">
      <c r="A70" s="10">
        <v>2</v>
      </c>
      <c r="B70" s="8" t="s">
        <v>136</v>
      </c>
      <c r="C70" s="9"/>
      <c r="D70" s="9"/>
      <c r="E70" s="10"/>
      <c r="F70" s="10"/>
      <c r="G70" s="9"/>
      <c r="H70" s="11"/>
      <c r="I70" s="11"/>
      <c r="J70" s="8"/>
      <c r="K70" s="8"/>
      <c r="L70" s="8"/>
    </row>
    <row r="71" spans="1:13">
      <c r="A71" s="10"/>
      <c r="B71" s="70" t="s">
        <v>77</v>
      </c>
      <c r="C71" s="95">
        <f>(E64+H64+I64)/(D64-G64)*1.005</f>
        <v>6.0255676200406265</v>
      </c>
      <c r="D71" s="9"/>
      <c r="E71" s="10"/>
      <c r="F71" s="10"/>
      <c r="G71" s="9"/>
      <c r="H71" s="11"/>
      <c r="I71" s="11"/>
      <c r="J71" s="8"/>
      <c r="K71" s="8"/>
      <c r="L71" s="8"/>
    </row>
    <row r="72" spans="1:13">
      <c r="A72" s="10"/>
      <c r="B72" s="70" t="s">
        <v>80</v>
      </c>
      <c r="C72" s="95">
        <f>(E65+H65+I65)/(D65-G65)*1.005</f>
        <v>5.2404146993318479</v>
      </c>
      <c r="D72" s="9"/>
      <c r="E72" s="10"/>
      <c r="F72" s="10"/>
      <c r="G72" s="9"/>
      <c r="H72" s="11"/>
      <c r="I72" s="11"/>
      <c r="J72" s="8"/>
      <c r="K72" s="8"/>
      <c r="L72" s="8"/>
    </row>
    <row r="73" spans="1:13">
      <c r="A73" s="10"/>
      <c r="B73" s="70" t="s">
        <v>82</v>
      </c>
      <c r="C73" s="95">
        <f>(E66+H66+I66)/(D66-G66)*1.005</f>
        <v>5.3735306406685224</v>
      </c>
      <c r="D73" s="9"/>
      <c r="E73" s="10"/>
      <c r="F73" s="10"/>
      <c r="G73" s="9"/>
      <c r="H73" s="11"/>
      <c r="I73" s="11"/>
      <c r="J73" s="8"/>
      <c r="K73" s="8"/>
      <c r="L73" s="8"/>
    </row>
    <row r="74" spans="1:13">
      <c r="A74" s="10">
        <v>3</v>
      </c>
      <c r="B74" s="96" t="s">
        <v>137</v>
      </c>
      <c r="C74" s="97"/>
      <c r="D74" s="572"/>
      <c r="E74" s="98" t="s">
        <v>119</v>
      </c>
      <c r="F74" s="577"/>
      <c r="G74" s="9"/>
      <c r="H74" s="11"/>
      <c r="I74" s="11"/>
      <c r="J74" s="8"/>
      <c r="K74" s="8"/>
      <c r="L74" s="8"/>
    </row>
    <row r="75" spans="1:13">
      <c r="A75" s="10"/>
      <c r="B75" s="70" t="s">
        <v>77</v>
      </c>
      <c r="C75" s="99">
        <f>(D64-G64)*(6.8-C71-E75)*L64*M64</f>
        <v>186.57518250000064</v>
      </c>
      <c r="D75" s="573"/>
      <c r="E75" s="98">
        <v>0.45500000000000002</v>
      </c>
      <c r="F75" s="578"/>
      <c r="G75" s="9"/>
      <c r="H75" s="11"/>
      <c r="I75" s="11"/>
      <c r="J75" s="8"/>
      <c r="K75" s="8"/>
      <c r="L75" s="8"/>
    </row>
    <row r="76" spans="1:13">
      <c r="A76" s="10"/>
      <c r="B76" s="70" t="s">
        <v>80</v>
      </c>
      <c r="C76" s="99">
        <f>(D65-G65)*(6.6-C72-E76)*L65*M65</f>
        <v>82.790599041533596</v>
      </c>
      <c r="D76" s="573"/>
      <c r="E76" s="100">
        <v>0.7</v>
      </c>
      <c r="F76" s="578"/>
      <c r="G76" s="9"/>
      <c r="H76" s="11"/>
      <c r="I76" s="11"/>
      <c r="J76" s="8"/>
      <c r="K76" s="8"/>
      <c r="L76" s="8"/>
    </row>
    <row r="77" spans="1:13">
      <c r="A77" s="8"/>
      <c r="B77" s="70" t="s">
        <v>82</v>
      </c>
      <c r="C77" s="99">
        <f>(D66-G66)*(6.6-C73-E77)*L66*M66</f>
        <v>94.501250000000184</v>
      </c>
      <c r="D77" s="574"/>
      <c r="E77" s="100">
        <v>0.7</v>
      </c>
      <c r="F77" s="579"/>
      <c r="G77" s="9"/>
      <c r="H77" s="11"/>
      <c r="I77" s="11"/>
      <c r="J77" s="8"/>
      <c r="K77" s="8"/>
      <c r="L77" s="8"/>
    </row>
    <row r="78" spans="1:13">
      <c r="A78" s="8"/>
      <c r="B78" s="47" t="s">
        <v>84</v>
      </c>
      <c r="C78" s="99">
        <f>C75+C76+C77</f>
        <v>363.86703154153446</v>
      </c>
      <c r="D78" s="101"/>
      <c r="E78" s="102"/>
      <c r="F78" s="10"/>
      <c r="G78" s="9"/>
      <c r="H78" s="11"/>
      <c r="I78" s="11"/>
      <c r="J78" s="8"/>
      <c r="K78" s="8"/>
      <c r="L78" s="8"/>
    </row>
    <row r="79" spans="1:13">
      <c r="A79" s="63"/>
      <c r="B79" s="57" t="s">
        <v>100</v>
      </c>
      <c r="C79" s="49">
        <f>C78*70%</f>
        <v>254.7069220790741</v>
      </c>
      <c r="D79" s="63"/>
      <c r="E79" s="63"/>
      <c r="F79" s="63"/>
      <c r="G79" s="63"/>
      <c r="H79" s="63"/>
      <c r="I79" s="63"/>
      <c r="J79" s="63"/>
      <c r="K79" s="63"/>
      <c r="L79" s="64"/>
    </row>
    <row r="83" spans="1:13">
      <c r="A83" s="103" t="s">
        <v>138</v>
      </c>
      <c r="B83" s="104">
        <f>C37+C60+C79</f>
        <v>53550.929064944685</v>
      </c>
    </row>
    <row r="86" spans="1:13">
      <c r="A86" s="105" t="s">
        <v>148</v>
      </c>
      <c r="C86" s="106"/>
      <c r="D86" s="106"/>
      <c r="E86" s="106"/>
      <c r="F86" s="106"/>
      <c r="G86" s="106"/>
      <c r="H86" s="106"/>
      <c r="I86" s="106"/>
    </row>
    <row r="87" spans="1:13" ht="25.5">
      <c r="A87" s="12" t="s">
        <v>1</v>
      </c>
      <c r="B87" s="12" t="s">
        <v>2</v>
      </c>
      <c r="C87" s="13" t="s">
        <v>3</v>
      </c>
      <c r="D87" s="14" t="s">
        <v>4</v>
      </c>
      <c r="E87" s="12" t="s">
        <v>5</v>
      </c>
      <c r="F87" s="12" t="s">
        <v>6</v>
      </c>
      <c r="G87" s="107" t="s">
        <v>7</v>
      </c>
      <c r="H87" s="108" t="s">
        <v>8</v>
      </c>
      <c r="I87" s="108" t="s">
        <v>9</v>
      </c>
      <c r="J87" s="12" t="s">
        <v>10</v>
      </c>
      <c r="K87" s="12" t="s">
        <v>11</v>
      </c>
      <c r="L87" s="12" t="s">
        <v>12</v>
      </c>
      <c r="M87" s="12" t="s">
        <v>139</v>
      </c>
    </row>
    <row r="88" spans="1:13">
      <c r="A88" s="16" t="s">
        <v>55</v>
      </c>
      <c r="B88" s="17" t="s">
        <v>56</v>
      </c>
      <c r="C88" s="18">
        <f>74268.7+71533.8</f>
        <v>145802.5</v>
      </c>
      <c r="D88" s="18">
        <v>145790.57</v>
      </c>
      <c r="E88" s="19">
        <v>674270.9</v>
      </c>
      <c r="F88" s="19" t="s">
        <v>16</v>
      </c>
      <c r="G88" s="20">
        <f>5824+5814</f>
        <v>11638</v>
      </c>
      <c r="H88" s="21">
        <f>10480+9880</f>
        <v>20360</v>
      </c>
      <c r="I88" s="72"/>
      <c r="J88" s="77" t="s">
        <v>57</v>
      </c>
      <c r="K88" s="78" t="s">
        <v>18</v>
      </c>
      <c r="L88" s="79">
        <v>0.2</v>
      </c>
      <c r="M88" s="79">
        <v>0.2</v>
      </c>
    </row>
    <row r="89" spans="1:13">
      <c r="A89" s="16" t="s">
        <v>34</v>
      </c>
      <c r="B89" s="17" t="s">
        <v>58</v>
      </c>
      <c r="C89" s="18">
        <v>32822.379999999997</v>
      </c>
      <c r="D89" s="18">
        <v>32822.379999999997</v>
      </c>
      <c r="E89" s="19">
        <v>196414</v>
      </c>
      <c r="F89" s="19" t="s">
        <v>16</v>
      </c>
      <c r="G89" s="20">
        <v>1980</v>
      </c>
      <c r="H89" s="21">
        <v>5575</v>
      </c>
      <c r="I89" s="72"/>
      <c r="J89" s="77" t="s">
        <v>59</v>
      </c>
      <c r="K89" s="78" t="s">
        <v>18</v>
      </c>
      <c r="L89" s="79">
        <v>0.1</v>
      </c>
      <c r="M89" s="79">
        <v>0.3</v>
      </c>
    </row>
    <row r="90" spans="1:13">
      <c r="A90" s="16" t="s">
        <v>34</v>
      </c>
      <c r="B90" s="17" t="s">
        <v>60</v>
      </c>
      <c r="C90" s="18">
        <v>27565</v>
      </c>
      <c r="D90" s="18">
        <v>27565</v>
      </c>
      <c r="E90" s="19">
        <v>151026</v>
      </c>
      <c r="F90" s="19" t="s">
        <v>16</v>
      </c>
      <c r="G90" s="20">
        <v>1980</v>
      </c>
      <c r="H90" s="21">
        <v>5020</v>
      </c>
      <c r="I90" s="72"/>
      <c r="J90" s="77" t="s">
        <v>59</v>
      </c>
      <c r="K90" s="78" t="s">
        <v>18</v>
      </c>
      <c r="L90" s="79">
        <v>0.1</v>
      </c>
      <c r="M90" s="79">
        <v>0.3</v>
      </c>
    </row>
    <row r="91" spans="1:13">
      <c r="A91" s="16" t="s">
        <v>19</v>
      </c>
      <c r="B91" s="17" t="s">
        <v>61</v>
      </c>
      <c r="C91" s="18">
        <v>305000</v>
      </c>
      <c r="D91" s="18">
        <f>304070.22-77619</f>
        <v>226451.21999999997</v>
      </c>
      <c r="E91" s="19">
        <v>1124584</v>
      </c>
      <c r="F91" s="19" t="s">
        <v>16</v>
      </c>
      <c r="G91" s="20">
        <v>4485</v>
      </c>
      <c r="H91" s="21">
        <v>48016</v>
      </c>
      <c r="I91" s="72"/>
      <c r="J91" s="77" t="s">
        <v>62</v>
      </c>
      <c r="K91" s="78" t="s">
        <v>18</v>
      </c>
      <c r="L91" s="79">
        <v>0.7</v>
      </c>
      <c r="M91" s="79">
        <v>0.35</v>
      </c>
    </row>
    <row r="92" spans="1:13">
      <c r="A92" s="16" t="s">
        <v>34</v>
      </c>
      <c r="B92" s="17" t="s">
        <v>63</v>
      </c>
      <c r="C92" s="18">
        <f>158795.2+151917.3</f>
        <v>310712.5</v>
      </c>
      <c r="D92" s="18">
        <v>310652.5</v>
      </c>
      <c r="E92" s="19">
        <v>1453300</v>
      </c>
      <c r="F92" s="19" t="s">
        <v>16</v>
      </c>
      <c r="G92" s="20">
        <f>23236+23669</f>
        <v>46905</v>
      </c>
      <c r="H92" s="21">
        <f>22180+21930</f>
        <v>44110</v>
      </c>
      <c r="I92" s="72"/>
      <c r="J92" s="77" t="s">
        <v>64</v>
      </c>
      <c r="K92" s="78" t="s">
        <v>18</v>
      </c>
      <c r="L92" s="84">
        <v>0.2</v>
      </c>
      <c r="M92" s="79">
        <v>0.3</v>
      </c>
    </row>
    <row r="93" spans="1:13">
      <c r="A93" s="16" t="s">
        <v>19</v>
      </c>
      <c r="B93" s="17" t="s">
        <v>65</v>
      </c>
      <c r="C93" s="18">
        <v>67094.990000000005</v>
      </c>
      <c r="D93" s="18">
        <f>33236.57+33858.43</f>
        <v>67095</v>
      </c>
      <c r="E93" s="19">
        <f>162950+162850</f>
        <v>325800</v>
      </c>
      <c r="F93" s="19" t="s">
        <v>16</v>
      </c>
      <c r="G93" s="20">
        <v>5530</v>
      </c>
      <c r="H93" s="21">
        <v>9290</v>
      </c>
      <c r="I93" s="72"/>
      <c r="J93" s="77" t="s">
        <v>59</v>
      </c>
      <c r="K93" s="78" t="s">
        <v>18</v>
      </c>
      <c r="L93" s="79">
        <v>0.1</v>
      </c>
      <c r="M93" s="79">
        <v>0.35</v>
      </c>
    </row>
    <row r="94" spans="1:13">
      <c r="A94" s="16" t="s">
        <v>66</v>
      </c>
      <c r="B94" s="17" t="s">
        <v>67</v>
      </c>
      <c r="C94" s="18">
        <v>29192.75</v>
      </c>
      <c r="D94" s="18">
        <v>29192.75</v>
      </c>
      <c r="E94" s="19">
        <f>165949-15950</f>
        <v>149999</v>
      </c>
      <c r="F94" s="19" t="s">
        <v>16</v>
      </c>
      <c r="G94" s="20">
        <v>2980</v>
      </c>
      <c r="H94" s="21">
        <v>10270</v>
      </c>
      <c r="I94" s="72"/>
      <c r="J94" s="77" t="s">
        <v>59</v>
      </c>
      <c r="K94" s="78" t="s">
        <v>18</v>
      </c>
      <c r="L94" s="79">
        <v>0.1</v>
      </c>
      <c r="M94" s="79">
        <v>0.25</v>
      </c>
    </row>
    <row r="95" spans="1:13">
      <c r="A95" s="16" t="s">
        <v>66</v>
      </c>
      <c r="B95" s="17" t="s">
        <v>68</v>
      </c>
      <c r="C95" s="18">
        <v>86591.55</v>
      </c>
      <c r="D95" s="18">
        <v>86591.55</v>
      </c>
      <c r="E95" s="19">
        <v>433667</v>
      </c>
      <c r="F95" s="19" t="s">
        <v>16</v>
      </c>
      <c r="G95" s="20">
        <v>8952</v>
      </c>
      <c r="H95" s="21">
        <v>14150</v>
      </c>
      <c r="I95" s="72"/>
      <c r="J95" s="77" t="s">
        <v>21</v>
      </c>
      <c r="K95" s="78" t="s">
        <v>18</v>
      </c>
      <c r="L95" s="79">
        <v>0.4</v>
      </c>
      <c r="M95" s="79">
        <v>0.25</v>
      </c>
    </row>
    <row r="96" spans="1:13">
      <c r="A96" s="16" t="s">
        <v>69</v>
      </c>
      <c r="B96" s="70" t="s">
        <v>70</v>
      </c>
      <c r="C96" s="18">
        <v>103836.45</v>
      </c>
      <c r="D96" s="18">
        <v>103836.44</v>
      </c>
      <c r="E96" s="19">
        <v>547949.19999999995</v>
      </c>
      <c r="F96" s="71" t="s">
        <v>16</v>
      </c>
      <c r="G96" s="18">
        <v>13239</v>
      </c>
      <c r="H96" s="72">
        <v>17410</v>
      </c>
      <c r="I96" s="91"/>
      <c r="J96" s="92" t="s">
        <v>71</v>
      </c>
      <c r="K96" s="70" t="s">
        <v>29</v>
      </c>
      <c r="L96" s="78">
        <v>0.1</v>
      </c>
      <c r="M96" s="79">
        <v>0.25</v>
      </c>
    </row>
    <row r="97" spans="1:13">
      <c r="A97" s="16" t="s">
        <v>72</v>
      </c>
      <c r="B97" s="70" t="s">
        <v>73</v>
      </c>
      <c r="C97" s="18">
        <v>11051</v>
      </c>
      <c r="D97" s="18">
        <v>11000.5</v>
      </c>
      <c r="E97" s="19">
        <v>50900</v>
      </c>
      <c r="F97" s="71" t="s">
        <v>16</v>
      </c>
      <c r="G97" s="18">
        <v>1879.68</v>
      </c>
      <c r="H97" s="72">
        <v>978.88</v>
      </c>
      <c r="I97" s="91"/>
      <c r="J97" s="92" t="s">
        <v>74</v>
      </c>
      <c r="K97" s="70" t="s">
        <v>29</v>
      </c>
      <c r="L97" s="78">
        <v>0.1</v>
      </c>
      <c r="M97" s="79">
        <v>0.25</v>
      </c>
    </row>
    <row r="98" spans="1:13">
      <c r="A98" s="16" t="s">
        <v>72</v>
      </c>
      <c r="B98" s="70" t="s">
        <v>75</v>
      </c>
      <c r="C98" s="18">
        <v>77620</v>
      </c>
      <c r="D98" s="18">
        <v>77611</v>
      </c>
      <c r="E98" s="19">
        <v>414862</v>
      </c>
      <c r="F98" s="71" t="s">
        <v>16</v>
      </c>
      <c r="G98" s="18"/>
      <c r="H98" s="72">
        <f>6400+4920</f>
        <v>11320</v>
      </c>
      <c r="I98" s="72"/>
      <c r="J98" s="92" t="s">
        <v>76</v>
      </c>
      <c r="K98" s="70" t="s">
        <v>29</v>
      </c>
      <c r="L98" s="78">
        <v>0.7</v>
      </c>
      <c r="M98" s="79">
        <v>0.35</v>
      </c>
    </row>
    <row r="99" spans="1:13">
      <c r="A99" s="16" t="s">
        <v>50</v>
      </c>
      <c r="B99" s="70" t="s">
        <v>77</v>
      </c>
      <c r="C99" s="18">
        <v>23464.32</v>
      </c>
      <c r="D99" s="18">
        <v>23363.34</v>
      </c>
      <c r="E99" s="19">
        <v>134677</v>
      </c>
      <c r="F99" s="71" t="s">
        <v>16</v>
      </c>
      <c r="G99" s="18"/>
      <c r="H99" s="72">
        <f>2600+2800</f>
        <v>5400</v>
      </c>
      <c r="I99" s="91"/>
      <c r="J99" s="94" t="s">
        <v>78</v>
      </c>
      <c r="K99" s="70" t="s">
        <v>41</v>
      </c>
      <c r="L99" s="78">
        <v>0.1</v>
      </c>
      <c r="M99" s="79">
        <v>0.25</v>
      </c>
    </row>
    <row r="100" spans="1:13">
      <c r="A100" s="16" t="s">
        <v>79</v>
      </c>
      <c r="B100" s="70" t="s">
        <v>80</v>
      </c>
      <c r="C100" s="18">
        <f>4490/6.26</f>
        <v>717.25239616613419</v>
      </c>
      <c r="D100" s="18">
        <f>4490/6.26</f>
        <v>717.25239616613419</v>
      </c>
      <c r="E100" s="19">
        <v>3740</v>
      </c>
      <c r="F100" s="71" t="s">
        <v>16</v>
      </c>
      <c r="G100" s="18"/>
      <c r="H100" s="72"/>
      <c r="I100" s="72"/>
      <c r="J100" s="94" t="s">
        <v>81</v>
      </c>
      <c r="K100" s="70" t="s">
        <v>41</v>
      </c>
      <c r="L100" s="78">
        <v>0.7</v>
      </c>
      <c r="M100" s="79">
        <v>0.25</v>
      </c>
    </row>
    <row r="101" spans="1:13">
      <c r="A101" s="16" t="s">
        <v>79</v>
      </c>
      <c r="B101" s="70" t="s">
        <v>82</v>
      </c>
      <c r="C101" s="18">
        <v>7504</v>
      </c>
      <c r="D101" s="18">
        <v>7480</v>
      </c>
      <c r="E101" s="19">
        <v>33630</v>
      </c>
      <c r="F101" s="71" t="s">
        <v>16</v>
      </c>
      <c r="G101" s="18">
        <v>300</v>
      </c>
      <c r="H101" s="72">
        <v>4760</v>
      </c>
      <c r="I101" s="72"/>
      <c r="J101" s="94" t="s">
        <v>83</v>
      </c>
      <c r="K101" s="70" t="s">
        <v>41</v>
      </c>
      <c r="L101" s="78">
        <v>0.1</v>
      </c>
      <c r="M101" s="79">
        <v>0.25</v>
      </c>
    </row>
    <row r="102" spans="1:13">
      <c r="A102" s="568" t="s">
        <v>84</v>
      </c>
      <c r="B102" s="568"/>
      <c r="C102" s="109">
        <f t="shared" ref="C102:I102" si="3">SUM(C88:C101)</f>
        <v>1228974.6923961663</v>
      </c>
      <c r="D102" s="109">
        <f t="shared" si="3"/>
        <v>1150169.5023961661</v>
      </c>
      <c r="E102" s="110">
        <f t="shared" si="3"/>
        <v>5694819.1000000006</v>
      </c>
      <c r="F102" s="109"/>
      <c r="G102" s="109">
        <f t="shared" si="3"/>
        <v>99868.68</v>
      </c>
      <c r="H102" s="110">
        <f t="shared" si="3"/>
        <v>196659.88</v>
      </c>
      <c r="I102" s="110">
        <f t="shared" si="3"/>
        <v>0</v>
      </c>
      <c r="J102" s="116"/>
      <c r="K102" s="116"/>
      <c r="L102" s="117"/>
      <c r="M102" s="117"/>
    </row>
    <row r="104" spans="1:13">
      <c r="A104" s="111" t="s">
        <v>85</v>
      </c>
      <c r="B104" s="112">
        <f>D102</f>
        <v>1150169.5023961661</v>
      </c>
    </row>
    <row r="105" spans="1:13">
      <c r="A105" s="111" t="s">
        <v>86</v>
      </c>
      <c r="B105" s="112">
        <f>G102</f>
        <v>99868.68</v>
      </c>
    </row>
    <row r="106" spans="1:13">
      <c r="A106" s="111" t="s">
        <v>87</v>
      </c>
      <c r="B106" s="112">
        <f>B104-B105</f>
        <v>1050300.8223961662</v>
      </c>
    </row>
    <row r="107" spans="1:13">
      <c r="A107" s="111" t="s">
        <v>88</v>
      </c>
      <c r="B107" s="113">
        <f>E102+H102+I102</f>
        <v>5891478.9800000004</v>
      </c>
    </row>
    <row r="108" spans="1:13">
      <c r="A108" s="111" t="s">
        <v>89</v>
      </c>
      <c r="B108" s="114">
        <f>B107/B106*1.005</f>
        <v>5.6373719306359487</v>
      </c>
    </row>
  </sheetData>
  <sheetProtection algorithmName="SHA-512" hashValue="k9bSImjySsDgFjiZs2me4ZDCWP5pU8MjoyVBBb+0BDOl8oqAM/8YNuZaNUHgZ4nafeAUvcku1J+yDWzRtt/4OQ==" saltValue="ltcZX+6gmace6icIksQLLg==" spinCount="100000" sheet="1" objects="1" scenarios="1"/>
  <mergeCells count="10">
    <mergeCell ref="N9:O9"/>
    <mergeCell ref="B16:C16"/>
    <mergeCell ref="B49:C49"/>
    <mergeCell ref="A102:B102"/>
    <mergeCell ref="D33:D34"/>
    <mergeCell ref="D56:D57"/>
    <mergeCell ref="D74:D77"/>
    <mergeCell ref="F33:F34"/>
    <mergeCell ref="F56:F57"/>
    <mergeCell ref="F74:F77"/>
  </mergeCells>
  <phoneticPr fontId="42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5"/>
  <sheetViews>
    <sheetView showGridLines="0" topLeftCell="A4" workbookViewId="0">
      <pane xSplit="3" ySplit="2" topLeftCell="L6" activePane="bottomRight" state="frozen"/>
      <selection activeCell="A4" sqref="A4"/>
      <selection pane="topRight" activeCell="C4" sqref="C4"/>
      <selection pane="bottomLeft" activeCell="A6" sqref="A6"/>
      <selection pane="bottomRight" activeCell="B42" sqref="B42"/>
    </sheetView>
  </sheetViews>
  <sheetFormatPr defaultColWidth="9" defaultRowHeight="15"/>
  <cols>
    <col min="1" max="1" width="8.140625" style="175" hidden="1" customWidth="1"/>
    <col min="2" max="2" width="6.5703125" style="176" customWidth="1"/>
    <col min="3" max="3" width="9.5703125" style="176" customWidth="1"/>
    <col min="4" max="5" width="10.5703125" style="241" customWidth="1"/>
    <col min="6" max="6" width="8.5703125" style="176" customWidth="1"/>
    <col min="7" max="7" width="10.5703125" style="241" customWidth="1"/>
    <col min="8" max="8" width="6.140625" style="207" customWidth="1"/>
    <col min="9" max="9" width="6.42578125" style="176" customWidth="1"/>
    <col min="10" max="10" width="12.140625" style="241" customWidth="1"/>
    <col min="11" max="11" width="7.42578125" style="176" hidden="1" customWidth="1"/>
    <col min="12" max="12" width="11.42578125" style="241" customWidth="1"/>
    <col min="13" max="13" width="10.5703125" style="241" customWidth="1"/>
    <col min="14" max="14" width="10.42578125" style="241" customWidth="1"/>
    <col min="15" max="15" width="7.85546875" style="176" customWidth="1"/>
    <col min="16" max="16" width="7.42578125" style="241" customWidth="1"/>
    <col min="17" max="17" width="8.85546875" style="241" customWidth="1"/>
    <col min="18" max="18" width="6.5703125" style="241" customWidth="1"/>
    <col min="19" max="19" width="11.7109375" style="241" customWidth="1"/>
    <col min="20" max="20" width="10.28515625" style="241" customWidth="1"/>
    <col min="21" max="21" width="9.5703125" style="241" customWidth="1"/>
    <col min="22" max="22" width="7.7109375" style="176" customWidth="1"/>
    <col min="23" max="23" width="14.42578125" style="176" customWidth="1"/>
    <col min="24" max="25" width="5.5703125" style="176" customWidth="1"/>
    <col min="26" max="28" width="9" style="176"/>
    <col min="29" max="16384" width="9" style="175"/>
  </cols>
  <sheetData>
    <row r="1" spans="1:28">
      <c r="B1" s="189"/>
      <c r="C1" s="189"/>
      <c r="D1" s="235"/>
      <c r="E1" s="235"/>
      <c r="F1" s="192"/>
      <c r="G1" s="235"/>
      <c r="H1" s="204"/>
      <c r="I1" s="192"/>
      <c r="J1" s="235"/>
      <c r="K1" s="192"/>
      <c r="L1" s="237"/>
      <c r="M1" s="237"/>
      <c r="N1" s="248"/>
      <c r="O1" s="192"/>
      <c r="P1" s="235"/>
      <c r="Q1" s="235"/>
      <c r="R1" s="235"/>
      <c r="S1" s="235"/>
      <c r="T1" s="235"/>
      <c r="U1" s="235"/>
      <c r="V1" s="189"/>
      <c r="W1" s="189"/>
      <c r="X1" s="192"/>
    </row>
    <row r="2" spans="1:28">
      <c r="B2" s="202" t="s">
        <v>147</v>
      </c>
      <c r="C2" s="199"/>
      <c r="D2" s="236"/>
      <c r="E2" s="236"/>
      <c r="F2" s="201"/>
      <c r="G2" s="236"/>
      <c r="H2" s="205"/>
      <c r="I2" s="201"/>
      <c r="K2" s="198"/>
      <c r="L2" s="236"/>
      <c r="M2" s="236"/>
      <c r="N2" s="249"/>
      <c r="O2" s="200"/>
      <c r="P2" s="249"/>
      <c r="Q2" s="249"/>
      <c r="R2" s="249"/>
      <c r="S2" s="249"/>
      <c r="T2" s="249"/>
      <c r="U2" s="249"/>
      <c r="V2" s="199"/>
      <c r="W2" s="199"/>
      <c r="X2" s="198"/>
    </row>
    <row r="3" spans="1:28">
      <c r="B3" s="189"/>
      <c r="C3" s="189"/>
      <c r="D3" s="237"/>
      <c r="E3" s="237"/>
      <c r="F3" s="191"/>
      <c r="G3" s="237"/>
      <c r="H3" s="204"/>
      <c r="I3" s="191"/>
      <c r="J3" s="235"/>
      <c r="K3" s="192"/>
      <c r="L3" s="237"/>
      <c r="M3" s="237"/>
      <c r="N3" s="248"/>
      <c r="O3" s="190"/>
      <c r="P3" s="248"/>
      <c r="Q3" s="248"/>
      <c r="R3" s="248"/>
      <c r="S3" s="248"/>
      <c r="T3" s="248"/>
      <c r="U3" s="248"/>
      <c r="V3" s="197"/>
      <c r="W3" s="189"/>
      <c r="X3" s="192"/>
    </row>
    <row r="4" spans="1:28" s="222" customFormat="1" ht="18" customHeight="1">
      <c r="B4" s="194"/>
      <c r="C4" s="194"/>
      <c r="D4" s="193"/>
      <c r="E4" s="193"/>
      <c r="F4" s="193"/>
      <c r="G4" s="193" t="s">
        <v>169</v>
      </c>
      <c r="H4" s="257" t="s">
        <v>170</v>
      </c>
      <c r="I4" s="193" t="s">
        <v>171</v>
      </c>
      <c r="J4" s="194" t="s">
        <v>172</v>
      </c>
      <c r="K4" s="194"/>
      <c r="L4" s="193" t="s">
        <v>173</v>
      </c>
      <c r="M4" s="193" t="s">
        <v>174</v>
      </c>
      <c r="N4" s="258" t="s">
        <v>175</v>
      </c>
      <c r="O4" s="258" t="s">
        <v>176</v>
      </c>
      <c r="P4" s="259" t="s">
        <v>187</v>
      </c>
      <c r="Q4" s="259" t="s">
        <v>192</v>
      </c>
      <c r="R4" s="259" t="s">
        <v>177</v>
      </c>
      <c r="S4" s="259" t="s">
        <v>185</v>
      </c>
      <c r="T4" s="259" t="s">
        <v>211</v>
      </c>
      <c r="U4" s="259" t="s">
        <v>215</v>
      </c>
      <c r="V4" s="260"/>
      <c r="W4" s="194"/>
      <c r="X4" s="259" t="s">
        <v>183</v>
      </c>
      <c r="Y4" s="259" t="s">
        <v>184</v>
      </c>
      <c r="Z4" s="188"/>
      <c r="AA4" s="188"/>
      <c r="AB4" s="188"/>
    </row>
    <row r="5" spans="1:28" s="292" customFormat="1" ht="38.25">
      <c r="A5" s="286" t="s">
        <v>200</v>
      </c>
      <c r="B5" s="286" t="s">
        <v>1</v>
      </c>
      <c r="C5" s="287" t="s">
        <v>2</v>
      </c>
      <c r="D5" s="288" t="s">
        <v>3</v>
      </c>
      <c r="E5" s="289" t="s">
        <v>186</v>
      </c>
      <c r="F5" s="290" t="s">
        <v>156</v>
      </c>
      <c r="G5" s="290" t="s">
        <v>157</v>
      </c>
      <c r="H5" s="291" t="s">
        <v>158</v>
      </c>
      <c r="I5" s="290" t="s">
        <v>159</v>
      </c>
      <c r="J5" s="287" t="s">
        <v>5</v>
      </c>
      <c r="K5" s="286" t="s">
        <v>6</v>
      </c>
      <c r="L5" s="286" t="s">
        <v>7</v>
      </c>
      <c r="M5" s="290" t="s">
        <v>206</v>
      </c>
      <c r="N5" s="286" t="s">
        <v>8</v>
      </c>
      <c r="O5" s="286" t="s">
        <v>9</v>
      </c>
      <c r="P5" s="273" t="s">
        <v>129</v>
      </c>
      <c r="Q5" s="273" t="s">
        <v>167</v>
      </c>
      <c r="R5" s="273" t="s">
        <v>168</v>
      </c>
      <c r="S5" s="273" t="s">
        <v>130</v>
      </c>
      <c r="T5" s="273" t="s">
        <v>208</v>
      </c>
      <c r="U5" s="273" t="s">
        <v>210</v>
      </c>
      <c r="V5" s="287" t="s">
        <v>212</v>
      </c>
      <c r="W5" s="286" t="s">
        <v>10</v>
      </c>
      <c r="X5" s="287" t="s">
        <v>12</v>
      </c>
      <c r="Y5" s="286" t="s">
        <v>139</v>
      </c>
    </row>
    <row r="6" spans="1:28" s="176" customFormat="1">
      <c r="B6" s="218"/>
      <c r="C6" s="187" t="s">
        <v>146</v>
      </c>
      <c r="D6" s="238"/>
      <c r="E6" s="238"/>
      <c r="F6" s="203">
        <v>20180106</v>
      </c>
      <c r="G6" s="238">
        <v>32769.75</v>
      </c>
      <c r="H6" s="206">
        <f>G6/G10</f>
        <v>0.24532112083486177</v>
      </c>
      <c r="I6" s="221">
        <v>6.48</v>
      </c>
      <c r="J6" s="245"/>
      <c r="K6" s="184"/>
      <c r="L6" s="243">
        <f>H6*L10</f>
        <v>1746.6863803442159</v>
      </c>
      <c r="M6" s="243">
        <f>G6-L6</f>
        <v>31023.063619655783</v>
      </c>
      <c r="N6" s="245"/>
      <c r="O6" s="183"/>
      <c r="P6" s="250"/>
      <c r="Q6" s="254">
        <f>I6*1.17/(1.17-0.13)-0.3</f>
        <v>6.99</v>
      </c>
      <c r="R6" s="254"/>
      <c r="S6" s="251"/>
      <c r="T6" s="251"/>
      <c r="U6" s="251"/>
      <c r="V6" s="182" t="s">
        <v>18</v>
      </c>
      <c r="W6" s="186" t="s">
        <v>154</v>
      </c>
      <c r="X6" s="181"/>
      <c r="Y6" s="181"/>
      <c r="Z6" s="196"/>
      <c r="AA6" s="195"/>
    </row>
    <row r="7" spans="1:28" s="176" customFormat="1">
      <c r="B7" s="220"/>
      <c r="C7" s="187" t="s">
        <v>146</v>
      </c>
      <c r="D7" s="238"/>
      <c r="E7" s="238"/>
      <c r="F7" s="203">
        <v>20180225</v>
      </c>
      <c r="G7" s="238">
        <v>58487.040000000001</v>
      </c>
      <c r="H7" s="206">
        <f>G7/G10</f>
        <v>0.43784606861857028</v>
      </c>
      <c r="I7" s="221">
        <v>6.32</v>
      </c>
      <c r="J7" s="245"/>
      <c r="K7" s="184"/>
      <c r="L7" s="243">
        <f>H7*L10</f>
        <v>3117.4640085642204</v>
      </c>
      <c r="M7" s="243">
        <f t="shared" ref="M7:M20" si="0">G7-L7</f>
        <v>55369.575991435777</v>
      </c>
      <c r="N7" s="245"/>
      <c r="O7" s="183"/>
      <c r="P7" s="250"/>
      <c r="Q7" s="254">
        <f>I7*1.17/(1.17-0.13)-0.3</f>
        <v>6.81</v>
      </c>
      <c r="R7" s="254"/>
      <c r="S7" s="251"/>
      <c r="T7" s="251"/>
      <c r="U7" s="251"/>
      <c r="V7" s="182" t="s">
        <v>18</v>
      </c>
      <c r="W7" s="186" t="s">
        <v>154</v>
      </c>
      <c r="X7" s="181"/>
      <c r="Y7" s="181"/>
      <c r="Z7" s="196"/>
      <c r="AA7" s="195"/>
    </row>
    <row r="8" spans="1:28" s="176" customFormat="1">
      <c r="B8" s="220"/>
      <c r="C8" s="187" t="s">
        <v>146</v>
      </c>
      <c r="D8" s="238"/>
      <c r="E8" s="238"/>
      <c r="F8" s="203">
        <v>20180323</v>
      </c>
      <c r="G8" s="238">
        <v>22785.78</v>
      </c>
      <c r="H8" s="206">
        <f>G8/G10</f>
        <v>0.17057905808547749</v>
      </c>
      <c r="I8" s="221">
        <v>6.32</v>
      </c>
      <c r="J8" s="245"/>
      <c r="K8" s="184"/>
      <c r="L8" s="243">
        <f>H8*L10</f>
        <v>1214.5228935685998</v>
      </c>
      <c r="M8" s="243">
        <f t="shared" si="0"/>
        <v>21571.2571064314</v>
      </c>
      <c r="N8" s="245"/>
      <c r="O8" s="183"/>
      <c r="P8" s="250"/>
      <c r="Q8" s="254">
        <f>I8*1.17/(1.17-0.13)-0.3</f>
        <v>6.81</v>
      </c>
      <c r="R8" s="254"/>
      <c r="S8" s="251"/>
      <c r="T8" s="251"/>
      <c r="U8" s="251"/>
      <c r="V8" s="182" t="s">
        <v>18</v>
      </c>
      <c r="W8" s="186" t="s">
        <v>154</v>
      </c>
      <c r="X8" s="181"/>
      <c r="Y8" s="181"/>
      <c r="Z8" s="196"/>
      <c r="AA8" s="195"/>
    </row>
    <row r="9" spans="1:28" s="176" customFormat="1">
      <c r="B9" s="220"/>
      <c r="C9" s="187" t="s">
        <v>146</v>
      </c>
      <c r="D9" s="238"/>
      <c r="E9" s="238"/>
      <c r="F9" s="203">
        <v>20180412</v>
      </c>
      <c r="G9" s="238">
        <v>19536.43</v>
      </c>
      <c r="H9" s="206">
        <f>G9/G10</f>
        <v>0.14625375246109043</v>
      </c>
      <c r="I9" s="221">
        <v>6.27</v>
      </c>
      <c r="J9" s="245"/>
      <c r="K9" s="184"/>
      <c r="L9" s="243">
        <f>H9*L10</f>
        <v>1041.3267175229639</v>
      </c>
      <c r="M9" s="243">
        <f t="shared" si="0"/>
        <v>18495.103282477037</v>
      </c>
      <c r="N9" s="245"/>
      <c r="O9" s="183"/>
      <c r="P9" s="250"/>
      <c r="Q9" s="254">
        <f>I9*1.17/(1.17-0.13)-0.3</f>
        <v>6.7537499999999984</v>
      </c>
      <c r="R9" s="254"/>
      <c r="S9" s="251"/>
      <c r="T9" s="251"/>
      <c r="U9" s="251"/>
      <c r="V9" s="182" t="s">
        <v>18</v>
      </c>
      <c r="W9" s="186" t="s">
        <v>154</v>
      </c>
      <c r="X9" s="181"/>
      <c r="Y9" s="181"/>
      <c r="Z9" s="196"/>
      <c r="AA9" s="195"/>
    </row>
    <row r="10" spans="1:28" s="176" customFormat="1">
      <c r="A10" s="269" t="s">
        <v>202</v>
      </c>
      <c r="B10" s="219">
        <v>43101</v>
      </c>
      <c r="C10" s="209" t="s">
        <v>146</v>
      </c>
      <c r="D10" s="239">
        <v>134459</v>
      </c>
      <c r="E10" s="239">
        <v>133579</v>
      </c>
      <c r="F10" s="211"/>
      <c r="G10" s="239">
        <f>SUM(G6:G9)</f>
        <v>133579</v>
      </c>
      <c r="H10" s="212"/>
      <c r="I10" s="210"/>
      <c r="J10" s="264">
        <v>803868</v>
      </c>
      <c r="K10" s="213" t="s">
        <v>16</v>
      </c>
      <c r="L10" s="244">
        <v>7120</v>
      </c>
      <c r="M10" s="244">
        <f>G10-L10</f>
        <v>126459</v>
      </c>
      <c r="N10" s="246">
        <v>30355</v>
      </c>
      <c r="O10" s="214"/>
      <c r="P10" s="255">
        <f t="shared" ref="P10:P32" si="1">SUM(J10,N10,O10)/M10*1.005</f>
        <v>6.6297702417384281</v>
      </c>
      <c r="Q10" s="255">
        <f>Q6*H6+Q7*H7+Q8*H8+Q9*H9</f>
        <v>6.8459310281743386</v>
      </c>
      <c r="R10" s="256">
        <f>VLOOKUP(B10,下单月成本!$A$2:B13,2,0)</f>
        <v>0.45500000000000002</v>
      </c>
      <c r="S10" s="252"/>
      <c r="T10" s="252">
        <f>S10*0.7</f>
        <v>0</v>
      </c>
      <c r="U10" s="252">
        <f>IF(SUMIF(V6:V32,V10,T6:T32)&gt;5000,T10*0.875,T10)</f>
        <v>0</v>
      </c>
      <c r="V10" s="216" t="s">
        <v>18</v>
      </c>
      <c r="W10" s="215" t="str">
        <f>W9</f>
        <v>TTF</v>
      </c>
      <c r="X10" s="217">
        <v>1</v>
      </c>
      <c r="Y10" s="217">
        <v>0.25</v>
      </c>
      <c r="Z10" s="196" t="s">
        <v>124</v>
      </c>
      <c r="AA10" s="195"/>
    </row>
    <row r="11" spans="1:28" s="176" customFormat="1">
      <c r="B11" s="185"/>
      <c r="C11" s="187" t="s">
        <v>145</v>
      </c>
      <c r="D11" s="238"/>
      <c r="E11" s="238"/>
      <c r="F11" s="203">
        <v>20180208</v>
      </c>
      <c r="G11" s="238">
        <v>9990</v>
      </c>
      <c r="H11" s="206">
        <f>G11/G13</f>
        <v>0.36015574302401038</v>
      </c>
      <c r="I11" s="221">
        <v>6.3</v>
      </c>
      <c r="J11" s="265"/>
      <c r="K11" s="184"/>
      <c r="L11" s="243">
        <f>H11*L13</f>
        <v>731.11615833874112</v>
      </c>
      <c r="M11" s="243">
        <f t="shared" si="0"/>
        <v>9258.8838416612598</v>
      </c>
      <c r="N11" s="245"/>
      <c r="O11" s="183"/>
      <c r="P11" s="250"/>
      <c r="Q11" s="254">
        <f t="shared" ref="Q11:Q12" si="2">I11*1.17/(1.17-0.09)-0.3</f>
        <v>6.5250000000000004</v>
      </c>
      <c r="R11" s="254"/>
      <c r="S11" s="251"/>
      <c r="T11" s="251"/>
      <c r="U11" s="251"/>
      <c r="V11" s="182" t="s">
        <v>18</v>
      </c>
      <c r="W11" s="186" t="s">
        <v>160</v>
      </c>
      <c r="X11" s="272" t="s">
        <v>203</v>
      </c>
      <c r="Y11" s="181"/>
      <c r="Z11" s="196"/>
      <c r="AA11" s="195"/>
    </row>
    <row r="12" spans="1:28" s="176" customFormat="1">
      <c r="B12" s="185"/>
      <c r="C12" s="187" t="s">
        <v>145</v>
      </c>
      <c r="D12" s="238"/>
      <c r="E12" s="238"/>
      <c r="F12" s="203">
        <v>20180425</v>
      </c>
      <c r="G12" s="238">
        <v>17748</v>
      </c>
      <c r="H12" s="206">
        <f>G12/G13</f>
        <v>0.63984425697598957</v>
      </c>
      <c r="I12" s="221">
        <v>6.3</v>
      </c>
      <c r="J12" s="265"/>
      <c r="K12" s="184"/>
      <c r="L12" s="243">
        <f>H12*L13</f>
        <v>1298.8838416612589</v>
      </c>
      <c r="M12" s="243">
        <f t="shared" si="0"/>
        <v>16449.11615833874</v>
      </c>
      <c r="N12" s="245"/>
      <c r="O12" s="183"/>
      <c r="P12" s="250"/>
      <c r="Q12" s="254">
        <f t="shared" si="2"/>
        <v>6.5250000000000004</v>
      </c>
      <c r="R12" s="254"/>
      <c r="S12" s="251"/>
      <c r="T12" s="251"/>
      <c r="U12" s="251"/>
      <c r="V12" s="182" t="s">
        <v>18</v>
      </c>
      <c r="W12" s="186" t="s">
        <v>161</v>
      </c>
      <c r="X12" s="272" t="s">
        <v>203</v>
      </c>
      <c r="Y12" s="181"/>
      <c r="Z12" s="196"/>
      <c r="AA12" s="195"/>
    </row>
    <row r="13" spans="1:28" s="176" customFormat="1">
      <c r="A13" s="269" t="s">
        <v>202</v>
      </c>
      <c r="B13" s="219">
        <v>43132</v>
      </c>
      <c r="C13" s="209" t="s">
        <v>145</v>
      </c>
      <c r="D13" s="239">
        <v>27758</v>
      </c>
      <c r="E13" s="239">
        <v>27738</v>
      </c>
      <c r="F13" s="211"/>
      <c r="G13" s="239">
        <f>SUM(G11:G12)</f>
        <v>27738</v>
      </c>
      <c r="H13" s="212"/>
      <c r="I13" s="210"/>
      <c r="J13" s="264">
        <v>140414</v>
      </c>
      <c r="K13" s="213" t="s">
        <v>16</v>
      </c>
      <c r="L13" s="244">
        <v>2030</v>
      </c>
      <c r="M13" s="244">
        <f t="shared" si="0"/>
        <v>25708</v>
      </c>
      <c r="N13" s="246">
        <v>4360</v>
      </c>
      <c r="O13" s="214"/>
      <c r="P13" s="255">
        <f t="shared" si="1"/>
        <v>5.6596339660805972</v>
      </c>
      <c r="Q13" s="255">
        <f>Q11*H11+Q12*H12</f>
        <v>6.5250000000000004</v>
      </c>
      <c r="R13" s="256">
        <f>VLOOKUP(B13,下单月成本!$A$2:B15,2,0)</f>
        <v>0.7</v>
      </c>
      <c r="S13" s="252">
        <f>M13*(Q13-P13-R13)*X13*Y13</f>
        <v>106.28075000000042</v>
      </c>
      <c r="T13" s="252">
        <f>S13*0.7</f>
        <v>74.396525000000295</v>
      </c>
      <c r="U13" s="252">
        <f>IF(SUMIF(V6:V32,V13,T6:T32)&gt;5000,T13*0.875,T13)</f>
        <v>74.396525000000295</v>
      </c>
      <c r="V13" s="216" t="s">
        <v>18</v>
      </c>
      <c r="W13" s="215" t="str">
        <f>W12</f>
        <v>4S SCAFFOLDING LTD.</v>
      </c>
      <c r="X13" s="217">
        <v>0.1</v>
      </c>
      <c r="Y13" s="217">
        <v>0.25</v>
      </c>
      <c r="Z13" s="196"/>
      <c r="AA13" s="195"/>
    </row>
    <row r="14" spans="1:28" s="176" customFormat="1">
      <c r="B14" s="185"/>
      <c r="C14" s="187" t="s">
        <v>144</v>
      </c>
      <c r="D14" s="238"/>
      <c r="E14" s="238"/>
      <c r="F14" s="203">
        <v>20180117</v>
      </c>
      <c r="G14" s="238">
        <v>6552</v>
      </c>
      <c r="H14" s="206">
        <f>G14/G16</f>
        <v>0.35</v>
      </c>
      <c r="I14" s="221">
        <v>6.42</v>
      </c>
      <c r="J14" s="265"/>
      <c r="K14" s="184"/>
      <c r="L14" s="243">
        <f>H14*L16</f>
        <v>1553.8249999999998</v>
      </c>
      <c r="M14" s="243">
        <f t="shared" si="0"/>
        <v>4998.1750000000002</v>
      </c>
      <c r="N14" s="245"/>
      <c r="O14" s="183"/>
      <c r="P14" s="250"/>
      <c r="Q14" s="254">
        <f t="shared" ref="Q14:Q15" si="3">I14*1.17/(1.17-0.09)-0.3</f>
        <v>6.6550000000000002</v>
      </c>
      <c r="R14" s="254"/>
      <c r="S14" s="251"/>
      <c r="T14" s="251"/>
      <c r="U14" s="251"/>
      <c r="V14" s="182" t="s">
        <v>29</v>
      </c>
      <c r="W14" s="186" t="s">
        <v>155</v>
      </c>
      <c r="X14" s="272" t="s">
        <v>203</v>
      </c>
      <c r="Y14" s="181"/>
      <c r="Z14" s="196"/>
      <c r="AA14" s="195"/>
    </row>
    <row r="15" spans="1:28" s="176" customFormat="1">
      <c r="B15" s="185"/>
      <c r="C15" s="187" t="s">
        <v>144</v>
      </c>
      <c r="D15" s="238"/>
      <c r="E15" s="238"/>
      <c r="F15" s="203">
        <v>20180425</v>
      </c>
      <c r="G15" s="238">
        <v>12168</v>
      </c>
      <c r="H15" s="206">
        <f>G15/G16</f>
        <v>0.65</v>
      </c>
      <c r="I15" s="221">
        <v>6.3</v>
      </c>
      <c r="J15" s="265"/>
      <c r="K15" s="184"/>
      <c r="L15" s="243">
        <f>H15*L16</f>
        <v>2885.6750000000002</v>
      </c>
      <c r="M15" s="243">
        <f t="shared" si="0"/>
        <v>9282.3250000000007</v>
      </c>
      <c r="N15" s="245"/>
      <c r="O15" s="183"/>
      <c r="P15" s="250"/>
      <c r="Q15" s="254">
        <f t="shared" si="3"/>
        <v>6.5250000000000004</v>
      </c>
      <c r="R15" s="254"/>
      <c r="S15" s="251"/>
      <c r="T15" s="251"/>
      <c r="U15" s="251"/>
      <c r="V15" s="182" t="s">
        <v>29</v>
      </c>
      <c r="W15" s="186" t="s">
        <v>155</v>
      </c>
      <c r="X15" s="272" t="s">
        <v>203</v>
      </c>
      <c r="Y15" s="181"/>
      <c r="Z15" s="196"/>
      <c r="AA15" s="195"/>
    </row>
    <row r="16" spans="1:28" s="176" customFormat="1">
      <c r="A16" s="269" t="s">
        <v>202</v>
      </c>
      <c r="B16" s="219">
        <v>43101</v>
      </c>
      <c r="C16" s="209" t="s">
        <v>144</v>
      </c>
      <c r="D16" s="239">
        <v>18720</v>
      </c>
      <c r="E16" s="239">
        <v>18720</v>
      </c>
      <c r="F16" s="211"/>
      <c r="G16" s="239">
        <f>SUM(G14:G15)</f>
        <v>18720</v>
      </c>
      <c r="H16" s="212"/>
      <c r="I16" s="210"/>
      <c r="J16" s="264">
        <v>66000</v>
      </c>
      <c r="K16" s="213" t="s">
        <v>16</v>
      </c>
      <c r="L16" s="244">
        <v>4439.5</v>
      </c>
      <c r="M16" s="244">
        <f t="shared" si="0"/>
        <v>14280.5</v>
      </c>
      <c r="N16" s="246">
        <v>900</v>
      </c>
      <c r="O16" s="214"/>
      <c r="P16" s="255">
        <f t="shared" si="1"/>
        <v>4.7081334687160812</v>
      </c>
      <c r="Q16" s="255">
        <f>Q14*H14+Q15*H15</f>
        <v>6.5705</v>
      </c>
      <c r="R16" s="256">
        <f>VLOOKUP(B16,下单月成本!$A$2:B18,2,0)</f>
        <v>0.45500000000000002</v>
      </c>
      <c r="S16" s="252">
        <f>M16*(Q16-P16-R16)*X16*Y16</f>
        <v>502.44744375000005</v>
      </c>
      <c r="T16" s="252">
        <f>S16*0.7</f>
        <v>351.71321062499999</v>
      </c>
      <c r="U16" s="252">
        <f>IF(SUMIF(V6:V32,V16,T6:T32)&gt;5000,T16*0.875,T16)</f>
        <v>351.71321062499999</v>
      </c>
      <c r="V16" s="216" t="s">
        <v>29</v>
      </c>
      <c r="W16" s="215" t="str">
        <f>W15</f>
        <v>SWING STAGING</v>
      </c>
      <c r="X16" s="217">
        <v>0.1</v>
      </c>
      <c r="Y16" s="217">
        <v>0.25</v>
      </c>
      <c r="Z16" s="196"/>
      <c r="AA16" s="195"/>
    </row>
    <row r="17" spans="1:27" s="294" customFormat="1">
      <c r="B17" s="185"/>
      <c r="C17" s="187" t="s">
        <v>143</v>
      </c>
      <c r="D17" s="238"/>
      <c r="E17" s="238"/>
      <c r="F17" s="203">
        <v>20180126</v>
      </c>
      <c r="G17" s="238">
        <v>19434</v>
      </c>
      <c r="H17" s="206">
        <f>G17/G21</f>
        <v>0.29913188031030663</v>
      </c>
      <c r="I17" s="295">
        <v>6.32</v>
      </c>
      <c r="J17" s="265"/>
      <c r="K17" s="184"/>
      <c r="L17" s="243">
        <f>H17*L21</f>
        <v>0</v>
      </c>
      <c r="M17" s="243">
        <f>G17-L17</f>
        <v>19434</v>
      </c>
      <c r="N17" s="245"/>
      <c r="O17" s="183"/>
      <c r="P17" s="250"/>
      <c r="Q17" s="296">
        <f t="shared" ref="Q17:Q20" si="4">I17*1.17/(1.17-0.09)-0.3</f>
        <v>6.5466666666666677</v>
      </c>
      <c r="R17" s="296"/>
      <c r="S17" s="251"/>
      <c r="T17" s="251"/>
      <c r="U17" s="251"/>
      <c r="V17" s="182" t="s">
        <v>29</v>
      </c>
      <c r="W17" s="186" t="s">
        <v>162</v>
      </c>
      <c r="X17" s="297" t="s">
        <v>203</v>
      </c>
      <c r="Y17" s="298"/>
      <c r="Z17" s="299"/>
      <c r="AA17" s="282"/>
    </row>
    <row r="18" spans="1:27" s="294" customFormat="1">
      <c r="B18" s="185"/>
      <c r="C18" s="187" t="s">
        <v>143</v>
      </c>
      <c r="D18" s="238"/>
      <c r="E18" s="238"/>
      <c r="F18" s="203">
        <v>20180412</v>
      </c>
      <c r="G18" s="238">
        <v>15178</v>
      </c>
      <c r="H18" s="206">
        <f>G18/G21</f>
        <v>0.23362270656323114</v>
      </c>
      <c r="I18" s="295">
        <v>6.27</v>
      </c>
      <c r="J18" s="265"/>
      <c r="K18" s="184"/>
      <c r="L18" s="243">
        <f>H18*L21</f>
        <v>0</v>
      </c>
      <c r="M18" s="243">
        <f t="shared" si="0"/>
        <v>15178</v>
      </c>
      <c r="N18" s="245"/>
      <c r="O18" s="183"/>
      <c r="P18" s="250"/>
      <c r="Q18" s="296">
        <f t="shared" si="4"/>
        <v>6.4924999999999997</v>
      </c>
      <c r="R18" s="296"/>
      <c r="S18" s="251"/>
      <c r="T18" s="251"/>
      <c r="U18" s="251"/>
      <c r="V18" s="182" t="s">
        <v>29</v>
      </c>
      <c r="W18" s="186" t="s">
        <v>162</v>
      </c>
      <c r="X18" s="297" t="s">
        <v>203</v>
      </c>
      <c r="Y18" s="298"/>
      <c r="Z18" s="299"/>
      <c r="AA18" s="282"/>
    </row>
    <row r="19" spans="1:27" s="294" customFormat="1">
      <c r="B19" s="185"/>
      <c r="C19" s="187" t="s">
        <v>143</v>
      </c>
      <c r="D19" s="238"/>
      <c r="E19" s="238"/>
      <c r="F19" s="203">
        <v>20180413</v>
      </c>
      <c r="G19" s="238">
        <v>15178</v>
      </c>
      <c r="H19" s="206">
        <f>G19/G21</f>
        <v>0.23362270656323114</v>
      </c>
      <c r="I19" s="295">
        <v>6.27</v>
      </c>
      <c r="J19" s="265"/>
      <c r="K19" s="184"/>
      <c r="L19" s="243">
        <f>H19*L21</f>
        <v>0</v>
      </c>
      <c r="M19" s="243">
        <f t="shared" si="0"/>
        <v>15178</v>
      </c>
      <c r="N19" s="245"/>
      <c r="O19" s="183"/>
      <c r="P19" s="250"/>
      <c r="Q19" s="296">
        <f t="shared" si="4"/>
        <v>6.4924999999999997</v>
      </c>
      <c r="R19" s="296"/>
      <c r="S19" s="251"/>
      <c r="T19" s="251"/>
      <c r="U19" s="251"/>
      <c r="V19" s="182" t="s">
        <v>29</v>
      </c>
      <c r="W19" s="186" t="s">
        <v>162</v>
      </c>
      <c r="X19" s="297" t="s">
        <v>203</v>
      </c>
      <c r="Y19" s="298"/>
      <c r="Z19" s="299"/>
      <c r="AA19" s="282"/>
    </row>
    <row r="20" spans="1:27" s="294" customFormat="1">
      <c r="B20" s="185"/>
      <c r="C20" s="187" t="s">
        <v>143</v>
      </c>
      <c r="D20" s="238"/>
      <c r="E20" s="238"/>
      <c r="F20" s="203">
        <v>20180419</v>
      </c>
      <c r="G20" s="238">
        <v>15178</v>
      </c>
      <c r="H20" s="206">
        <f>G20/G21</f>
        <v>0.23362270656323114</v>
      </c>
      <c r="I20" s="295">
        <v>6.26</v>
      </c>
      <c r="J20" s="265"/>
      <c r="K20" s="184"/>
      <c r="L20" s="243">
        <f>H20*L21</f>
        <v>0</v>
      </c>
      <c r="M20" s="243">
        <f t="shared" si="0"/>
        <v>15178</v>
      </c>
      <c r="N20" s="245"/>
      <c r="O20" s="183"/>
      <c r="P20" s="250"/>
      <c r="Q20" s="296">
        <f t="shared" si="4"/>
        <v>6.4816666666666674</v>
      </c>
      <c r="R20" s="296"/>
      <c r="S20" s="251"/>
      <c r="T20" s="251"/>
      <c r="U20" s="251"/>
      <c r="V20" s="182" t="s">
        <v>29</v>
      </c>
      <c r="W20" s="186" t="s">
        <v>162</v>
      </c>
      <c r="X20" s="297" t="s">
        <v>203</v>
      </c>
      <c r="Y20" s="298"/>
      <c r="Z20" s="299"/>
      <c r="AA20" s="282"/>
    </row>
    <row r="21" spans="1:27" s="176" customFormat="1">
      <c r="A21" s="269" t="s">
        <v>202</v>
      </c>
      <c r="B21" s="219">
        <v>43101</v>
      </c>
      <c r="C21" s="209" t="s">
        <v>143</v>
      </c>
      <c r="D21" s="239">
        <v>65250</v>
      </c>
      <c r="E21" s="239">
        <v>64968</v>
      </c>
      <c r="F21" s="211"/>
      <c r="G21" s="239">
        <f>SUM(G17:G20)</f>
        <v>64968</v>
      </c>
      <c r="H21" s="212"/>
      <c r="I21" s="210"/>
      <c r="J21" s="264">
        <v>386500</v>
      </c>
      <c r="K21" s="213" t="s">
        <v>16</v>
      </c>
      <c r="L21" s="244">
        <v>0</v>
      </c>
      <c r="M21" s="244">
        <f>G21-L21</f>
        <v>64968</v>
      </c>
      <c r="N21" s="246">
        <v>14340</v>
      </c>
      <c r="O21" s="214"/>
      <c r="P21" s="255">
        <f t="shared" si="1"/>
        <v>6.2006557074251933</v>
      </c>
      <c r="Q21" s="255">
        <f>Q17*H17+Q18*H18+Q19*H19+Q20*H20</f>
        <v>6.5061720641957077</v>
      </c>
      <c r="R21" s="256">
        <f>VLOOKUP(B21,下单月成本!$A$2:B23,2,0)</f>
        <v>0.45500000000000002</v>
      </c>
      <c r="S21" s="252"/>
      <c r="T21" s="252">
        <f>S21*0.7</f>
        <v>0</v>
      </c>
      <c r="U21" s="252">
        <f>IF(SUMIF(V6:V32,V21,T6:T32)&gt;5000,T21*0.875,T21)</f>
        <v>0</v>
      </c>
      <c r="V21" s="216" t="s">
        <v>29</v>
      </c>
      <c r="W21" s="215" t="str">
        <f>W20</f>
        <v>CHR. KONTOS ENTER. LTD</v>
      </c>
      <c r="X21" s="217">
        <v>0.1</v>
      </c>
      <c r="Y21" s="217">
        <v>0.25</v>
      </c>
      <c r="Z21" s="196"/>
      <c r="AA21" s="195"/>
    </row>
    <row r="22" spans="1:27" s="176" customFormat="1">
      <c r="B22" s="185"/>
      <c r="C22" s="187" t="s">
        <v>142</v>
      </c>
      <c r="D22" s="238"/>
      <c r="E22" s="238"/>
      <c r="F22" s="203">
        <v>20180212</v>
      </c>
      <c r="G22" s="238">
        <v>9955</v>
      </c>
      <c r="H22" s="206">
        <f>G22/G26</f>
        <v>0.27041555985528221</v>
      </c>
      <c r="I22" s="221">
        <v>6.3</v>
      </c>
      <c r="J22" s="265"/>
      <c r="K22" s="184"/>
      <c r="L22" s="243">
        <f>H22*L26</f>
        <v>481.33969654240235</v>
      </c>
      <c r="M22" s="243">
        <f>G22-L22</f>
        <v>9473.6603034575983</v>
      </c>
      <c r="N22" s="245"/>
      <c r="O22" s="183"/>
      <c r="P22" s="250"/>
      <c r="Q22" s="254">
        <f t="shared" ref="Q22:Q25" si="5">I22*1.17/(1.17-0.09)-0.3</f>
        <v>6.5250000000000004</v>
      </c>
      <c r="R22" s="254"/>
      <c r="S22" s="251"/>
      <c r="T22" s="251"/>
      <c r="U22" s="251"/>
      <c r="V22" s="182" t="s">
        <v>29</v>
      </c>
      <c r="W22" s="186" t="s">
        <v>163</v>
      </c>
      <c r="X22" s="272" t="s">
        <v>203</v>
      </c>
      <c r="Y22" s="181"/>
      <c r="Z22" s="196"/>
      <c r="AA22" s="195"/>
    </row>
    <row r="23" spans="1:27" s="176" customFormat="1">
      <c r="B23" s="185"/>
      <c r="C23" s="187" t="s">
        <v>142</v>
      </c>
      <c r="D23" s="238"/>
      <c r="E23" s="238"/>
      <c r="F23" s="203">
        <v>20180309</v>
      </c>
      <c r="G23" s="238">
        <v>9955</v>
      </c>
      <c r="H23" s="206">
        <f>G23/G26</f>
        <v>0.27041555985528221</v>
      </c>
      <c r="I23" s="221">
        <v>6.33</v>
      </c>
      <c r="J23" s="265"/>
      <c r="K23" s="184"/>
      <c r="L23" s="243">
        <f>H23*L26</f>
        <v>481.33969654240235</v>
      </c>
      <c r="M23" s="243">
        <f t="shared" ref="M23:M25" si="6">G23-L23</f>
        <v>9473.6603034575983</v>
      </c>
      <c r="N23" s="245"/>
      <c r="O23" s="183"/>
      <c r="P23" s="250"/>
      <c r="Q23" s="254">
        <f t="shared" si="5"/>
        <v>6.557500000000001</v>
      </c>
      <c r="R23" s="254"/>
      <c r="S23" s="251"/>
      <c r="T23" s="251"/>
      <c r="U23" s="251"/>
      <c r="V23" s="182" t="s">
        <v>29</v>
      </c>
      <c r="W23" s="186" t="s">
        <v>164</v>
      </c>
      <c r="X23" s="272" t="s">
        <v>203</v>
      </c>
      <c r="Y23" s="181"/>
      <c r="Z23" s="196"/>
      <c r="AA23" s="195"/>
    </row>
    <row r="24" spans="1:27" s="176" customFormat="1">
      <c r="B24" s="185"/>
      <c r="C24" s="187" t="s">
        <v>142</v>
      </c>
      <c r="D24" s="238"/>
      <c r="E24" s="238"/>
      <c r="F24" s="203">
        <v>20180403</v>
      </c>
      <c r="G24" s="238">
        <v>9955</v>
      </c>
      <c r="H24" s="206">
        <f>G24/G26</f>
        <v>0.27041555985528221</v>
      </c>
      <c r="I24" s="221">
        <v>6.27</v>
      </c>
      <c r="J24" s="265"/>
      <c r="K24" s="184"/>
      <c r="L24" s="243">
        <f>H24*L26</f>
        <v>481.33969654240235</v>
      </c>
      <c r="M24" s="243">
        <f t="shared" si="6"/>
        <v>9473.6603034575983</v>
      </c>
      <c r="N24" s="245"/>
      <c r="O24" s="183"/>
      <c r="P24" s="250"/>
      <c r="Q24" s="254">
        <f t="shared" si="5"/>
        <v>6.4924999999999997</v>
      </c>
      <c r="R24" s="254"/>
      <c r="S24" s="251"/>
      <c r="T24" s="251"/>
      <c r="U24" s="251"/>
      <c r="V24" s="182" t="s">
        <v>29</v>
      </c>
      <c r="W24" s="186" t="s">
        <v>163</v>
      </c>
      <c r="X24" s="272" t="s">
        <v>203</v>
      </c>
      <c r="Y24" s="181"/>
      <c r="Z24" s="196"/>
      <c r="AA24" s="195"/>
    </row>
    <row r="25" spans="1:27" s="176" customFormat="1">
      <c r="B25" s="185"/>
      <c r="C25" s="187" t="s">
        <v>142</v>
      </c>
      <c r="D25" s="238"/>
      <c r="E25" s="238"/>
      <c r="F25" s="203">
        <v>20180411</v>
      </c>
      <c r="G25" s="238">
        <v>6948.71</v>
      </c>
      <c r="H25" s="206">
        <f>G25/G26</f>
        <v>0.18875332043415347</v>
      </c>
      <c r="I25" s="221">
        <v>6.27</v>
      </c>
      <c r="J25" s="265"/>
      <c r="K25" s="184"/>
      <c r="L25" s="243">
        <f>H25*L26</f>
        <v>335.98091037279318</v>
      </c>
      <c r="M25" s="243">
        <f t="shared" si="6"/>
        <v>6612.729089627207</v>
      </c>
      <c r="N25" s="245"/>
      <c r="O25" s="183"/>
      <c r="P25" s="250"/>
      <c r="Q25" s="254">
        <f t="shared" si="5"/>
        <v>6.4924999999999997</v>
      </c>
      <c r="R25" s="254"/>
      <c r="S25" s="251"/>
      <c r="T25" s="251"/>
      <c r="U25" s="251"/>
      <c r="V25" s="182" t="s">
        <v>29</v>
      </c>
      <c r="W25" s="186" t="s">
        <v>163</v>
      </c>
      <c r="X25" s="272" t="s">
        <v>203</v>
      </c>
      <c r="Y25" s="181"/>
      <c r="Z25" s="196"/>
      <c r="AA25" s="195"/>
    </row>
    <row r="26" spans="1:27" s="176" customFormat="1">
      <c r="A26" s="269" t="s">
        <v>202</v>
      </c>
      <c r="B26" s="219">
        <v>43132</v>
      </c>
      <c r="C26" s="209" t="s">
        <v>142</v>
      </c>
      <c r="D26" s="239">
        <v>35550.36</v>
      </c>
      <c r="E26" s="239">
        <v>36813.71</v>
      </c>
      <c r="F26" s="211"/>
      <c r="G26" s="239">
        <f>SUM(G22:G25)</f>
        <v>36813.71</v>
      </c>
      <c r="H26" s="212"/>
      <c r="I26" s="210"/>
      <c r="J26" s="264">
        <v>190544.4</v>
      </c>
      <c r="K26" s="213" t="s">
        <v>16</v>
      </c>
      <c r="L26" s="244">
        <v>1780</v>
      </c>
      <c r="M26" s="244">
        <f>G26-L26</f>
        <v>35033.71</v>
      </c>
      <c r="N26" s="246">
        <v>5590</v>
      </c>
      <c r="O26" s="214"/>
      <c r="P26" s="255">
        <f t="shared" si="1"/>
        <v>5.6264401343734356</v>
      </c>
      <c r="Q26" s="255">
        <f>Q22*H22+Q23*H23+Q24*H24+Q25*H25</f>
        <v>6.5188655170858913</v>
      </c>
      <c r="R26" s="256">
        <f>VLOOKUP(B26,下单月成本!$A$2:B28,2,0)</f>
        <v>0.7</v>
      </c>
      <c r="S26" s="252">
        <f>M26*(Q26-P26-R26)*X26*Y26</f>
        <v>674.13750545871903</v>
      </c>
      <c r="T26" s="252">
        <f>S26*0.7</f>
        <v>471.8962538211033</v>
      </c>
      <c r="U26" s="252">
        <f>IF(SUMIF(V6:V32,V26,T6:T32)&gt;5000,T26*0.875,T26)</f>
        <v>471.8962538211033</v>
      </c>
      <c r="V26" s="216" t="s">
        <v>29</v>
      </c>
      <c r="W26" s="215" t="str">
        <f>W25</f>
        <v>1/ANDAMIOS Y PROYECTOS TORRES SA</v>
      </c>
      <c r="X26" s="217">
        <v>0.4</v>
      </c>
      <c r="Y26" s="217">
        <v>0.25</v>
      </c>
      <c r="Z26" s="196"/>
      <c r="AA26" s="195"/>
    </row>
    <row r="27" spans="1:27" s="176" customFormat="1">
      <c r="B27" s="185"/>
      <c r="C27" s="187" t="s">
        <v>141</v>
      </c>
      <c r="D27" s="238"/>
      <c r="E27" s="238"/>
      <c r="F27" s="203">
        <v>20180309</v>
      </c>
      <c r="G27" s="238">
        <v>7508.82</v>
      </c>
      <c r="H27" s="206">
        <f>G27/G29</f>
        <v>0.5027080875746649</v>
      </c>
      <c r="I27" s="221">
        <v>6.33</v>
      </c>
      <c r="J27" s="265"/>
      <c r="K27" s="184"/>
      <c r="L27" s="243">
        <f>H27*L29</f>
        <v>0</v>
      </c>
      <c r="M27" s="243">
        <f t="shared" ref="M27:M32" si="7">G27-L27</f>
        <v>7508.82</v>
      </c>
      <c r="N27" s="245"/>
      <c r="O27" s="183"/>
      <c r="P27" s="250"/>
      <c r="Q27" s="254">
        <f t="shared" ref="Q27:Q28" si="8">I27*1.17/(1.17-0.09)-0.3</f>
        <v>6.557500000000001</v>
      </c>
      <c r="R27" s="254"/>
      <c r="S27" s="251"/>
      <c r="T27" s="251"/>
      <c r="U27" s="251"/>
      <c r="V27" s="182" t="s">
        <v>29</v>
      </c>
      <c r="W27" s="186" t="s">
        <v>165</v>
      </c>
      <c r="X27" s="272" t="s">
        <v>203</v>
      </c>
      <c r="Y27" s="181"/>
      <c r="Z27" s="196"/>
      <c r="AA27" s="195"/>
    </row>
    <row r="28" spans="1:27" s="176" customFormat="1">
      <c r="B28" s="185"/>
      <c r="C28" s="187" t="s">
        <v>141</v>
      </c>
      <c r="D28" s="238"/>
      <c r="E28" s="238"/>
      <c r="F28" s="203">
        <v>20180428</v>
      </c>
      <c r="G28" s="238">
        <v>7427.92</v>
      </c>
      <c r="H28" s="206">
        <f>G28/G29</f>
        <v>0.4972919124253351</v>
      </c>
      <c r="I28" s="221">
        <v>6.32</v>
      </c>
      <c r="J28" s="265"/>
      <c r="K28" s="184"/>
      <c r="L28" s="243">
        <f>H28*L29</f>
        <v>0</v>
      </c>
      <c r="M28" s="243">
        <f t="shared" si="7"/>
        <v>7427.92</v>
      </c>
      <c r="N28" s="245"/>
      <c r="O28" s="183"/>
      <c r="P28" s="250"/>
      <c r="Q28" s="254">
        <f t="shared" si="8"/>
        <v>6.5466666666666677</v>
      </c>
      <c r="R28" s="254"/>
      <c r="S28" s="251"/>
      <c r="T28" s="251"/>
      <c r="U28" s="251"/>
      <c r="V28" s="182" t="s">
        <v>29</v>
      </c>
      <c r="W28" s="186" t="s">
        <v>165</v>
      </c>
      <c r="X28" s="272" t="s">
        <v>203</v>
      </c>
      <c r="Y28" s="181"/>
      <c r="Z28" s="196"/>
      <c r="AA28" s="195"/>
    </row>
    <row r="29" spans="1:27" s="176" customFormat="1">
      <c r="A29" s="269" t="s">
        <v>202</v>
      </c>
      <c r="B29" s="208">
        <v>43160</v>
      </c>
      <c r="C29" s="209" t="s">
        <v>141</v>
      </c>
      <c r="D29" s="239">
        <v>15012.74</v>
      </c>
      <c r="E29" s="239">
        <v>14936.74</v>
      </c>
      <c r="F29" s="211"/>
      <c r="G29" s="239">
        <f>SUM(G27:G28)</f>
        <v>14936.74</v>
      </c>
      <c r="H29" s="212"/>
      <c r="I29" s="210"/>
      <c r="J29" s="264">
        <v>74348.42</v>
      </c>
      <c r="K29" s="213" t="s">
        <v>16</v>
      </c>
      <c r="L29" s="244">
        <v>0</v>
      </c>
      <c r="M29" s="244">
        <f t="shared" si="7"/>
        <v>14936.74</v>
      </c>
      <c r="N29" s="246">
        <v>4615</v>
      </c>
      <c r="O29" s="214"/>
      <c r="P29" s="255">
        <f t="shared" si="1"/>
        <v>5.312955644939926</v>
      </c>
      <c r="Q29" s="255">
        <f>Q27*H27+Q28*H28</f>
        <v>6.552112670948727</v>
      </c>
      <c r="R29" s="256">
        <f>VLOOKUP(B29,下单月成本!$A$2:B31,2,0)</f>
        <v>0.55000000000000004</v>
      </c>
      <c r="S29" s="252">
        <f>M29*(Q29-P29-R29)*X29*Y29</f>
        <v>1801.407880416672</v>
      </c>
      <c r="T29" s="252">
        <f>S29*0.7</f>
        <v>1260.9855162916704</v>
      </c>
      <c r="U29" s="252">
        <f>IF(SUMIF(V6:V32,V29,T6:T32)&gt;5000,T29*0.875,T29)</f>
        <v>1260.9855162916704</v>
      </c>
      <c r="V29" s="216" t="s">
        <v>29</v>
      </c>
      <c r="W29" s="215" t="str">
        <f>W28</f>
        <v>FORD, DAVID BRENDON</v>
      </c>
      <c r="X29" s="217">
        <v>0.7</v>
      </c>
      <c r="Y29" s="217">
        <v>0.25</v>
      </c>
      <c r="Z29" s="196"/>
      <c r="AA29" s="195"/>
    </row>
    <row r="30" spans="1:27" s="176" customFormat="1">
      <c r="B30" s="185"/>
      <c r="C30" s="187" t="s">
        <v>140</v>
      </c>
      <c r="D30" s="238"/>
      <c r="E30" s="238"/>
      <c r="F30" s="203">
        <v>20180208</v>
      </c>
      <c r="G30" s="238">
        <v>2411.1799999999998</v>
      </c>
      <c r="H30" s="206">
        <f>G30/G32</f>
        <v>0.25051975591991865</v>
      </c>
      <c r="I30" s="221">
        <v>6.3</v>
      </c>
      <c r="J30" s="265"/>
      <c r="K30" s="184"/>
      <c r="L30" s="243">
        <f>H30*L32</f>
        <v>0</v>
      </c>
      <c r="M30" s="243">
        <f t="shared" si="7"/>
        <v>2411.1799999999998</v>
      </c>
      <c r="N30" s="245"/>
      <c r="O30" s="183"/>
      <c r="P30" s="250"/>
      <c r="Q30" s="254">
        <f t="shared" ref="Q30:Q31" si="9">I30*1.17/(1.17-0.09)-0.3</f>
        <v>6.5250000000000004</v>
      </c>
      <c r="R30" s="254"/>
      <c r="S30" s="251"/>
      <c r="T30" s="251"/>
      <c r="U30" s="251"/>
      <c r="V30" s="182" t="s">
        <v>41</v>
      </c>
      <c r="W30" s="186" t="s">
        <v>166</v>
      </c>
      <c r="X30" s="272" t="s">
        <v>203</v>
      </c>
      <c r="Y30" s="181"/>
      <c r="Z30" s="196"/>
      <c r="AA30" s="195"/>
    </row>
    <row r="31" spans="1:27" s="176" customFormat="1">
      <c r="B31" s="185"/>
      <c r="C31" s="187" t="s">
        <v>140</v>
      </c>
      <c r="D31" s="238"/>
      <c r="E31" s="238"/>
      <c r="F31" s="203">
        <v>20180412</v>
      </c>
      <c r="G31" s="238">
        <v>7213.53</v>
      </c>
      <c r="H31" s="206">
        <f>G31/G32</f>
        <v>0.7494802440800814</v>
      </c>
      <c r="I31" s="221">
        <v>6.27</v>
      </c>
      <c r="J31" s="245"/>
      <c r="K31" s="184"/>
      <c r="L31" s="243">
        <f>H31*L32</f>
        <v>0</v>
      </c>
      <c r="M31" s="243">
        <f t="shared" si="7"/>
        <v>7213.53</v>
      </c>
      <c r="N31" s="245"/>
      <c r="O31" s="183"/>
      <c r="P31" s="250"/>
      <c r="Q31" s="254">
        <f t="shared" si="9"/>
        <v>6.4924999999999997</v>
      </c>
      <c r="R31" s="254"/>
      <c r="S31" s="251"/>
      <c r="T31" s="251"/>
      <c r="U31" s="251"/>
      <c r="V31" s="182" t="s">
        <v>41</v>
      </c>
      <c r="W31" s="186" t="s">
        <v>166</v>
      </c>
      <c r="X31" s="272" t="s">
        <v>203</v>
      </c>
      <c r="Y31" s="181"/>
      <c r="Z31" s="196"/>
      <c r="AA31" s="195"/>
    </row>
    <row r="32" spans="1:27" s="176" customFormat="1">
      <c r="A32" s="269" t="s">
        <v>202</v>
      </c>
      <c r="B32" s="219">
        <v>43132</v>
      </c>
      <c r="C32" s="209" t="s">
        <v>140</v>
      </c>
      <c r="D32" s="239">
        <v>9644.7000000000007</v>
      </c>
      <c r="E32" s="239">
        <v>9624.7099999999991</v>
      </c>
      <c r="F32" s="211"/>
      <c r="G32" s="239">
        <f>SUM(G30:G31)</f>
        <v>9624.7099999999991</v>
      </c>
      <c r="H32" s="212"/>
      <c r="I32" s="210"/>
      <c r="J32" s="246">
        <v>55098</v>
      </c>
      <c r="K32" s="213" t="s">
        <v>16</v>
      </c>
      <c r="L32" s="244"/>
      <c r="M32" s="244">
        <f t="shared" si="7"/>
        <v>9624.7099999999991</v>
      </c>
      <c r="N32" s="246">
        <v>6450</v>
      </c>
      <c r="O32" s="214"/>
      <c r="P32" s="255">
        <f t="shared" si="1"/>
        <v>6.4267640271758832</v>
      </c>
      <c r="Q32" s="255">
        <f>Q30*H30+Q31*H31</f>
        <v>6.5006418920673976</v>
      </c>
      <c r="R32" s="256">
        <f>VLOOKUP(B32,下单月成本!$A$2:B34,2,0)</f>
        <v>0.7</v>
      </c>
      <c r="S32" s="252"/>
      <c r="T32" s="252">
        <f>S32*0.7</f>
        <v>0</v>
      </c>
      <c r="U32" s="252">
        <f>IF(SUMIF(V6:V32,V32,T6:T32)&gt;5000,T32*0.875,T32)</f>
        <v>0</v>
      </c>
      <c r="V32" s="216" t="s">
        <v>41</v>
      </c>
      <c r="W32" s="215" t="str">
        <f>W31</f>
        <v>TECHNIQUE SOLUTIONS PTY LTD ATF D A</v>
      </c>
      <c r="X32" s="217">
        <v>0.1</v>
      </c>
      <c r="Y32" s="217">
        <v>0.25</v>
      </c>
      <c r="Z32" s="196"/>
      <c r="AA32" s="195"/>
    </row>
    <row r="33" spans="1:28" s="195" customFormat="1" ht="12.75">
      <c r="A33" s="580" t="s">
        <v>84</v>
      </c>
      <c r="B33" s="581"/>
      <c r="C33" s="582"/>
      <c r="D33" s="240">
        <f>SUM(D10:D32)</f>
        <v>306394.8</v>
      </c>
      <c r="E33" s="240">
        <f>SUM(E10:E32)</f>
        <v>306380.16000000003</v>
      </c>
      <c r="F33" s="230"/>
      <c r="G33" s="240"/>
      <c r="H33" s="231"/>
      <c r="I33" s="230"/>
      <c r="J33" s="247">
        <f>SUM(J6:J32)</f>
        <v>1716772.8199999998</v>
      </c>
      <c r="K33" s="230"/>
      <c r="L33" s="240">
        <f>SUM(L10,L13,L16,L21,L26,L29,L32)</f>
        <v>15369.5</v>
      </c>
      <c r="M33" s="240">
        <f>SUM(M10,M13,M16,M21,M26,M29,M32)</f>
        <v>291010.66000000003</v>
      </c>
      <c r="N33" s="247">
        <f>SUM(N10:N32)</f>
        <v>66610</v>
      </c>
      <c r="O33" s="232">
        <f>SUM(O10:O32)</f>
        <v>0</v>
      </c>
      <c r="P33" s="247"/>
      <c r="Q33" s="247"/>
      <c r="R33" s="247"/>
      <c r="S33" s="253">
        <f>SUM(S10,S13,S16,S21,S26,S29,S32)</f>
        <v>3084.2735796253914</v>
      </c>
      <c r="T33" s="253">
        <f t="shared" ref="T33:U33" si="10">SUM(T10,T13,T16,T21,T26,T29,T32)</f>
        <v>2158.9915057377739</v>
      </c>
      <c r="U33" s="253">
        <f t="shared" si="10"/>
        <v>2158.9915057377739</v>
      </c>
      <c r="V33" s="233"/>
      <c r="W33" s="233"/>
      <c r="X33" s="234"/>
      <c r="Y33" s="234"/>
    </row>
    <row r="34" spans="1:28" s="282" customFormat="1" ht="12.75">
      <c r="A34" s="274"/>
      <c r="B34" s="274"/>
      <c r="C34" s="274"/>
      <c r="D34" s="275"/>
      <c r="E34" s="275"/>
      <c r="F34" s="276"/>
      <c r="G34" s="275"/>
      <c r="H34" s="277"/>
      <c r="I34" s="276"/>
      <c r="J34" s="278"/>
      <c r="K34" s="276"/>
      <c r="L34" s="275"/>
      <c r="M34" s="275"/>
      <c r="N34" s="278"/>
      <c r="O34" s="279"/>
      <c r="P34" s="278"/>
      <c r="Q34" s="278"/>
      <c r="R34" s="278"/>
      <c r="S34" s="280"/>
      <c r="T34" s="280"/>
      <c r="U34" s="280"/>
      <c r="V34" s="281"/>
      <c r="W34" s="281"/>
      <c r="X34" s="281"/>
      <c r="Y34" s="281"/>
    </row>
    <row r="35" spans="1:28" ht="28.5">
      <c r="T35" s="283" t="s">
        <v>213</v>
      </c>
      <c r="U35" s="284" t="s">
        <v>121</v>
      </c>
      <c r="V35" s="284" t="s">
        <v>11</v>
      </c>
    </row>
    <row r="36" spans="1:28" s="176" customFormat="1">
      <c r="B36" s="178" t="s">
        <v>85</v>
      </c>
      <c r="C36" s="180"/>
      <c r="D36" s="241"/>
      <c r="E36" s="270">
        <f>E33</f>
        <v>306380.16000000003</v>
      </c>
      <c r="G36" s="241"/>
      <c r="H36" s="207"/>
      <c r="J36" s="241"/>
      <c r="L36" s="241"/>
      <c r="M36" s="241"/>
      <c r="N36" s="241"/>
      <c r="P36" s="241"/>
      <c r="Q36" s="241"/>
      <c r="R36" s="241"/>
      <c r="S36" s="241"/>
      <c r="T36" s="252">
        <f>SUMIF(V6:V32,V36,T6:T32)</f>
        <v>74.396525000000295</v>
      </c>
      <c r="U36" s="252">
        <f>IF(T36&gt;5000,T36*0.875,T36)</f>
        <v>74.396525000000295</v>
      </c>
      <c r="V36" s="216" t="s">
        <v>18</v>
      </c>
    </row>
    <row r="37" spans="1:28" s="176" customFormat="1">
      <c r="B37" s="178" t="s">
        <v>86</v>
      </c>
      <c r="C37" s="180"/>
      <c r="D37" s="241"/>
      <c r="E37" s="270">
        <f>L33</f>
        <v>15369.5</v>
      </c>
      <c r="G37" s="241"/>
      <c r="H37" s="207"/>
      <c r="J37" s="241"/>
      <c r="L37" s="241"/>
      <c r="M37" s="241"/>
      <c r="N37" s="241"/>
      <c r="P37" s="241"/>
      <c r="Q37" s="241"/>
      <c r="R37" s="241"/>
      <c r="S37" s="241"/>
      <c r="T37" s="252">
        <f>SUMIF(V6:V32,V37,T6:T32)</f>
        <v>2084.5949807377738</v>
      </c>
      <c r="U37" s="252">
        <f>IF(T37&gt;5000,T37*0.875,T37)</f>
        <v>2084.5949807377738</v>
      </c>
      <c r="V37" s="216" t="s">
        <v>29</v>
      </c>
    </row>
    <row r="38" spans="1:28" s="176" customFormat="1">
      <c r="B38" s="178" t="s">
        <v>87</v>
      </c>
      <c r="C38" s="180"/>
      <c r="D38" s="241"/>
      <c r="E38" s="270">
        <f>E36-E37</f>
        <v>291010.66000000003</v>
      </c>
      <c r="G38" s="241"/>
      <c r="H38" s="207"/>
      <c r="J38" s="241"/>
      <c r="L38" s="241"/>
      <c r="M38" s="241"/>
      <c r="N38" s="241"/>
      <c r="P38" s="241"/>
      <c r="Q38" s="241"/>
      <c r="R38" s="241"/>
      <c r="S38" s="241"/>
      <c r="T38" s="252">
        <f>SUMIF(V6:V32,V38,T6:T32)</f>
        <v>0</v>
      </c>
      <c r="U38" s="252">
        <f>IF(T38&gt;5000,T38*0.875,T38)</f>
        <v>0</v>
      </c>
      <c r="V38" s="216" t="s">
        <v>41</v>
      </c>
    </row>
    <row r="39" spans="1:28" s="176" customFormat="1">
      <c r="B39" s="178" t="s">
        <v>88</v>
      </c>
      <c r="C39" s="179"/>
      <c r="D39" s="241"/>
      <c r="E39" s="271">
        <f>J33+N33+O33</f>
        <v>1783382.8199999998</v>
      </c>
      <c r="G39" s="241"/>
      <c r="H39" s="207"/>
      <c r="L39" s="241"/>
      <c r="M39" s="241"/>
      <c r="N39" s="241"/>
      <c r="P39" s="241"/>
      <c r="Q39" s="241"/>
      <c r="R39" s="241"/>
      <c r="S39" s="241"/>
      <c r="T39" s="253">
        <f>SUM(T36:T38)</f>
        <v>2158.9915057377739</v>
      </c>
      <c r="U39" s="253">
        <f>SUM(U36:U38)</f>
        <v>2158.9915057377739</v>
      </c>
      <c r="V39" s="285" t="s">
        <v>214</v>
      </c>
    </row>
    <row r="40" spans="1:28" s="176" customFormat="1">
      <c r="B40" s="178" t="s">
        <v>89</v>
      </c>
      <c r="C40" s="177"/>
      <c r="D40" s="241"/>
      <c r="E40" s="177">
        <f>E39/E38*1.005</f>
        <v>6.1588800015092211</v>
      </c>
      <c r="G40" s="241"/>
      <c r="H40" s="207"/>
      <c r="J40" s="241"/>
      <c r="L40" s="241"/>
      <c r="M40" s="241"/>
      <c r="N40" s="241"/>
      <c r="P40" s="241"/>
      <c r="Q40" s="241"/>
      <c r="R40" s="241"/>
      <c r="S40" s="241"/>
      <c r="T40" s="241"/>
      <c r="U40" s="241"/>
    </row>
    <row r="42" spans="1:28" s="307" customFormat="1">
      <c r="A42" s="175"/>
      <c r="B42" s="303" t="s">
        <v>217</v>
      </c>
      <c r="C42" s="304"/>
      <c r="D42" s="305"/>
      <c r="E42" s="305"/>
      <c r="F42" s="304"/>
      <c r="G42" s="305"/>
      <c r="H42" s="306"/>
      <c r="I42" s="304"/>
      <c r="J42" s="305"/>
      <c r="K42" s="176"/>
      <c r="L42" s="305"/>
      <c r="M42" s="305"/>
      <c r="N42" s="305"/>
      <c r="O42" s="304"/>
      <c r="P42" s="305"/>
      <c r="Q42" s="305"/>
      <c r="R42" s="305"/>
      <c r="S42" s="305"/>
      <c r="T42" s="305"/>
      <c r="U42" s="305"/>
      <c r="V42" s="304"/>
      <c r="W42" s="304"/>
      <c r="X42" s="304"/>
      <c r="Y42" s="304"/>
      <c r="Z42" s="304"/>
      <c r="AA42" s="304"/>
      <c r="AB42" s="304"/>
    </row>
    <row r="45" spans="1:28">
      <c r="G45" s="242"/>
    </row>
  </sheetData>
  <sheetProtection algorithmName="SHA-512" hashValue="DVHpr3phhC7ly6lg3BcOfRSQJgUWQL3ut+hEOaLorDxnufDTqs2+nEE8fyAV6yKmbPpEfndrSCJwww5Zhl8C4w==" saltValue="yTArEedFtt7KcbIFSqMsHg==" spinCount="100000" sheet="1" objects="1" scenarios="1"/>
  <autoFilter ref="B5:Z33" xr:uid="{00000000-0009-0000-0000-000004000000}"/>
  <mergeCells count="1">
    <mergeCell ref="A33:C33"/>
  </mergeCells>
  <phoneticPr fontId="42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68"/>
  <sheetViews>
    <sheetView showGridLines="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D67" sqref="D67"/>
    </sheetView>
  </sheetViews>
  <sheetFormatPr defaultColWidth="9" defaultRowHeight="15" outlineLevelRow="2"/>
  <cols>
    <col min="1" max="1" width="11.5703125" style="225" hidden="1" customWidth="1"/>
    <col min="2" max="2" width="10.28515625" style="225" customWidth="1"/>
    <col min="3" max="3" width="9.140625" style="225" customWidth="1"/>
    <col min="4" max="4" width="12.140625" style="308" customWidth="1"/>
    <col min="5" max="5" width="12.85546875" style="308" customWidth="1"/>
    <col min="6" max="6" width="8.7109375" style="225" customWidth="1"/>
    <col min="7" max="7" width="12.5703125" style="308" customWidth="1"/>
    <col min="8" max="8" width="6.140625" style="339" customWidth="1"/>
    <col min="9" max="9" width="11.5703125" style="441" customWidth="1"/>
    <col min="10" max="10" width="12.7109375" style="308" customWidth="1"/>
    <col min="11" max="11" width="9.7109375" style="407" customWidth="1"/>
    <col min="12" max="12" width="8.85546875" style="308" customWidth="1"/>
    <col min="13" max="13" width="12.42578125" style="308" customWidth="1"/>
    <col min="14" max="14" width="11" style="308" customWidth="1"/>
    <col min="15" max="15" width="7.85546875" style="225" customWidth="1"/>
    <col min="16" max="16" width="7.42578125" style="308" customWidth="1"/>
    <col min="17" max="17" width="8.85546875" style="308" customWidth="1"/>
    <col min="18" max="18" width="6.5703125" style="308" customWidth="1"/>
    <col min="19" max="19" width="11.7109375" style="308" customWidth="1"/>
    <col min="20" max="20" width="8.5703125" style="308" customWidth="1"/>
    <col min="21" max="21" width="10.28515625" style="308" customWidth="1"/>
    <col min="22" max="22" width="13.5703125" style="308" customWidth="1"/>
    <col min="23" max="23" width="7.7109375" style="225" customWidth="1"/>
    <col min="24" max="24" width="14.42578125" style="225" customWidth="1"/>
    <col min="25" max="26" width="5.5703125" style="225" customWidth="1"/>
    <col min="27" max="16384" width="9" style="225"/>
  </cols>
  <sheetData>
    <row r="1" spans="1:26" s="315" customFormat="1" ht="18" customHeight="1">
      <c r="B1" s="309"/>
      <c r="C1" s="309"/>
      <c r="D1" s="310"/>
      <c r="E1" s="310"/>
      <c r="F1" s="310"/>
      <c r="G1" s="310" t="s">
        <v>218</v>
      </c>
      <c r="H1" s="311" t="s">
        <v>219</v>
      </c>
      <c r="I1" s="435" t="s">
        <v>220</v>
      </c>
      <c r="J1" s="309" t="s">
        <v>221</v>
      </c>
      <c r="K1" s="310"/>
      <c r="L1" s="310" t="s">
        <v>222</v>
      </c>
      <c r="M1" s="310" t="s">
        <v>223</v>
      </c>
      <c r="N1" s="312" t="s">
        <v>224</v>
      </c>
      <c r="O1" s="312" t="s">
        <v>225</v>
      </c>
      <c r="P1" s="416" t="s">
        <v>253</v>
      </c>
      <c r="Q1" s="384" t="s">
        <v>282</v>
      </c>
      <c r="R1" s="313" t="s">
        <v>226</v>
      </c>
      <c r="S1" s="313" t="s">
        <v>307</v>
      </c>
      <c r="T1" s="313" t="s">
        <v>308</v>
      </c>
      <c r="U1" s="313" t="s">
        <v>315</v>
      </c>
      <c r="V1" s="313" t="s">
        <v>309</v>
      </c>
      <c r="W1" s="314"/>
      <c r="X1" s="309"/>
      <c r="Y1" s="313" t="s">
        <v>305</v>
      </c>
      <c r="Z1" s="313" t="s">
        <v>306</v>
      </c>
    </row>
    <row r="2" spans="1:26" s="318" customFormat="1" ht="38.25">
      <c r="A2" s="316" t="s">
        <v>227</v>
      </c>
      <c r="B2" s="302" t="s">
        <v>1</v>
      </c>
      <c r="C2" s="317" t="s">
        <v>2</v>
      </c>
      <c r="D2" s="396" t="s">
        <v>3</v>
      </c>
      <c r="E2" s="408" t="s">
        <v>228</v>
      </c>
      <c r="F2" s="349" t="s">
        <v>254</v>
      </c>
      <c r="G2" s="411" t="s">
        <v>255</v>
      </c>
      <c r="H2" s="409" t="s">
        <v>256</v>
      </c>
      <c r="I2" s="436" t="s">
        <v>257</v>
      </c>
      <c r="J2" s="401" t="s">
        <v>5</v>
      </c>
      <c r="K2" s="402" t="s">
        <v>302</v>
      </c>
      <c r="L2" s="396" t="s">
        <v>7</v>
      </c>
      <c r="M2" s="408" t="s">
        <v>229</v>
      </c>
      <c r="N2" s="396" t="s">
        <v>8</v>
      </c>
      <c r="O2" s="396" t="s">
        <v>9</v>
      </c>
      <c r="P2" s="410" t="s">
        <v>258</v>
      </c>
      <c r="Q2" s="410" t="s">
        <v>259</v>
      </c>
      <c r="R2" s="410" t="s">
        <v>260</v>
      </c>
      <c r="S2" s="410" t="s">
        <v>261</v>
      </c>
      <c r="T2" s="414" t="s">
        <v>304</v>
      </c>
      <c r="U2" s="410" t="s">
        <v>262</v>
      </c>
      <c r="V2" s="410" t="s">
        <v>263</v>
      </c>
      <c r="W2" s="317" t="s">
        <v>11</v>
      </c>
      <c r="X2" s="316" t="s">
        <v>10</v>
      </c>
      <c r="Y2" s="317" t="s">
        <v>12</v>
      </c>
      <c r="Z2" s="316" t="s">
        <v>139</v>
      </c>
    </row>
    <row r="3" spans="1:26" s="328" customFormat="1" ht="12.75" outlineLevel="2">
      <c r="A3" s="412"/>
      <c r="B3" s="319"/>
      <c r="C3" s="320" t="s">
        <v>230</v>
      </c>
      <c r="D3" s="350"/>
      <c r="E3" s="350"/>
      <c r="F3" s="203">
        <v>20180208</v>
      </c>
      <c r="G3" s="350">
        <v>3415.88</v>
      </c>
      <c r="H3" s="206">
        <f>G3/G6</f>
        <v>9.325679964508754E-2</v>
      </c>
      <c r="I3" s="437">
        <f>VLOOKUP(F3,汇率!$B$3:F41,5,0)</f>
        <v>6.3</v>
      </c>
      <c r="J3" s="321"/>
      <c r="K3" s="403" t="s">
        <v>300</v>
      </c>
      <c r="L3" s="243">
        <f>H3*L6</f>
        <v>210.76036719789784</v>
      </c>
      <c r="M3" s="322">
        <f>G3-L3</f>
        <v>3205.1196328021024</v>
      </c>
      <c r="N3" s="323"/>
      <c r="O3" s="323"/>
      <c r="P3" s="324"/>
      <c r="Q3" s="254">
        <f>IF(K3="N",I3*1.16/(1.16-0.09)-0.3,IF(K3=0,"错误",IF(G3&gt;K3,K3/G3*(I3*1.16/(1.16-0.13)-0.3)+(1-K3/G3)*(I3*1.16/(1.16-0.09)-0.3),"提醒")))</f>
        <v>6.5299065420560751</v>
      </c>
      <c r="R3" s="325"/>
      <c r="S3" s="326"/>
      <c r="T3" s="326"/>
      <c r="U3" s="326"/>
      <c r="V3" s="326"/>
      <c r="W3" s="350" t="s">
        <v>18</v>
      </c>
      <c r="X3" s="351" t="s">
        <v>250</v>
      </c>
      <c r="Y3" s="327">
        <v>0.1</v>
      </c>
      <c r="Z3" s="327">
        <v>0.25</v>
      </c>
    </row>
    <row r="4" spans="1:26" s="328" customFormat="1" ht="12.75" outlineLevel="2">
      <c r="A4" s="413"/>
      <c r="B4" s="319"/>
      <c r="C4" s="320" t="s">
        <v>230</v>
      </c>
      <c r="D4" s="350"/>
      <c r="E4" s="350"/>
      <c r="F4" s="203">
        <v>20180410</v>
      </c>
      <c r="G4" s="350">
        <v>17079.38</v>
      </c>
      <c r="H4" s="206">
        <f>G4/G6</f>
        <v>0.46628345220625877</v>
      </c>
      <c r="I4" s="437">
        <v>6.29</v>
      </c>
      <c r="J4" s="321"/>
      <c r="K4" s="403" t="s">
        <v>300</v>
      </c>
      <c r="L4" s="243">
        <f>H4*L6</f>
        <v>1053.8006019861448</v>
      </c>
      <c r="M4" s="322">
        <f t="shared" ref="M4:M54" si="0">G4-L4</f>
        <v>16025.579398013857</v>
      </c>
      <c r="N4" s="323"/>
      <c r="O4" s="323"/>
      <c r="P4" s="324"/>
      <c r="Q4" s="254">
        <f t="shared" ref="Q4:Q5" si="1">IF(K4="N",I4*1.16/(1.16-0.09)-0.3,IF(K4=0,"错误",IF(G4&gt;K4,K4/G4*(I4*1.16/(1.16-0.13)-0.3)+(1-K4/G4)*(I4*1.16/(1.16-0.09)-0.3),"提醒")))</f>
        <v>6.5190654205607483</v>
      </c>
      <c r="R4" s="325"/>
      <c r="S4" s="326"/>
      <c r="T4" s="326"/>
      <c r="U4" s="326"/>
      <c r="V4" s="326"/>
      <c r="W4" s="350" t="s">
        <v>18</v>
      </c>
      <c r="X4" s="351" t="s">
        <v>250</v>
      </c>
      <c r="Y4" s="327">
        <v>0.1</v>
      </c>
      <c r="Z4" s="327">
        <v>0.25</v>
      </c>
    </row>
    <row r="5" spans="1:26" s="328" customFormat="1" ht="12.75" outlineLevel="2">
      <c r="B5" s="353"/>
      <c r="C5" s="320" t="s">
        <v>230</v>
      </c>
      <c r="D5" s="350">
        <v>33478.75</v>
      </c>
      <c r="E5" s="350">
        <f>SUMIF(C1:C45,C5,G1:G45)</f>
        <v>36628.75</v>
      </c>
      <c r="F5" s="203">
        <v>20180515</v>
      </c>
      <c r="G5" s="350">
        <v>16133.49</v>
      </c>
      <c r="H5" s="206">
        <f>G5/G6</f>
        <v>0.44045974814865374</v>
      </c>
      <c r="I5" s="437">
        <v>6.34</v>
      </c>
      <c r="J5" s="321"/>
      <c r="K5" s="403" t="s">
        <v>300</v>
      </c>
      <c r="L5" s="243">
        <f>H5*L6</f>
        <v>995.43903081595749</v>
      </c>
      <c r="M5" s="322">
        <f t="shared" si="0"/>
        <v>15138.050969184042</v>
      </c>
      <c r="N5" s="323"/>
      <c r="O5" s="323"/>
      <c r="P5" s="324"/>
      <c r="Q5" s="254">
        <f t="shared" si="1"/>
        <v>6.5732710280373832</v>
      </c>
      <c r="R5" s="325"/>
      <c r="S5" s="326"/>
      <c r="T5" s="326"/>
      <c r="U5" s="326"/>
      <c r="V5" s="326"/>
      <c r="W5" s="350" t="s">
        <v>18</v>
      </c>
      <c r="X5" s="351" t="s">
        <v>250</v>
      </c>
      <c r="Y5" s="327">
        <v>0.1</v>
      </c>
      <c r="Z5" s="327">
        <v>0.25</v>
      </c>
    </row>
    <row r="6" spans="1:26" s="328" customFormat="1" ht="12.75" outlineLevel="1">
      <c r="A6" s="219">
        <v>43221</v>
      </c>
      <c r="B6" s="219">
        <v>43132</v>
      </c>
      <c r="C6" s="364" t="s">
        <v>267</v>
      </c>
      <c r="D6" s="365">
        <f>SUBTOTAL(9,D3:D5)</f>
        <v>33478.75</v>
      </c>
      <c r="E6" s="365">
        <f>SUBTOTAL(9,E3:E5)</f>
        <v>36628.75</v>
      </c>
      <c r="F6" s="211"/>
      <c r="G6" s="365">
        <f>SUBTOTAL(9,G3:G5)</f>
        <v>36628.75</v>
      </c>
      <c r="H6" s="366"/>
      <c r="I6" s="438"/>
      <c r="J6" s="367">
        <v>176419.08</v>
      </c>
      <c r="K6" s="404"/>
      <c r="L6" s="368">
        <v>2260</v>
      </c>
      <c r="M6" s="368">
        <f>SUBTOTAL(9,M3:M5)</f>
        <v>34368.75</v>
      </c>
      <c r="N6" s="369">
        <v>6119</v>
      </c>
      <c r="O6" s="369"/>
      <c r="P6" s="255">
        <f t="shared" ref="P6" si="2">SUM(J6,N6,O6)/M6*1.005</f>
        <v>5.3377201789416251</v>
      </c>
      <c r="Q6" s="255">
        <f>Q3*H3+Q4*H4+Q5*H5</f>
        <v>6.5439518170733697</v>
      </c>
      <c r="R6" s="256">
        <f>VLOOKUP(B6,下单月成本!$A$2:$B$13,2,0)</f>
        <v>0.7</v>
      </c>
      <c r="S6" s="252">
        <f>M6*(Q6-P6-R6)*Y6*Z6</f>
        <v>434.96371532601</v>
      </c>
      <c r="T6" s="252"/>
      <c r="U6" s="252">
        <f>S6*0.7+T6</f>
        <v>304.47460072820701</v>
      </c>
      <c r="V6" s="252">
        <f>IF(SUMIF(W2:W28,W6,U2:U28)&gt;5000,U6*0.875,U6)</f>
        <v>304.47460072820701</v>
      </c>
      <c r="W6" s="365" t="str">
        <f>W5</f>
        <v>Stephen</v>
      </c>
      <c r="X6" s="365" t="str">
        <f t="shared" ref="X6:Z6" si="3">X5</f>
        <v>ABLE SCAFFOLD, LLC</v>
      </c>
      <c r="Y6" s="370">
        <f t="shared" si="3"/>
        <v>0.1</v>
      </c>
      <c r="Z6" s="370">
        <f t="shared" si="3"/>
        <v>0.25</v>
      </c>
    </row>
    <row r="7" spans="1:26" s="328" customFormat="1" ht="12.75" outlineLevel="2">
      <c r="B7" s="353"/>
      <c r="C7" s="320" t="s">
        <v>231</v>
      </c>
      <c r="D7" s="350"/>
      <c r="E7" s="350"/>
      <c r="F7" s="203">
        <v>20180308</v>
      </c>
      <c r="G7" s="350">
        <v>3160.37</v>
      </c>
      <c r="H7" s="206">
        <f>G7/G10</f>
        <v>0.11031595187855496</v>
      </c>
      <c r="I7" s="437">
        <v>6.32</v>
      </c>
      <c r="J7" s="321"/>
      <c r="K7" s="403" t="s">
        <v>300</v>
      </c>
      <c r="L7" s="243">
        <f>H7*L10</f>
        <v>226.14770135103768</v>
      </c>
      <c r="M7" s="322">
        <f t="shared" si="0"/>
        <v>2934.2222986489624</v>
      </c>
      <c r="N7" s="323"/>
      <c r="O7" s="323"/>
      <c r="P7" s="324"/>
      <c r="Q7" s="254">
        <f t="shared" ref="Q7:Q9" si="4">IF(K7="N",I7*1.16/(1.16-0.09)-0.3,IF(K7=0,"错误",IF(G7&gt;K7,K7/G7*(I7*1.16/(1.16-0.13)-0.3)+(1-K7/G7)*(I7*1.16/(1.16-0.09)-0.3),"提醒")))</f>
        <v>6.5515887850467305</v>
      </c>
      <c r="R7" s="325"/>
      <c r="S7" s="326"/>
      <c r="T7" s="326"/>
      <c r="U7" s="326"/>
      <c r="V7" s="326"/>
      <c r="W7" s="350" t="s">
        <v>18</v>
      </c>
      <c r="X7" s="351" t="s">
        <v>250</v>
      </c>
      <c r="Y7" s="327">
        <v>0.1</v>
      </c>
      <c r="Z7" s="327">
        <v>0.25</v>
      </c>
    </row>
    <row r="8" spans="1:26" s="328" customFormat="1" ht="12.75" outlineLevel="2">
      <c r="B8" s="353"/>
      <c r="C8" s="320" t="s">
        <v>231</v>
      </c>
      <c r="D8" s="350"/>
      <c r="E8" s="350"/>
      <c r="F8" s="203">
        <v>20180402</v>
      </c>
      <c r="G8" s="350">
        <v>15257.45</v>
      </c>
      <c r="H8" s="206">
        <f>G8/G10</f>
        <v>0.53257691978770161</v>
      </c>
      <c r="I8" s="437">
        <v>6.27</v>
      </c>
      <c r="J8" s="321"/>
      <c r="K8" s="403" t="s">
        <v>300</v>
      </c>
      <c r="L8" s="243">
        <f>H8*L10</f>
        <v>1091.7826855647884</v>
      </c>
      <c r="M8" s="322">
        <f t="shared" si="0"/>
        <v>14165.667314435212</v>
      </c>
      <c r="N8" s="323"/>
      <c r="O8" s="323"/>
      <c r="P8" s="324"/>
      <c r="Q8" s="254">
        <f t="shared" si="4"/>
        <v>6.4973831775700939</v>
      </c>
      <c r="R8" s="325"/>
      <c r="S8" s="326"/>
      <c r="T8" s="326"/>
      <c r="U8" s="326"/>
      <c r="V8" s="326"/>
      <c r="W8" s="350" t="s">
        <v>18</v>
      </c>
      <c r="X8" s="351" t="s">
        <v>250</v>
      </c>
      <c r="Y8" s="327">
        <v>0.1</v>
      </c>
      <c r="Z8" s="327">
        <v>0.25</v>
      </c>
    </row>
    <row r="9" spans="1:26" s="328" customFormat="1" ht="12.75" outlineLevel="2">
      <c r="B9" s="353"/>
      <c r="C9" s="320" t="s">
        <v>231</v>
      </c>
      <c r="D9" s="352">
        <v>29998</v>
      </c>
      <c r="E9" s="352">
        <f>SUMIF(C2:C49,C9,G2:G49)</f>
        <v>28648.35</v>
      </c>
      <c r="F9" s="203">
        <v>20180507</v>
      </c>
      <c r="G9" s="350">
        <v>10230.529999999999</v>
      </c>
      <c r="H9" s="206">
        <f>G9/G10</f>
        <v>0.35710712833374347</v>
      </c>
      <c r="I9" s="437">
        <v>6.35</v>
      </c>
      <c r="J9" s="321"/>
      <c r="K9" s="403" t="s">
        <v>300</v>
      </c>
      <c r="L9" s="243">
        <f>H9*L10</f>
        <v>732.06961308417408</v>
      </c>
      <c r="M9" s="322">
        <f t="shared" si="0"/>
        <v>9498.4603869158254</v>
      </c>
      <c r="N9" s="323"/>
      <c r="O9" s="323"/>
      <c r="P9" s="324"/>
      <c r="Q9" s="254">
        <f t="shared" si="4"/>
        <v>6.58411214953271</v>
      </c>
      <c r="R9" s="325"/>
      <c r="S9" s="326"/>
      <c r="T9" s="326"/>
      <c r="U9" s="326"/>
      <c r="V9" s="326"/>
      <c r="W9" s="350" t="s">
        <v>18</v>
      </c>
      <c r="X9" s="351" t="s">
        <v>250</v>
      </c>
      <c r="Y9" s="327">
        <v>0.1</v>
      </c>
      <c r="Z9" s="327">
        <v>0.25</v>
      </c>
    </row>
    <row r="10" spans="1:26" s="328" customFormat="1" ht="12.75" outlineLevel="1">
      <c r="A10" s="219">
        <v>43221</v>
      </c>
      <c r="B10" s="219">
        <v>43160</v>
      </c>
      <c r="C10" s="364" t="s">
        <v>268</v>
      </c>
      <c r="D10" s="365">
        <f>SUBTOTAL(9,D7:D9)</f>
        <v>29998</v>
      </c>
      <c r="E10" s="365">
        <f>SUBTOTAL(9,E7:E9)</f>
        <v>28648.35</v>
      </c>
      <c r="F10" s="211"/>
      <c r="G10" s="365">
        <f>SUBTOTAL(9,G7:G9)</f>
        <v>28648.35</v>
      </c>
      <c r="H10" s="366"/>
      <c r="I10" s="438"/>
      <c r="J10" s="367">
        <f>267357.5-123197.5</f>
        <v>144160</v>
      </c>
      <c r="K10" s="404"/>
      <c r="L10" s="368">
        <v>2050</v>
      </c>
      <c r="M10" s="368">
        <f>SUBTOTAL(9,M7:M9)</f>
        <v>26598.35</v>
      </c>
      <c r="N10" s="369">
        <v>3848</v>
      </c>
      <c r="O10" s="369"/>
      <c r="P10" s="255">
        <f t="shared" ref="P10" si="5">SUM(J10,N10,O10)/M10*1.005</f>
        <v>5.5923784746046268</v>
      </c>
      <c r="Q10" s="255">
        <f>Q7*H7+Q8*H8+Q9*H9</f>
        <v>6.5343344548769426</v>
      </c>
      <c r="R10" s="256">
        <f>VLOOKUP(B10,下单月成本!$A$2:$B$13,2,0)</f>
        <v>0.55000000000000004</v>
      </c>
      <c r="S10" s="252">
        <f>M10*(Q10-P10-R10)*Y10*Z10</f>
        <v>260.63455869690381</v>
      </c>
      <c r="T10" s="252"/>
      <c r="U10" s="252">
        <f>S10*0.7+T10</f>
        <v>182.44419108783265</v>
      </c>
      <c r="V10" s="252">
        <f>IF(SUMIF(W6:W32,W10,U6:U32)&gt;5000,U10*0.875,U10)</f>
        <v>182.44419108783265</v>
      </c>
      <c r="W10" s="365" t="str">
        <f>W9</f>
        <v>Stephen</v>
      </c>
      <c r="X10" s="365" t="str">
        <f t="shared" ref="X10" si="6">X9</f>
        <v>ABLE SCAFFOLD, LLC</v>
      </c>
      <c r="Y10" s="370">
        <f t="shared" ref="Y10" si="7">Y9</f>
        <v>0.1</v>
      </c>
      <c r="Z10" s="370">
        <f t="shared" ref="Z10" si="8">Z9</f>
        <v>0.25</v>
      </c>
    </row>
    <row r="11" spans="1:26" s="328" customFormat="1" ht="12.75" outlineLevel="2">
      <c r="B11" s="353"/>
      <c r="C11" s="320" t="s">
        <v>232</v>
      </c>
      <c r="D11" s="350"/>
      <c r="E11" s="350"/>
      <c r="F11" s="203">
        <v>20180308</v>
      </c>
      <c r="G11" s="350">
        <v>3007.73</v>
      </c>
      <c r="H11" s="206">
        <f>G11/G14</f>
        <v>9.8706332146431916E-2</v>
      </c>
      <c r="I11" s="437">
        <v>6.32</v>
      </c>
      <c r="J11" s="321"/>
      <c r="K11" s="403" t="s">
        <v>300</v>
      </c>
      <c r="L11" s="243">
        <f>H11*L14</f>
        <v>215.17980407922158</v>
      </c>
      <c r="M11" s="322">
        <f t="shared" si="0"/>
        <v>2792.5501959207786</v>
      </c>
      <c r="N11" s="323"/>
      <c r="O11" s="323"/>
      <c r="P11" s="324"/>
      <c r="Q11" s="254">
        <f t="shared" ref="Q11:Q13" si="9">IF(K11="N",I11*1.16/(1.16-0.09)-0.3,IF(K11=0,"错误",IF(G11&gt;K11,K11/G11*(I11*1.16/(1.16-0.13)-0.3)+(1-K11/G11)*(I11*1.16/(1.16-0.09)-0.3),"提醒")))</f>
        <v>6.5515887850467305</v>
      </c>
      <c r="R11" s="325" t="s">
        <v>265</v>
      </c>
      <c r="S11" s="326"/>
      <c r="T11" s="326"/>
      <c r="U11" s="326"/>
      <c r="V11" s="326"/>
      <c r="W11" s="350" t="s">
        <v>18</v>
      </c>
      <c r="X11" s="351" t="s">
        <v>250</v>
      </c>
      <c r="Y11" s="327">
        <v>0.1</v>
      </c>
      <c r="Z11" s="327">
        <v>0.25</v>
      </c>
    </row>
    <row r="12" spans="1:26" s="328" customFormat="1" ht="12.75" outlineLevel="2">
      <c r="B12" s="353"/>
      <c r="C12" s="320" t="s">
        <v>232</v>
      </c>
      <c r="D12" s="350"/>
      <c r="E12" s="350"/>
      <c r="F12" s="203">
        <v>20180402</v>
      </c>
      <c r="G12" s="350">
        <v>14520.5</v>
      </c>
      <c r="H12" s="206">
        <f>G12/G14</f>
        <v>0.47652724677157343</v>
      </c>
      <c r="I12" s="437">
        <v>6.27</v>
      </c>
      <c r="J12" s="321"/>
      <c r="K12" s="403" t="s">
        <v>300</v>
      </c>
      <c r="L12" s="243">
        <f>H12*L14</f>
        <v>1038.82939796203</v>
      </c>
      <c r="M12" s="322">
        <f t="shared" si="0"/>
        <v>13481.67060203797</v>
      </c>
      <c r="N12" s="323"/>
      <c r="O12" s="323"/>
      <c r="P12" s="324"/>
      <c r="Q12" s="254">
        <f t="shared" si="9"/>
        <v>6.4973831775700939</v>
      </c>
      <c r="R12" s="325"/>
      <c r="S12" s="326"/>
      <c r="T12" s="326"/>
      <c r="U12" s="326"/>
      <c r="V12" s="326"/>
      <c r="W12" s="350" t="s">
        <v>18</v>
      </c>
      <c r="X12" s="351" t="s">
        <v>250</v>
      </c>
      <c r="Y12" s="327">
        <v>0.1</v>
      </c>
      <c r="Z12" s="327">
        <v>0.25</v>
      </c>
    </row>
    <row r="13" spans="1:26" s="328" customFormat="1" ht="12.75" outlineLevel="2">
      <c r="B13" s="353"/>
      <c r="C13" s="320" t="s">
        <v>232</v>
      </c>
      <c r="D13" s="352">
        <f>30471.5-1350</f>
        <v>29121.5</v>
      </c>
      <c r="E13" s="352">
        <f>SUMIF(C5:C54,C13,G5:G54)</f>
        <v>30471.5</v>
      </c>
      <c r="F13" s="203">
        <v>20180507</v>
      </c>
      <c r="G13" s="350">
        <v>12943.27</v>
      </c>
      <c r="H13" s="206">
        <f>G13/G14</f>
        <v>0.42476642108199464</v>
      </c>
      <c r="I13" s="437">
        <v>6.35</v>
      </c>
      <c r="J13" s="321"/>
      <c r="K13" s="403" t="s">
        <v>301</v>
      </c>
      <c r="L13" s="243">
        <f>H13*L14</f>
        <v>925.99079795874832</v>
      </c>
      <c r="M13" s="322">
        <f t="shared" si="0"/>
        <v>12017.279202041253</v>
      </c>
      <c r="N13" s="323"/>
      <c r="O13" s="323"/>
      <c r="P13" s="324"/>
      <c r="Q13" s="254">
        <f t="shared" si="9"/>
        <v>6.58411214953271</v>
      </c>
      <c r="R13" s="325"/>
      <c r="S13" s="326"/>
      <c r="T13" s="326"/>
      <c r="U13" s="326"/>
      <c r="V13" s="326"/>
      <c r="W13" s="350" t="s">
        <v>18</v>
      </c>
      <c r="X13" s="351" t="s">
        <v>250</v>
      </c>
      <c r="Y13" s="327">
        <v>0.1</v>
      </c>
      <c r="Z13" s="327">
        <v>0.25</v>
      </c>
    </row>
    <row r="14" spans="1:26" s="328" customFormat="1" ht="12.75" outlineLevel="1">
      <c r="A14" s="219">
        <v>43221</v>
      </c>
      <c r="B14" s="219">
        <v>43160</v>
      </c>
      <c r="C14" s="364" t="s">
        <v>269</v>
      </c>
      <c r="D14" s="365">
        <f>SUBTOTAL(9,D11:D13)</f>
        <v>29121.5</v>
      </c>
      <c r="E14" s="365">
        <f>SUBTOTAL(9,E11:E13)</f>
        <v>30471.5</v>
      </c>
      <c r="F14" s="211"/>
      <c r="G14" s="365">
        <f>SUBTOTAL(9,G11:G13)</f>
        <v>30471.5</v>
      </c>
      <c r="H14" s="366"/>
      <c r="I14" s="438"/>
      <c r="J14" s="367">
        <v>123197.5</v>
      </c>
      <c r="K14" s="404"/>
      <c r="L14" s="368">
        <v>2180</v>
      </c>
      <c r="M14" s="368">
        <f>SUBTOTAL(9,M11:M13)</f>
        <v>28291.5</v>
      </c>
      <c r="N14" s="369">
        <v>4092</v>
      </c>
      <c r="O14" s="369"/>
      <c r="P14" s="255">
        <f t="shared" ref="P14" si="10">SUM(J14,N14,O14)/M14*1.005</f>
        <v>4.5217096124277605</v>
      </c>
      <c r="Q14" s="255">
        <f>Q11*H11+Q12*H12+Q13*H13</f>
        <v>6.5395731692905628</v>
      </c>
      <c r="R14" s="256">
        <f>VLOOKUP(B14,下单月成本!$A$2:$B$13,2,0)</f>
        <v>0.55000000000000004</v>
      </c>
      <c r="S14" s="252">
        <f>M14*(Q14-P14-R14)*Y14*Z14</f>
        <v>1038.2015454745992</v>
      </c>
      <c r="T14" s="252"/>
      <c r="U14" s="252">
        <f>S14*0.7+T14</f>
        <v>726.74108183221938</v>
      </c>
      <c r="V14" s="252">
        <f>IF(SUMIF(W10:W36,W14,U10:U36)&gt;5000,U14*0.875,U14)</f>
        <v>726.74108183221938</v>
      </c>
      <c r="W14" s="365" t="str">
        <f>W13</f>
        <v>Stephen</v>
      </c>
      <c r="X14" s="365" t="str">
        <f t="shared" ref="X14" si="11">X13</f>
        <v>ABLE SCAFFOLD, LLC</v>
      </c>
      <c r="Y14" s="370">
        <f t="shared" ref="Y14" si="12">Y13</f>
        <v>0.1</v>
      </c>
      <c r="Z14" s="370">
        <f t="shared" ref="Z14" si="13">Z13</f>
        <v>0.25</v>
      </c>
    </row>
    <row r="15" spans="1:26" s="328" customFormat="1" ht="12.75" outlineLevel="2">
      <c r="B15" s="353"/>
      <c r="C15" s="320" t="s">
        <v>233</v>
      </c>
      <c r="D15" s="350"/>
      <c r="E15" s="350"/>
      <c r="F15" s="203">
        <v>20180308</v>
      </c>
      <c r="G15" s="350">
        <v>2943.66</v>
      </c>
      <c r="H15" s="206">
        <f>G15/G18</f>
        <v>0.10287693777148546</v>
      </c>
      <c r="I15" s="437">
        <v>6.32</v>
      </c>
      <c r="J15" s="321"/>
      <c r="K15" s="403" t="s">
        <v>300</v>
      </c>
      <c r="L15" s="243">
        <f>H15*L18</f>
        <v>229.41557123041258</v>
      </c>
      <c r="M15" s="322">
        <f t="shared" si="0"/>
        <v>2714.2444287695871</v>
      </c>
      <c r="N15" s="323"/>
      <c r="O15" s="323"/>
      <c r="P15" s="324"/>
      <c r="Q15" s="254">
        <f t="shared" ref="Q15:Q17" si="14">IF(K15="N",I15*1.16/(1.16-0.09)-0.3,IF(K15=0,"错误",IF(G15&gt;K15,K15/G15*(I15*1.16/(1.16-0.13)-0.3)+(1-K15/G15)*(I15*1.16/(1.16-0.09)-0.3),"提醒")))</f>
        <v>6.5515887850467305</v>
      </c>
      <c r="R15" s="325"/>
      <c r="S15" s="326"/>
      <c r="T15" s="326"/>
      <c r="U15" s="326"/>
      <c r="V15" s="326"/>
      <c r="W15" s="350" t="s">
        <v>18</v>
      </c>
      <c r="X15" s="351" t="s">
        <v>250</v>
      </c>
      <c r="Y15" s="327">
        <v>0.1</v>
      </c>
      <c r="Z15" s="327">
        <v>0.25</v>
      </c>
    </row>
    <row r="16" spans="1:26" s="328" customFormat="1" ht="12.75" outlineLevel="2">
      <c r="B16" s="353"/>
      <c r="C16" s="320" t="s">
        <v>233</v>
      </c>
      <c r="D16" s="350"/>
      <c r="E16" s="350"/>
      <c r="F16" s="203">
        <v>20180418</v>
      </c>
      <c r="G16" s="350">
        <v>14243.75</v>
      </c>
      <c r="H16" s="206">
        <f>G16/G18</f>
        <v>0.49779980785233219</v>
      </c>
      <c r="I16" s="437">
        <v>6.27</v>
      </c>
      <c r="J16" s="321"/>
      <c r="K16" s="403" t="s">
        <v>300</v>
      </c>
      <c r="L16" s="243">
        <f>H16*L18</f>
        <v>1110.0935715107007</v>
      </c>
      <c r="M16" s="322">
        <f t="shared" si="0"/>
        <v>13133.656428489299</v>
      </c>
      <c r="N16" s="323"/>
      <c r="O16" s="323"/>
      <c r="P16" s="324"/>
      <c r="Q16" s="254">
        <f t="shared" si="14"/>
        <v>6.4973831775700939</v>
      </c>
      <c r="R16" s="325"/>
      <c r="S16" s="326"/>
      <c r="T16" s="326"/>
      <c r="U16" s="326"/>
      <c r="V16" s="326"/>
      <c r="W16" s="350" t="s">
        <v>18</v>
      </c>
      <c r="X16" s="351" t="s">
        <v>250</v>
      </c>
      <c r="Y16" s="327">
        <v>0.1</v>
      </c>
      <c r="Z16" s="327">
        <v>0.25</v>
      </c>
    </row>
    <row r="17" spans="1:26" s="328" customFormat="1" ht="12.75" outlineLevel="2">
      <c r="B17" s="353"/>
      <c r="C17" s="320" t="s">
        <v>233</v>
      </c>
      <c r="D17" s="350">
        <v>28615</v>
      </c>
      <c r="E17" s="350">
        <f>SUMIF(C12:C57,C17,G12:G57)</f>
        <v>28613.41</v>
      </c>
      <c r="F17" s="203">
        <v>20180516</v>
      </c>
      <c r="G17" s="350">
        <v>11426</v>
      </c>
      <c r="H17" s="206">
        <f>G17/G18</f>
        <v>0.39932325437618238</v>
      </c>
      <c r="I17" s="437">
        <v>6.36</v>
      </c>
      <c r="J17" s="321"/>
      <c r="K17" s="403" t="s">
        <v>300</v>
      </c>
      <c r="L17" s="243">
        <f>H17*L18</f>
        <v>890.49085725888676</v>
      </c>
      <c r="M17" s="322">
        <f t="shared" si="0"/>
        <v>10535.509142741113</v>
      </c>
      <c r="N17" s="323">
        <v>5520</v>
      </c>
      <c r="O17" s="323"/>
      <c r="P17" s="324"/>
      <c r="Q17" s="254">
        <f t="shared" si="14"/>
        <v>6.5949532710280385</v>
      </c>
      <c r="R17" s="325"/>
      <c r="S17" s="326"/>
      <c r="T17" s="326"/>
      <c r="U17" s="326"/>
      <c r="V17" s="326"/>
      <c r="W17" s="350" t="s">
        <v>18</v>
      </c>
      <c r="X17" s="351" t="s">
        <v>250</v>
      </c>
      <c r="Y17" s="327">
        <v>0.1</v>
      </c>
      <c r="Z17" s="327">
        <v>0.25</v>
      </c>
    </row>
    <row r="18" spans="1:26" s="328" customFormat="1" ht="12.75" outlineLevel="1">
      <c r="A18" s="219">
        <v>43221</v>
      </c>
      <c r="B18" s="219">
        <v>43160</v>
      </c>
      <c r="C18" s="364" t="s">
        <v>270</v>
      </c>
      <c r="D18" s="365">
        <f>SUBTOTAL(9,D15:D17)</f>
        <v>28615</v>
      </c>
      <c r="E18" s="365">
        <f>SUBTOTAL(9,E15:E17)</f>
        <v>28613.41</v>
      </c>
      <c r="F18" s="211"/>
      <c r="G18" s="365">
        <f>SUBTOTAL(9,G15:G17)</f>
        <v>28613.41</v>
      </c>
      <c r="H18" s="366"/>
      <c r="I18" s="438"/>
      <c r="J18" s="367">
        <v>130490</v>
      </c>
      <c r="K18" s="404"/>
      <c r="L18" s="368">
        <v>2230</v>
      </c>
      <c r="M18" s="368">
        <f>SUBTOTAL(9,M15:M17)</f>
        <v>26383.41</v>
      </c>
      <c r="N18" s="369">
        <v>5520</v>
      </c>
      <c r="O18" s="369"/>
      <c r="P18" s="255">
        <f t="shared" ref="P18" si="15">SUM(J18,N18,O18)/M18*1.005</f>
        <v>5.1809091394933402</v>
      </c>
      <c r="Q18" s="255">
        <f>Q15*H15+Q16*H16+Q17*H17</f>
        <v>6.5419216917267482</v>
      </c>
      <c r="R18" s="256">
        <f>VLOOKUP(B18,下单月成本!$A$2:$B$13,2,0)</f>
        <v>0.55000000000000004</v>
      </c>
      <c r="S18" s="252">
        <f>M18*(Q18-P18-R18)*Y18*Z18</f>
        <v>534.93191701801049</v>
      </c>
      <c r="T18" s="252"/>
      <c r="U18" s="252">
        <f>S18*0.7+T18</f>
        <v>374.45234191260732</v>
      </c>
      <c r="V18" s="252">
        <f>IF(SUMIF(W14:W40,W18,U14:U40)&gt;5000,U18*0.875,U18)</f>
        <v>374.45234191260732</v>
      </c>
      <c r="W18" s="365" t="str">
        <f>W17</f>
        <v>Stephen</v>
      </c>
      <c r="X18" s="365" t="str">
        <f t="shared" ref="X18" si="16">X17</f>
        <v>ABLE SCAFFOLD, LLC</v>
      </c>
      <c r="Y18" s="370">
        <f t="shared" ref="Y18" si="17">Y17</f>
        <v>0.1</v>
      </c>
      <c r="Z18" s="370">
        <f t="shared" ref="Z18" si="18">Z17</f>
        <v>0.25</v>
      </c>
    </row>
    <row r="19" spans="1:26" s="328" customFormat="1" ht="12.75" outlineLevel="2">
      <c r="B19" s="353"/>
      <c r="C19" s="320" t="s">
        <v>234</v>
      </c>
      <c r="D19" s="350"/>
      <c r="E19" s="350"/>
      <c r="F19" s="203">
        <v>20180308</v>
      </c>
      <c r="G19" s="350">
        <v>3451.39</v>
      </c>
      <c r="H19" s="206">
        <f>G19/G22</f>
        <v>0.10067280688756372</v>
      </c>
      <c r="I19" s="437">
        <v>6.32</v>
      </c>
      <c r="J19" s="321"/>
      <c r="K19" s="403" t="s">
        <v>300</v>
      </c>
      <c r="L19" s="243">
        <f>H19*L22</f>
        <v>229.53399970364529</v>
      </c>
      <c r="M19" s="322">
        <f t="shared" si="0"/>
        <v>3221.8560002963545</v>
      </c>
      <c r="N19" s="323"/>
      <c r="O19" s="323"/>
      <c r="P19" s="324"/>
      <c r="Q19" s="254">
        <f t="shared" ref="Q19:Q21" si="19">IF(K19="N",I19*1.16/(1.16-0.09)-0.3,IF(K19=0,"错误",IF(G19&gt;K19,K19/G19*(I19*1.16/(1.16-0.13)-0.3)+(1-K19/G19)*(I19*1.16/(1.16-0.09)-0.3),"提醒")))</f>
        <v>6.5515887850467305</v>
      </c>
      <c r="R19" s="325"/>
      <c r="S19" s="326"/>
      <c r="T19" s="326"/>
      <c r="U19" s="326"/>
      <c r="V19" s="326"/>
      <c r="W19" s="350" t="s">
        <v>18</v>
      </c>
      <c r="X19" s="351" t="s">
        <v>250</v>
      </c>
      <c r="Y19" s="327">
        <v>0.1</v>
      </c>
      <c r="Z19" s="327">
        <v>0.25</v>
      </c>
    </row>
    <row r="20" spans="1:26" s="328" customFormat="1" ht="12.75" outlineLevel="2">
      <c r="B20" s="353"/>
      <c r="C20" s="320" t="s">
        <v>234</v>
      </c>
      <c r="D20" s="350"/>
      <c r="E20" s="350"/>
      <c r="F20" s="203">
        <v>20180424</v>
      </c>
      <c r="G20" s="350">
        <v>17190.849999999999</v>
      </c>
      <c r="H20" s="206">
        <f>G20/G22</f>
        <v>0.50143597862979106</v>
      </c>
      <c r="I20" s="437">
        <v>6.3</v>
      </c>
      <c r="J20" s="321"/>
      <c r="K20" s="403" t="s">
        <v>300</v>
      </c>
      <c r="L20" s="243">
        <f>H20*L22</f>
        <v>1143.2740312759236</v>
      </c>
      <c r="M20" s="322">
        <f t="shared" si="0"/>
        <v>16047.575968724075</v>
      </c>
      <c r="N20" s="323"/>
      <c r="O20" s="323"/>
      <c r="P20" s="324"/>
      <c r="Q20" s="254">
        <f t="shared" si="19"/>
        <v>6.5299065420560751</v>
      </c>
      <c r="R20" s="325"/>
      <c r="S20" s="326"/>
      <c r="T20" s="326"/>
      <c r="U20" s="326"/>
      <c r="V20" s="326"/>
      <c r="W20" s="350" t="s">
        <v>18</v>
      </c>
      <c r="X20" s="351" t="s">
        <v>250</v>
      </c>
      <c r="Y20" s="327">
        <v>0.1</v>
      </c>
      <c r="Z20" s="327">
        <v>0.25</v>
      </c>
    </row>
    <row r="21" spans="1:26" s="328" customFormat="1" ht="12.75" outlineLevel="2">
      <c r="B21" s="353"/>
      <c r="C21" s="320" t="s">
        <v>234</v>
      </c>
      <c r="D21" s="350">
        <v>34135</v>
      </c>
      <c r="E21" s="350">
        <f>SUMIF(C16:C58,C21,G16:G58)</f>
        <v>34283.24</v>
      </c>
      <c r="F21" s="203">
        <v>20180530</v>
      </c>
      <c r="G21" s="350">
        <v>13641</v>
      </c>
      <c r="H21" s="206">
        <f>G21/G22</f>
        <v>0.39789121448264519</v>
      </c>
      <c r="I21" s="437">
        <v>6.41</v>
      </c>
      <c r="J21" s="321"/>
      <c r="K21" s="403" t="s">
        <v>300</v>
      </c>
      <c r="L21" s="243">
        <f>H21*L22</f>
        <v>907.19196902043109</v>
      </c>
      <c r="M21" s="322">
        <f t="shared" si="0"/>
        <v>12733.80803097957</v>
      </c>
      <c r="N21" s="323">
        <v>5670</v>
      </c>
      <c r="O21" s="323"/>
      <c r="P21" s="324"/>
      <c r="Q21" s="254">
        <f t="shared" si="19"/>
        <v>6.6491588785046742</v>
      </c>
      <c r="R21" s="325"/>
      <c r="S21" s="326"/>
      <c r="T21" s="326"/>
      <c r="U21" s="326"/>
      <c r="V21" s="326"/>
      <c r="W21" s="350" t="s">
        <v>18</v>
      </c>
      <c r="X21" s="351" t="s">
        <v>250</v>
      </c>
      <c r="Y21" s="327">
        <v>0.1</v>
      </c>
      <c r="Z21" s="327">
        <v>0.25</v>
      </c>
    </row>
    <row r="22" spans="1:26" s="328" customFormat="1" ht="12.75" outlineLevel="1">
      <c r="A22" s="219">
        <v>43221</v>
      </c>
      <c r="B22" s="219">
        <v>43160</v>
      </c>
      <c r="C22" s="364" t="s">
        <v>271</v>
      </c>
      <c r="D22" s="365">
        <f>SUBTOTAL(9,D19:D21)</f>
        <v>34135</v>
      </c>
      <c r="E22" s="365">
        <f>SUBTOTAL(9,E19:E21)</f>
        <v>34283.24</v>
      </c>
      <c r="F22" s="211"/>
      <c r="G22" s="365">
        <f>SUBTOTAL(9,G19:G21)</f>
        <v>34283.24</v>
      </c>
      <c r="H22" s="366"/>
      <c r="I22" s="438"/>
      <c r="J22" s="367">
        <v>151362.5</v>
      </c>
      <c r="K22" s="404"/>
      <c r="L22" s="368">
        <v>2280</v>
      </c>
      <c r="M22" s="368">
        <f>SUBTOTAL(9,M19:M21)</f>
        <v>32003.239999999998</v>
      </c>
      <c r="N22" s="369">
        <v>5670</v>
      </c>
      <c r="O22" s="369"/>
      <c r="P22" s="255">
        <f t="shared" ref="P22" si="20">SUM(J22,N22,O22)/M22*1.005</f>
        <v>4.9313026587308029</v>
      </c>
      <c r="Q22" s="255">
        <f>Q19*H19+Q20*H20+Q21*H21</f>
        <v>6.5795388112969881</v>
      </c>
      <c r="R22" s="256">
        <f>VLOOKUP(B22,下单月成本!$A$2:$B$13,2,0)</f>
        <v>0.55000000000000004</v>
      </c>
      <c r="S22" s="252">
        <f>M22*(Q22-P22-R22)*Y22*Z22</f>
        <v>878.67787918130603</v>
      </c>
      <c r="T22" s="252"/>
      <c r="U22" s="252">
        <f>S22*0.7+T22</f>
        <v>615.07451542691422</v>
      </c>
      <c r="V22" s="252">
        <f>IF(SUMIF(W18:W44,W22,U18:U44)&gt;5000,U22*0.875,U22)</f>
        <v>615.07451542691422</v>
      </c>
      <c r="W22" s="365" t="str">
        <f>W21</f>
        <v>Stephen</v>
      </c>
      <c r="X22" s="365" t="str">
        <f t="shared" ref="X22" si="21">X21</f>
        <v>ABLE SCAFFOLD, LLC</v>
      </c>
      <c r="Y22" s="370">
        <f t="shared" ref="Y22" si="22">Y21</f>
        <v>0.1</v>
      </c>
      <c r="Z22" s="370">
        <f t="shared" ref="Z22" si="23">Z21</f>
        <v>0.25</v>
      </c>
    </row>
    <row r="23" spans="1:26" s="328" customFormat="1" ht="12.75" outlineLevel="2">
      <c r="B23" s="353"/>
      <c r="C23" s="320" t="s">
        <v>235</v>
      </c>
      <c r="D23" s="350"/>
      <c r="E23" s="350"/>
      <c r="F23" s="203">
        <v>20180307</v>
      </c>
      <c r="G23" s="350">
        <v>10000</v>
      </c>
      <c r="H23" s="206">
        <f>G23/G25</f>
        <v>0.27677064017049069</v>
      </c>
      <c r="I23" s="437">
        <v>6.31</v>
      </c>
      <c r="J23" s="321"/>
      <c r="K23" s="403" t="s">
        <v>300</v>
      </c>
      <c r="L23" s="243">
        <f>H23*L25</f>
        <v>1797.6253079073369</v>
      </c>
      <c r="M23" s="322">
        <f t="shared" si="0"/>
        <v>8202.3746920926624</v>
      </c>
      <c r="N23" s="323"/>
      <c r="O23" s="323"/>
      <c r="P23" s="324"/>
      <c r="Q23" s="254">
        <f t="shared" ref="Q23:Q24" si="24">IF(K23="N",I23*1.16/(1.16-0.09)-0.3,IF(K23=0,"错误",IF(G23&gt;K23,K23/G23*(I23*1.16/(1.16-0.13)-0.3)+(1-K23/G23)*(I23*1.16/(1.16-0.09)-0.3),"提醒")))</f>
        <v>6.5407476635514028</v>
      </c>
      <c r="R23" s="325"/>
      <c r="S23" s="326"/>
      <c r="T23" s="326"/>
      <c r="U23" s="326"/>
      <c r="V23" s="326"/>
      <c r="W23" s="350" t="s">
        <v>18</v>
      </c>
      <c r="X23" s="351" t="s">
        <v>246</v>
      </c>
      <c r="Y23" s="327">
        <v>0.7</v>
      </c>
      <c r="Z23" s="327">
        <v>0.25</v>
      </c>
    </row>
    <row r="24" spans="1:26" s="328" customFormat="1" ht="12.75" outlineLevel="2">
      <c r="B24" s="353"/>
      <c r="C24" s="320" t="s">
        <v>235</v>
      </c>
      <c r="D24" s="350">
        <v>36131</v>
      </c>
      <c r="E24" s="350">
        <f>SUMIF(C20:C60,C24,G20:G60)</f>
        <v>36131</v>
      </c>
      <c r="F24" s="203">
        <v>20180517</v>
      </c>
      <c r="G24" s="350">
        <v>26131</v>
      </c>
      <c r="H24" s="206">
        <f>G24/G25</f>
        <v>0.72322935982950931</v>
      </c>
      <c r="I24" s="437">
        <v>6.35</v>
      </c>
      <c r="J24" s="321"/>
      <c r="K24" s="403" t="s">
        <v>300</v>
      </c>
      <c r="L24" s="243">
        <f>H24*L25</f>
        <v>4697.3746920926633</v>
      </c>
      <c r="M24" s="322">
        <f t="shared" si="0"/>
        <v>21433.625307907336</v>
      </c>
      <c r="N24" s="323">
        <v>6600</v>
      </c>
      <c r="O24" s="323"/>
      <c r="P24" s="324"/>
      <c r="Q24" s="254">
        <f t="shared" si="24"/>
        <v>6.58411214953271</v>
      </c>
      <c r="R24" s="325"/>
      <c r="S24" s="326"/>
      <c r="T24" s="326"/>
      <c r="U24" s="326"/>
      <c r="V24" s="326"/>
      <c r="W24" s="350" t="s">
        <v>18</v>
      </c>
      <c r="X24" s="351" t="s">
        <v>246</v>
      </c>
      <c r="Y24" s="327">
        <v>0.7</v>
      </c>
      <c r="Z24" s="327">
        <v>0.25</v>
      </c>
    </row>
    <row r="25" spans="1:26" s="328" customFormat="1" ht="12.75" outlineLevel="1">
      <c r="A25" s="219">
        <v>43221</v>
      </c>
      <c r="B25" s="219">
        <v>43160</v>
      </c>
      <c r="C25" s="364" t="s">
        <v>272</v>
      </c>
      <c r="D25" s="365">
        <f>SUBTOTAL(9,D23:D24)</f>
        <v>36131</v>
      </c>
      <c r="E25" s="365">
        <f>SUBTOTAL(9,E23:E24)</f>
        <v>36131</v>
      </c>
      <c r="F25" s="211"/>
      <c r="G25" s="365">
        <f>SUBTOTAL(9,G23:G24)</f>
        <v>36131</v>
      </c>
      <c r="H25" s="366"/>
      <c r="I25" s="438"/>
      <c r="J25" s="367">
        <v>157308.32</v>
      </c>
      <c r="K25" s="404"/>
      <c r="L25" s="368">
        <v>6495</v>
      </c>
      <c r="M25" s="368">
        <f>SUBTOTAL(9,M23:M24)</f>
        <v>29636</v>
      </c>
      <c r="N25" s="369">
        <v>6600</v>
      </c>
      <c r="O25" s="369"/>
      <c r="P25" s="255">
        <f t="shared" ref="P25" si="25">SUM(J25,N25,O25)/M25*1.005</f>
        <v>5.5583702793899308</v>
      </c>
      <c r="Q25" s="255">
        <f>Q22*H22+Q23*H23+Q24*H24</f>
        <v>6.5721101329869995</v>
      </c>
      <c r="R25" s="256">
        <f>VLOOKUP(B25,下单月成本!$A$2:$B$13,2,0)</f>
        <v>0.55000000000000004</v>
      </c>
      <c r="S25" s="252">
        <f>M25*(Q25-P25-R25)*Y25*Z25</f>
        <v>2405.0940027104775</v>
      </c>
      <c r="T25" s="252">
        <v>-1000</v>
      </c>
      <c r="U25" s="252">
        <f>S25*0.7+T25</f>
        <v>683.56580189733427</v>
      </c>
      <c r="V25" s="252">
        <f>IF(SUMIF(W21:W47,W25,U21:U47)&gt;5000,U25*0.875,U25)</f>
        <v>683.56580189733427</v>
      </c>
      <c r="W25" s="365" t="str">
        <f>W24</f>
        <v>Stephen</v>
      </c>
      <c r="X25" s="365" t="str">
        <f t="shared" ref="X25" si="26">X24</f>
        <v>Inzpire</v>
      </c>
      <c r="Y25" s="370">
        <f t="shared" ref="Y25" si="27">Y24</f>
        <v>0.7</v>
      </c>
      <c r="Z25" s="370">
        <f t="shared" ref="Z25" si="28">Z24</f>
        <v>0.25</v>
      </c>
    </row>
    <row r="26" spans="1:26" s="328" customFormat="1" ht="12.75" outlineLevel="2">
      <c r="B26" s="353"/>
      <c r="C26" s="320" t="s">
        <v>236</v>
      </c>
      <c r="D26" s="350"/>
      <c r="E26" s="350"/>
      <c r="F26" s="203">
        <v>20180314</v>
      </c>
      <c r="G26" s="350">
        <v>95965</v>
      </c>
      <c r="H26" s="206">
        <f>G26/G30</f>
        <v>0.23586737452686427</v>
      </c>
      <c r="I26" s="437">
        <v>6.31</v>
      </c>
      <c r="J26" s="321"/>
      <c r="K26" s="403">
        <v>83976.1</v>
      </c>
      <c r="L26" s="243">
        <f>H26*L30</f>
        <v>11988.902779825983</v>
      </c>
      <c r="M26" s="322">
        <f t="shared" si="0"/>
        <v>83976.097220174022</v>
      </c>
      <c r="N26" s="323"/>
      <c r="O26" s="323"/>
      <c r="P26" s="324"/>
      <c r="Q26" s="254">
        <f t="shared" ref="Q26:Q29" si="29">IF(K26="N",I26*1.16/(1.16-0.09)-0.3,IF(K26=0,"错误",IF(G26&gt;K26,K26/G26*(I26*1.16/(1.16-0.13)-0.3)+(1-K26/G26)*(I26*1.16/(1.16-0.09)-0.3),"提醒")))</f>
        <v>6.7732188708915215</v>
      </c>
      <c r="R26" s="325"/>
      <c r="S26" s="326"/>
      <c r="T26" s="326"/>
      <c r="U26" s="326"/>
      <c r="V26" s="326"/>
      <c r="W26" s="350" t="s">
        <v>18</v>
      </c>
      <c r="X26" s="351" t="s">
        <v>247</v>
      </c>
      <c r="Y26" s="327">
        <v>0.1</v>
      </c>
      <c r="Z26" s="327">
        <v>0.25</v>
      </c>
    </row>
    <row r="27" spans="1:26" s="328" customFormat="1" ht="12.75" outlineLevel="2">
      <c r="B27" s="353"/>
      <c r="C27" s="320" t="s">
        <v>236</v>
      </c>
      <c r="D27" s="350"/>
      <c r="E27" s="350"/>
      <c r="F27" s="203">
        <v>20180429</v>
      </c>
      <c r="G27" s="350">
        <v>101715</v>
      </c>
      <c r="H27" s="206">
        <f>G27/G30</f>
        <v>0.25</v>
      </c>
      <c r="I27" s="437">
        <v>6.32</v>
      </c>
      <c r="J27" s="321"/>
      <c r="K27" s="403">
        <v>67523.899999999994</v>
      </c>
      <c r="L27" s="243">
        <f>H27*L30</f>
        <v>12707.25</v>
      </c>
      <c r="M27" s="322">
        <f t="shared" si="0"/>
        <v>89007.75</v>
      </c>
      <c r="N27" s="323"/>
      <c r="O27" s="323"/>
      <c r="P27" s="324"/>
      <c r="Q27" s="254">
        <f t="shared" si="29"/>
        <v>6.728227774327217</v>
      </c>
      <c r="R27" s="325"/>
      <c r="S27" s="326"/>
      <c r="T27" s="326"/>
      <c r="U27" s="326"/>
      <c r="V27" s="326"/>
      <c r="W27" s="350" t="s">
        <v>18</v>
      </c>
      <c r="X27" s="351" t="s">
        <v>247</v>
      </c>
      <c r="Y27" s="327">
        <v>0.1</v>
      </c>
      <c r="Z27" s="327">
        <v>0.25</v>
      </c>
    </row>
    <row r="28" spans="1:26" s="328" customFormat="1" ht="12.75" outlineLevel="2">
      <c r="B28" s="353"/>
      <c r="C28" s="320" t="s">
        <v>236</v>
      </c>
      <c r="D28" s="350"/>
      <c r="E28" s="350"/>
      <c r="F28" s="203">
        <v>20180517</v>
      </c>
      <c r="G28" s="350">
        <v>101715</v>
      </c>
      <c r="H28" s="206">
        <f>G28/G30</f>
        <v>0.25</v>
      </c>
      <c r="I28" s="437">
        <v>6.35</v>
      </c>
      <c r="J28" s="321"/>
      <c r="K28" s="403" t="s">
        <v>300</v>
      </c>
      <c r="L28" s="243">
        <f>H28*L30</f>
        <v>12707.25</v>
      </c>
      <c r="M28" s="322">
        <f t="shared" si="0"/>
        <v>89007.75</v>
      </c>
      <c r="N28" s="323"/>
      <c r="O28" s="323"/>
      <c r="P28" s="324"/>
      <c r="Q28" s="254">
        <f t="shared" si="29"/>
        <v>6.58411214953271</v>
      </c>
      <c r="R28" s="325"/>
      <c r="S28" s="326"/>
      <c r="T28" s="326"/>
      <c r="U28" s="326"/>
      <c r="V28" s="326"/>
      <c r="W28" s="350" t="s">
        <v>18</v>
      </c>
      <c r="X28" s="351" t="s">
        <v>247</v>
      </c>
      <c r="Y28" s="327">
        <v>0.1</v>
      </c>
      <c r="Z28" s="327">
        <v>0.25</v>
      </c>
    </row>
    <row r="29" spans="1:26" s="328" customFormat="1" ht="12.75" outlineLevel="2">
      <c r="B29" s="353"/>
      <c r="C29" s="320" t="s">
        <v>236</v>
      </c>
      <c r="D29" s="350">
        <v>406860</v>
      </c>
      <c r="E29" s="350">
        <f ca="1">SUMIF(C26:C66,C29,G26:G62)</f>
        <v>406860</v>
      </c>
      <c r="F29" s="203">
        <v>20180523</v>
      </c>
      <c r="G29" s="350">
        <v>107465</v>
      </c>
      <c r="H29" s="206">
        <f>G29/G30</f>
        <v>0.26413262547313571</v>
      </c>
      <c r="I29" s="437">
        <v>6.36</v>
      </c>
      <c r="J29" s="321"/>
      <c r="K29" s="403" t="s">
        <v>300</v>
      </c>
      <c r="L29" s="243">
        <f>H29*L30</f>
        <v>13425.597220174015</v>
      </c>
      <c r="M29" s="322">
        <f t="shared" si="0"/>
        <v>94039.402779825992</v>
      </c>
      <c r="N29" s="323">
        <v>70650</v>
      </c>
      <c r="O29" s="323"/>
      <c r="P29" s="324"/>
      <c r="Q29" s="254">
        <f t="shared" si="29"/>
        <v>6.5949532710280385</v>
      </c>
      <c r="R29" s="325"/>
      <c r="S29" s="326"/>
      <c r="T29" s="326"/>
      <c r="U29" s="326"/>
      <c r="V29" s="326"/>
      <c r="W29" s="350" t="s">
        <v>18</v>
      </c>
      <c r="X29" s="351" t="s">
        <v>247</v>
      </c>
      <c r="Y29" s="327">
        <v>0.1</v>
      </c>
      <c r="Z29" s="327">
        <v>0.25</v>
      </c>
    </row>
    <row r="30" spans="1:26" s="328" customFormat="1" ht="12.75" outlineLevel="1">
      <c r="A30" s="219">
        <v>43221</v>
      </c>
      <c r="B30" s="219">
        <v>43160</v>
      </c>
      <c r="C30" s="364" t="s">
        <v>273</v>
      </c>
      <c r="D30" s="365">
        <f>SUBTOTAL(9,D26:D29)</f>
        <v>406860</v>
      </c>
      <c r="E30" s="365">
        <f ca="1">SUBTOTAL(9,E26:E29)</f>
        <v>406860</v>
      </c>
      <c r="F30" s="211"/>
      <c r="G30" s="365">
        <f>SUBTOTAL(9,G26:G29)</f>
        <v>406860</v>
      </c>
      <c r="H30" s="366"/>
      <c r="I30" s="438"/>
      <c r="J30" s="367">
        <v>1972215</v>
      </c>
      <c r="K30" s="404"/>
      <c r="L30" s="368">
        <v>50829</v>
      </c>
      <c r="M30" s="368">
        <f>SUBTOTAL(9,M26:M29)</f>
        <v>356031</v>
      </c>
      <c r="N30" s="369">
        <v>70650</v>
      </c>
      <c r="O30" s="369"/>
      <c r="P30" s="255">
        <f t="shared" ref="P30" si="30">SUM(J30,N30,O30)/M30*1.005</f>
        <v>5.7665746100760886</v>
      </c>
      <c r="Q30" s="255">
        <f>Q26*H26+Q27*H27+Q28*H28+Q29*H29</f>
        <v>6.6676086554872569</v>
      </c>
      <c r="R30" s="256">
        <f>VLOOKUP(B30,下单月成本!$A$2:$B$13,2,0)</f>
        <v>0.55000000000000004</v>
      </c>
      <c r="S30" s="252">
        <f>M30*(Q30-P30-R30)*Y30*Z30</f>
        <v>3124.4750555445912</v>
      </c>
      <c r="T30" s="252">
        <v>-1000</v>
      </c>
      <c r="U30" s="252">
        <f>S30*0.7+T30</f>
        <v>1187.1325388812138</v>
      </c>
      <c r="V30" s="252">
        <f>IF(SUMIF(W26:W49,W30,U26:U49)&gt;5000,U30*0.875,U30)</f>
        <v>1187.1325388812138</v>
      </c>
      <c r="W30" s="365" t="str">
        <f>W29</f>
        <v>Stephen</v>
      </c>
      <c r="X30" s="365" t="str">
        <f t="shared" ref="X30" si="31">X29</f>
        <v>Padilla construction services Inc</v>
      </c>
      <c r="Y30" s="370">
        <f t="shared" ref="Y30" si="32">Y29</f>
        <v>0.1</v>
      </c>
      <c r="Z30" s="370">
        <f t="shared" ref="Z30" si="33">Z29</f>
        <v>0.25</v>
      </c>
    </row>
    <row r="31" spans="1:26" s="328" customFormat="1" ht="12.75" outlineLevel="2">
      <c r="B31" s="353"/>
      <c r="C31" s="320" t="s">
        <v>237</v>
      </c>
      <c r="D31" s="350"/>
      <c r="E31" s="350"/>
      <c r="F31" s="203">
        <v>20180314</v>
      </c>
      <c r="G31" s="350">
        <v>2509.5100000000002</v>
      </c>
      <c r="H31" s="206">
        <f>G31/G34</f>
        <v>9.2721390604713252E-2</v>
      </c>
      <c r="I31" s="437">
        <v>6.31</v>
      </c>
      <c r="J31" s="321"/>
      <c r="K31" s="403" t="s">
        <v>300</v>
      </c>
      <c r="L31" s="243">
        <f>H31*L34</f>
        <v>154.84472230987114</v>
      </c>
      <c r="M31" s="322">
        <f t="shared" si="0"/>
        <v>2354.6652776901292</v>
      </c>
      <c r="N31" s="323"/>
      <c r="O31" s="323"/>
      <c r="P31" s="324"/>
      <c r="Q31" s="254">
        <f t="shared" ref="Q31:Q33" si="34">IF(K31="N",I31*1.16/(1.16-0.09)-0.3,IF(K31=0,"错误",IF(G31&gt;K31,K31/G31*(I31*1.16/(1.16-0.13)-0.3)+(1-K31/G31)*(I31*1.16/(1.16-0.09)-0.3),"提醒")))</f>
        <v>6.5407476635514028</v>
      </c>
      <c r="R31" s="325"/>
      <c r="S31" s="326"/>
      <c r="T31" s="326"/>
      <c r="U31" s="326"/>
      <c r="V31" s="326"/>
      <c r="W31" s="350" t="s">
        <v>18</v>
      </c>
      <c r="X31" s="351" t="s">
        <v>250</v>
      </c>
      <c r="Y31" s="327">
        <v>0.1</v>
      </c>
      <c r="Z31" s="327">
        <v>0.25</v>
      </c>
    </row>
    <row r="32" spans="1:26" s="328" customFormat="1" ht="12.75" outlineLevel="2">
      <c r="B32" s="353"/>
      <c r="C32" s="320" t="s">
        <v>237</v>
      </c>
      <c r="D32" s="350"/>
      <c r="E32" s="350"/>
      <c r="F32" s="203">
        <v>20180410</v>
      </c>
      <c r="G32" s="350">
        <v>15229.52</v>
      </c>
      <c r="H32" s="206">
        <f>G32/G34</f>
        <v>0.56270039674768879</v>
      </c>
      <c r="I32" s="437">
        <v>6.29</v>
      </c>
      <c r="J32" s="321"/>
      <c r="K32" s="403" t="s">
        <v>300</v>
      </c>
      <c r="L32" s="243">
        <f>H32*L34</f>
        <v>939.70966256864028</v>
      </c>
      <c r="M32" s="322">
        <f t="shared" si="0"/>
        <v>14289.81033743136</v>
      </c>
      <c r="N32" s="323"/>
      <c r="O32" s="323"/>
      <c r="P32" s="324"/>
      <c r="Q32" s="254">
        <f t="shared" si="34"/>
        <v>6.5190654205607483</v>
      </c>
      <c r="R32" s="325"/>
      <c r="S32" s="326"/>
      <c r="T32" s="326"/>
      <c r="U32" s="326"/>
      <c r="V32" s="326"/>
      <c r="W32" s="350" t="s">
        <v>18</v>
      </c>
      <c r="X32" s="351" t="s">
        <v>250</v>
      </c>
      <c r="Y32" s="327">
        <v>0.1</v>
      </c>
      <c r="Z32" s="327">
        <v>0.25</v>
      </c>
    </row>
    <row r="33" spans="1:26" s="328" customFormat="1" ht="12.75" outlineLevel="2">
      <c r="B33" s="353"/>
      <c r="C33" s="320" t="s">
        <v>237</v>
      </c>
      <c r="D33" s="352">
        <v>30245.06</v>
      </c>
      <c r="E33" s="352">
        <f ca="1">SUMIF(C28:C68,C33,G28:G62)</f>
        <v>27065.059999999998</v>
      </c>
      <c r="F33" s="203">
        <v>20180515</v>
      </c>
      <c r="G33" s="350">
        <v>9326.0300000000007</v>
      </c>
      <c r="H33" s="206">
        <f>G33/G34</f>
        <v>0.34457821264759808</v>
      </c>
      <c r="I33" s="437">
        <v>6.34</v>
      </c>
      <c r="J33" s="321"/>
      <c r="K33" s="403" t="s">
        <v>300</v>
      </c>
      <c r="L33" s="243">
        <f>H33*L34</f>
        <v>575.4456151214888</v>
      </c>
      <c r="M33" s="322">
        <f t="shared" si="0"/>
        <v>8750.5843848785116</v>
      </c>
      <c r="N33" s="323"/>
      <c r="O33" s="323"/>
      <c r="P33" s="324"/>
      <c r="Q33" s="254">
        <f t="shared" si="34"/>
        <v>6.5732710280373832</v>
      </c>
      <c r="R33" s="325"/>
      <c r="S33" s="326"/>
      <c r="T33" s="326"/>
      <c r="U33" s="326"/>
      <c r="V33" s="326"/>
      <c r="W33" s="350" t="s">
        <v>18</v>
      </c>
      <c r="X33" s="351" t="s">
        <v>250</v>
      </c>
      <c r="Y33" s="327">
        <v>0.1</v>
      </c>
      <c r="Z33" s="327">
        <v>0.25</v>
      </c>
    </row>
    <row r="34" spans="1:26" s="328" customFormat="1" ht="12.75" outlineLevel="1">
      <c r="A34" s="219">
        <v>43221</v>
      </c>
      <c r="B34" s="219">
        <v>43160</v>
      </c>
      <c r="C34" s="364" t="s">
        <v>274</v>
      </c>
      <c r="D34" s="365">
        <f>SUBTOTAL(9,D31:D33)</f>
        <v>30245.06</v>
      </c>
      <c r="E34" s="365">
        <f ca="1">SUBTOTAL(9,E31:E33)</f>
        <v>27065.059999999998</v>
      </c>
      <c r="F34" s="211"/>
      <c r="G34" s="365">
        <f>SUBTOTAL(9,G31:G33)</f>
        <v>27065.059999999998</v>
      </c>
      <c r="H34" s="366"/>
      <c r="I34" s="438"/>
      <c r="J34" s="367">
        <v>130356.42</v>
      </c>
      <c r="K34" s="404"/>
      <c r="L34" s="368">
        <v>1670</v>
      </c>
      <c r="M34" s="368">
        <f>SUBTOTAL(9,M31:M33)</f>
        <v>25395.06</v>
      </c>
      <c r="N34" s="369">
        <v>4521</v>
      </c>
      <c r="O34" s="369"/>
      <c r="P34" s="255">
        <f t="shared" ref="P34" si="35">SUM(J34,N34,O34)/M34*1.005</f>
        <v>5.337723443063334</v>
      </c>
      <c r="Q34" s="255">
        <f>Q31*H31+Q32*H32+Q33*H33</f>
        <v>6.5397538996220472</v>
      </c>
      <c r="R34" s="256">
        <f>VLOOKUP(B34,下单月成本!$A$2:$B$13,2,0)</f>
        <v>0.55000000000000004</v>
      </c>
      <c r="S34" s="252">
        <f>M34*(Q34-P34-R34)*Y34*Z34</f>
        <v>413.95881415339795</v>
      </c>
      <c r="T34" s="252"/>
      <c r="U34" s="252">
        <f>S34*0.7+T34-0.02</f>
        <v>289.75116990737854</v>
      </c>
      <c r="V34" s="252">
        <f>IF(SUMIF(W30:W53,W34,U30:U53)&gt;5000,U34*0.875,U34)</f>
        <v>289.75116990737854</v>
      </c>
      <c r="W34" s="365" t="str">
        <f>W33</f>
        <v>Stephen</v>
      </c>
      <c r="X34" s="365" t="str">
        <f t="shared" ref="X34" si="36">X33</f>
        <v>ABLE SCAFFOLD, LLC</v>
      </c>
      <c r="Y34" s="370">
        <f t="shared" ref="Y34" si="37">Y33</f>
        <v>0.1</v>
      </c>
      <c r="Z34" s="370">
        <f t="shared" ref="Z34" si="38">Z33</f>
        <v>0.25</v>
      </c>
    </row>
    <row r="35" spans="1:26" s="328" customFormat="1" ht="12.75" outlineLevel="2">
      <c r="B35" s="353"/>
      <c r="C35" s="320" t="s">
        <v>238</v>
      </c>
      <c r="D35" s="350"/>
      <c r="E35" s="350"/>
      <c r="F35" s="203">
        <v>20180413</v>
      </c>
      <c r="G35" s="350">
        <v>22569.83</v>
      </c>
      <c r="H35" s="206">
        <f>G35/G37</f>
        <v>0.50009671859188365</v>
      </c>
      <c r="I35" s="437">
        <v>6.27</v>
      </c>
      <c r="J35" s="321"/>
      <c r="K35" s="403" t="s">
        <v>300</v>
      </c>
      <c r="L35" s="322">
        <v>731.11615833874112</v>
      </c>
      <c r="M35" s="322">
        <f t="shared" si="0"/>
        <v>21838.713841661262</v>
      </c>
      <c r="N35" s="323"/>
      <c r="O35" s="323"/>
      <c r="P35" s="324"/>
      <c r="Q35" s="254">
        <f t="shared" ref="Q35:Q36" si="39">IF(K35="N",I35*1.16/(1.16-0.09)-0.3,IF(K35=0,"错误",IF(G35&gt;K35,K35/G35*(I35*1.16/(1.16-0.13)-0.3)+(1-K35/G35)*(I35*1.16/(1.16-0.09)-0.3),"提醒")))</f>
        <v>6.4973831775700939</v>
      </c>
      <c r="R35" s="325"/>
      <c r="S35" s="326"/>
      <c r="T35" s="326"/>
      <c r="U35" s="326"/>
      <c r="V35" s="326"/>
      <c r="W35" s="350" t="s">
        <v>18</v>
      </c>
      <c r="X35" s="351" t="s">
        <v>248</v>
      </c>
      <c r="Y35" s="327">
        <v>0.1</v>
      </c>
      <c r="Z35" s="327">
        <v>0.25</v>
      </c>
    </row>
    <row r="36" spans="1:26" s="328" customFormat="1" ht="12.75" outlineLevel="2">
      <c r="B36" s="353"/>
      <c r="C36" s="320" t="s">
        <v>238</v>
      </c>
      <c r="D36" s="350">
        <v>45182.2</v>
      </c>
      <c r="E36" s="350">
        <f>SUMIF(C32:C64,C36,G32:G64)</f>
        <v>45130.93</v>
      </c>
      <c r="F36" s="203">
        <v>20180505</v>
      </c>
      <c r="G36" s="350">
        <v>22561.1</v>
      </c>
      <c r="H36" s="206">
        <f>G36/G37</f>
        <v>0.4999032814081163</v>
      </c>
      <c r="I36" s="437">
        <v>6.35</v>
      </c>
      <c r="J36" s="321"/>
      <c r="K36" s="403" t="s">
        <v>300</v>
      </c>
      <c r="L36" s="322">
        <v>1298.8838416612589</v>
      </c>
      <c r="M36" s="322">
        <f t="shared" si="0"/>
        <v>21262.216158338739</v>
      </c>
      <c r="N36" s="323">
        <v>5960</v>
      </c>
      <c r="O36" s="323"/>
      <c r="P36" s="324"/>
      <c r="Q36" s="254">
        <f t="shared" si="39"/>
        <v>6.58411214953271</v>
      </c>
      <c r="R36" s="325"/>
      <c r="S36" s="326"/>
      <c r="T36" s="326"/>
      <c r="U36" s="326"/>
      <c r="V36" s="326"/>
      <c r="W36" s="350" t="s">
        <v>18</v>
      </c>
      <c r="X36" s="351" t="s">
        <v>248</v>
      </c>
      <c r="Y36" s="327">
        <v>0.1</v>
      </c>
      <c r="Z36" s="327">
        <v>0.25</v>
      </c>
    </row>
    <row r="37" spans="1:26" s="328" customFormat="1" ht="12.75" outlineLevel="1">
      <c r="A37" s="219">
        <v>43221</v>
      </c>
      <c r="B37" s="219">
        <v>43191</v>
      </c>
      <c r="C37" s="364" t="s">
        <v>275</v>
      </c>
      <c r="D37" s="365">
        <f>SUBTOTAL(9,D35:D36)</f>
        <v>45182.2</v>
      </c>
      <c r="E37" s="365">
        <f>SUBTOTAL(9,E35:E36)</f>
        <v>45130.93</v>
      </c>
      <c r="F37" s="211"/>
      <c r="G37" s="365">
        <f>SUBTOTAL(9,G35:G36)</f>
        <v>45130.93</v>
      </c>
      <c r="H37" s="366"/>
      <c r="I37" s="438"/>
      <c r="J37" s="367">
        <v>190224</v>
      </c>
      <c r="K37" s="404"/>
      <c r="L37" s="368">
        <v>4015</v>
      </c>
      <c r="M37" s="368">
        <f>SUBTOTAL(9,M35:M36)</f>
        <v>43100.93</v>
      </c>
      <c r="N37" s="369">
        <v>5960</v>
      </c>
      <c r="O37" s="369"/>
      <c r="P37" s="255">
        <f t="shared" ref="P37" si="40">SUM(J37,N37,O37)/M37*1.005</f>
        <v>4.5744934042026468</v>
      </c>
      <c r="Q37" s="255">
        <f>Q35*H35+Q36*H36</f>
        <v>6.5407392752473577</v>
      </c>
      <c r="R37" s="256">
        <f>VLOOKUP(B37,下单月成本!$A$2:$B$13,2,0)</f>
        <v>0.77600000000000002</v>
      </c>
      <c r="S37" s="252">
        <f>M37*(Q37-P37-R37)*Y37*Z37</f>
        <v>1282.5175992671777</v>
      </c>
      <c r="T37" s="252"/>
      <c r="U37" s="252">
        <f>S37*0.7+T37</f>
        <v>897.76231948702434</v>
      </c>
      <c r="V37" s="252">
        <f>IF(SUMIF(W33:W56,W37,U33:U56)&gt;5000,U37*0.875,U37)</f>
        <v>897.76231948702434</v>
      </c>
      <c r="W37" s="365" t="str">
        <f>W36</f>
        <v>Stephen</v>
      </c>
      <c r="X37" s="365" t="str">
        <f t="shared" ref="X37" si="41">X36</f>
        <v>JOSEPH GNAZZO COMPANY INC</v>
      </c>
      <c r="Y37" s="370">
        <f t="shared" ref="Y37" si="42">Y36</f>
        <v>0.1</v>
      </c>
      <c r="Z37" s="370">
        <f t="shared" ref="Z37" si="43">Z36</f>
        <v>0.25</v>
      </c>
    </row>
    <row r="38" spans="1:26" s="328" customFormat="1" ht="12.75" outlineLevel="2">
      <c r="B38" s="353"/>
      <c r="C38" s="320" t="s">
        <v>239</v>
      </c>
      <c r="D38" s="350"/>
      <c r="E38" s="350"/>
      <c r="F38" s="203">
        <v>20171127</v>
      </c>
      <c r="G38" s="350">
        <v>8535.5400000000009</v>
      </c>
      <c r="H38" s="206">
        <f>G38/G40</f>
        <v>0.24680368247700621</v>
      </c>
      <c r="I38" s="437">
        <v>6.59</v>
      </c>
      <c r="J38" s="321"/>
      <c r="K38" s="403" t="s">
        <v>300</v>
      </c>
      <c r="L38" s="322">
        <v>731.11615833874112</v>
      </c>
      <c r="M38" s="322">
        <f t="shared" si="0"/>
        <v>7804.4238416612598</v>
      </c>
      <c r="N38" s="323"/>
      <c r="O38" s="323"/>
      <c r="P38" s="324"/>
      <c r="Q38" s="254">
        <f t="shared" ref="Q38:Q39" si="44">IF(K38="N",I38*1.16/(1.16-0.09)-0.3,IF(K38=0,"错误",IF(G38&gt;K38,K38/G38*(I38*1.16/(1.16-0.13)-0.3)+(1-K38/G38)*(I38*1.16/(1.16-0.09)-0.3),"提醒")))</f>
        <v>6.8442990654205609</v>
      </c>
      <c r="R38" s="325"/>
      <c r="S38" s="326"/>
      <c r="T38" s="326"/>
      <c r="U38" s="326"/>
      <c r="V38" s="326"/>
      <c r="W38" s="350" t="s">
        <v>41</v>
      </c>
      <c r="X38" s="415" t="s">
        <v>312</v>
      </c>
      <c r="Y38" s="327">
        <v>0.1</v>
      </c>
      <c r="Z38" s="327">
        <v>0.25</v>
      </c>
    </row>
    <row r="39" spans="1:26" s="328" customFormat="1" ht="12.75" outlineLevel="2">
      <c r="B39" s="353"/>
      <c r="C39" s="320" t="s">
        <v>311</v>
      </c>
      <c r="D39" s="350">
        <v>34390.39</v>
      </c>
      <c r="E39" s="350">
        <f>SUMIF(C33:C65,C39,G33:G65)</f>
        <v>34584.33</v>
      </c>
      <c r="F39" s="203">
        <v>20180206</v>
      </c>
      <c r="G39" s="350">
        <v>26048.79</v>
      </c>
      <c r="H39" s="206">
        <f>G39/G40</f>
        <v>0.75319631752299376</v>
      </c>
      <c r="I39" s="437">
        <v>6.28</v>
      </c>
      <c r="J39" s="321"/>
      <c r="K39" s="403" t="s">
        <v>300</v>
      </c>
      <c r="L39" s="322">
        <v>1298.8838416612589</v>
      </c>
      <c r="M39" s="322">
        <f t="shared" si="0"/>
        <v>24749.906158338741</v>
      </c>
      <c r="N39" s="323">
        <v>5400</v>
      </c>
      <c r="O39" s="323"/>
      <c r="P39" s="324"/>
      <c r="Q39" s="254">
        <f t="shared" si="44"/>
        <v>6.5082242990654215</v>
      </c>
      <c r="R39" s="325"/>
      <c r="S39" s="326"/>
      <c r="T39" s="326"/>
      <c r="U39" s="326"/>
      <c r="V39" s="326"/>
      <c r="W39" s="350" t="s">
        <v>41</v>
      </c>
      <c r="X39" s="415" t="s">
        <v>312</v>
      </c>
      <c r="Y39" s="327">
        <v>0.1</v>
      </c>
      <c r="Z39" s="327">
        <v>0.25</v>
      </c>
    </row>
    <row r="40" spans="1:26" s="328" customFormat="1" ht="12.75" outlineLevel="1">
      <c r="A40" s="219">
        <v>43221</v>
      </c>
      <c r="B40" s="219">
        <v>43040</v>
      </c>
      <c r="C40" s="364" t="s">
        <v>276</v>
      </c>
      <c r="D40" s="365">
        <f>SUBTOTAL(9,D38:D39)</f>
        <v>34390.39</v>
      </c>
      <c r="E40" s="365">
        <f>SUBTOTAL(9,E38:E39)</f>
        <v>34584.33</v>
      </c>
      <c r="F40" s="211"/>
      <c r="G40" s="365">
        <f>SUBTOTAL(9,G38:G39)</f>
        <v>34584.33</v>
      </c>
      <c r="H40" s="366"/>
      <c r="I40" s="438"/>
      <c r="J40" s="367">
        <v>220293.46</v>
      </c>
      <c r="K40" s="404"/>
      <c r="L40" s="368">
        <v>0</v>
      </c>
      <c r="M40" s="368">
        <f>SUBTOTAL(9,M38:M39)</f>
        <v>32554.33</v>
      </c>
      <c r="N40" s="369">
        <v>5400</v>
      </c>
      <c r="O40" s="369"/>
      <c r="P40" s="255">
        <f t="shared" ref="P40" si="45">SUM(J40,N40,O40)/M40*1.005</f>
        <v>6.9674887273060131</v>
      </c>
      <c r="Q40" s="255">
        <f>Q38*H38+Q39*H39</f>
        <v>6.591168788989469</v>
      </c>
      <c r="R40" s="256">
        <v>0.75</v>
      </c>
      <c r="S40" s="252"/>
      <c r="T40" s="252"/>
      <c r="U40" s="252">
        <f>SUM(S40:T40)*0.7</f>
        <v>0</v>
      </c>
      <c r="V40" s="252">
        <f>IF(SUMIF(W36:W58,W40,U36:U58)&gt;5000,U40*0.875,U40)</f>
        <v>0</v>
      </c>
      <c r="W40" s="365" t="str">
        <f>W39</f>
        <v>James</v>
      </c>
      <c r="X40" s="365" t="str">
        <f t="shared" ref="X40" si="46">X39</f>
        <v>Technique Solutions Pty</v>
      </c>
      <c r="Y40" s="370">
        <f t="shared" ref="Y40" si="47">Y39</f>
        <v>0.1</v>
      </c>
      <c r="Z40" s="370">
        <f t="shared" ref="Z40" si="48">Z39</f>
        <v>0.25</v>
      </c>
    </row>
    <row r="41" spans="1:26" s="328" customFormat="1" ht="12.75" outlineLevel="2">
      <c r="B41" s="353"/>
      <c r="C41" s="320" t="s">
        <v>240</v>
      </c>
      <c r="D41" s="350"/>
      <c r="E41" s="350"/>
      <c r="F41" s="203">
        <v>20180320</v>
      </c>
      <c r="G41" s="350">
        <v>11021</v>
      </c>
      <c r="H41" s="206">
        <f>G41/G43</f>
        <v>0.19284018900823172</v>
      </c>
      <c r="I41" s="437">
        <v>6.31</v>
      </c>
      <c r="J41" s="321"/>
      <c r="K41" s="403" t="s">
        <v>300</v>
      </c>
      <c r="L41" s="243">
        <f>H41*L43</f>
        <v>0</v>
      </c>
      <c r="M41" s="322">
        <f t="shared" si="0"/>
        <v>11021</v>
      </c>
      <c r="N41" s="323"/>
      <c r="O41" s="323"/>
      <c r="P41" s="324"/>
      <c r="Q41" s="254">
        <f t="shared" ref="Q41:Q42" si="49">IF(K41="N",I41*1.16/(1.16-0.09)-0.3,IF(K41=0,"错误",IF(G41&gt;K41,K41/G41*(I41*1.16/(1.16-0.13)-0.3)+(1-K41/G41)*(I41*1.16/(1.16-0.09)-0.3),"提醒")))</f>
        <v>6.5407476635514028</v>
      </c>
      <c r="R41" s="325"/>
      <c r="S41" s="326"/>
      <c r="T41" s="326"/>
      <c r="U41" s="326"/>
      <c r="V41" s="326"/>
      <c r="W41" s="350" t="s">
        <v>41</v>
      </c>
      <c r="X41" s="351" t="s">
        <v>251</v>
      </c>
      <c r="Y41" s="327">
        <v>0.4</v>
      </c>
      <c r="Z41" s="327">
        <v>0.25</v>
      </c>
    </row>
    <row r="42" spans="1:26" s="328" customFormat="1" ht="12.75" outlineLevel="2">
      <c r="B42" s="353"/>
      <c r="C42" s="320" t="s">
        <v>240</v>
      </c>
      <c r="D42" s="350">
        <v>57177.440000000002</v>
      </c>
      <c r="E42" s="350">
        <f>SUMIF(C36:C65,C42,G36:G67)</f>
        <v>57150.95</v>
      </c>
      <c r="F42" s="203">
        <v>20180530</v>
      </c>
      <c r="G42" s="350">
        <v>46129.95</v>
      </c>
      <c r="H42" s="206">
        <f>G42/G43</f>
        <v>0.80715981099176826</v>
      </c>
      <c r="I42" s="437">
        <v>6.41</v>
      </c>
      <c r="J42" s="321"/>
      <c r="K42" s="403" t="s">
        <v>300</v>
      </c>
      <c r="L42" s="243">
        <f>H42*L43</f>
        <v>0</v>
      </c>
      <c r="M42" s="322">
        <f t="shared" si="0"/>
        <v>46129.95</v>
      </c>
      <c r="N42" s="323">
        <v>10090</v>
      </c>
      <c r="O42" s="323"/>
      <c r="P42" s="324"/>
      <c r="Q42" s="254">
        <f t="shared" si="49"/>
        <v>6.6491588785046742</v>
      </c>
      <c r="R42" s="325"/>
      <c r="S42" s="326"/>
      <c r="T42" s="326"/>
      <c r="U42" s="326"/>
      <c r="V42" s="326"/>
      <c r="W42" s="350" t="s">
        <v>41</v>
      </c>
      <c r="X42" s="351" t="s">
        <v>251</v>
      </c>
      <c r="Y42" s="327">
        <v>0.4</v>
      </c>
      <c r="Z42" s="327">
        <v>0.25</v>
      </c>
    </row>
    <row r="43" spans="1:26" s="328" customFormat="1" ht="12.75" outlineLevel="1">
      <c r="A43" s="219">
        <v>43221</v>
      </c>
      <c r="B43" s="219">
        <v>43160</v>
      </c>
      <c r="C43" s="364" t="s">
        <v>277</v>
      </c>
      <c r="D43" s="365">
        <f>SUBTOTAL(9,D41:D42)</f>
        <v>57177.440000000002</v>
      </c>
      <c r="E43" s="365">
        <f>SUBTOTAL(9,E41:E42)</f>
        <v>57150.95</v>
      </c>
      <c r="F43" s="211"/>
      <c r="G43" s="365">
        <f>SUBTOTAL(9,G41:G42)</f>
        <v>57150.95</v>
      </c>
      <c r="H43" s="366"/>
      <c r="I43" s="438"/>
      <c r="J43" s="367">
        <v>307333.52</v>
      </c>
      <c r="K43" s="404"/>
      <c r="L43" s="368">
        <v>0</v>
      </c>
      <c r="M43" s="368">
        <f>SUBTOTAL(9,M41:M42)</f>
        <v>57150.95</v>
      </c>
      <c r="N43" s="369">
        <v>10090</v>
      </c>
      <c r="O43" s="369"/>
      <c r="P43" s="255">
        <f t="shared" ref="P43" si="50">SUM(J43,N43,O43)/M43*1.005</f>
        <v>5.5818956220325298</v>
      </c>
      <c r="Q43" s="255">
        <f>Q41*H41+Q42*H42</f>
        <v>6.6282528393224736</v>
      </c>
      <c r="R43" s="256">
        <f>VLOOKUP(B43,下单月成本!$A$2:$B$13,2,0)</f>
        <v>0.55000000000000004</v>
      </c>
      <c r="S43" s="252">
        <f>M43*(Q43-P43-R43)*Y43*Z43</f>
        <v>2836.7286507476711</v>
      </c>
      <c r="T43" s="252"/>
      <c r="U43" s="252">
        <f>S43*0.7+T43-0.01</f>
        <v>1985.7000555233697</v>
      </c>
      <c r="V43" s="252">
        <f>IF(SUMIF(W39:W61,W43,U39:U61)&gt;5000,U43*0.875,U43)</f>
        <v>1737.4875485829484</v>
      </c>
      <c r="W43" s="365" t="str">
        <f>W42</f>
        <v>James</v>
      </c>
      <c r="X43" s="365" t="str">
        <f t="shared" ref="X43" si="51">X42</f>
        <v>TPF ROOF RESTORATIONS LIMITED</v>
      </c>
      <c r="Y43" s="370">
        <f t="shared" ref="Y43" si="52">Y42</f>
        <v>0.4</v>
      </c>
      <c r="Z43" s="370">
        <f t="shared" ref="Z43" si="53">Z42</f>
        <v>0.25</v>
      </c>
    </row>
    <row r="44" spans="1:26" s="328" customFormat="1" ht="12.75" outlineLevel="2">
      <c r="B44" s="353"/>
      <c r="C44" s="320" t="s">
        <v>241</v>
      </c>
      <c r="D44" s="350"/>
      <c r="E44" s="350"/>
      <c r="F44" s="203">
        <v>20180328</v>
      </c>
      <c r="G44" s="350">
        <v>60819.5</v>
      </c>
      <c r="H44" s="206">
        <f>G44/G46</f>
        <v>0.5</v>
      </c>
      <c r="I44" s="437">
        <v>6.27</v>
      </c>
      <c r="J44" s="321"/>
      <c r="K44" s="403" t="s">
        <v>300</v>
      </c>
      <c r="L44" s="322"/>
      <c r="M44" s="322">
        <f t="shared" si="0"/>
        <v>60819.5</v>
      </c>
      <c r="N44" s="323"/>
      <c r="O44" s="323"/>
      <c r="P44" s="324"/>
      <c r="Q44" s="254">
        <f t="shared" ref="Q44:Q45" si="54">IF(K44="N",I44*1.16/(1.16-0.09)-0.3,IF(K44=0,"错误",IF(G44&gt;K44,K44/G44*(I44*1.16/(1.16-0.13)-0.3)+(1-K44/G44)*(I44*1.16/(1.16-0.09)-0.3),"提醒")))</f>
        <v>6.4973831775700939</v>
      </c>
      <c r="R44" s="325"/>
      <c r="S44" s="326"/>
      <c r="T44" s="326"/>
      <c r="U44" s="326"/>
      <c r="V44" s="326"/>
      <c r="W44" s="350" t="s">
        <v>41</v>
      </c>
      <c r="X44" s="351" t="s">
        <v>252</v>
      </c>
      <c r="Y44" s="327">
        <v>1</v>
      </c>
      <c r="Z44" s="327">
        <v>0.25</v>
      </c>
    </row>
    <row r="45" spans="1:26" s="328" customFormat="1" ht="12.75" outlineLevel="2">
      <c r="B45" s="353"/>
      <c r="C45" s="320" t="s">
        <v>241</v>
      </c>
      <c r="D45" s="350">
        <v>121733</v>
      </c>
      <c r="E45" s="350">
        <f>SUMIF(C41:C69,C45,G41:G69)</f>
        <v>121639</v>
      </c>
      <c r="F45" s="203">
        <v>20180529</v>
      </c>
      <c r="G45" s="350">
        <v>60819.5</v>
      </c>
      <c r="H45" s="206">
        <f>G45/G46</f>
        <v>0.5</v>
      </c>
      <c r="I45" s="437">
        <v>6.4</v>
      </c>
      <c r="J45" s="321"/>
      <c r="K45" s="403" t="s">
        <v>300</v>
      </c>
      <c r="L45" s="322">
        <v>0</v>
      </c>
      <c r="M45" s="322">
        <f t="shared" si="0"/>
        <v>60819.5</v>
      </c>
      <c r="N45" s="323">
        <v>17755</v>
      </c>
      <c r="O45" s="323"/>
      <c r="P45" s="324"/>
      <c r="Q45" s="254">
        <f t="shared" si="54"/>
        <v>6.6383177570093466</v>
      </c>
      <c r="R45" s="325"/>
      <c r="S45" s="326"/>
      <c r="T45" s="326"/>
      <c r="U45" s="326"/>
      <c r="V45" s="326"/>
      <c r="W45" s="350" t="s">
        <v>41</v>
      </c>
      <c r="X45" s="351" t="s">
        <v>252</v>
      </c>
      <c r="Y45" s="327">
        <v>1</v>
      </c>
      <c r="Z45" s="327">
        <v>0.25</v>
      </c>
    </row>
    <row r="46" spans="1:26" s="328" customFormat="1" ht="12.75" outlineLevel="1">
      <c r="A46" s="219">
        <v>43221</v>
      </c>
      <c r="B46" s="219">
        <v>43160</v>
      </c>
      <c r="C46" s="364" t="s">
        <v>278</v>
      </c>
      <c r="D46" s="365">
        <f>SUBTOTAL(9,D44:D45)</f>
        <v>121733</v>
      </c>
      <c r="E46" s="365">
        <f>SUBTOTAL(9,E44:E45)</f>
        <v>121639</v>
      </c>
      <c r="F46" s="211"/>
      <c r="G46" s="365">
        <f>SUBTOTAL(9,G44:G45)</f>
        <v>121639</v>
      </c>
      <c r="H46" s="366"/>
      <c r="I46" s="438"/>
      <c r="J46" s="367">
        <v>635533.74</v>
      </c>
      <c r="K46" s="404"/>
      <c r="L46" s="368">
        <v>0</v>
      </c>
      <c r="M46" s="368">
        <f>SUBTOTAL(9,M44:M45)</f>
        <v>121639</v>
      </c>
      <c r="N46" s="369">
        <v>17755</v>
      </c>
      <c r="O46" s="369"/>
      <c r="P46" s="255">
        <f t="shared" ref="P46" si="55">SUM(J46,N46,O46)/M46*1.005</f>
        <v>5.3975713685577817</v>
      </c>
      <c r="Q46" s="255">
        <f>Q44*H44+Q45*H45</f>
        <v>6.5678504672897198</v>
      </c>
      <c r="R46" s="256">
        <f>VLOOKUP(B46,下单月成本!$A$2:$B$13,2,0)</f>
        <v>0.55000000000000004</v>
      </c>
      <c r="S46" s="252">
        <f>M46*(Q46-P46-R46)*Y46*Z46</f>
        <v>18862.532322663552</v>
      </c>
      <c r="T46" s="252">
        <v>-1888</v>
      </c>
      <c r="U46" s="252">
        <f>S46*0.7+T46</f>
        <v>11315.772625864485</v>
      </c>
      <c r="V46" s="252">
        <f>IF(SUMIF(W42:W62,W46,U42:U62)&gt;5000,U46*0.875,U46)</f>
        <v>9901.3010476314248</v>
      </c>
      <c r="W46" s="365" t="str">
        <f>W45</f>
        <v>James</v>
      </c>
      <c r="X46" s="365" t="str">
        <f t="shared" ref="X46" si="56">X45</f>
        <v>UNICOM LTD</v>
      </c>
      <c r="Y46" s="370">
        <f t="shared" ref="Y46" si="57">Y45</f>
        <v>1</v>
      </c>
      <c r="Z46" s="370">
        <f t="shared" ref="Z46" si="58">Z45</f>
        <v>0.25</v>
      </c>
    </row>
    <row r="47" spans="1:26" s="328" customFormat="1" ht="12.75" outlineLevel="2">
      <c r="B47" s="353"/>
      <c r="C47" s="320" t="s">
        <v>242</v>
      </c>
      <c r="D47" s="350"/>
      <c r="E47" s="350"/>
      <c r="F47" s="203">
        <v>20180420</v>
      </c>
      <c r="G47" s="350">
        <v>4382</v>
      </c>
      <c r="H47" s="206">
        <f>G47/G49</f>
        <v>0.5</v>
      </c>
      <c r="I47" s="437">
        <v>6.27</v>
      </c>
      <c r="J47" s="321"/>
      <c r="K47" s="403" t="s">
        <v>300</v>
      </c>
      <c r="L47" s="322"/>
      <c r="M47" s="322">
        <f t="shared" si="0"/>
        <v>4382</v>
      </c>
      <c r="N47" s="323"/>
      <c r="O47" s="323"/>
      <c r="P47" s="324"/>
      <c r="Q47" s="254">
        <f t="shared" ref="Q47:Q48" si="59">IF(K47="N",I47*1.16/(1.16-0.09)-0.3,IF(K47=0,"错误",IF(G47&gt;K47,K47/G47*(I47*1.16/(1.16-0.13)-0.3)+(1-K47/G47)*(I47*1.16/(1.16-0.09)-0.3),"提醒")))</f>
        <v>6.4973831775700939</v>
      </c>
      <c r="R47" s="325"/>
      <c r="S47" s="326"/>
      <c r="T47" s="326"/>
      <c r="U47" s="326"/>
      <c r="V47" s="326"/>
      <c r="W47" s="350" t="s">
        <v>41</v>
      </c>
      <c r="X47" s="351" t="s">
        <v>245</v>
      </c>
      <c r="Y47" s="327">
        <v>0.4</v>
      </c>
      <c r="Z47" s="327">
        <v>0.25</v>
      </c>
    </row>
    <row r="48" spans="1:26" s="328" customFormat="1" ht="12.75" outlineLevel="2">
      <c r="B48" s="353"/>
      <c r="C48" s="320" t="s">
        <v>242</v>
      </c>
      <c r="D48" s="350">
        <v>8840</v>
      </c>
      <c r="E48" s="350">
        <f>SUMIF(C42:C70,C48,G42:G70)</f>
        <v>8764</v>
      </c>
      <c r="F48" s="203">
        <v>20180511</v>
      </c>
      <c r="G48" s="350">
        <v>4382</v>
      </c>
      <c r="H48" s="206">
        <f>G48/G49</f>
        <v>0.5</v>
      </c>
      <c r="I48" s="437">
        <v>6.33</v>
      </c>
      <c r="J48" s="321"/>
      <c r="K48" s="403" t="s">
        <v>300</v>
      </c>
      <c r="L48" s="322">
        <v>0</v>
      </c>
      <c r="M48" s="322">
        <f t="shared" si="0"/>
        <v>4382</v>
      </c>
      <c r="N48" s="323">
        <v>1570</v>
      </c>
      <c r="O48" s="323"/>
      <c r="P48" s="324"/>
      <c r="Q48" s="254">
        <f t="shared" si="59"/>
        <v>6.5624299065420573</v>
      </c>
      <c r="R48" s="325"/>
      <c r="S48" s="326"/>
      <c r="T48" s="326"/>
      <c r="U48" s="326"/>
      <c r="V48" s="326"/>
      <c r="W48" s="350" t="s">
        <v>41</v>
      </c>
      <c r="X48" s="351" t="s">
        <v>245</v>
      </c>
      <c r="Y48" s="327">
        <v>0.4</v>
      </c>
      <c r="Z48" s="327">
        <v>0.25</v>
      </c>
    </row>
    <row r="49" spans="1:26" s="328" customFormat="1" ht="12.75" outlineLevel="1">
      <c r="A49" s="219">
        <v>43221</v>
      </c>
      <c r="B49" s="219">
        <v>43191</v>
      </c>
      <c r="C49" s="364" t="s">
        <v>279</v>
      </c>
      <c r="D49" s="365">
        <f>SUBTOTAL(9,D47:D48)</f>
        <v>8840</v>
      </c>
      <c r="E49" s="365">
        <f>SUBTOTAL(9,E47:E48)</f>
        <v>8764</v>
      </c>
      <c r="F49" s="211"/>
      <c r="G49" s="365">
        <f>SUBTOTAL(9,G47:G48)</f>
        <v>8764</v>
      </c>
      <c r="H49" s="366"/>
      <c r="I49" s="438"/>
      <c r="J49" s="367">
        <v>45500</v>
      </c>
      <c r="K49" s="404"/>
      <c r="L49" s="368">
        <v>0</v>
      </c>
      <c r="M49" s="368">
        <f>SUBTOTAL(9,M47:M48)</f>
        <v>8764</v>
      </c>
      <c r="N49" s="369">
        <v>1570</v>
      </c>
      <c r="O49" s="369"/>
      <c r="P49" s="255">
        <f t="shared" ref="P49" si="60">SUM(J49,N49,O49)/M49*1.005</f>
        <v>5.3976894112277494</v>
      </c>
      <c r="Q49" s="255">
        <f>Q47*H47+Q48*H48</f>
        <v>6.5299065420560751</v>
      </c>
      <c r="R49" s="256">
        <f>VLOOKUP(B49,下单月成本!$A$2:$B$13,2,0)</f>
        <v>0.77600000000000002</v>
      </c>
      <c r="S49" s="252">
        <f>M49*(Q49-P49-R49)*Y49*Z49</f>
        <v>312.18869345794474</v>
      </c>
      <c r="T49" s="252"/>
      <c r="U49" s="252">
        <f>S49*0.7+T49</f>
        <v>218.53208542056132</v>
      </c>
      <c r="V49" s="252">
        <f>IF(SUMIF(W45:W63,W49,U45:U63)&gt;5000,U49*0.875,U49)</f>
        <v>191.21557474299115</v>
      </c>
      <c r="W49" s="365" t="str">
        <f>W48</f>
        <v>James</v>
      </c>
      <c r="X49" s="365" t="str">
        <f t="shared" ref="X49" si="61">X48</f>
        <v>TURBLADES PHILS INC</v>
      </c>
      <c r="Y49" s="370">
        <f t="shared" ref="Y49" si="62">Y48</f>
        <v>0.4</v>
      </c>
      <c r="Z49" s="370">
        <f t="shared" ref="Z49" si="63">Z48</f>
        <v>0.25</v>
      </c>
    </row>
    <row r="50" spans="1:26" s="328" customFormat="1" ht="12.75" outlineLevel="2">
      <c r="B50" s="353"/>
      <c r="C50" s="320" t="s">
        <v>243</v>
      </c>
      <c r="D50" s="350"/>
      <c r="E50" s="350"/>
      <c r="F50" s="203">
        <v>20180328</v>
      </c>
      <c r="G50" s="350">
        <v>25817.9</v>
      </c>
      <c r="H50" s="206">
        <f>G50/G52</f>
        <v>0.5</v>
      </c>
      <c r="I50" s="437">
        <v>6.27</v>
      </c>
      <c r="J50" s="321"/>
      <c r="K50" s="403" t="s">
        <v>310</v>
      </c>
      <c r="L50" s="322"/>
      <c r="M50" s="322">
        <f t="shared" si="0"/>
        <v>25817.9</v>
      </c>
      <c r="N50" s="323"/>
      <c r="O50" s="323"/>
      <c r="P50" s="324"/>
      <c r="Q50" s="254">
        <f t="shared" ref="Q50:Q51" si="64">IF(K50="N",I50*1.16/(1.16-0.09)-0.3,IF(K50=0,"错误",IF(G50&gt;K50,K50/G50*(I50*1.16/(1.16-0.13)-0.3)+(1-K50/G50)*(I50*1.16/(1.16-0.09)-0.3),"提醒")))</f>
        <v>6.4973831775700939</v>
      </c>
      <c r="R50" s="325"/>
      <c r="S50" s="326"/>
      <c r="T50" s="326"/>
      <c r="U50" s="326"/>
      <c r="V50" s="326"/>
      <c r="W50" s="350" t="s">
        <v>29</v>
      </c>
      <c r="X50" s="351" t="s">
        <v>249</v>
      </c>
      <c r="Y50" s="327">
        <v>1</v>
      </c>
      <c r="Z50" s="327">
        <v>0.25</v>
      </c>
    </row>
    <row r="51" spans="1:26" s="328" customFormat="1" ht="12.75" outlineLevel="2">
      <c r="B51" s="353"/>
      <c r="C51" s="320" t="s">
        <v>243</v>
      </c>
      <c r="D51" s="354">
        <v>51779.8</v>
      </c>
      <c r="E51" s="354">
        <f>SUMIF(C48:C73,C51,G48:G73)</f>
        <v>51635.8</v>
      </c>
      <c r="F51" s="203">
        <v>20180517</v>
      </c>
      <c r="G51" s="350">
        <v>25817.9</v>
      </c>
      <c r="H51" s="206">
        <f>G51/G52</f>
        <v>0.5</v>
      </c>
      <c r="I51" s="437">
        <v>6.35</v>
      </c>
      <c r="J51" s="321"/>
      <c r="K51" s="403">
        <v>11681.6</v>
      </c>
      <c r="L51" s="322"/>
      <c r="M51" s="322">
        <f t="shared" si="0"/>
        <v>25817.9</v>
      </c>
      <c r="N51" s="323">
        <v>6110</v>
      </c>
      <c r="O51" s="323"/>
      <c r="P51" s="324"/>
      <c r="Q51" s="254">
        <f t="shared" si="64"/>
        <v>6.7050750300479205</v>
      </c>
      <c r="R51" s="325"/>
      <c r="S51" s="326"/>
      <c r="T51" s="326"/>
      <c r="U51" s="326"/>
      <c r="V51" s="326"/>
      <c r="W51" s="350" t="s">
        <v>29</v>
      </c>
      <c r="X51" s="351" t="s">
        <v>249</v>
      </c>
      <c r="Y51" s="327">
        <v>1</v>
      </c>
      <c r="Z51" s="327">
        <v>0.25</v>
      </c>
    </row>
    <row r="52" spans="1:26" s="328" customFormat="1" ht="12.75" outlineLevel="1">
      <c r="A52" s="219">
        <v>43221</v>
      </c>
      <c r="B52" s="219">
        <v>43160</v>
      </c>
      <c r="C52" s="364" t="s">
        <v>280</v>
      </c>
      <c r="D52" s="365">
        <f>SUBTOTAL(9,D50:D51)</f>
        <v>51779.8</v>
      </c>
      <c r="E52" s="365">
        <f>SUBTOTAL(9,E50:E51)</f>
        <v>51635.8</v>
      </c>
      <c r="F52" s="211"/>
      <c r="G52" s="365">
        <f>SUBTOTAL(9,G50:G51)</f>
        <v>51635.8</v>
      </c>
      <c r="H52" s="366"/>
      <c r="I52" s="438"/>
      <c r="J52" s="367">
        <v>246977.96</v>
      </c>
      <c r="K52" s="404"/>
      <c r="L52" s="368">
        <v>0</v>
      </c>
      <c r="M52" s="368">
        <f>SUBTOTAL(9,M50:M51)</f>
        <v>51635.8</v>
      </c>
      <c r="N52" s="369">
        <v>6110</v>
      </c>
      <c r="O52" s="369"/>
      <c r="P52" s="255">
        <f t="shared" ref="P52" si="65">SUM(J52,N52,O52)/M52*1.005</f>
        <v>4.9259118634745649</v>
      </c>
      <c r="Q52" s="255">
        <f>Q50*H50+Q51*H51</f>
        <v>6.6012291038090076</v>
      </c>
      <c r="R52" s="256">
        <f>VLOOKUP(B52,下单月成本!$A$2:$B$13,2,0)</f>
        <v>0.55000000000000004</v>
      </c>
      <c r="S52" s="252">
        <f>M52*(Q52-P52-R52)*Y52*Z52</f>
        <v>14526.663989615305</v>
      </c>
      <c r="T52" s="252">
        <v>-2400</v>
      </c>
      <c r="U52" s="252">
        <f>S52*0.7+T52+0.04</f>
        <v>7768.7047927307131</v>
      </c>
      <c r="V52" s="252">
        <f>IF(SUMIF(W50:W69,W52,U50:U69)&gt;5000,U52*0.875,U52)</f>
        <v>6797.6166936393738</v>
      </c>
      <c r="W52" s="365" t="str">
        <f>W51</f>
        <v>Estrella</v>
      </c>
      <c r="X52" s="365" t="str">
        <f t="shared" ref="X52" si="66">X51</f>
        <v>ATERMIS SA</v>
      </c>
      <c r="Y52" s="370">
        <f t="shared" ref="Y52" si="67">Y51</f>
        <v>1</v>
      </c>
      <c r="Z52" s="370">
        <f t="shared" ref="Z52" si="68">Z51</f>
        <v>0.25</v>
      </c>
    </row>
    <row r="53" spans="1:26" s="328" customFormat="1" ht="12.75" outlineLevel="2">
      <c r="B53" s="353"/>
      <c r="C53" s="320" t="s">
        <v>244</v>
      </c>
      <c r="D53" s="354"/>
      <c r="E53" s="354"/>
      <c r="F53" s="203">
        <v>20180416</v>
      </c>
      <c r="G53" s="350">
        <v>6481.25</v>
      </c>
      <c r="H53" s="206">
        <f>G53/G55</f>
        <v>0.5</v>
      </c>
      <c r="I53" s="437">
        <v>6.27</v>
      </c>
      <c r="J53" s="321"/>
      <c r="K53" s="403" t="s">
        <v>300</v>
      </c>
      <c r="L53" s="322"/>
      <c r="M53" s="322">
        <f t="shared" si="0"/>
        <v>6481.25</v>
      </c>
      <c r="N53" s="323"/>
      <c r="O53" s="323"/>
      <c r="P53" s="324"/>
      <c r="Q53" s="254">
        <f t="shared" ref="Q53:Q54" si="69">IF(K53="N",I53*1.16/(1.16-0.09)-0.3,IF(K53=0,"错误",IF(G53&gt;K53,K53/G53*(I53*1.16/(1.16-0.13)-0.3)+(1-K53/G53)*(I53*1.16/(1.16-0.09)-0.3),"提醒")))</f>
        <v>6.4973831775700939</v>
      </c>
      <c r="R53" s="325"/>
      <c r="S53" s="326"/>
      <c r="T53" s="326"/>
      <c r="U53" s="326"/>
      <c r="V53" s="326"/>
      <c r="W53" s="350" t="s">
        <v>29</v>
      </c>
      <c r="X53" s="351" t="s">
        <v>317</v>
      </c>
      <c r="Y53" s="327">
        <v>0.1</v>
      </c>
      <c r="Z53" s="327">
        <v>0.25</v>
      </c>
    </row>
    <row r="54" spans="1:26" s="328" customFormat="1" ht="12.75" outlineLevel="2">
      <c r="B54" s="353"/>
      <c r="C54" s="320" t="s">
        <v>244</v>
      </c>
      <c r="D54" s="354">
        <v>12962.5</v>
      </c>
      <c r="E54" s="354">
        <f>SUMIF(C50:C74,C54,G50:G74)</f>
        <v>12962.5</v>
      </c>
      <c r="F54" s="203">
        <v>20180517</v>
      </c>
      <c r="G54" s="350">
        <v>6481.25</v>
      </c>
      <c r="H54" s="206">
        <f>G54/G55</f>
        <v>0.5</v>
      </c>
      <c r="I54" s="437">
        <v>6.35</v>
      </c>
      <c r="J54" s="321"/>
      <c r="K54" s="403" t="s">
        <v>300</v>
      </c>
      <c r="L54" s="322"/>
      <c r="M54" s="322">
        <f t="shared" si="0"/>
        <v>6481.25</v>
      </c>
      <c r="N54" s="323">
        <v>5335</v>
      </c>
      <c r="O54" s="323"/>
      <c r="P54" s="324"/>
      <c r="Q54" s="254">
        <f t="shared" si="69"/>
        <v>6.58411214953271</v>
      </c>
      <c r="R54" s="325"/>
      <c r="S54" s="326"/>
      <c r="T54" s="326"/>
      <c r="U54" s="326"/>
      <c r="V54" s="326"/>
      <c r="W54" s="350" t="s">
        <v>29</v>
      </c>
      <c r="X54" s="351" t="s">
        <v>313</v>
      </c>
      <c r="Y54" s="327">
        <v>0.1</v>
      </c>
      <c r="Z54" s="327">
        <v>0.25</v>
      </c>
    </row>
    <row r="55" spans="1:26" s="328" customFormat="1" ht="12.75" outlineLevel="1">
      <c r="A55" s="219">
        <v>43221</v>
      </c>
      <c r="B55" s="219">
        <v>43191</v>
      </c>
      <c r="C55" s="364" t="s">
        <v>281</v>
      </c>
      <c r="D55" s="365">
        <f>SUBTOTAL(9,D53:D54)</f>
        <v>12962.5</v>
      </c>
      <c r="E55" s="365">
        <f>SUBTOTAL(9,E53:E54)</f>
        <v>12962.5</v>
      </c>
      <c r="F55" s="211"/>
      <c r="G55" s="365">
        <f>SUBTOTAL(9,G53:G54)</f>
        <v>12962.5</v>
      </c>
      <c r="H55" s="366"/>
      <c r="I55" s="438"/>
      <c r="J55" s="367">
        <v>67350</v>
      </c>
      <c r="K55" s="404"/>
      <c r="L55" s="368">
        <v>0</v>
      </c>
      <c r="M55" s="368">
        <f>SUBTOTAL(9,M53:M54)</f>
        <v>12962.5</v>
      </c>
      <c r="N55" s="369">
        <v>5335</v>
      </c>
      <c r="O55" s="369"/>
      <c r="P55" s="255">
        <f t="shared" ref="P55" si="70">SUM(J55,N55,O55)/M55*1.005</f>
        <v>5.6353654773384756</v>
      </c>
      <c r="Q55" s="255">
        <f>Q53*H53+Q54*H54</f>
        <v>6.5407476635514019</v>
      </c>
      <c r="R55" s="256">
        <f>VLOOKUP(B55,下单月成本!$A$2:$B$13,2,0)</f>
        <v>0.77600000000000002</v>
      </c>
      <c r="S55" s="252">
        <f>M55*(Q55-P55-R55)*Y55*Z55</f>
        <v>41.927914719626429</v>
      </c>
      <c r="T55" s="252"/>
      <c r="U55" s="252">
        <f>S55*0.7+T55</f>
        <v>29.349540303738497</v>
      </c>
      <c r="V55" s="252">
        <f>IF(SUMIF(W51:W72,W55,U51:U72)&gt;5000,U55*0.875,U55)</f>
        <v>25.680847765771183</v>
      </c>
      <c r="W55" s="365" t="str">
        <f>W54</f>
        <v>Estrella</v>
      </c>
      <c r="X55" s="365" t="str">
        <f t="shared" ref="X55" si="71">X54</f>
        <v>Vision Lighting</v>
      </c>
      <c r="Y55" s="370">
        <f t="shared" ref="Y55" si="72">Y54</f>
        <v>0.1</v>
      </c>
      <c r="Z55" s="370">
        <f t="shared" ref="Z55" si="73">Z54</f>
        <v>0.25</v>
      </c>
    </row>
    <row r="56" spans="1:26" s="328" customFormat="1" ht="12.75">
      <c r="A56" s="385"/>
      <c r="B56" s="385"/>
      <c r="C56" s="386" t="s">
        <v>266</v>
      </c>
      <c r="D56" s="355">
        <f>SUBTOTAL(9,D3:D54)</f>
        <v>960649.64000000013</v>
      </c>
      <c r="E56" s="355">
        <f ca="1">SUBTOTAL(9,E3:E54)</f>
        <v>960568.82000000007</v>
      </c>
      <c r="F56" s="356"/>
      <c r="G56" s="355">
        <f>SUBTOTAL(9,G3:G54)</f>
        <v>960568.82000000007</v>
      </c>
      <c r="H56" s="357"/>
      <c r="I56" s="439"/>
      <c r="J56" s="358">
        <f>SUBTOTAL(9,J3:J54)</f>
        <v>4631371.5</v>
      </c>
      <c r="K56" s="405"/>
      <c r="L56" s="359">
        <f>SUM(L6,L10,L14,L18,L22,L25,L30,L34,L37,L40,L43,L46,L49,L52,L55)</f>
        <v>74009</v>
      </c>
      <c r="M56" s="359">
        <f>SUBTOTAL(9,M3:M54)</f>
        <v>886514.82000000007</v>
      </c>
      <c r="N56" s="359">
        <f>SUM(N6,N10,N14,N18,N22,N25,N30,N34,N37,N40,N43,N46,N49,N52,N55)</f>
        <v>159240</v>
      </c>
      <c r="O56" s="359"/>
      <c r="P56" s="360"/>
      <c r="Q56" s="361"/>
      <c r="R56" s="361"/>
      <c r="S56" s="417">
        <f>SUM(S6,S10,S14,S18,S22,S25,S30,S34,S37,S40,S43,S46,S49,S52,S55)</f>
        <v>46953.49665857658</v>
      </c>
      <c r="T56" s="418">
        <f>SUM(T6,T10,T14,T18,T22,T25,T30,T34,T37,T40,T43,T46,T49,T52,T55)</f>
        <v>-6288</v>
      </c>
      <c r="U56" s="417">
        <f>SUM(U6,U10,U14,U18,U22,U25,U30,U34,U37,U40,U43,U46,U49,U52,U55)</f>
        <v>26579.457661003598</v>
      </c>
      <c r="V56" s="417">
        <f>SUM(V6,V10,V14,V18,V22,V25,V30,V34,V37,V40,V43,V46,V49,V52,V55)</f>
        <v>23914.700273523242</v>
      </c>
      <c r="W56" s="355"/>
      <c r="X56" s="362"/>
      <c r="Y56" s="363"/>
      <c r="Z56" s="363"/>
    </row>
    <row r="57" spans="1:26" s="338" customFormat="1" ht="12.75">
      <c r="A57" s="331"/>
      <c r="B57" s="331"/>
      <c r="C57" s="331"/>
      <c r="D57" s="332"/>
      <c r="E57" s="332"/>
      <c r="F57" s="333"/>
      <c r="G57" s="332"/>
      <c r="H57" s="334"/>
      <c r="I57" s="440"/>
      <c r="J57" s="335"/>
      <c r="K57" s="406"/>
      <c r="L57" s="332"/>
      <c r="M57" s="332"/>
      <c r="N57" s="335"/>
      <c r="O57" s="336"/>
      <c r="P57" s="335"/>
      <c r="Q57" s="335"/>
      <c r="R57" s="335"/>
      <c r="S57" s="335"/>
      <c r="T57" s="335"/>
      <c r="U57" s="335"/>
      <c r="V57" s="335"/>
      <c r="W57" s="337"/>
      <c r="X57" s="420" t="s">
        <v>314</v>
      </c>
      <c r="Y57" s="337"/>
      <c r="Z57" s="337"/>
    </row>
    <row r="58" spans="1:26" ht="24.95" customHeight="1">
      <c r="B58" s="340" t="s">
        <v>85</v>
      </c>
      <c r="C58" s="341"/>
      <c r="E58" s="387">
        <f ca="1">E56</f>
        <v>960568.82000000007</v>
      </c>
      <c r="U58" s="343">
        <f>SUMIF(W3:W55,W58,U3:U55)</f>
        <v>5261.3985611607313</v>
      </c>
      <c r="V58" s="343">
        <f>SUMIF(W3:W55,W58,V3:V55)</f>
        <v>5261.3985611607313</v>
      </c>
      <c r="W58" s="344" t="s">
        <v>18</v>
      </c>
      <c r="X58" s="344"/>
    </row>
    <row r="59" spans="1:26" ht="24.95" customHeight="1">
      <c r="B59" s="340" t="s">
        <v>86</v>
      </c>
      <c r="C59" s="341"/>
      <c r="E59" s="342">
        <f>L56</f>
        <v>74009</v>
      </c>
      <c r="U59" s="343">
        <f>SUMIF(W3:W55,W59,U3:U55)</f>
        <v>7798.0543330344517</v>
      </c>
      <c r="V59" s="343">
        <f>SUMIF(W3:W55,W59,V3:V55)</f>
        <v>6823.2975414051452</v>
      </c>
      <c r="W59" s="344" t="s">
        <v>29</v>
      </c>
      <c r="X59" s="344"/>
    </row>
    <row r="60" spans="1:26" ht="24.95" customHeight="1">
      <c r="B60" s="340" t="s">
        <v>87</v>
      </c>
      <c r="C60" s="341"/>
      <c r="E60" s="342">
        <f ca="1">E58-E59</f>
        <v>886559.82000000007</v>
      </c>
      <c r="U60" s="343">
        <f>SUMIF(W3:W55,W60,U3:U55)</f>
        <v>13520.004766808417</v>
      </c>
      <c r="V60" s="343">
        <f>SUMIF(W3:W55,W60,V3:V55)</f>
        <v>11830.004170957365</v>
      </c>
      <c r="W60" s="344" t="s">
        <v>41</v>
      </c>
      <c r="X60" s="344"/>
    </row>
    <row r="61" spans="1:26" ht="24.95" customHeight="1">
      <c r="B61" s="340" t="s">
        <v>88</v>
      </c>
      <c r="C61" s="345"/>
      <c r="E61" s="346">
        <f>J56+N56+O56</f>
        <v>4790611.5</v>
      </c>
      <c r="J61" s="225"/>
      <c r="U61" s="329">
        <f>SUM(U58:U60)</f>
        <v>26579.457661003602</v>
      </c>
      <c r="V61" s="329">
        <f>SUM(V58:V60)</f>
        <v>23914.700273523242</v>
      </c>
      <c r="W61" s="330" t="s">
        <v>264</v>
      </c>
      <c r="X61" s="419"/>
    </row>
    <row r="62" spans="1:26">
      <c r="B62" s="340" t="s">
        <v>89</v>
      </c>
      <c r="C62" s="347"/>
      <c r="E62" s="347">
        <f ca="1">E61/E60*1.005</f>
        <v>5.4306144367111058</v>
      </c>
    </row>
    <row r="64" spans="1:26">
      <c r="B64" s="225" t="s">
        <v>303</v>
      </c>
    </row>
    <row r="66" spans="2:3">
      <c r="B66" s="398"/>
      <c r="C66" s="400" t="s">
        <v>297</v>
      </c>
    </row>
    <row r="67" spans="2:3">
      <c r="B67" s="397"/>
      <c r="C67" s="400" t="s">
        <v>298</v>
      </c>
    </row>
    <row r="68" spans="2:3">
      <c r="B68" s="399"/>
      <c r="C68" s="400" t="s">
        <v>299</v>
      </c>
    </row>
  </sheetData>
  <sheetProtection algorithmName="SHA-512" hashValue="DhAKofykSzyIOLNcBEQsoTd1nRYyYOZWDZiUPh9Wm8TnIzjffz5RLJho5L+RcLx+RFcP6vqKNmmt3i/ruo7Pzg==" saltValue="qPILTcEHS+4vG86Sfm+3OA==" spinCount="100000" sheet="1" objects="1" scenarios="1"/>
  <autoFilter ref="A2:Z55" xr:uid="{00000000-0009-0000-0000-000005000000}"/>
  <phoneticPr fontId="42" type="noConversion"/>
  <conditionalFormatting sqref="Q3">
    <cfRule type="containsText" dxfId="24" priority="8" operator="containsText" text="错误">
      <formula>NOT(ISERROR(SEARCH("错误",Q3)))</formula>
    </cfRule>
    <cfRule type="cellIs" dxfId="23" priority="9" operator="equal">
      <formula>"提醒"</formula>
    </cfRule>
  </conditionalFormatting>
  <conditionalFormatting sqref="Q53:Q54 Q50:Q51 Q47:Q48 Q44:Q45 Q41:Q42 Q38:Q39 Q35:Q36 Q31:Q33 Q26:Q29 Q23:Q24 Q19:Q21 Q15:Q17 Q11:Q13 Q7:Q9 Q4:Q5">
    <cfRule type="containsText" dxfId="22" priority="4" operator="containsText" text="错误">
      <formula>NOT(ISERROR(SEARCH("错误",Q4)))</formula>
    </cfRule>
    <cfRule type="cellIs" dxfId="21" priority="5" operator="equal">
      <formula>"提醒"</formula>
    </cfRule>
  </conditionalFormatting>
  <conditionalFormatting sqref="S6">
    <cfRule type="cellIs" dxfId="20" priority="3" operator="lessThan">
      <formula>0</formula>
    </cfRule>
  </conditionalFormatting>
  <conditionalFormatting sqref="S55 S52 S49 S46 S43 S40 S37 S34 S30 S25 S22 S18 S14 S10">
    <cfRule type="cellIs" dxfId="19" priority="1" operator="lessThan">
      <formula>0</formula>
    </cfRule>
  </conditionalFormatting>
  <pageMargins left="0" right="0" top="0.19685039370078741" bottom="0.19685039370078741" header="0.51181102362204722" footer="0.51181102362204722"/>
  <pageSetup paperSize="9" scale="6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48"/>
  <sheetViews>
    <sheetView showGridLines="0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Q25" sqref="Q25"/>
    </sheetView>
  </sheetViews>
  <sheetFormatPr defaultColWidth="9" defaultRowHeight="15" outlineLevelRow="2"/>
  <cols>
    <col min="1" max="1" width="12.7109375" style="225" hidden="1" customWidth="1"/>
    <col min="2" max="2" width="10.28515625" style="225" customWidth="1"/>
    <col min="3" max="3" width="10.5703125" style="225" customWidth="1"/>
    <col min="4" max="4" width="12.140625" style="308" customWidth="1"/>
    <col min="5" max="5" width="12.85546875" style="308" customWidth="1"/>
    <col min="6" max="6" width="13.140625" style="225" customWidth="1"/>
    <col min="7" max="7" width="12.5703125" style="308" customWidth="1"/>
    <col min="8" max="8" width="6.140625" style="339" customWidth="1"/>
    <col min="9" max="9" width="6.5703125" style="441" customWidth="1"/>
    <col min="10" max="10" width="10.5703125" style="308" customWidth="1"/>
    <col min="11" max="11" width="9.7109375" style="407" customWidth="1"/>
    <col min="12" max="12" width="8.85546875" style="308" customWidth="1"/>
    <col min="13" max="13" width="12.42578125" style="308" customWidth="1"/>
    <col min="14" max="14" width="11" style="308" customWidth="1"/>
    <col min="15" max="15" width="7.85546875" style="225" customWidth="1"/>
    <col min="16" max="16" width="7.42578125" style="308" customWidth="1"/>
    <col min="17" max="17" width="8.85546875" style="308" customWidth="1"/>
    <col min="18" max="18" width="6.5703125" style="308" customWidth="1"/>
    <col min="19" max="19" width="11.7109375" style="308" customWidth="1"/>
    <col min="20" max="20" width="10" style="464" customWidth="1"/>
    <col min="21" max="21" width="10.28515625" style="308" customWidth="1"/>
    <col min="22" max="22" width="13.5703125" style="308" customWidth="1"/>
    <col min="23" max="23" width="7.7109375" style="225" customWidth="1"/>
    <col min="24" max="24" width="30.7109375" style="225" customWidth="1"/>
    <col min="25" max="26" width="5.5703125" style="225" customWidth="1"/>
    <col min="27" max="16384" width="9" style="225"/>
  </cols>
  <sheetData>
    <row r="1" spans="1:26" s="315" customFormat="1" ht="18" customHeight="1">
      <c r="B1" s="309"/>
      <c r="C1" s="309"/>
      <c r="D1" s="310"/>
      <c r="E1" s="310"/>
      <c r="F1" s="310"/>
      <c r="G1" s="310" t="s">
        <v>218</v>
      </c>
      <c r="H1" s="311" t="s">
        <v>219</v>
      </c>
      <c r="I1" s="435" t="s">
        <v>220</v>
      </c>
      <c r="J1" s="309" t="s">
        <v>221</v>
      </c>
      <c r="K1" s="310"/>
      <c r="L1" s="310" t="s">
        <v>222</v>
      </c>
      <c r="M1" s="310" t="s">
        <v>223</v>
      </c>
      <c r="N1" s="312" t="s">
        <v>224</v>
      </c>
      <c r="O1" s="312" t="s">
        <v>225</v>
      </c>
      <c r="P1" s="416" t="s">
        <v>253</v>
      </c>
      <c r="Q1" s="384" t="s">
        <v>282</v>
      </c>
      <c r="R1" s="313" t="s">
        <v>226</v>
      </c>
      <c r="S1" s="313" t="s">
        <v>307</v>
      </c>
      <c r="T1" s="460" t="s">
        <v>308</v>
      </c>
      <c r="U1" s="313" t="s">
        <v>315</v>
      </c>
      <c r="V1" s="313" t="s">
        <v>309</v>
      </c>
      <c r="W1" s="314"/>
      <c r="X1" s="309"/>
      <c r="Y1" s="313" t="s">
        <v>305</v>
      </c>
      <c r="Z1" s="313" t="s">
        <v>306</v>
      </c>
    </row>
    <row r="2" spans="1:26" s="318" customFormat="1" ht="38.25">
      <c r="A2" s="316" t="s">
        <v>227</v>
      </c>
      <c r="B2" s="302" t="s">
        <v>1</v>
      </c>
      <c r="C2" s="317" t="s">
        <v>2</v>
      </c>
      <c r="D2" s="396" t="s">
        <v>3</v>
      </c>
      <c r="E2" s="408" t="s">
        <v>228</v>
      </c>
      <c r="F2" s="349" t="s">
        <v>254</v>
      </c>
      <c r="G2" s="411" t="s">
        <v>255</v>
      </c>
      <c r="H2" s="409" t="s">
        <v>256</v>
      </c>
      <c r="I2" s="436" t="s">
        <v>257</v>
      </c>
      <c r="J2" s="401" t="s">
        <v>5</v>
      </c>
      <c r="K2" s="402" t="s">
        <v>302</v>
      </c>
      <c r="L2" s="396" t="s">
        <v>7</v>
      </c>
      <c r="M2" s="408" t="s">
        <v>229</v>
      </c>
      <c r="N2" s="396" t="s">
        <v>8</v>
      </c>
      <c r="O2" s="396" t="s">
        <v>9</v>
      </c>
      <c r="P2" s="410" t="s">
        <v>258</v>
      </c>
      <c r="Q2" s="410" t="s">
        <v>259</v>
      </c>
      <c r="R2" s="410" t="s">
        <v>260</v>
      </c>
      <c r="S2" s="410" t="s">
        <v>261</v>
      </c>
      <c r="T2" s="461" t="s">
        <v>304</v>
      </c>
      <c r="U2" s="410" t="s">
        <v>262</v>
      </c>
      <c r="V2" s="410" t="s">
        <v>263</v>
      </c>
      <c r="W2" s="317" t="s">
        <v>11</v>
      </c>
      <c r="X2" s="316" t="s">
        <v>10</v>
      </c>
      <c r="Y2" s="317" t="s">
        <v>12</v>
      </c>
      <c r="Z2" s="316" t="s">
        <v>139</v>
      </c>
    </row>
    <row r="3" spans="1:26" s="328" customFormat="1" ht="12.75" outlineLevel="2">
      <c r="A3" s="412"/>
      <c r="B3" s="319"/>
      <c r="C3" s="320" t="s">
        <v>347</v>
      </c>
      <c r="D3" s="350"/>
      <c r="E3" s="350"/>
      <c r="F3" s="444">
        <v>43203</v>
      </c>
      <c r="G3" s="445">
        <v>19878.97</v>
      </c>
      <c r="H3" s="206">
        <f>G3/G5</f>
        <v>0.51311598080309917</v>
      </c>
      <c r="I3" s="437">
        <f>VLOOKUP(F3,汇率!$B$3:F100,5,0)</f>
        <v>6.27</v>
      </c>
      <c r="J3" s="321"/>
      <c r="K3" s="403" t="s">
        <v>300</v>
      </c>
      <c r="L3" s="243">
        <f>H3*L5</f>
        <v>2232.5676324742844</v>
      </c>
      <c r="M3" s="322">
        <f>G3-L3</f>
        <v>17646.402367525716</v>
      </c>
      <c r="N3" s="323"/>
      <c r="O3" s="323"/>
      <c r="P3" s="324"/>
      <c r="Q3" s="254">
        <f>IF(K3="N",I3*1.16/(1.16-0.09)-0.3,IF(K3=0,"错误",IF(G3&gt;K3,K3/G3*(I3*1.16/(1.16-0.13)-0.3)+(1-K3/G3)*(I3*1.16/(1.16-0.09)-0.3),"提醒")))</f>
        <v>6.4973831775700939</v>
      </c>
      <c r="R3" s="325"/>
      <c r="S3" s="326"/>
      <c r="T3" s="462"/>
      <c r="U3" s="326"/>
      <c r="V3" s="326"/>
      <c r="W3" s="350"/>
      <c r="X3" s="446" t="s">
        <v>327</v>
      </c>
      <c r="Y3" s="327"/>
      <c r="Z3" s="327"/>
    </row>
    <row r="4" spans="1:26" s="328" customFormat="1" ht="12.75" outlineLevel="2">
      <c r="B4" s="353"/>
      <c r="C4" s="320" t="s">
        <v>347</v>
      </c>
      <c r="D4" s="445">
        <v>38795.4</v>
      </c>
      <c r="E4" s="350">
        <f>G5</f>
        <v>38741.67</v>
      </c>
      <c r="F4" s="444">
        <v>43258</v>
      </c>
      <c r="G4" s="445">
        <v>18862.7</v>
      </c>
      <c r="H4" s="206">
        <f>G4/G5</f>
        <v>0.48688401919690094</v>
      </c>
      <c r="I4" s="437">
        <f>VLOOKUP(F4,汇率!$B$3:F101,5,0)</f>
        <v>6.38</v>
      </c>
      <c r="J4" s="321"/>
      <c r="K4" s="403" t="s">
        <v>300</v>
      </c>
      <c r="L4" s="243">
        <f>H4*L5</f>
        <v>2118.432367525716</v>
      </c>
      <c r="M4" s="322">
        <f>G4-L4</f>
        <v>16744.267632474286</v>
      </c>
      <c r="N4" s="323"/>
      <c r="O4" s="323"/>
      <c r="P4" s="324"/>
      <c r="Q4" s="254">
        <f>IF(K4="N",I4*1.16/(1.16-0.09)-0.3,IF(K4=0,"错误",IF(G4&gt;K4,K4/G4*(I4*1.16/(1.16-0.13)-0.3)+(1-K4/G4)*(I4*1.16/(1.16-0.09)-0.3),"提醒")))</f>
        <v>6.6166355140186921</v>
      </c>
      <c r="R4" s="325"/>
      <c r="S4" s="326"/>
      <c r="T4" s="462"/>
      <c r="U4" s="326"/>
      <c r="V4" s="326"/>
      <c r="W4" s="350"/>
      <c r="X4" s="446" t="s">
        <v>327</v>
      </c>
      <c r="Y4" s="327"/>
      <c r="Z4" s="327"/>
    </row>
    <row r="5" spans="1:26" s="328" customFormat="1" ht="17.100000000000001" customHeight="1" outlineLevel="1">
      <c r="A5" s="219">
        <v>43252</v>
      </c>
      <c r="B5" s="219">
        <v>43191</v>
      </c>
      <c r="C5" s="364" t="s">
        <v>347</v>
      </c>
      <c r="D5" s="365">
        <f>SUBTOTAL(9,D3:D4)</f>
        <v>38795.4</v>
      </c>
      <c r="E5" s="365">
        <f>SUBTOTAL(9,E3:E4)</f>
        <v>38741.67</v>
      </c>
      <c r="F5" s="211"/>
      <c r="G5" s="365">
        <f>SUBTOTAL(9,G3:G4)</f>
        <v>38741.67</v>
      </c>
      <c r="H5" s="366"/>
      <c r="I5" s="438"/>
      <c r="J5" s="365">
        <v>164119.04000000001</v>
      </c>
      <c r="K5" s="404"/>
      <c r="L5" s="368">
        <v>4351</v>
      </c>
      <c r="M5" s="368">
        <f>SUBTOTAL(9,M3:M4)</f>
        <v>34390.67</v>
      </c>
      <c r="N5" s="369">
        <v>5670</v>
      </c>
      <c r="O5" s="369"/>
      <c r="P5" s="255">
        <f>SUM(J5,N5,O5)/M5*1.005</f>
        <v>4.9617522775799365</v>
      </c>
      <c r="Q5" s="255">
        <f>Q3*H3+Q4*H4</f>
        <v>6.5554452344388086</v>
      </c>
      <c r="R5" s="256">
        <f>VLOOKUP(B5,下单月成本!$A$2:$B$13,2,0)</f>
        <v>0.77600000000000002</v>
      </c>
      <c r="S5" s="252">
        <f>M5*(Q5-P5-R5)*Y5*Z5</f>
        <v>703.02521601644264</v>
      </c>
      <c r="T5" s="252"/>
      <c r="U5" s="252">
        <f>S5*0.7+T5</f>
        <v>492.11765121150984</v>
      </c>
      <c r="V5" s="252">
        <f>IF(SUMIF(W2:W12,W5,U2:U12)&gt;5000,U5*0.875,U5)-0.01</f>
        <v>492.10765121150985</v>
      </c>
      <c r="W5" s="365" t="s">
        <v>18</v>
      </c>
      <c r="X5" s="365" t="s">
        <v>327</v>
      </c>
      <c r="Y5" s="370">
        <v>0.1</v>
      </c>
      <c r="Z5" s="370">
        <v>0.25</v>
      </c>
    </row>
    <row r="6" spans="1:26" s="328" customFormat="1" ht="12.75" hidden="1" outlineLevel="2">
      <c r="B6" s="353"/>
      <c r="C6" s="320" t="s">
        <v>348</v>
      </c>
      <c r="D6" s="350"/>
      <c r="E6" s="350"/>
      <c r="F6" s="444">
        <v>43208</v>
      </c>
      <c r="G6" s="445">
        <v>10079.1</v>
      </c>
      <c r="H6" s="206">
        <f>G6/G8</f>
        <v>0.30044713387188127</v>
      </c>
      <c r="I6" s="437">
        <f>VLOOKUP(F6,汇率!$B$3:F103,5,0)</f>
        <v>6.27</v>
      </c>
      <c r="J6" s="321"/>
      <c r="K6" s="403" t="s">
        <v>300</v>
      </c>
      <c r="L6" s="243">
        <f>H6*L8</f>
        <v>819.61978120249205</v>
      </c>
      <c r="M6" s="322">
        <f>G6-L6</f>
        <v>9259.4802187975074</v>
      </c>
      <c r="N6" s="323"/>
      <c r="O6" s="323"/>
      <c r="P6" s="324"/>
      <c r="Q6" s="254">
        <f>IF(K6="N",I6*1.16/(1.16-0.09)-0.3,IF(K6=0,"错误",IF(G6&gt;K6,K6/G6*(I6*1.16/(1.16-0.13)-0.3)+(1-K6/G6)*(I6*1.16/(1.16-0.09)-0.3),"提醒")))</f>
        <v>6.4973831775700939</v>
      </c>
      <c r="R6" s="325"/>
      <c r="S6" s="326"/>
      <c r="T6" s="462"/>
      <c r="U6" s="326"/>
      <c r="V6" s="326"/>
      <c r="W6" s="350"/>
      <c r="X6" s="350" t="s">
        <v>328</v>
      </c>
      <c r="Y6" s="327"/>
      <c r="Z6" s="327"/>
    </row>
    <row r="7" spans="1:26" s="328" customFormat="1" ht="12.75" hidden="1" outlineLevel="2">
      <c r="B7" s="353"/>
      <c r="C7" s="320" t="s">
        <v>348</v>
      </c>
      <c r="D7" s="445">
        <v>33597</v>
      </c>
      <c r="E7" s="350">
        <f>G8</f>
        <v>33547</v>
      </c>
      <c r="F7" s="444">
        <v>43259</v>
      </c>
      <c r="G7" s="445">
        <v>23467.9</v>
      </c>
      <c r="H7" s="206">
        <f>G7/G8</f>
        <v>0.69955286612811884</v>
      </c>
      <c r="I7" s="437">
        <f>VLOOKUP(F7,汇率!$B$3:F104,5,0)</f>
        <v>6.39</v>
      </c>
      <c r="J7" s="321"/>
      <c r="K7" s="403" t="s">
        <v>322</v>
      </c>
      <c r="L7" s="243">
        <f>H7*L8</f>
        <v>1908.3802187975082</v>
      </c>
      <c r="M7" s="322">
        <f>G7-L7</f>
        <v>21559.519781202493</v>
      </c>
      <c r="N7" s="323"/>
      <c r="O7" s="323"/>
      <c r="P7" s="324"/>
      <c r="Q7" s="254">
        <f>IF(K7="N",I7*1.16/(1.16-0.09)-0.3,IF(K7=0,"错误",IF(G7&gt;K7,K7/G7*(I7*1.16/(1.16-0.13)-0.3)+(1-K7/G7)*(I7*1.16/(1.16-0.09)-0.3),"提醒")))</f>
        <v>6.6274766355140189</v>
      </c>
      <c r="R7" s="325"/>
      <c r="S7" s="326"/>
      <c r="T7" s="462"/>
      <c r="U7" s="326"/>
      <c r="V7" s="326"/>
      <c r="W7" s="350"/>
      <c r="X7" s="350" t="s">
        <v>328</v>
      </c>
      <c r="Y7" s="327"/>
      <c r="Z7" s="327"/>
    </row>
    <row r="8" spans="1:26" s="328" customFormat="1" ht="17.100000000000001" customHeight="1" outlineLevel="1" collapsed="1">
      <c r="A8" s="219">
        <v>43252</v>
      </c>
      <c r="B8" s="219">
        <v>43191</v>
      </c>
      <c r="C8" s="364" t="s">
        <v>348</v>
      </c>
      <c r="D8" s="365">
        <f>SUBTOTAL(9,D6:D7)</f>
        <v>33597</v>
      </c>
      <c r="E8" s="365">
        <f>SUBTOTAL(9,E6:E7)</f>
        <v>33547</v>
      </c>
      <c r="F8" s="211"/>
      <c r="G8" s="365">
        <f>SUBTOTAL(9,G6:G7)</f>
        <v>33547</v>
      </c>
      <c r="H8" s="366"/>
      <c r="I8" s="438"/>
      <c r="J8" s="365">
        <v>151667.70000000001</v>
      </c>
      <c r="K8" s="404"/>
      <c r="L8" s="368">
        <v>2728</v>
      </c>
      <c r="M8" s="368">
        <f>SUBTOTAL(9,M6:M7)</f>
        <v>30819</v>
      </c>
      <c r="N8" s="369">
        <v>9355</v>
      </c>
      <c r="O8" s="369"/>
      <c r="P8" s="255">
        <f>SUM(J8,N8,O8)/M8*1.005</f>
        <v>5.2509105908692693</v>
      </c>
      <c r="Q8" s="255">
        <f>Q6*H6+Q7*H7</f>
        <v>6.5883904289392845</v>
      </c>
      <c r="R8" s="256">
        <f>VLOOKUP(B8,下单月成本!$A$2:$B$13,2,0)</f>
        <v>0.77600000000000002</v>
      </c>
      <c r="S8" s="252">
        <f>M8*(Q8-P8-R8)*Y8*Z8</f>
        <v>1730.42471294798</v>
      </c>
      <c r="T8" s="252"/>
      <c r="U8" s="252">
        <f>S8*0.7+T8</f>
        <v>1211.2972990635858</v>
      </c>
      <c r="V8" s="252">
        <f>IF(SUMIF(W6:W23,W8,U6:U23)&gt;5000,U8*0.875,U8)</f>
        <v>1059.8851366806375</v>
      </c>
      <c r="W8" s="365" t="s">
        <v>18</v>
      </c>
      <c r="X8" s="365" t="s">
        <v>328</v>
      </c>
      <c r="Y8" s="370">
        <v>0.4</v>
      </c>
      <c r="Z8" s="370">
        <v>0.25</v>
      </c>
    </row>
    <row r="9" spans="1:26" s="328" customFormat="1" ht="12.75" outlineLevel="2">
      <c r="B9" s="353"/>
      <c r="C9" s="472" t="s">
        <v>349</v>
      </c>
      <c r="D9" s="466"/>
      <c r="E9" s="350"/>
      <c r="F9" s="467">
        <v>43209</v>
      </c>
      <c r="G9" s="465">
        <v>5419.55</v>
      </c>
      <c r="H9" s="206">
        <f>G9/G14</f>
        <v>9.9296530104279176E-2</v>
      </c>
      <c r="I9" s="437">
        <f>VLOOKUP(F9,汇率!$B$3:F106,5,0)</f>
        <v>6.26</v>
      </c>
      <c r="J9" s="321"/>
      <c r="K9" s="468" t="s">
        <v>323</v>
      </c>
      <c r="L9" s="243">
        <f>H9*L14</f>
        <v>495.48968522035307</v>
      </c>
      <c r="M9" s="322">
        <f>G9-L9</f>
        <v>4924.0603147796473</v>
      </c>
      <c r="N9" s="323"/>
      <c r="O9" s="323"/>
      <c r="P9" s="324"/>
      <c r="Q9" s="254">
        <f>IF(K9="N",I9*1.16/(1.16-0.09)-0.3,IF(K9=0,"错误",IF(G9&gt;K9,K9/G9*(I9*1.16/(1.16-0.13)-0.3)+(1-K9/G9)*(I9*1.16/(1.16-0.09)-0.3),"提醒")))</f>
        <v>6.4865420560747671</v>
      </c>
      <c r="R9" s="325"/>
      <c r="S9" s="326"/>
      <c r="T9" s="462"/>
      <c r="U9" s="326"/>
      <c r="V9" s="326"/>
      <c r="W9" s="350"/>
      <c r="X9" s="466" t="s">
        <v>329</v>
      </c>
      <c r="Y9" s="327"/>
      <c r="Z9" s="327"/>
    </row>
    <row r="10" spans="1:26" s="328" customFormat="1" ht="12.75" outlineLevel="2">
      <c r="B10" s="353"/>
      <c r="C10" s="472" t="s">
        <v>349</v>
      </c>
      <c r="D10" s="466"/>
      <c r="E10" s="350"/>
      <c r="F10" s="467">
        <v>43237</v>
      </c>
      <c r="G10" s="465">
        <v>13079.5</v>
      </c>
      <c r="H10" s="206">
        <f>G10/G14</f>
        <v>0.23964147678292838</v>
      </c>
      <c r="I10" s="437">
        <f>VLOOKUP(F10,汇率!$B$3:F107,5,0)</f>
        <v>6.35</v>
      </c>
      <c r="J10" s="321"/>
      <c r="K10" s="468" t="s">
        <v>322</v>
      </c>
      <c r="L10" s="243">
        <f>H10*L14</f>
        <v>1195.8109691468126</v>
      </c>
      <c r="M10" s="322">
        <f>G10-L10</f>
        <v>11883.689030853187</v>
      </c>
      <c r="N10" s="323"/>
      <c r="O10" s="323"/>
      <c r="P10" s="324"/>
      <c r="Q10" s="254">
        <f>IF(K10="N",I10*1.16/(1.16-0.09)-0.3,IF(K10=0,"错误",IF(G10&gt;K10,K10/G10*(I10*1.16/(1.16-0.13)-0.3)+(1-K10/G10)*(I10*1.16/(1.16-0.09)-0.3),"提醒")))</f>
        <v>6.58411214953271</v>
      </c>
      <c r="R10" s="325"/>
      <c r="S10" s="326"/>
      <c r="T10" s="462"/>
      <c r="U10" s="326"/>
      <c r="V10" s="326"/>
      <c r="W10" s="350"/>
      <c r="X10" s="466" t="s">
        <v>329</v>
      </c>
      <c r="Y10" s="327"/>
      <c r="Z10" s="327"/>
    </row>
    <row r="11" spans="1:26" s="328" customFormat="1" ht="12.75" outlineLevel="2">
      <c r="B11" s="353"/>
      <c r="C11" s="472" t="s">
        <v>349</v>
      </c>
      <c r="D11" s="466"/>
      <c r="E11" s="350"/>
      <c r="F11" s="467">
        <v>43250</v>
      </c>
      <c r="G11" s="465">
        <v>14336.82</v>
      </c>
      <c r="H11" s="206">
        <f>G11/G14</f>
        <v>0.26267798594525965</v>
      </c>
      <c r="I11" s="437">
        <f>VLOOKUP(F11,汇率!$B$3:F108,5,0)</f>
        <v>6.41</v>
      </c>
      <c r="J11" s="321"/>
      <c r="K11" s="468" t="s">
        <v>300</v>
      </c>
      <c r="L11" s="243">
        <f>H11*L14</f>
        <v>1310.7631498668457</v>
      </c>
      <c r="M11" s="322">
        <f>G11-L11</f>
        <v>13026.056850133155</v>
      </c>
      <c r="N11" s="323"/>
      <c r="O11" s="323"/>
      <c r="P11" s="324"/>
      <c r="Q11" s="254">
        <f>IF(K11="N",I11*1.16/(1.16-0.09)-0.3,IF(K11=0,"错误",IF(G11&gt;K11,K11/G11*(I11*1.16/(1.16-0.13)-0.3)+(1-K11/G11)*(I11*1.16/(1.16-0.09)-0.3),"提醒")))</f>
        <v>6.6491588785046742</v>
      </c>
      <c r="R11" s="325"/>
      <c r="S11" s="326"/>
      <c r="T11" s="462"/>
      <c r="U11" s="326"/>
      <c r="V11" s="326"/>
      <c r="W11" s="350"/>
      <c r="X11" s="466" t="s">
        <v>329</v>
      </c>
      <c r="Y11" s="327"/>
      <c r="Z11" s="327"/>
    </row>
    <row r="12" spans="1:26" s="328" customFormat="1" ht="12.75" outlineLevel="2">
      <c r="B12" s="353"/>
      <c r="C12" s="472" t="s">
        <v>349</v>
      </c>
      <c r="D12" s="466"/>
      <c r="E12" s="350"/>
      <c r="F12" s="467">
        <v>43272</v>
      </c>
      <c r="G12" s="465">
        <v>10456.6</v>
      </c>
      <c r="H12" s="206">
        <f>G12/G14</f>
        <v>0.19158492802694055</v>
      </c>
      <c r="I12" s="437">
        <f>VLOOKUP(F12,汇率!$B$3:F109,5,0)</f>
        <v>6.48</v>
      </c>
      <c r="J12" s="321"/>
      <c r="K12" s="468" t="s">
        <v>300</v>
      </c>
      <c r="L12" s="243">
        <f>H12*L14</f>
        <v>956.0087908544333</v>
      </c>
      <c r="M12" s="322">
        <f>G12-L12</f>
        <v>9500.5912091455666</v>
      </c>
      <c r="N12" s="323"/>
      <c r="O12" s="323"/>
      <c r="P12" s="324"/>
      <c r="Q12" s="254">
        <f>IF(K12="N",I12*1.16/(1.16-0.09)-0.3,IF(K12=0,"错误",IF(G12&gt;K12,K12/G12*(I12*1.16/(1.16-0.13)-0.3)+(1-K12/G12)*(I12*1.16/(1.16-0.09)-0.3),"提醒")))</f>
        <v>6.7250467289719635</v>
      </c>
      <c r="R12" s="325"/>
      <c r="S12" s="326"/>
      <c r="T12" s="462"/>
      <c r="U12" s="326"/>
      <c r="V12" s="326"/>
      <c r="W12" s="350"/>
      <c r="X12" s="466" t="s">
        <v>329</v>
      </c>
      <c r="Y12" s="327"/>
      <c r="Z12" s="327"/>
    </row>
    <row r="13" spans="1:26" s="328" customFormat="1" ht="12.75" outlineLevel="2">
      <c r="B13" s="353"/>
      <c r="C13" s="472" t="s">
        <v>349</v>
      </c>
      <c r="D13" s="465">
        <v>54651.45</v>
      </c>
      <c r="E13" s="350">
        <f>G14</f>
        <v>54579.45</v>
      </c>
      <c r="F13" s="467">
        <v>43279</v>
      </c>
      <c r="G13" s="465">
        <v>11286.98</v>
      </c>
      <c r="H13" s="206">
        <f>G13/G14</f>
        <v>0.20679907914059228</v>
      </c>
      <c r="I13" s="437">
        <f>VLOOKUP(F13,汇率!$B$3:F110,5,0)</f>
        <v>6.61</v>
      </c>
      <c r="J13" s="321"/>
      <c r="K13" s="468" t="s">
        <v>300</v>
      </c>
      <c r="L13" s="243">
        <f>H13*L14</f>
        <v>1031.9274049115554</v>
      </c>
      <c r="M13" s="322">
        <f>G13-L13</f>
        <v>10255.052595088444</v>
      </c>
      <c r="N13" s="323"/>
      <c r="O13" s="323"/>
      <c r="P13" s="324"/>
      <c r="Q13" s="254">
        <f>IF(K13="N",I13*1.16/(1.16-0.09)-0.3,IF(K13=0,"错误",IF(G13&gt;K13,K13/G13*(I13*1.16/(1.16-0.13)-0.3)+(1-K13/G13)*(I13*1.16/(1.16-0.09)-0.3),"提醒")))</f>
        <v>6.8659813084112162</v>
      </c>
      <c r="R13" s="325"/>
      <c r="S13" s="326"/>
      <c r="T13" s="462"/>
      <c r="U13" s="326"/>
      <c r="V13" s="326"/>
      <c r="W13" s="350"/>
      <c r="X13" s="466" t="s">
        <v>335</v>
      </c>
      <c r="Y13" s="327"/>
      <c r="Z13" s="327"/>
    </row>
    <row r="14" spans="1:26" s="328" customFormat="1" ht="17.100000000000001" customHeight="1" outlineLevel="1">
      <c r="A14" s="219">
        <v>43252</v>
      </c>
      <c r="B14" s="474">
        <v>43191</v>
      </c>
      <c r="C14" s="473" t="s">
        <v>349</v>
      </c>
      <c r="D14" s="365">
        <f>SUBTOTAL(9,D9:D13)</f>
        <v>54651.45</v>
      </c>
      <c r="E14" s="365">
        <f>SUBTOTAL(9,E9:E13)</f>
        <v>54579.45</v>
      </c>
      <c r="F14" s="211"/>
      <c r="G14" s="365">
        <f>SUBTOTAL(9,G9:G13)</f>
        <v>54579.45</v>
      </c>
      <c r="H14" s="366"/>
      <c r="I14" s="438"/>
      <c r="J14" s="466">
        <v>262942.3</v>
      </c>
      <c r="K14" s="404"/>
      <c r="L14" s="471">
        <v>4990</v>
      </c>
      <c r="M14" s="368">
        <f>SUBTOTAL(9,M9:M13)</f>
        <v>49589.45</v>
      </c>
      <c r="N14" s="470">
        <v>10530</v>
      </c>
      <c r="O14" s="369"/>
      <c r="P14" s="255">
        <f>SUM(J14,N14,O14)/M14*1.005</f>
        <v>5.5423010640368053</v>
      </c>
      <c r="Q14" s="255">
        <f>Q9*H9+Q10*H10+Q11*H11+Q12*H12+Q13*H13</f>
        <v>6.6768013453216541</v>
      </c>
      <c r="R14" s="256">
        <f>VLOOKUP(B14,下单月成本!$A$2:$B$13,2,0)</f>
        <v>0.77600000000000002</v>
      </c>
      <c r="S14" s="252">
        <f>M14*(Q14-P14-R14)*Y14*Z14</f>
        <v>444.44579434402362</v>
      </c>
      <c r="T14" s="252">
        <f>下单月成本!O8</f>
        <v>2287.4179175449608</v>
      </c>
      <c r="U14" s="252">
        <f>S14*0.7+T14</f>
        <v>2598.5299735857775</v>
      </c>
      <c r="V14" s="252">
        <f>IF(SUMIF(W9:W25,W14,U9:U25)&gt;5000,U14*0.875,U14)</f>
        <v>2273.7137268875554</v>
      </c>
      <c r="W14" s="466" t="s">
        <v>18</v>
      </c>
      <c r="X14" s="466" t="s">
        <v>335</v>
      </c>
      <c r="Y14" s="469">
        <v>0.1</v>
      </c>
      <c r="Z14" s="469">
        <v>0.25</v>
      </c>
    </row>
    <row r="15" spans="1:26" s="328" customFormat="1" ht="12.75" hidden="1" outlineLevel="2">
      <c r="B15" s="353"/>
      <c r="C15" s="320" t="s">
        <v>350</v>
      </c>
      <c r="D15" s="350"/>
      <c r="E15" s="350"/>
      <c r="F15" s="444">
        <v>43218</v>
      </c>
      <c r="G15" s="445">
        <v>21055</v>
      </c>
      <c r="H15" s="206">
        <f>G15/G17</f>
        <v>0.50238606537819142</v>
      </c>
      <c r="I15" s="437">
        <f>VLOOKUP(F15,汇率!$B$3:F112,5,0)</f>
        <v>6.32</v>
      </c>
      <c r="J15" s="321"/>
      <c r="K15" s="403" t="s">
        <v>300</v>
      </c>
      <c r="L15" s="243">
        <f>H15*L17</f>
        <v>2431.0461703650681</v>
      </c>
      <c r="M15" s="322">
        <f>G15-L15</f>
        <v>18623.953829634931</v>
      </c>
      <c r="N15" s="323"/>
      <c r="O15" s="323"/>
      <c r="P15" s="324"/>
      <c r="Q15" s="254">
        <f>IF(K15="N",I15*1.16/(1.16-0.09)-0.3,IF(K15=0,"错误",IF(G15&gt;K15,K15/G15*(I15*1.16/(1.16-0.13)-0.3)+(1-K15/G15)*(I15*1.16/(1.16-0.09)-0.3),"提醒")))</f>
        <v>6.5515887850467305</v>
      </c>
      <c r="R15" s="325"/>
      <c r="S15" s="326"/>
      <c r="T15" s="462"/>
      <c r="U15" s="326"/>
      <c r="V15" s="326"/>
      <c r="W15" s="350"/>
      <c r="X15" s="350" t="s">
        <v>330</v>
      </c>
      <c r="Y15" s="327"/>
      <c r="Z15" s="327"/>
    </row>
    <row r="16" spans="1:26" s="328" customFormat="1" ht="12.6" hidden="1" customHeight="1" outlineLevel="2">
      <c r="B16" s="353"/>
      <c r="C16" s="320" t="s">
        <v>350</v>
      </c>
      <c r="D16" s="445">
        <v>41930</v>
      </c>
      <c r="E16" s="350">
        <f>G17</f>
        <v>41910</v>
      </c>
      <c r="F16" s="444">
        <v>43273</v>
      </c>
      <c r="G16" s="445">
        <v>20855</v>
      </c>
      <c r="H16" s="206">
        <f>G16/G17</f>
        <v>0.49761393462180864</v>
      </c>
      <c r="I16" s="437">
        <f>VLOOKUP(F16,汇率!$B$3:F113,5,0)</f>
        <v>6.48</v>
      </c>
      <c r="J16" s="321"/>
      <c r="K16" s="403" t="s">
        <v>300</v>
      </c>
      <c r="L16" s="243">
        <f>H16*L17</f>
        <v>2407.9538296349319</v>
      </c>
      <c r="M16" s="322">
        <f>G16-L16</f>
        <v>18447.046170365069</v>
      </c>
      <c r="N16" s="323"/>
      <c r="O16" s="323"/>
      <c r="P16" s="324"/>
      <c r="Q16" s="254">
        <f>IF(K16="N",I16*1.16/(1.16-0.09)-0.3,IF(K16=0,"错误",IF(G16&gt;K16,K16/G16*(I16*1.16/(1.16-0.13)-0.3)+(1-K16/G16)*(I16*1.16/(1.16-0.09)-0.3),"提醒")))</f>
        <v>6.7250467289719635</v>
      </c>
      <c r="R16" s="325"/>
      <c r="S16" s="326"/>
      <c r="T16" s="462"/>
      <c r="U16" s="326"/>
      <c r="V16" s="326"/>
      <c r="W16" s="350"/>
      <c r="X16" s="350" t="s">
        <v>336</v>
      </c>
      <c r="Y16" s="327"/>
      <c r="Z16" s="327"/>
    </row>
    <row r="17" spans="1:26" s="328" customFormat="1" ht="17.100000000000001" customHeight="1" outlineLevel="1" collapsed="1">
      <c r="A17" s="219">
        <v>43252</v>
      </c>
      <c r="B17" s="219">
        <v>43191</v>
      </c>
      <c r="C17" s="364" t="s">
        <v>350</v>
      </c>
      <c r="D17" s="365">
        <f>SUBTOTAL(9,D15:D16)</f>
        <v>41930</v>
      </c>
      <c r="E17" s="365">
        <f>SUBTOTAL(9,E15:E16)</f>
        <v>41910</v>
      </c>
      <c r="F17" s="211"/>
      <c r="G17" s="365">
        <f>SUBTOTAL(9,G15:G16)</f>
        <v>41910</v>
      </c>
      <c r="H17" s="366"/>
      <c r="I17" s="438"/>
      <c r="J17" s="365">
        <v>195317.95</v>
      </c>
      <c r="K17" s="404"/>
      <c r="L17" s="368">
        <v>4839</v>
      </c>
      <c r="M17" s="368">
        <f>SUBTOTAL(9,M15:M16)</f>
        <v>37071</v>
      </c>
      <c r="N17" s="369">
        <v>5730</v>
      </c>
      <c r="O17" s="369"/>
      <c r="P17" s="255">
        <f>SUM(J17,N17,O17)/M17*1.005</f>
        <v>5.4504380715383993</v>
      </c>
      <c r="Q17" s="255">
        <f>Q15*H15+Q16*H16</f>
        <v>6.637903875014775</v>
      </c>
      <c r="R17" s="256">
        <f>VLOOKUP(B17,下单月成本!$A$2:$B$13,2,0)</f>
        <v>0.77600000000000002</v>
      </c>
      <c r="S17" s="252">
        <f>M17*(Q17-P17-R17)*Y17*Z17</f>
        <v>3813.3622001681802</v>
      </c>
      <c r="T17" s="252">
        <v>-2000</v>
      </c>
      <c r="U17" s="252">
        <f>SUM(S17:T17)*0.7</f>
        <v>1269.353540117726</v>
      </c>
      <c r="V17" s="252">
        <f>IF(SUMIF(W15:W36,W17,U15:U36)&gt;5000,U17*0.875,U17)</f>
        <v>1110.6843476030103</v>
      </c>
      <c r="W17" s="365" t="s">
        <v>18</v>
      </c>
      <c r="X17" s="365" t="s">
        <v>336</v>
      </c>
      <c r="Y17" s="370">
        <v>1</v>
      </c>
      <c r="Z17" s="370">
        <v>0.25</v>
      </c>
    </row>
    <row r="18" spans="1:26" s="328" customFormat="1" ht="12.75" hidden="1" outlineLevel="2">
      <c r="B18" s="353"/>
      <c r="C18" s="320" t="s">
        <v>351</v>
      </c>
      <c r="D18" s="350"/>
      <c r="E18" s="350"/>
      <c r="F18" s="444">
        <v>43242</v>
      </c>
      <c r="G18" s="445">
        <v>10846.5</v>
      </c>
      <c r="H18" s="206">
        <f>G18/G20</f>
        <v>0.24536817102137767</v>
      </c>
      <c r="I18" s="437">
        <f>VLOOKUP(F18,汇率!$B$3:F115,5,0)</f>
        <v>6.36</v>
      </c>
      <c r="J18" s="321"/>
      <c r="K18" s="403" t="s">
        <v>300</v>
      </c>
      <c r="L18" s="243">
        <f>H18*L20</f>
        <v>687.03087885985747</v>
      </c>
      <c r="M18" s="322">
        <f>G18-L18</f>
        <v>10159.469121140142</v>
      </c>
      <c r="N18" s="323"/>
      <c r="O18" s="323"/>
      <c r="P18" s="324"/>
      <c r="Q18" s="254">
        <f>IF(K18="N",I18*1.16/(1.16-0.09)-0.3,IF(K18=0,"错误",IF(G18&gt;K18,K18/G18*(I18*1.16/(1.16-0.13)-0.3)+(1-K18/G18)*(I18*1.16/(1.16-0.09)-0.3),"提醒")))</f>
        <v>6.5949532710280385</v>
      </c>
      <c r="R18" s="325"/>
      <c r="S18" s="326"/>
      <c r="T18" s="462"/>
      <c r="U18" s="326"/>
      <c r="V18" s="326"/>
      <c r="W18" s="350"/>
      <c r="X18" s="350" t="s">
        <v>331</v>
      </c>
      <c r="Y18" s="327"/>
      <c r="Z18" s="327"/>
    </row>
    <row r="19" spans="1:26" s="328" customFormat="1" ht="12.75" hidden="1" outlineLevel="2">
      <c r="B19" s="353"/>
      <c r="C19" s="320" t="s">
        <v>351</v>
      </c>
      <c r="D19" s="445">
        <v>44205</v>
      </c>
      <c r="E19" s="350">
        <f>G20</f>
        <v>44205</v>
      </c>
      <c r="F19" s="444">
        <v>43280</v>
      </c>
      <c r="G19" s="445">
        <v>33358.5</v>
      </c>
      <c r="H19" s="206">
        <f>G19/G20</f>
        <v>0.75463182897862235</v>
      </c>
      <c r="I19" s="437">
        <f>VLOOKUP(F19,汇率!$B$3:F116,5,0)</f>
        <v>6.61</v>
      </c>
      <c r="J19" s="321"/>
      <c r="K19" s="403" t="s">
        <v>300</v>
      </c>
      <c r="L19" s="243">
        <f>H19*L20</f>
        <v>2112.9691211401428</v>
      </c>
      <c r="M19" s="322">
        <f>G19-L19</f>
        <v>31245.530878859856</v>
      </c>
      <c r="N19" s="323"/>
      <c r="O19" s="323"/>
      <c r="P19" s="324"/>
      <c r="Q19" s="254">
        <f>IF(K19="N",I19*1.16/(1.16-0.09)-0.3,IF(K19=0,"错误",IF(G19&gt;K19,K19/G19*(I19*1.16/(1.16-0.13)-0.3)+(1-K19/G19)*(I19*1.16/(1.16-0.09)-0.3),"提醒")))</f>
        <v>6.8659813084112162</v>
      </c>
      <c r="R19" s="325"/>
      <c r="S19" s="326"/>
      <c r="T19" s="462"/>
      <c r="U19" s="326"/>
      <c r="V19" s="326"/>
      <c r="W19" s="350"/>
      <c r="X19" s="350" t="s">
        <v>331</v>
      </c>
      <c r="Y19" s="327"/>
      <c r="Z19" s="327"/>
    </row>
    <row r="20" spans="1:26" s="328" customFormat="1" ht="17.100000000000001" customHeight="1" outlineLevel="1" collapsed="1">
      <c r="A20" s="219">
        <v>43252</v>
      </c>
      <c r="B20" s="219">
        <v>43221</v>
      </c>
      <c r="C20" s="364" t="s">
        <v>351</v>
      </c>
      <c r="D20" s="365">
        <f>SUBTOTAL(9,D18:D19)</f>
        <v>44205</v>
      </c>
      <c r="E20" s="365">
        <f>SUBTOTAL(9,E18:E19)</f>
        <v>44205</v>
      </c>
      <c r="F20" s="211"/>
      <c r="G20" s="365">
        <f>SUBTOTAL(9,G18:G19)</f>
        <v>44205</v>
      </c>
      <c r="H20" s="366"/>
      <c r="I20" s="438"/>
      <c r="J20" s="365">
        <v>185505</v>
      </c>
      <c r="K20" s="404"/>
      <c r="L20" s="368">
        <v>2800</v>
      </c>
      <c r="M20" s="368">
        <f>SUBTOTAL(9,M18:M19)</f>
        <v>41405</v>
      </c>
      <c r="N20" s="369">
        <v>5060</v>
      </c>
      <c r="O20" s="369"/>
      <c r="P20" s="255">
        <f>SUM(J20,N20,O20)/M20*1.005</f>
        <v>4.6254757879483153</v>
      </c>
      <c r="Q20" s="255">
        <f>Q18*H18+Q19*H19</f>
        <v>6.799479654582993</v>
      </c>
      <c r="R20" s="256">
        <f>VLOOKUP(B20,下单月成本!$A$2:$B$13,2,0)</f>
        <v>0.78900000000000003</v>
      </c>
      <c r="S20" s="252">
        <f>M20*(Q20-P20-R20)*Y20*Z20</f>
        <v>1433.6521274502206</v>
      </c>
      <c r="T20" s="252">
        <v>10000</v>
      </c>
      <c r="U20" s="252">
        <f>S20*0.7+T20</f>
        <v>11003.556489215154</v>
      </c>
      <c r="V20" s="252">
        <f>IF(SUMIF(W16:W39,W20,U16:U39)&gt;5000,U20*0.875,U20)</f>
        <v>9628.1119280632593</v>
      </c>
      <c r="W20" s="365" t="s">
        <v>18</v>
      </c>
      <c r="X20" s="365" t="s">
        <v>331</v>
      </c>
      <c r="Y20" s="370">
        <v>0.1</v>
      </c>
      <c r="Z20" s="370">
        <v>0.25</v>
      </c>
    </row>
    <row r="21" spans="1:26" s="328" customFormat="1" ht="12.75" outlineLevel="2">
      <c r="B21" s="353"/>
      <c r="C21" s="320" t="s">
        <v>352</v>
      </c>
      <c r="D21" s="445">
        <v>22345</v>
      </c>
      <c r="E21" s="350">
        <f>G22</f>
        <v>22320</v>
      </c>
      <c r="F21" s="444">
        <v>43257</v>
      </c>
      <c r="G21" s="445">
        <v>22320</v>
      </c>
      <c r="H21" s="206">
        <f>G21/G22</f>
        <v>1</v>
      </c>
      <c r="I21" s="437">
        <f>VLOOKUP(F21,汇率!$B$3:F118,5,0)</f>
        <v>6.39</v>
      </c>
      <c r="J21" s="321"/>
      <c r="K21" s="403" t="s">
        <v>300</v>
      </c>
      <c r="L21" s="243">
        <f>H21*L22</f>
        <v>0</v>
      </c>
      <c r="M21" s="322">
        <f>G21-L21</f>
        <v>22320</v>
      </c>
      <c r="N21" s="323"/>
      <c r="O21" s="323"/>
      <c r="P21" s="324"/>
      <c r="Q21" s="254">
        <f>IF(K21="N",I21*1.16/(1.16-0.09)-0.3,IF(K21=0,"错误",IF(G21&gt;K21,K21/G21*(I21*1.16/(1.16-0.13)-0.3)+(1-K21/G21)*(I21*1.16/(1.16-0.09)-0.3),"提醒")))</f>
        <v>6.6274766355140189</v>
      </c>
      <c r="R21" s="325"/>
      <c r="S21" s="326"/>
      <c r="T21" s="462"/>
      <c r="U21" s="326"/>
      <c r="V21" s="326"/>
      <c r="W21" s="350"/>
      <c r="X21" s="350" t="s">
        <v>337</v>
      </c>
      <c r="Y21" s="327"/>
      <c r="Z21" s="327"/>
    </row>
    <row r="22" spans="1:26" s="328" customFormat="1" ht="17.100000000000001" customHeight="1" outlineLevel="1">
      <c r="A22" s="219">
        <v>43252</v>
      </c>
      <c r="B22" s="219">
        <v>43252</v>
      </c>
      <c r="C22" s="364" t="s">
        <v>352</v>
      </c>
      <c r="D22" s="365">
        <f>SUBTOTAL(9,D21:D21)</f>
        <v>22345</v>
      </c>
      <c r="E22" s="365">
        <f>SUBTOTAL(9,E21:E21)</f>
        <v>22320</v>
      </c>
      <c r="F22" s="211"/>
      <c r="G22" s="365">
        <f>SUBTOTAL(9,G21:G21)</f>
        <v>22320</v>
      </c>
      <c r="H22" s="366"/>
      <c r="I22" s="438"/>
      <c r="J22" s="365" t="s">
        <v>357</v>
      </c>
      <c r="K22" s="404"/>
      <c r="L22" s="368">
        <v>0</v>
      </c>
      <c r="M22" s="368">
        <f>SUBTOTAL(9,M21:M21)</f>
        <v>22320</v>
      </c>
      <c r="N22" s="369">
        <v>3165</v>
      </c>
      <c r="O22" s="369"/>
      <c r="P22" s="255">
        <f>SUM(J22,N22,O22)/M22*1.005</f>
        <v>0.1425100806451613</v>
      </c>
      <c r="Q22" s="255">
        <f>Q21*H21</f>
        <v>6.6274766355140189</v>
      </c>
      <c r="R22" s="256">
        <f>VLOOKUP(B22,下单月成本!$A$2:$B$13,2,0)</f>
        <v>0.47499999999999998</v>
      </c>
      <c r="S22" s="252">
        <f>M22*(Q22-P22-R22)*Y22*Z22</f>
        <v>3353.561337616823</v>
      </c>
      <c r="T22" s="252"/>
      <c r="U22" s="252">
        <f>S22*0.7+T22</f>
        <v>2347.492936331776</v>
      </c>
      <c r="V22" s="252">
        <f>IF(SUMIF(W19:W40,W22,U19:U40)&gt;5000,U22*0.875,U22)-0.04</f>
        <v>2054.0163192903042</v>
      </c>
      <c r="W22" s="365" t="s">
        <v>29</v>
      </c>
      <c r="X22" s="365" t="s">
        <v>337</v>
      </c>
      <c r="Y22" s="370">
        <v>0.1</v>
      </c>
      <c r="Z22" s="370">
        <v>0.25</v>
      </c>
    </row>
    <row r="23" spans="1:26" s="328" customFormat="1" ht="12.75" hidden="1" outlineLevel="2">
      <c r="B23" s="353"/>
      <c r="C23" s="320" t="s">
        <v>353</v>
      </c>
      <c r="D23" s="350"/>
      <c r="E23" s="350"/>
      <c r="F23" s="444">
        <v>43188</v>
      </c>
      <c r="G23" s="445">
        <v>19865.5</v>
      </c>
      <c r="H23" s="206">
        <f>G23/G25</f>
        <v>0.29971635913761108</v>
      </c>
      <c r="I23" s="437">
        <f>VLOOKUP(F23,汇率!$B$3:F120,5,0)</f>
        <v>6.28</v>
      </c>
      <c r="J23" s="321"/>
      <c r="K23" s="403" t="s">
        <v>300</v>
      </c>
      <c r="L23" s="243">
        <f>H23*L25</f>
        <v>0</v>
      </c>
      <c r="M23" s="322">
        <f>G23-L23</f>
        <v>19865.5</v>
      </c>
      <c r="N23" s="323"/>
      <c r="O23" s="323"/>
      <c r="P23" s="324"/>
      <c r="Q23" s="254">
        <f>IF(K23="N",I23*1.16/(1.16-0.09)-0.3,IF(K23=0,"错误",IF(G23&gt;K23,K23/G23*(I23*1.16/(1.16-0.13)-0.3)+(1-K23/G23)*(I23*1.16/(1.16-0.09)-0.3),"提醒")))</f>
        <v>6.5082242990654215</v>
      </c>
      <c r="R23" s="325"/>
      <c r="S23" s="326"/>
      <c r="T23" s="462"/>
      <c r="U23" s="326"/>
      <c r="V23" s="326"/>
      <c r="W23" s="350"/>
      <c r="X23" s="350" t="s">
        <v>338</v>
      </c>
      <c r="Y23" s="327"/>
      <c r="Z23" s="327"/>
    </row>
    <row r="24" spans="1:26" s="328" customFormat="1" ht="12.75" hidden="1" outlineLevel="2">
      <c r="B24" s="353"/>
      <c r="C24" s="320" t="s">
        <v>353</v>
      </c>
      <c r="D24" s="445">
        <v>66375</v>
      </c>
      <c r="E24" s="350">
        <f>G25</f>
        <v>66281</v>
      </c>
      <c r="F24" s="444">
        <v>43252</v>
      </c>
      <c r="G24" s="445">
        <v>46415.5</v>
      </c>
      <c r="H24" s="206">
        <f>G24/G25</f>
        <v>0.70028364086238892</v>
      </c>
      <c r="I24" s="437">
        <f>VLOOKUP(F24,汇率!$B$3:F121,5,0)</f>
        <v>6.4</v>
      </c>
      <c r="J24" s="321"/>
      <c r="K24" s="403" t="s">
        <v>300</v>
      </c>
      <c r="L24" s="243">
        <f>H24*L25</f>
        <v>0</v>
      </c>
      <c r="M24" s="322">
        <f>G24-L24</f>
        <v>46415.5</v>
      </c>
      <c r="N24" s="323"/>
      <c r="O24" s="323"/>
      <c r="P24" s="324"/>
      <c r="Q24" s="254">
        <f>IF(K24="N",I24*1.16/(1.16-0.09)-0.3,IF(K24=0,"错误",IF(G24&gt;K24,K24/G24*(I24*1.16/(1.16-0.13)-0.3)+(1-K24/G24)*(I24*1.16/(1.16-0.09)-0.3),"提醒")))</f>
        <v>6.6383177570093466</v>
      </c>
      <c r="R24" s="325"/>
      <c r="S24" s="326"/>
      <c r="T24" s="462"/>
      <c r="U24" s="326"/>
      <c r="V24" s="326"/>
      <c r="W24" s="350"/>
      <c r="X24" s="350" t="s">
        <v>338</v>
      </c>
      <c r="Y24" s="327"/>
      <c r="Z24" s="327"/>
    </row>
    <row r="25" spans="1:26" s="328" customFormat="1" ht="17.100000000000001" customHeight="1" outlineLevel="1" collapsed="1">
      <c r="A25" s="219">
        <v>43252</v>
      </c>
      <c r="B25" s="219">
        <v>43160</v>
      </c>
      <c r="C25" s="364" t="s">
        <v>353</v>
      </c>
      <c r="D25" s="365">
        <f>SUBTOTAL(9,D23:D24)</f>
        <v>66375</v>
      </c>
      <c r="E25" s="365">
        <f>SUBTOTAL(9,E23:E24)</f>
        <v>66281</v>
      </c>
      <c r="F25" s="211"/>
      <c r="G25" s="365">
        <f>SUBTOTAL(9,G23:G24)</f>
        <v>66281</v>
      </c>
      <c r="H25" s="366"/>
      <c r="I25" s="438"/>
      <c r="J25" s="365">
        <v>376445</v>
      </c>
      <c r="K25" s="404"/>
      <c r="L25" s="368">
        <v>0</v>
      </c>
      <c r="M25" s="368">
        <f>SUBTOTAL(9,M23:M24)</f>
        <v>66281</v>
      </c>
      <c r="N25" s="369">
        <v>11890</v>
      </c>
      <c r="O25" s="369"/>
      <c r="P25" s="255">
        <f>SUM(J25,N25,O25)/M25*1.005</f>
        <v>5.888213439748947</v>
      </c>
      <c r="Q25" s="255">
        <f>Q23*H23+Q24*H24</f>
        <v>6.5993266194467708</v>
      </c>
      <c r="R25" s="256">
        <f>VLOOKUP(B25,下单月成本!$A$2:$B$13,2,0)</f>
        <v>0.55000000000000004</v>
      </c>
      <c r="S25" s="252">
        <f>M25*(Q25-P25-R25)*Y25*Z25</f>
        <v>266.96856658878647</v>
      </c>
      <c r="T25" s="252"/>
      <c r="U25" s="252">
        <f>S25*0.7+T25</f>
        <v>186.87799661215053</v>
      </c>
      <c r="V25" s="252">
        <f>IF(SUMIF(W22:W41,W25,U22:U41)&gt;5000,U25*0.875,U25)</f>
        <v>163.5182470356317</v>
      </c>
      <c r="W25" s="365" t="s">
        <v>29</v>
      </c>
      <c r="X25" s="365" t="s">
        <v>338</v>
      </c>
      <c r="Y25" s="370">
        <v>0.1</v>
      </c>
      <c r="Z25" s="370">
        <v>0.25</v>
      </c>
    </row>
    <row r="26" spans="1:26" s="328" customFormat="1" ht="12.75" hidden="1" outlineLevel="2">
      <c r="B26" s="353"/>
      <c r="C26" s="320" t="s">
        <v>354</v>
      </c>
      <c r="D26" s="350"/>
      <c r="E26" s="350"/>
      <c r="F26" s="444">
        <v>43202</v>
      </c>
      <c r="G26" s="445">
        <v>17465.25</v>
      </c>
      <c r="H26" s="206">
        <f>G26/G28</f>
        <v>0.49028703768685522</v>
      </c>
      <c r="I26" s="437">
        <f>VLOOKUP(F26,汇率!$B$3:F123,5,0)</f>
        <v>6.27</v>
      </c>
      <c r="J26" s="321"/>
      <c r="K26" s="403" t="s">
        <v>300</v>
      </c>
      <c r="L26" s="243">
        <f>H26*L28</f>
        <v>1472.3319741736261</v>
      </c>
      <c r="M26" s="322">
        <f>G26-L26</f>
        <v>15992.918025826373</v>
      </c>
      <c r="N26" s="323"/>
      <c r="O26" s="323"/>
      <c r="P26" s="324"/>
      <c r="Q26" s="254">
        <f>IF(K26="N",I26*1.16/(1.16-0.09)-0.3,IF(K26=0,"错误",IF(G26&gt;K26,K26/G26*(I26*1.16/(1.16-0.13)-0.3)+(1-K26/G26)*(I26*1.16/(1.16-0.09)-0.3),"提醒")))</f>
        <v>6.4973831775700939</v>
      </c>
      <c r="R26" s="325"/>
      <c r="S26" s="326"/>
      <c r="T26" s="462"/>
      <c r="U26" s="326"/>
      <c r="V26" s="326"/>
      <c r="W26" s="350"/>
      <c r="X26" s="350" t="s">
        <v>334</v>
      </c>
      <c r="Y26" s="327"/>
      <c r="Z26" s="327"/>
    </row>
    <row r="27" spans="1:26" s="328" customFormat="1" ht="12.75" hidden="1" outlineLevel="2">
      <c r="B27" s="353"/>
      <c r="C27" s="320" t="s">
        <v>354</v>
      </c>
      <c r="D27" s="445">
        <v>35674.5</v>
      </c>
      <c r="E27" s="350">
        <f>G28</f>
        <v>35622.5</v>
      </c>
      <c r="F27" s="444">
        <v>43272</v>
      </c>
      <c r="G27" s="445">
        <v>18157.25</v>
      </c>
      <c r="H27" s="206">
        <f>G27/G28</f>
        <v>0.50971296231314478</v>
      </c>
      <c r="I27" s="437">
        <f>VLOOKUP(F27,汇率!$B$3:F124,5,0)</f>
        <v>6.48</v>
      </c>
      <c r="J27" s="321"/>
      <c r="K27" s="403" t="s">
        <v>300</v>
      </c>
      <c r="L27" s="243">
        <f>H27*L28</f>
        <v>1530.6680258263739</v>
      </c>
      <c r="M27" s="322">
        <f>G27-L27</f>
        <v>16626.581974173627</v>
      </c>
      <c r="N27" s="323"/>
      <c r="O27" s="323"/>
      <c r="P27" s="324"/>
      <c r="Q27" s="254">
        <f>IF(K27="N",I27*1.16/(1.16-0.09)-0.3,IF(K27=0,"错误",IF(G27&gt;K27,K27/G27*(I27*1.16/(1.16-0.13)-0.3)+(1-K27/G27)*(I27*1.16/(1.16-0.09)-0.3),"提醒")))</f>
        <v>6.7250467289719635</v>
      </c>
      <c r="R27" s="325"/>
      <c r="S27" s="326"/>
      <c r="T27" s="462"/>
      <c r="U27" s="326"/>
      <c r="V27" s="326"/>
      <c r="W27" s="350"/>
      <c r="X27" s="350" t="s">
        <v>332</v>
      </c>
      <c r="Y27" s="327"/>
      <c r="Z27" s="327"/>
    </row>
    <row r="28" spans="1:26" s="328" customFormat="1" ht="17.100000000000001" customHeight="1" outlineLevel="1" collapsed="1">
      <c r="A28" s="219">
        <v>43252</v>
      </c>
      <c r="B28" s="219">
        <v>43191</v>
      </c>
      <c r="C28" s="364" t="s">
        <v>354</v>
      </c>
      <c r="D28" s="365">
        <f>SUBTOTAL(9,D27:D27)</f>
        <v>35674.5</v>
      </c>
      <c r="E28" s="365">
        <f>SUBTOTAL(9,E26:E27)</f>
        <v>35622.5</v>
      </c>
      <c r="F28" s="211"/>
      <c r="G28" s="365">
        <f>SUBTOTAL(9,G26:G27)</f>
        <v>35622.5</v>
      </c>
      <c r="H28" s="366"/>
      <c r="I28" s="438"/>
      <c r="J28" s="365">
        <v>156922</v>
      </c>
      <c r="K28" s="404"/>
      <c r="L28" s="368">
        <v>3003</v>
      </c>
      <c r="M28" s="368">
        <f>SUBTOTAL(9,M26:M27)</f>
        <v>32619.5</v>
      </c>
      <c r="N28" s="369">
        <v>4770</v>
      </c>
      <c r="O28" s="369"/>
      <c r="P28" s="255">
        <f>SUM(J28,N28,O28)/M28*1.005</f>
        <v>4.9816968377810813</v>
      </c>
      <c r="Q28" s="255">
        <f>Q26*H26+Q27*H27</f>
        <v>6.6134262407658717</v>
      </c>
      <c r="R28" s="256">
        <f>VLOOKUP(B28,下单月成本!$A$2:$B$13,2,0)</f>
        <v>0.77600000000000002</v>
      </c>
      <c r="S28" s="252">
        <f>M28*(Q28-P28-R28)*Y28*Z28</f>
        <v>697.83663151655935</v>
      </c>
      <c r="T28" s="252">
        <f>下单月成本!O9</f>
        <v>1459.8164203298688</v>
      </c>
      <c r="U28" s="252">
        <f>S28*0.7+T28</f>
        <v>1948.3020623914604</v>
      </c>
      <c r="V28" s="252">
        <f>IF(SUMIF(W27:W49,W28,U27:U49)&gt;5000,U28*0.875,U28)</f>
        <v>1704.7643045925279</v>
      </c>
      <c r="W28" s="365" t="s">
        <v>29</v>
      </c>
      <c r="X28" s="365" t="s">
        <v>332</v>
      </c>
      <c r="Y28" s="370">
        <v>0.1</v>
      </c>
      <c r="Z28" s="370">
        <v>0.25</v>
      </c>
    </row>
    <row r="29" spans="1:26" s="328" customFormat="1" ht="12.75" hidden="1" outlineLevel="2">
      <c r="B29" s="353"/>
      <c r="C29" s="320" t="s">
        <v>355</v>
      </c>
      <c r="D29" s="350"/>
      <c r="E29" s="350"/>
      <c r="F29" s="444">
        <v>43226</v>
      </c>
      <c r="G29" s="445">
        <v>19399.7</v>
      </c>
      <c r="H29" s="206">
        <f>G29/G31</f>
        <v>0.5</v>
      </c>
      <c r="I29" s="437">
        <f>VLOOKUP(F29,汇率!$B$3:F123,5,0)</f>
        <v>6.35</v>
      </c>
      <c r="J29" s="321"/>
      <c r="K29" s="403" t="s">
        <v>300</v>
      </c>
      <c r="L29" s="243">
        <f>H29*L31</f>
        <v>0</v>
      </c>
      <c r="M29" s="322">
        <f>G29-L29</f>
        <v>19399.7</v>
      </c>
      <c r="N29" s="323"/>
      <c r="O29" s="323"/>
      <c r="P29" s="324"/>
      <c r="Q29" s="254">
        <f>IF(K29="N",I29*1.16/(1.16-0.09)-0.3,IF(K29=0,"错误",IF(G29&gt;K29,K29/G29*(I29*1.16/(1.16-0.13)-0.3)+(1-K29/G29)*(I29*1.16/(1.16-0.09)-0.3),"提醒")))</f>
        <v>6.58411214953271</v>
      </c>
      <c r="R29" s="325"/>
      <c r="S29" s="326"/>
      <c r="T29" s="462"/>
      <c r="U29" s="326"/>
      <c r="V29" s="326"/>
      <c r="W29" s="350"/>
      <c r="X29" s="350" t="s">
        <v>333</v>
      </c>
      <c r="Y29" s="327"/>
      <c r="Z29" s="327"/>
    </row>
    <row r="30" spans="1:26" s="328" customFormat="1" ht="12.75" hidden="1" outlineLevel="2">
      <c r="B30" s="353"/>
      <c r="C30" s="320" t="s">
        <v>355</v>
      </c>
      <c r="D30" s="445">
        <v>38799.4</v>
      </c>
      <c r="E30" s="350">
        <f>G31</f>
        <v>38799.4</v>
      </c>
      <c r="F30" s="444">
        <v>43280</v>
      </c>
      <c r="G30" s="445">
        <v>19399.7</v>
      </c>
      <c r="H30" s="206">
        <f>G30/G31</f>
        <v>0.5</v>
      </c>
      <c r="I30" s="437">
        <f>VLOOKUP(F30,汇率!$B$3:F124,5,0)</f>
        <v>6.61</v>
      </c>
      <c r="J30" s="321"/>
      <c r="K30" s="403" t="s">
        <v>300</v>
      </c>
      <c r="L30" s="243">
        <f>H30*L31</f>
        <v>0</v>
      </c>
      <c r="M30" s="322">
        <f>G30-L30</f>
        <v>19399.7</v>
      </c>
      <c r="N30" s="323"/>
      <c r="O30" s="323"/>
      <c r="P30" s="324"/>
      <c r="Q30" s="254">
        <f>IF(K30="N",I30*1.16/(1.16-0.09)-0.3,IF(K30=0,"错误",IF(G30&gt;K30,K30/G30*(I30*1.16/(1.16-0.13)-0.3)+(1-K30/G30)*(I30*1.16/(1.16-0.09)-0.3),"提醒")))</f>
        <v>6.8659813084112162</v>
      </c>
      <c r="R30" s="325"/>
      <c r="S30" s="326"/>
      <c r="T30" s="462"/>
      <c r="U30" s="326"/>
      <c r="V30" s="326"/>
      <c r="W30" s="350"/>
      <c r="X30" s="350" t="s">
        <v>333</v>
      </c>
      <c r="Y30" s="327"/>
      <c r="Z30" s="327"/>
    </row>
    <row r="31" spans="1:26" s="328" customFormat="1" ht="17.100000000000001" customHeight="1" outlineLevel="1" collapsed="1">
      <c r="A31" s="219">
        <v>43252</v>
      </c>
      <c r="B31" s="219">
        <v>43221</v>
      </c>
      <c r="C31" s="364" t="s">
        <v>355</v>
      </c>
      <c r="D31" s="365">
        <f>SUBTOTAL(9,D30:D30)</f>
        <v>38799.4</v>
      </c>
      <c r="E31" s="365">
        <f>SUBTOTAL(9,E29:E30)</f>
        <v>38799.4</v>
      </c>
      <c r="F31" s="211"/>
      <c r="G31" s="365">
        <f>SUBTOTAL(9,G29:G30)</f>
        <v>38799.4</v>
      </c>
      <c r="H31" s="366"/>
      <c r="I31" s="438"/>
      <c r="J31" s="365">
        <v>203937.5</v>
      </c>
      <c r="K31" s="404"/>
      <c r="L31" s="368">
        <v>0</v>
      </c>
      <c r="M31" s="368">
        <f>SUBTOTAL(9,M29:M30)</f>
        <v>38799.4</v>
      </c>
      <c r="N31" s="369">
        <v>5968</v>
      </c>
      <c r="O31" s="369"/>
      <c r="P31" s="255">
        <f>SUM(J31,N31,O31)/M31*1.005</f>
        <v>5.4370693232369565</v>
      </c>
      <c r="Q31" s="255">
        <f>Q29*H29+Q30*H30</f>
        <v>6.7250467289719627</v>
      </c>
      <c r="R31" s="256">
        <f>VLOOKUP(B31,下单月成本!$A$2:$B$13,2,0)</f>
        <v>0.78900000000000003</v>
      </c>
      <c r="S31" s="252">
        <f>M31*(Q31-P31-R31)*Y31*Z31</f>
        <v>4840.0059890186994</v>
      </c>
      <c r="T31" s="252">
        <v>-2400</v>
      </c>
      <c r="U31" s="252">
        <f>S31*0.7+T31</f>
        <v>988.00419231308933</v>
      </c>
      <c r="V31" s="252">
        <f>IF(SUMIF(W25:W49,W31,U25:U49)&gt;5000,U31*0.875,U31)</f>
        <v>864.50366827395317</v>
      </c>
      <c r="W31" s="365" t="s">
        <v>29</v>
      </c>
      <c r="X31" s="365" t="s">
        <v>333</v>
      </c>
      <c r="Y31" s="370">
        <v>1</v>
      </c>
      <c r="Z31" s="370">
        <v>0.25</v>
      </c>
    </row>
    <row r="32" spans="1:26" s="328" customFormat="1" ht="12.75" hidden="1" outlineLevel="2">
      <c r="B32" s="353"/>
      <c r="C32" s="320"/>
      <c r="D32" s="445"/>
      <c r="E32" s="350"/>
      <c r="F32" s="444"/>
      <c r="G32" s="445"/>
      <c r="H32" s="206"/>
      <c r="I32" s="437"/>
      <c r="J32" s="321"/>
      <c r="K32" s="403"/>
      <c r="L32" s="243"/>
      <c r="M32" s="322"/>
      <c r="N32" s="323"/>
      <c r="O32" s="323"/>
      <c r="P32" s="324"/>
      <c r="Q32" s="254"/>
      <c r="R32" s="325"/>
      <c r="S32" s="326"/>
      <c r="T32" s="462"/>
      <c r="U32" s="326"/>
      <c r="V32" s="326"/>
      <c r="W32" s="350"/>
      <c r="X32" s="350"/>
      <c r="Y32" s="327"/>
      <c r="Z32" s="327"/>
    </row>
    <row r="33" spans="1:26" s="328" customFormat="1" ht="17.100000000000001" customHeight="1" outlineLevel="1" collapsed="1">
      <c r="A33" s="219">
        <v>43252</v>
      </c>
      <c r="B33" s="219">
        <v>43252</v>
      </c>
      <c r="C33" s="364"/>
      <c r="D33" s="365"/>
      <c r="E33" s="365"/>
      <c r="F33" s="211"/>
      <c r="G33" s="365"/>
      <c r="H33" s="366"/>
      <c r="I33" s="438"/>
      <c r="J33" s="365"/>
      <c r="K33" s="404"/>
      <c r="L33" s="368"/>
      <c r="M33" s="368"/>
      <c r="N33" s="369"/>
      <c r="O33" s="369"/>
      <c r="P33" s="255"/>
      <c r="Q33" s="255"/>
      <c r="R33" s="256"/>
      <c r="S33" s="252"/>
      <c r="T33" s="252">
        <f>下单月成本!O7</f>
        <v>252.76566212517022</v>
      </c>
      <c r="U33" s="252">
        <f>S33*0.7+T33</f>
        <v>252.76566212517022</v>
      </c>
      <c r="V33" s="252">
        <f>IF(SUMIF(W27:W51,W33,U27:U51)&gt;5000,U33*0.875,U33)+0.03</f>
        <v>252.79566212517022</v>
      </c>
      <c r="W33" s="365" t="s">
        <v>356</v>
      </c>
      <c r="X33" s="365"/>
      <c r="Y33" s="370"/>
      <c r="Z33" s="370"/>
    </row>
    <row r="34" spans="1:26" s="328" customFormat="1" ht="21.6" customHeight="1">
      <c r="A34" s="385"/>
      <c r="B34" s="385"/>
      <c r="C34" s="386" t="s">
        <v>266</v>
      </c>
      <c r="D34" s="451">
        <f>SUBTOTAL(9,D3:D32)</f>
        <v>376372.75</v>
      </c>
      <c r="E34" s="451">
        <f>SUBTOTAL(9,E3:E32)</f>
        <v>376006.02</v>
      </c>
      <c r="F34" s="452"/>
      <c r="G34" s="451">
        <f>SUBTOTAL(9,G3:G32)</f>
        <v>376006.02</v>
      </c>
      <c r="H34" s="453"/>
      <c r="I34" s="454"/>
      <c r="J34" s="451">
        <f>SUBTOTAL(9,J3:J33)</f>
        <v>1696856.49</v>
      </c>
      <c r="K34" s="453"/>
      <c r="L34" s="455">
        <f>SUM(L5,L8,L14,L17,L20,L22,L25,L28,L33)</f>
        <v>22711</v>
      </c>
      <c r="M34" s="455">
        <f>SUBTOTAL(9,M3:M32)</f>
        <v>353295.02</v>
      </c>
      <c r="N34" s="455">
        <f>SUBTOTAL(9,N3:N33)</f>
        <v>62138</v>
      </c>
      <c r="O34" s="359"/>
      <c r="P34" s="360"/>
      <c r="Q34" s="361"/>
      <c r="R34" s="361"/>
      <c r="S34" s="417">
        <f>SUM(S3:S33)</f>
        <v>17283.282575667716</v>
      </c>
      <c r="T34" s="418">
        <f>SUM(T3:T33)</f>
        <v>9600</v>
      </c>
      <c r="U34" s="417">
        <f>SUM(U3:U33)</f>
        <v>22298.297802967398</v>
      </c>
      <c r="V34" s="417">
        <f>SUM(V3:V33)</f>
        <v>19604.100991763557</v>
      </c>
      <c r="W34" s="355"/>
      <c r="X34" s="362"/>
      <c r="Y34" s="363"/>
      <c r="Z34" s="363"/>
    </row>
    <row r="35" spans="1:26" s="338" customFormat="1" ht="12.75">
      <c r="A35" s="331"/>
      <c r="B35" s="331"/>
      <c r="C35" s="331"/>
      <c r="D35" s="332"/>
      <c r="E35" s="332"/>
      <c r="F35" s="333"/>
      <c r="G35" s="332"/>
      <c r="H35" s="334"/>
      <c r="I35" s="440"/>
      <c r="J35" s="335"/>
      <c r="K35" s="406"/>
      <c r="L35" s="332"/>
      <c r="M35" s="332"/>
      <c r="N35" s="335"/>
      <c r="O35" s="336"/>
      <c r="P35" s="335"/>
      <c r="Q35" s="335"/>
      <c r="R35" s="335"/>
      <c r="S35" s="335"/>
      <c r="T35" s="463"/>
      <c r="U35" s="335"/>
      <c r="V35" s="335"/>
      <c r="W35" s="337"/>
      <c r="X35" s="420" t="s">
        <v>314</v>
      </c>
      <c r="Y35" s="337"/>
      <c r="Z35" s="337"/>
    </row>
    <row r="36" spans="1:26" ht="24.95" customHeight="1">
      <c r="B36" s="340" t="s">
        <v>85</v>
      </c>
      <c r="C36" s="341"/>
      <c r="E36" s="387">
        <f>E34</f>
        <v>376006.02</v>
      </c>
      <c r="G36" s="387">
        <f>G34-E34</f>
        <v>0</v>
      </c>
      <c r="U36" s="343">
        <f>SUMIF(W3:W33,W36,U3:U33)</f>
        <v>16574.854953193753</v>
      </c>
      <c r="V36" s="343">
        <f>SUMIF(W3:W33,W36,V3:V33)</f>
        <v>14564.502790445973</v>
      </c>
      <c r="W36" s="344" t="s">
        <v>18</v>
      </c>
      <c r="X36" s="344"/>
    </row>
    <row r="37" spans="1:26" ht="24.95" customHeight="1">
      <c r="B37" s="340" t="s">
        <v>86</v>
      </c>
      <c r="C37" s="341"/>
      <c r="E37" s="342">
        <f>L34</f>
        <v>22711</v>
      </c>
      <c r="N37" s="450"/>
      <c r="U37" s="343">
        <f>SUMIF(W3:W33,W37,U3:U33)</f>
        <v>5470.6771876484763</v>
      </c>
      <c r="V37" s="343">
        <f>SUMIF(W3:W33,W37,V3:V33)</f>
        <v>4786.8025391924166</v>
      </c>
      <c r="W37" s="344" t="s">
        <v>29</v>
      </c>
      <c r="X37" s="344"/>
    </row>
    <row r="38" spans="1:26" ht="24.95" customHeight="1">
      <c r="B38" s="340" t="s">
        <v>87</v>
      </c>
      <c r="C38" s="341"/>
      <c r="E38" s="342">
        <f>E36-E37</f>
        <v>353295.02</v>
      </c>
      <c r="N38" s="450"/>
      <c r="U38" s="343">
        <f>SUMIF(W3:W33,W38,U3:U33)</f>
        <v>252.76566212517022</v>
      </c>
      <c r="V38" s="343">
        <f>SUMIF(W3:W33,W38,V3:V33)</f>
        <v>252.79566212517022</v>
      </c>
      <c r="W38" s="365" t="s">
        <v>356</v>
      </c>
      <c r="X38" s="344"/>
    </row>
    <row r="39" spans="1:26" ht="24.95" customHeight="1">
      <c r="B39" s="340" t="s">
        <v>88</v>
      </c>
      <c r="C39" s="345"/>
      <c r="E39" s="346">
        <f>J34+N34+O34</f>
        <v>1758994.49</v>
      </c>
      <c r="J39" s="225"/>
      <c r="U39" s="329">
        <f>SUM(U36:U38)</f>
        <v>22298.297802967401</v>
      </c>
      <c r="V39" s="329">
        <f>SUM(V36:V38)</f>
        <v>19604.100991763557</v>
      </c>
      <c r="W39" s="330" t="s">
        <v>264</v>
      </c>
      <c r="X39" s="419"/>
    </row>
    <row r="40" spans="1:26">
      <c r="B40" s="340" t="s">
        <v>89</v>
      </c>
      <c r="C40" s="347"/>
      <c r="E40" s="347">
        <f>E39/E38*1.005</f>
        <v>5.0037202971329737</v>
      </c>
    </row>
    <row r="42" spans="1:26">
      <c r="B42" s="400" t="s">
        <v>341</v>
      </c>
    </row>
    <row r="43" spans="1:26">
      <c r="B43" s="400" t="s">
        <v>340</v>
      </c>
    </row>
    <row r="44" spans="1:26">
      <c r="B44" s="400" t="s">
        <v>342</v>
      </c>
    </row>
    <row r="46" spans="1:26">
      <c r="B46" s="398"/>
      <c r="C46" s="400" t="s">
        <v>297</v>
      </c>
    </row>
    <row r="47" spans="1:26">
      <c r="B47" s="397"/>
      <c r="C47" s="400" t="s">
        <v>298</v>
      </c>
    </row>
    <row r="48" spans="1:26">
      <c r="B48" s="399"/>
      <c r="C48" s="400" t="s">
        <v>299</v>
      </c>
    </row>
  </sheetData>
  <sheetProtection algorithmName="SHA-512" hashValue="tg4VGzLtheY2IIVb8G/pXrJEXNbX3pthT8sTGRWRQ0d114iAWwQLqaA0pyy5YIzbyfEMzy/ComA7KbcYnEq1kQ==" saltValue="3ZSMKCh/jQlO6vnzRVKGSw==" spinCount="100000" sheet="1" objects="1" scenarios="1"/>
  <autoFilter ref="A2:Z40" xr:uid="{00000000-0009-0000-0000-000006000000}">
    <sortState xmlns:xlrd2="http://schemas.microsoft.com/office/spreadsheetml/2017/richdata2" ref="A3:Z40">
      <sortCondition ref="F2:F40"/>
    </sortState>
  </autoFilter>
  <phoneticPr fontId="42" type="noConversion"/>
  <conditionalFormatting sqref="Q3:Q4">
    <cfRule type="containsText" dxfId="18" priority="22" operator="containsText" text="错误">
      <formula>NOT(ISERROR(SEARCH("错误",Q3)))</formula>
    </cfRule>
    <cfRule type="cellIs" dxfId="17" priority="23" operator="equal">
      <formula>"提醒"</formula>
    </cfRule>
  </conditionalFormatting>
  <conditionalFormatting sqref="Q23:Q24 Q21 Q18:Q19 Q15:Q16 Q9:Q10 Q6:Q7 Q12:Q13">
    <cfRule type="containsText" dxfId="16" priority="20" operator="containsText" text="错误">
      <formula>NOT(ISERROR(SEARCH("错误",Q6)))</formula>
    </cfRule>
    <cfRule type="cellIs" dxfId="15" priority="21" operator="equal">
      <formula>"提醒"</formula>
    </cfRule>
  </conditionalFormatting>
  <conditionalFormatting sqref="S5">
    <cfRule type="cellIs" dxfId="14" priority="19" operator="lessThan">
      <formula>0</formula>
    </cfRule>
  </conditionalFormatting>
  <conditionalFormatting sqref="S33 S28 S25 S22 S20 S14 S8 S17">
    <cfRule type="cellIs" dxfId="13" priority="18" operator="lessThan">
      <formula>0</formula>
    </cfRule>
  </conditionalFormatting>
  <conditionalFormatting sqref="Q11">
    <cfRule type="containsText" dxfId="12" priority="16" operator="containsText" text="错误">
      <formula>NOT(ISERROR(SEARCH("错误",Q11)))</formula>
    </cfRule>
    <cfRule type="cellIs" dxfId="11" priority="17" operator="equal">
      <formula>"提醒"</formula>
    </cfRule>
  </conditionalFormatting>
  <conditionalFormatting sqref="Q27">
    <cfRule type="containsText" dxfId="10" priority="12" operator="containsText" text="错误">
      <formula>NOT(ISERROR(SEARCH("错误",Q27)))</formula>
    </cfRule>
    <cfRule type="cellIs" dxfId="9" priority="13" operator="equal">
      <formula>"提醒"</formula>
    </cfRule>
  </conditionalFormatting>
  <conditionalFormatting sqref="Q32">
    <cfRule type="containsText" dxfId="8" priority="10" operator="containsText" text="错误">
      <formula>NOT(ISERROR(SEARCH("错误",Q32)))</formula>
    </cfRule>
    <cfRule type="cellIs" dxfId="7" priority="11" operator="equal">
      <formula>"提醒"</formula>
    </cfRule>
  </conditionalFormatting>
  <conditionalFormatting sqref="Q26">
    <cfRule type="containsText" dxfId="6" priority="6" operator="containsText" text="错误">
      <formula>NOT(ISERROR(SEARCH("错误",Q26)))</formula>
    </cfRule>
    <cfRule type="cellIs" dxfId="5" priority="7" operator="equal">
      <formula>"提醒"</formula>
    </cfRule>
  </conditionalFormatting>
  <conditionalFormatting sqref="S31">
    <cfRule type="cellIs" dxfId="4" priority="5" operator="lessThan">
      <formula>0</formula>
    </cfRule>
  </conditionalFormatting>
  <conditionalFormatting sqref="Q30">
    <cfRule type="containsText" dxfId="3" priority="3" operator="containsText" text="错误">
      <formula>NOT(ISERROR(SEARCH("错误",Q30)))</formula>
    </cfRule>
    <cfRule type="cellIs" dxfId="2" priority="4" operator="equal">
      <formula>"提醒"</formula>
    </cfRule>
  </conditionalFormatting>
  <conditionalFormatting sqref="Q29">
    <cfRule type="containsText" dxfId="1" priority="1" operator="containsText" text="错误">
      <formula>NOT(ISERROR(SEARCH("错误",Q29)))</formula>
    </cfRule>
    <cfRule type="cellIs" dxfId="0" priority="2" operator="equal">
      <formula>"提醒"</formula>
    </cfRule>
  </conditionalFormatting>
  <pageMargins left="0" right="0" top="0.19685039370078741" bottom="0.19685039370078741" header="0.51181102362204722" footer="0.51181102362204722"/>
  <pageSetup paperSize="9"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UserPermissionTable</vt:lpstr>
      <vt:lpstr>JUN2</vt:lpstr>
      <vt:lpstr>汇总</vt:lpstr>
      <vt:lpstr>JAN 2018</vt:lpstr>
      <vt:lpstr>FEB 2018</vt:lpstr>
      <vt:lpstr>MAR 2018</vt:lpstr>
      <vt:lpstr>APR</vt:lpstr>
      <vt:lpstr>MAY</vt:lpstr>
      <vt:lpstr>JUN</vt:lpstr>
      <vt:lpstr>汇总结果</vt:lpstr>
      <vt:lpstr>收款输入</vt:lpstr>
      <vt:lpstr>订单输入</vt:lpstr>
      <vt:lpstr>汇率</vt:lpstr>
      <vt:lpstr>下单月成本</vt:lpstr>
      <vt:lpstr>James</vt:lpstr>
      <vt:lpstr>'JAN 2018'!Print_Area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</dc:creator>
  <cp:lastModifiedBy>Jiatong Wang</cp:lastModifiedBy>
  <cp:lastPrinted>2018-07-12T04:33:18Z</cp:lastPrinted>
  <dcterms:created xsi:type="dcterms:W3CDTF">2014-09-09T08:01:00Z</dcterms:created>
  <dcterms:modified xsi:type="dcterms:W3CDTF">2018-08-02T08:32:38Z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jiatwang@microsoft.com</vt:lpwstr>
  </property>
  <property fmtid="{D5CDD505-2E9C-101B-9397-08002B2CF9AE}" pid="6" name="MSIP_Label_f42aa342-8706-4288-bd11-ebb85995028c_SetDate">
    <vt:lpwstr>2018-07-30T09:04:10.1742459Z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