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загрузки\"/>
    </mc:Choice>
  </mc:AlternateContent>
  <bookViews>
    <workbookView xWindow="0" yWindow="0" windowWidth="14370" windowHeight="12435" firstSheet="2" activeTab="5"/>
  </bookViews>
  <sheets>
    <sheet name="4 -Книга учета" sheetId="1" r:id="rId1"/>
    <sheet name="4 -Платежная ведомость" sheetId="2" r:id="rId2"/>
    <sheet name="5 - 1" sheetId="3" r:id="rId3"/>
    <sheet name="5 -2" sheetId="4" r:id="rId4"/>
    <sheet name="5 -3" sheetId="5" r:id="rId5"/>
    <sheet name="5 -4" sheetId="6" r:id="rId6"/>
    <sheet name="Структура сценария" sheetId="7" r:id="rId7"/>
  </sheets>
  <definedNames>
    <definedName name="_xlnm._FilterDatabase" localSheetId="0" hidden="1">'4 -Книга учета'!$A$2:$J$19</definedName>
    <definedName name="Безалкогольные_продажи">'5 -4'!$B$13</definedName>
    <definedName name="Безалкогольные_расходы">'5 -4'!$C$13</definedName>
    <definedName name="Вино_водочная_продажи">'5 -4'!$B$14</definedName>
    <definedName name="Вино_водочные_расходы">'5 -4'!$C$14</definedName>
    <definedName name="_xlnm.Extract" localSheetId="0">'4 -Книга учета'!$A$37:$J$37</definedName>
    <definedName name="Исходные_данные">'5 -3'!$B$1</definedName>
    <definedName name="Количество_материала">'5 -3'!$B$2</definedName>
    <definedName name="Количество_часов">'5 -3'!$B$4</definedName>
    <definedName name="Кондитерские_продажи">'5 -4'!$B$8</definedName>
    <definedName name="Кондитерские_расходы">'5 -4'!$C$8</definedName>
    <definedName name="_xlnm.Criteria" localSheetId="0">'4 -Книга учета'!$A$21:$J$23</definedName>
    <definedName name="Молочные_продажи">'5 -4'!$B$7</definedName>
    <definedName name="Молочные_расходы">'5 -4'!$C$7</definedName>
    <definedName name="Мясные_продажи">'5 -4'!$B$9</definedName>
    <definedName name="Мясные_расходы">'5 -4'!$C$9</definedName>
    <definedName name="Оплата_одного_часа">'5 -3'!$B$5</definedName>
    <definedName name="Оплата_часа">'5 -3'!$B$5</definedName>
    <definedName name="Отпускная_цена">'5 -3'!$B$8</definedName>
    <definedName name="Пищевые_продажи">'5 -4'!$B$12</definedName>
    <definedName name="Пищевые_расходы">'5 -4'!$C$12</definedName>
    <definedName name="Плоды_продажи">'5 -4'!$B$6</definedName>
    <definedName name="Плоды_расходы">'5 -4'!$C$6</definedName>
    <definedName name="Предложение">'5 - 1'!$D$2</definedName>
    <definedName name="Прибыль">'5 -3'!$B$9</definedName>
    <definedName name="Рыбные_продажи">'5 -4'!$B$10</definedName>
    <definedName name="Рыбные_расходы">'5 -4'!$C$10</definedName>
    <definedName name="Себестоимость">'5 -3'!$B$7</definedName>
    <definedName name="Спрос">'5 - 1'!$C$2</definedName>
    <definedName name="Стоимость_материала">'5 -3'!$B$3</definedName>
    <definedName name="Табачные_продажи">'5 -4'!$B$15</definedName>
    <definedName name="Табачные_расходы">'5 -4'!$C$15</definedName>
    <definedName name="Хлебобулочные_продажи">'5 -4'!$B$5</definedName>
    <definedName name="Хлебобулочные_расходы">'5 -4'!$C$5</definedName>
    <definedName name="Цена">'5 - 1'!$B$1</definedName>
    <definedName name="Яичные_продажи">'5 -4'!$B$11</definedName>
    <definedName name="Яичные_расходы">'5 -4'!$C$11</definedName>
  </definedNames>
  <calcPr calcId="162913"/>
</workbook>
</file>

<file path=xl/calcChain.xml><?xml version="1.0" encoding="utf-8"?>
<calcChain xmlns="http://schemas.openxmlformats.org/spreadsheetml/2006/main">
  <c r="D15" i="6" l="1"/>
  <c r="E15" i="6" s="1"/>
  <c r="D14" i="6"/>
  <c r="D13" i="6"/>
  <c r="E13" i="6" s="1"/>
  <c r="D12" i="6"/>
  <c r="D11" i="6"/>
  <c r="E11" i="6" s="1"/>
  <c r="D10" i="6"/>
  <c r="D9" i="6"/>
  <c r="E9" i="6" s="1"/>
  <c r="D8" i="6"/>
  <c r="D7" i="6"/>
  <c r="D6" i="6"/>
  <c r="D5" i="6"/>
  <c r="C16" i="6"/>
  <c r="B16" i="6"/>
  <c r="J23" i="1"/>
  <c r="D16" i="6" l="1"/>
  <c r="E6" i="6"/>
  <c r="E8" i="6"/>
  <c r="E10" i="6"/>
  <c r="E12" i="6"/>
  <c r="E14" i="6"/>
  <c r="E5" i="6"/>
  <c r="E7" i="6"/>
  <c r="B7" i="5"/>
  <c r="B9" i="5" s="1"/>
  <c r="E4" i="4"/>
  <c r="E5" i="4"/>
  <c r="E6" i="4"/>
  <c r="E7" i="4"/>
  <c r="E8" i="4"/>
  <c r="E9" i="4"/>
  <c r="E10" i="4"/>
  <c r="E11" i="4"/>
  <c r="E12" i="4"/>
  <c r="E13" i="4"/>
  <c r="E14" i="4"/>
  <c r="E3" i="4"/>
  <c r="D2" i="4"/>
  <c r="C2" i="4"/>
  <c r="D2" i="3"/>
  <c r="C2" i="3"/>
  <c r="F8" i="2"/>
  <c r="G8" i="2" s="1"/>
  <c r="H8" i="2" s="1"/>
  <c r="G5" i="2"/>
  <c r="H5" i="2" s="1"/>
  <c r="G7" i="2"/>
  <c r="H7" i="2" s="1"/>
  <c r="G10" i="2"/>
  <c r="H10" i="2" s="1"/>
  <c r="G12" i="2"/>
  <c r="H12" i="2" s="1"/>
  <c r="F4" i="2"/>
  <c r="G4" i="2" s="1"/>
  <c r="F5" i="2"/>
  <c r="F6" i="2"/>
  <c r="G6" i="2" s="1"/>
  <c r="F7" i="2"/>
  <c r="F9" i="2"/>
  <c r="G9" i="2" s="1"/>
  <c r="F10" i="2"/>
  <c r="F11" i="2"/>
  <c r="G11" i="2" s="1"/>
  <c r="F12" i="2"/>
  <c r="F3" i="2"/>
  <c r="I19" i="1"/>
  <c r="J19" i="1" s="1"/>
  <c r="I4" i="1"/>
  <c r="J4" i="1" s="1"/>
  <c r="I16" i="1"/>
  <c r="J16" i="1" s="1"/>
  <c r="I5" i="1"/>
  <c r="J5" i="1" s="1"/>
  <c r="I17" i="1"/>
  <c r="J17" i="1" s="1"/>
  <c r="I6" i="1"/>
  <c r="J6" i="1" s="1"/>
  <c r="I7" i="1"/>
  <c r="J7" i="1" s="1"/>
  <c r="I14" i="1"/>
  <c r="J14" i="1" s="1"/>
  <c r="I8" i="1"/>
  <c r="J8" i="1" s="1"/>
  <c r="I12" i="1"/>
  <c r="J12" i="1" s="1"/>
  <c r="I9" i="1"/>
  <c r="J9" i="1" s="1"/>
  <c r="I18" i="1"/>
  <c r="J18" i="1" s="1"/>
  <c r="I10" i="1"/>
  <c r="J10" i="1" s="1"/>
  <c r="I15" i="1"/>
  <c r="J15" i="1" s="1"/>
  <c r="I11" i="1"/>
  <c r="J11" i="1" s="1"/>
  <c r="I13" i="1"/>
  <c r="J13" i="1" s="1"/>
  <c r="I3" i="1"/>
  <c r="J3" i="1" s="1"/>
  <c r="J22" i="1" s="1"/>
  <c r="F9" i="6" l="1"/>
  <c r="F11" i="6"/>
  <c r="F13" i="6"/>
  <c r="F15" i="6"/>
  <c r="E16" i="6"/>
  <c r="F5" i="6"/>
  <c r="F12" i="6"/>
  <c r="F8" i="6"/>
  <c r="F7" i="6"/>
  <c r="F14" i="6"/>
  <c r="F10" i="6"/>
  <c r="F6" i="6"/>
  <c r="F13" i="2"/>
  <c r="G3" i="2"/>
  <c r="I8" i="2"/>
  <c r="H11" i="2"/>
  <c r="I11" i="2" s="1"/>
  <c r="H9" i="2"/>
  <c r="I9" i="2" s="1"/>
  <c r="H6" i="2"/>
  <c r="I6" i="2" s="1"/>
  <c r="H4" i="2"/>
  <c r="I12" i="2"/>
  <c r="I10" i="2"/>
  <c r="I7" i="2"/>
  <c r="I5" i="2"/>
  <c r="I4" i="2"/>
  <c r="F16" i="6" l="1"/>
  <c r="H3" i="2"/>
  <c r="I3" i="2" s="1"/>
  <c r="I13" i="2" s="1"/>
  <c r="G13" i="2"/>
  <c r="H13" i="2"/>
</calcChain>
</file>

<file path=xl/sharedStrings.xml><?xml version="1.0" encoding="utf-8"?>
<sst xmlns="http://schemas.openxmlformats.org/spreadsheetml/2006/main" count="229" uniqueCount="120">
  <si>
    <t>Приход</t>
  </si>
  <si>
    <t>Расход</t>
  </si>
  <si>
    <t>Остаток</t>
  </si>
  <si>
    <t>№ П/П</t>
  </si>
  <si>
    <t>Отдел</t>
  </si>
  <si>
    <t>Наименование товара</t>
  </si>
  <si>
    <t>Еиницы измерения</t>
  </si>
  <si>
    <t>Цена при поступлении товара</t>
  </si>
  <si>
    <t>Количество поступившего товара</t>
  </si>
  <si>
    <t>Отпускная цена</t>
  </si>
  <si>
    <t>Количество отпущенного товара</t>
  </si>
  <si>
    <t>Сумма остатка</t>
  </si>
  <si>
    <t>Бакалея</t>
  </si>
  <si>
    <t>Сопуствующие товары</t>
  </si>
  <si>
    <t>Рыбный</t>
  </si>
  <si>
    <t>Кондитерский</t>
  </si>
  <si>
    <t>Мясной</t>
  </si>
  <si>
    <t>Какао</t>
  </si>
  <si>
    <t>Чайный сервис</t>
  </si>
  <si>
    <t>Кофе</t>
  </si>
  <si>
    <t>Судак</t>
  </si>
  <si>
    <t>Сахар</t>
  </si>
  <si>
    <t>Пакеты для продуктов</t>
  </si>
  <si>
    <t>Чай</t>
  </si>
  <si>
    <t>Конфеты "Вечер"</t>
  </si>
  <si>
    <t>Окунь морской</t>
  </si>
  <si>
    <t>Конфеты "Ромашка"</t>
  </si>
  <si>
    <t>Сосички молочные</t>
  </si>
  <si>
    <t>Печенье "Юбилейное"</t>
  </si>
  <si>
    <t>Спички</t>
  </si>
  <si>
    <t>Говядина</t>
  </si>
  <si>
    <t>Сельдь техоокеанская</t>
  </si>
  <si>
    <t>Свинина</t>
  </si>
  <si>
    <t>Фарщ говяжий</t>
  </si>
  <si>
    <t>коробка</t>
  </si>
  <si>
    <t>набор</t>
  </si>
  <si>
    <t>банка</t>
  </si>
  <si>
    <t>кг</t>
  </si>
  <si>
    <t>шт</t>
  </si>
  <si>
    <t>упаковка</t>
  </si>
  <si>
    <t>Р</t>
  </si>
  <si>
    <t>&gt;215</t>
  </si>
  <si>
    <t>&gt;300</t>
  </si>
  <si>
    <t>&lt;&gt;Сельдь техоокеанская</t>
  </si>
  <si>
    <t>Расчетно-платежная ведомость</t>
  </si>
  <si>
    <t>Фамилия И.О.</t>
  </si>
  <si>
    <t>Разряд</t>
  </si>
  <si>
    <t>Стоимость нормочаса</t>
  </si>
  <si>
    <t>Количество отработанных часов</t>
  </si>
  <si>
    <t>Тариф</t>
  </si>
  <si>
    <t>Уральский коэффициент</t>
  </si>
  <si>
    <t>Подоходный налог</t>
  </si>
  <si>
    <t>Итого к выдаче</t>
  </si>
  <si>
    <t>Иванов И.И.</t>
  </si>
  <si>
    <t>Петров П.П.</t>
  </si>
  <si>
    <t>Федотов Ф.Ф.</t>
  </si>
  <si>
    <t>Володин В.В.</t>
  </si>
  <si>
    <t>Никитик Н.Н.</t>
  </si>
  <si>
    <t>Костин К.К.</t>
  </si>
  <si>
    <t>Егоров Е.Е.</t>
  </si>
  <si>
    <t>Васильев В.В.</t>
  </si>
  <si>
    <t>Леонидов Л.Л.</t>
  </si>
  <si>
    <t>Итого:</t>
  </si>
  <si>
    <t>Новиков И.О.</t>
  </si>
  <si>
    <t>Вычисляемый критерий</t>
  </si>
  <si>
    <t>Цена=</t>
  </si>
  <si>
    <t>Спрос</t>
  </si>
  <si>
    <t>Предложение</t>
  </si>
  <si>
    <t>Цена</t>
  </si>
  <si>
    <t>Исходные данные</t>
  </si>
  <si>
    <t>Критерий</t>
  </si>
  <si>
    <t>Количество материала</t>
  </si>
  <si>
    <t>Стоимость материала</t>
  </si>
  <si>
    <t>Количество часов</t>
  </si>
  <si>
    <t>Оплата одного часа</t>
  </si>
  <si>
    <t>Расчет прибыли</t>
  </si>
  <si>
    <t>Себестоимость</t>
  </si>
  <si>
    <t>Прибыль</t>
  </si>
  <si>
    <t>Сводка</t>
  </si>
  <si>
    <t>Продажи расходы, прибыль, рентабельность и доля по категориям продуктов</t>
  </si>
  <si>
    <t>Категория</t>
  </si>
  <si>
    <t>Продажи</t>
  </si>
  <si>
    <t>Расходы</t>
  </si>
  <si>
    <t>Рентабельность</t>
  </si>
  <si>
    <t>Доля</t>
  </si>
  <si>
    <t>Хлебобулочные изделия</t>
  </si>
  <si>
    <t>Плоды и овощи</t>
  </si>
  <si>
    <t>Молочно-масляная продукция</t>
  </si>
  <si>
    <t>Кондитерские изделия</t>
  </si>
  <si>
    <t>Мясные и колбасные изделия</t>
  </si>
  <si>
    <t>Рыба и рыбные изделия</t>
  </si>
  <si>
    <t>Яичные изделия</t>
  </si>
  <si>
    <t>Пищевые жиры</t>
  </si>
  <si>
    <t>Безалкогольные напитки</t>
  </si>
  <si>
    <t>Вино-водочная продукция</t>
  </si>
  <si>
    <t>Табачные изделия</t>
  </si>
  <si>
    <t>Хлебобулочные_продажи</t>
  </si>
  <si>
    <t>Плоды_продажи</t>
  </si>
  <si>
    <t>Молочные_продажи</t>
  </si>
  <si>
    <t>Кондитерские_продажи</t>
  </si>
  <si>
    <t>Мясные_продажи</t>
  </si>
  <si>
    <t>Рыбные_продажи</t>
  </si>
  <si>
    <t>Яичные_продажи</t>
  </si>
  <si>
    <t>Пищевые_продажи</t>
  </si>
  <si>
    <t>Безалкогольные_продажи</t>
  </si>
  <si>
    <t>Вино_водочная_продажи</t>
  </si>
  <si>
    <t>Табачные_продажи</t>
  </si>
  <si>
    <t>$E$5</t>
  </si>
  <si>
    <t>$F$5</t>
  </si>
  <si>
    <t>$D$16</t>
  </si>
  <si>
    <t>Стартовый сценарий</t>
  </si>
  <si>
    <t>Автор: Kurone , 17.11.2019</t>
  </si>
  <si>
    <t>Сценарий №1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</si>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</sst>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&quot;₽&quot;"/>
    <numFmt numFmtId="165" formatCode="##&quot;м. &quot;"/>
    <numFmt numFmtId="167" formatCode="#,##0.00&quot;₽&quot;;[Red]\−#,##0.00&quot;₽&quot;;[Blue]#,##0.00&quot;₽&quot;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90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textRotation="90" wrapText="1"/>
    </xf>
    <xf numFmtId="0" fontId="1" fillId="0" borderId="0" xfId="0" applyFont="1"/>
    <xf numFmtId="0" fontId="0" fillId="5" borderId="1" xfId="0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/>
    <xf numFmtId="164" fontId="0" fillId="3" borderId="1" xfId="0" applyNumberFormat="1" applyFill="1" applyBorder="1"/>
    <xf numFmtId="0" fontId="0" fillId="8" borderId="1" xfId="0" applyFill="1" applyBorder="1"/>
    <xf numFmtId="164" fontId="0" fillId="8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5" fontId="0" fillId="0" borderId="0" xfId="0" applyNumberFormat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 wrapText="1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2" xfId="0" applyBorder="1"/>
    <xf numFmtId="164" fontId="0" fillId="0" borderId="0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3" xfId="0" applyBorder="1"/>
    <xf numFmtId="0" fontId="0" fillId="0" borderId="6" xfId="0" applyBorder="1"/>
    <xf numFmtId="0" fontId="0" fillId="6" borderId="2" xfId="0" applyFill="1" applyBorder="1"/>
    <xf numFmtId="0" fontId="0" fillId="4" borderId="2" xfId="0" applyFill="1" applyBorder="1"/>
    <xf numFmtId="0" fontId="0" fillId="4" borderId="0" xfId="0" applyFill="1" applyBorder="1"/>
    <xf numFmtId="164" fontId="0" fillId="4" borderId="0" xfId="0" applyNumberFormat="1" applyFill="1" applyBorder="1"/>
    <xf numFmtId="164" fontId="0" fillId="4" borderId="3" xfId="0" applyNumberFormat="1" applyFill="1" applyBorder="1"/>
    <xf numFmtId="164" fontId="0" fillId="0" borderId="3" xfId="0" applyNumberFormat="1" applyFill="1" applyBorder="1"/>
    <xf numFmtId="0" fontId="0" fillId="6" borderId="4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0" fontId="0" fillId="10" borderId="3" xfId="0" applyFill="1" applyBorder="1"/>
    <xf numFmtId="0" fontId="0" fillId="10" borderId="2" xfId="0" applyFill="1" applyBorder="1"/>
    <xf numFmtId="0" fontId="0" fillId="10" borderId="0" xfId="0" applyFill="1" applyBorder="1"/>
    <xf numFmtId="164" fontId="0" fillId="10" borderId="0" xfId="0" applyNumberFormat="1" applyFill="1" applyBorder="1"/>
    <xf numFmtId="164" fontId="0" fillId="10" borderId="3" xfId="0" applyNumberFormat="1" applyFill="1" applyBorder="1"/>
    <xf numFmtId="167" fontId="0" fillId="0" borderId="0" xfId="0" applyNumberFormat="1" applyBorder="1"/>
    <xf numFmtId="167" fontId="0" fillId="0" borderId="5" xfId="0" applyNumberFormat="1" applyBorder="1"/>
    <xf numFmtId="164" fontId="0" fillId="11" borderId="10" xfId="0" applyNumberFormat="1" applyFill="1" applyBorder="1"/>
    <xf numFmtId="164" fontId="0" fillId="8" borderId="8" xfId="0" applyNumberFormat="1" applyFill="1" applyBorder="1"/>
    <xf numFmtId="164" fontId="0" fillId="8" borderId="9" xfId="0" applyNumberFormat="1" applyFill="1" applyBorder="1"/>
    <xf numFmtId="164" fontId="0" fillId="12" borderId="10" xfId="0" applyNumberFormat="1" applyFill="1" applyBorder="1"/>
    <xf numFmtId="167" fontId="0" fillId="12" borderId="0" xfId="0" applyNumberFormat="1" applyFill="1" applyBorder="1"/>
    <xf numFmtId="167" fontId="0" fillId="12" borderId="5" xfId="0" applyNumberFormat="1" applyFill="1" applyBorder="1"/>
    <xf numFmtId="164" fontId="0" fillId="12" borderId="11" xfId="0" applyNumberFormat="1" applyFill="1" applyBorder="1"/>
    <xf numFmtId="167" fontId="0" fillId="12" borderId="3" xfId="0" applyNumberFormat="1" applyFill="1" applyBorder="1"/>
    <xf numFmtId="167" fontId="0" fillId="12" borderId="6" xfId="0" applyNumberFormat="1" applyFill="1" applyBorder="1"/>
    <xf numFmtId="164" fontId="0" fillId="9" borderId="8" xfId="0" applyNumberFormat="1" applyFill="1" applyBorder="1"/>
    <xf numFmtId="167" fontId="0" fillId="9" borderId="0" xfId="0" applyNumberFormat="1" applyFill="1" applyBorder="1"/>
    <xf numFmtId="167" fontId="0" fillId="9" borderId="3" xfId="0" applyNumberFormat="1" applyFill="1" applyBorder="1"/>
    <xf numFmtId="0" fontId="2" fillId="0" borderId="0" xfId="0" applyFo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9" fontId="0" fillId="0" borderId="0" xfId="0" applyNumberFormat="1" applyFill="1" applyBorder="1" applyAlignment="1"/>
    <xf numFmtId="164" fontId="0" fillId="0" borderId="13" xfId="0" applyNumberFormat="1" applyFill="1" applyBorder="1" applyAlignment="1"/>
    <xf numFmtId="0" fontId="3" fillId="13" borderId="5" xfId="0" applyFont="1" applyFill="1" applyBorder="1" applyAlignment="1">
      <alignment horizontal="left"/>
    </xf>
    <xf numFmtId="0" fontId="3" fillId="13" borderId="12" xfId="0" applyFont="1" applyFill="1" applyBorder="1" applyAlignment="1">
      <alignment horizontal="left"/>
    </xf>
    <xf numFmtId="0" fontId="0" fillId="0" borderId="10" xfId="0" applyFill="1" applyBorder="1" applyAlignment="1"/>
    <xf numFmtId="0" fontId="4" fillId="14" borderId="0" xfId="0" applyFont="1" applyFill="1" applyBorder="1" applyAlignment="1">
      <alignment horizontal="left"/>
    </xf>
    <xf numFmtId="0" fontId="5" fillId="14" borderId="10" xfId="0" applyFont="1" applyFill="1" applyBorder="1" applyAlignment="1">
      <alignment horizontal="left"/>
    </xf>
    <xf numFmtId="0" fontId="4" fillId="14" borderId="13" xfId="0" applyFont="1" applyFill="1" applyBorder="1" applyAlignment="1">
      <alignment horizontal="left"/>
    </xf>
    <xf numFmtId="0" fontId="6" fillId="13" borderId="12" xfId="0" applyFont="1" applyFill="1" applyBorder="1" applyAlignment="1">
      <alignment horizontal="right"/>
    </xf>
    <xf numFmtId="0" fontId="6" fillId="13" borderId="5" xfId="0" applyFont="1" applyFill="1" applyBorder="1" applyAlignment="1">
      <alignment horizontal="right"/>
    </xf>
    <xf numFmtId="164" fontId="0" fillId="15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  <xf numFmtId="9" fontId="0" fillId="0" borderId="0" xfId="0" applyNumberFormat="1" applyBorder="1"/>
    <xf numFmtId="9" fontId="0" fillId="0" borderId="3" xfId="0" applyNumberFormat="1" applyBorder="1"/>
    <xf numFmtId="0" fontId="2" fillId="16" borderId="1" xfId="0" applyFont="1" applyFill="1" applyBorder="1"/>
    <xf numFmtId="0" fontId="2" fillId="16" borderId="10" xfId="0" applyFont="1" applyFill="1" applyBorder="1"/>
    <xf numFmtId="0" fontId="2" fillId="16" borderId="11" xfId="0" applyFont="1" applyFill="1" applyBorder="1"/>
    <xf numFmtId="0" fontId="0" fillId="2" borderId="8" xfId="0" applyFill="1" applyBorder="1"/>
    <xf numFmtId="0" fontId="0" fillId="4" borderId="8" xfId="0" applyFill="1" applyBorder="1"/>
    <xf numFmtId="164" fontId="0" fillId="2" borderId="0" xfId="0" applyNumberFormat="1" applyFill="1" applyBorder="1"/>
    <xf numFmtId="9" fontId="0" fillId="2" borderId="0" xfId="0" applyNumberFormat="1" applyFill="1" applyBorder="1"/>
    <xf numFmtId="9" fontId="0" fillId="2" borderId="3" xfId="0" applyNumberFormat="1" applyFill="1" applyBorder="1"/>
    <xf numFmtId="164" fontId="0" fillId="2" borderId="10" xfId="0" applyNumberFormat="1" applyFill="1" applyBorder="1"/>
    <xf numFmtId="9" fontId="0" fillId="2" borderId="10" xfId="0" applyNumberFormat="1" applyFill="1" applyBorder="1"/>
    <xf numFmtId="9" fontId="0" fillId="2" borderId="11" xfId="0" applyNumberFormat="1" applyFill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'4 -Платежная ведомость'!$I$2</c:f>
              <c:strCache>
                <c:ptCount val="1"/>
                <c:pt idx="0">
                  <c:v>Итого к выдаче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'4 -Платежная ведомость'!$B$3:$B$12</c:f>
              <c:strCache>
                <c:ptCount val="10"/>
                <c:pt idx="0">
                  <c:v>Иванов И.И.</c:v>
                </c:pt>
                <c:pt idx="1">
                  <c:v>Петров П.П.</c:v>
                </c:pt>
                <c:pt idx="2">
                  <c:v>Федотов Ф.Ф.</c:v>
                </c:pt>
                <c:pt idx="3">
                  <c:v>Володин В.В.</c:v>
                </c:pt>
                <c:pt idx="4">
                  <c:v>Никитик Н.Н.</c:v>
                </c:pt>
                <c:pt idx="5">
                  <c:v>Новиков И.О.</c:v>
                </c:pt>
                <c:pt idx="6">
                  <c:v>Костин К.К.</c:v>
                </c:pt>
                <c:pt idx="7">
                  <c:v>Егоров Е.Е.</c:v>
                </c:pt>
                <c:pt idx="8">
                  <c:v>Васильев В.В.</c:v>
                </c:pt>
                <c:pt idx="9">
                  <c:v>Леонидов Л.Л.</c:v>
                </c:pt>
              </c:strCache>
            </c:strRef>
          </c:cat>
          <c:val>
            <c:numRef>
              <c:f>'4 -Платежная ведомость'!$I$3:$I$12</c:f>
              <c:numCache>
                <c:formatCode>#\ ##0.00\ "₽"</c:formatCode>
                <c:ptCount val="10"/>
                <c:pt idx="0">
                  <c:v>35217.599999999999</c:v>
                </c:pt>
                <c:pt idx="1">
                  <c:v>34977.479999999996</c:v>
                </c:pt>
                <c:pt idx="2">
                  <c:v>48024</c:v>
                </c:pt>
                <c:pt idx="3">
                  <c:v>38659.32</c:v>
                </c:pt>
                <c:pt idx="4">
                  <c:v>34977.479999999996</c:v>
                </c:pt>
                <c:pt idx="5">
                  <c:v>36018</c:v>
                </c:pt>
                <c:pt idx="6">
                  <c:v>15847.92</c:v>
                </c:pt>
                <c:pt idx="7">
                  <c:v>35217.599999999999</c:v>
                </c:pt>
                <c:pt idx="8">
                  <c:v>60830.400000000001</c:v>
                </c:pt>
                <c:pt idx="9">
                  <c:v>50425.2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4-433B-9A3F-C5B800E2FC0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'4 -Платежная ведомость'!$E$2</c:f>
              <c:strCache>
                <c:ptCount val="1"/>
                <c:pt idx="0">
                  <c:v>Количество отработанных часов</c:v>
                </c:pt>
              </c:strCache>
            </c:strRef>
          </c:tx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'4 -Платежная ведомость'!$B$3:$B$12</c:f>
              <c:strCache>
                <c:ptCount val="10"/>
                <c:pt idx="0">
                  <c:v>Иванов И.И.</c:v>
                </c:pt>
                <c:pt idx="1">
                  <c:v>Петров П.П.</c:v>
                </c:pt>
                <c:pt idx="2">
                  <c:v>Федотов Ф.Ф.</c:v>
                </c:pt>
                <c:pt idx="3">
                  <c:v>Володин В.В.</c:v>
                </c:pt>
                <c:pt idx="4">
                  <c:v>Никитик Н.Н.</c:v>
                </c:pt>
                <c:pt idx="5">
                  <c:v>Новиков И.О.</c:v>
                </c:pt>
                <c:pt idx="6">
                  <c:v>Костин К.К.</c:v>
                </c:pt>
                <c:pt idx="7">
                  <c:v>Егоров Е.Е.</c:v>
                </c:pt>
                <c:pt idx="8">
                  <c:v>Васильев В.В.</c:v>
                </c:pt>
                <c:pt idx="9">
                  <c:v>Леонидов Л.Л.</c:v>
                </c:pt>
              </c:strCache>
            </c:strRef>
          </c:cat>
          <c:val>
            <c:numRef>
              <c:f>'4 -Платежная ведомость'!$E$3:$E$12</c:f>
              <c:numCache>
                <c:formatCode>General</c:formatCode>
                <c:ptCount val="10"/>
                <c:pt idx="0">
                  <c:v>160</c:v>
                </c:pt>
                <c:pt idx="1">
                  <c:v>152</c:v>
                </c:pt>
                <c:pt idx="2">
                  <c:v>160</c:v>
                </c:pt>
                <c:pt idx="3">
                  <c:v>168</c:v>
                </c:pt>
                <c:pt idx="4">
                  <c:v>152</c:v>
                </c:pt>
                <c:pt idx="5">
                  <c:v>144</c:v>
                </c:pt>
                <c:pt idx="6">
                  <c:v>72</c:v>
                </c:pt>
                <c:pt idx="7">
                  <c:v>160</c:v>
                </c:pt>
                <c:pt idx="8">
                  <c:v>152</c:v>
                </c:pt>
                <c:pt idx="9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8-4705-8AE8-1C76AEFA94E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142875</xdr:rowOff>
    </xdr:from>
    <xdr:to>
      <xdr:col>17</xdr:col>
      <xdr:colOff>390525</xdr:colOff>
      <xdr:row>12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14</xdr:row>
      <xdr:rowOff>0</xdr:rowOff>
    </xdr:from>
    <xdr:to>
      <xdr:col>17</xdr:col>
      <xdr:colOff>419100</xdr:colOff>
      <xdr:row>30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>
      <selection activeCell="O44" sqref="O44"/>
    </sheetView>
  </sheetViews>
  <sheetFormatPr defaultRowHeight="15" x14ac:dyDescent="0.25"/>
  <cols>
    <col min="2" max="2" width="22" bestFit="1" customWidth="1"/>
    <col min="3" max="3" width="23.85546875" bestFit="1" customWidth="1"/>
    <col min="5" max="5" width="9.5703125" bestFit="1" customWidth="1"/>
    <col min="7" max="7" width="9.5703125" bestFit="1" customWidth="1"/>
    <col min="10" max="10" width="10.5703125" customWidth="1"/>
    <col min="21" max="21" width="9.5703125" bestFit="1" customWidth="1"/>
  </cols>
  <sheetData>
    <row r="1" spans="1:10" x14ac:dyDescent="0.25">
      <c r="A1" s="21"/>
      <c r="B1" s="21"/>
      <c r="C1" s="21"/>
      <c r="D1" s="21"/>
      <c r="E1" s="30" t="s">
        <v>0</v>
      </c>
      <c r="F1" s="30"/>
      <c r="G1" s="30" t="s">
        <v>1</v>
      </c>
      <c r="H1" s="30"/>
      <c r="I1" s="30" t="s">
        <v>2</v>
      </c>
      <c r="J1" s="30"/>
    </row>
    <row r="2" spans="1:10" ht="142.5" customHeight="1" x14ac:dyDescent="0.25">
      <c r="A2" s="8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2</v>
      </c>
      <c r="J2" s="9" t="s">
        <v>11</v>
      </c>
    </row>
    <row r="3" spans="1:10" x14ac:dyDescent="0.25">
      <c r="A3" s="46">
        <v>1</v>
      </c>
      <c r="B3" s="5" t="s">
        <v>12</v>
      </c>
      <c r="C3" s="5" t="s">
        <v>17</v>
      </c>
      <c r="D3" s="5" t="s">
        <v>34</v>
      </c>
      <c r="E3" s="38">
        <v>505.5</v>
      </c>
      <c r="F3" s="5">
        <v>30</v>
      </c>
      <c r="G3" s="38">
        <v>600</v>
      </c>
      <c r="H3" s="5">
        <v>26</v>
      </c>
      <c r="I3" s="5">
        <f t="shared" ref="I3:I19" si="0">F3-H3</f>
        <v>4</v>
      </c>
      <c r="J3" s="39">
        <f t="shared" ref="J3:J19" si="1">I3*G3</f>
        <v>2400</v>
      </c>
    </row>
    <row r="4" spans="1:10" x14ac:dyDescent="0.25">
      <c r="A4" s="47">
        <v>2</v>
      </c>
      <c r="B4" s="48" t="s">
        <v>12</v>
      </c>
      <c r="C4" s="48" t="s">
        <v>19</v>
      </c>
      <c r="D4" s="48" t="s">
        <v>36</v>
      </c>
      <c r="E4" s="49">
        <v>299</v>
      </c>
      <c r="F4" s="48">
        <v>20</v>
      </c>
      <c r="G4" s="49">
        <v>399.9</v>
      </c>
      <c r="H4" s="48">
        <v>17</v>
      </c>
      <c r="I4" s="48">
        <f t="shared" si="0"/>
        <v>3</v>
      </c>
      <c r="J4" s="50">
        <f t="shared" si="1"/>
        <v>1199.6999999999998</v>
      </c>
    </row>
    <row r="5" spans="1:10" x14ac:dyDescent="0.25">
      <c r="A5" s="46">
        <v>3</v>
      </c>
      <c r="B5" s="5" t="s">
        <v>12</v>
      </c>
      <c r="C5" s="5" t="s">
        <v>21</v>
      </c>
      <c r="D5" s="5" t="s">
        <v>37</v>
      </c>
      <c r="E5" s="38">
        <v>30</v>
      </c>
      <c r="F5" s="5">
        <v>50</v>
      </c>
      <c r="G5" s="38">
        <v>37</v>
      </c>
      <c r="H5" s="5">
        <v>45</v>
      </c>
      <c r="I5" s="5">
        <f t="shared" si="0"/>
        <v>5</v>
      </c>
      <c r="J5" s="39">
        <f t="shared" si="1"/>
        <v>185</v>
      </c>
    </row>
    <row r="6" spans="1:10" x14ac:dyDescent="0.25">
      <c r="A6" s="47">
        <v>4</v>
      </c>
      <c r="B6" s="48" t="s">
        <v>12</v>
      </c>
      <c r="C6" s="48" t="s">
        <v>23</v>
      </c>
      <c r="D6" s="48" t="s">
        <v>39</v>
      </c>
      <c r="E6" s="49">
        <v>300</v>
      </c>
      <c r="F6" s="48">
        <v>50</v>
      </c>
      <c r="G6" s="49">
        <v>369</v>
      </c>
      <c r="H6" s="48">
        <v>45</v>
      </c>
      <c r="I6" s="48">
        <f t="shared" si="0"/>
        <v>5</v>
      </c>
      <c r="J6" s="50">
        <f t="shared" si="1"/>
        <v>1845</v>
      </c>
    </row>
    <row r="7" spans="1:10" x14ac:dyDescent="0.25">
      <c r="A7" s="46">
        <v>5</v>
      </c>
      <c r="B7" s="5" t="s">
        <v>15</v>
      </c>
      <c r="C7" s="5" t="s">
        <v>24</v>
      </c>
      <c r="D7" s="5" t="s">
        <v>37</v>
      </c>
      <c r="E7" s="38">
        <v>80</v>
      </c>
      <c r="F7" s="5">
        <v>5</v>
      </c>
      <c r="G7" s="38">
        <v>90</v>
      </c>
      <c r="H7" s="5">
        <v>3</v>
      </c>
      <c r="I7" s="5">
        <f t="shared" si="0"/>
        <v>2</v>
      </c>
      <c r="J7" s="39">
        <f t="shared" si="1"/>
        <v>180</v>
      </c>
    </row>
    <row r="8" spans="1:10" x14ac:dyDescent="0.25">
      <c r="A8" s="47">
        <v>6</v>
      </c>
      <c r="B8" s="48" t="s">
        <v>15</v>
      </c>
      <c r="C8" s="48" t="s">
        <v>26</v>
      </c>
      <c r="D8" s="48" t="s">
        <v>37</v>
      </c>
      <c r="E8" s="49">
        <v>104</v>
      </c>
      <c r="F8" s="48">
        <v>20</v>
      </c>
      <c r="G8" s="49">
        <v>149</v>
      </c>
      <c r="H8" s="48">
        <v>15</v>
      </c>
      <c r="I8" s="48">
        <f t="shared" si="0"/>
        <v>5</v>
      </c>
      <c r="J8" s="50">
        <f t="shared" si="1"/>
        <v>745</v>
      </c>
    </row>
    <row r="9" spans="1:10" x14ac:dyDescent="0.25">
      <c r="A9" s="46">
        <v>7</v>
      </c>
      <c r="B9" s="5" t="s">
        <v>15</v>
      </c>
      <c r="C9" s="5" t="s">
        <v>28</v>
      </c>
      <c r="D9" s="5" t="s">
        <v>37</v>
      </c>
      <c r="E9" s="38">
        <v>197.8</v>
      </c>
      <c r="F9" s="5">
        <v>10</v>
      </c>
      <c r="G9" s="38">
        <v>256</v>
      </c>
      <c r="H9" s="5">
        <v>8</v>
      </c>
      <c r="I9" s="5">
        <f t="shared" si="0"/>
        <v>2</v>
      </c>
      <c r="J9" s="39">
        <f t="shared" si="1"/>
        <v>512</v>
      </c>
    </row>
    <row r="10" spans="1:10" x14ac:dyDescent="0.25">
      <c r="A10" s="47">
        <v>8</v>
      </c>
      <c r="B10" s="48" t="s">
        <v>16</v>
      </c>
      <c r="C10" s="48" t="s">
        <v>30</v>
      </c>
      <c r="D10" s="48" t="s">
        <v>37</v>
      </c>
      <c r="E10" s="49">
        <v>350</v>
      </c>
      <c r="F10" s="48">
        <v>30</v>
      </c>
      <c r="G10" s="49">
        <v>460</v>
      </c>
      <c r="H10" s="48">
        <v>29</v>
      </c>
      <c r="I10" s="48">
        <f t="shared" si="0"/>
        <v>1</v>
      </c>
      <c r="J10" s="50">
        <f t="shared" si="1"/>
        <v>460</v>
      </c>
    </row>
    <row r="11" spans="1:10" x14ac:dyDescent="0.25">
      <c r="A11" s="46">
        <v>9</v>
      </c>
      <c r="B11" s="5" t="s">
        <v>16</v>
      </c>
      <c r="C11" s="5" t="s">
        <v>32</v>
      </c>
      <c r="D11" s="5" t="s">
        <v>37</v>
      </c>
      <c r="E11" s="38">
        <v>300</v>
      </c>
      <c r="F11" s="5">
        <v>25</v>
      </c>
      <c r="G11" s="38">
        <v>450</v>
      </c>
      <c r="H11" s="5">
        <v>23</v>
      </c>
      <c r="I11" s="5">
        <f t="shared" si="0"/>
        <v>2</v>
      </c>
      <c r="J11" s="39">
        <f t="shared" si="1"/>
        <v>900</v>
      </c>
    </row>
    <row r="12" spans="1:10" x14ac:dyDescent="0.25">
      <c r="A12" s="47">
        <v>10</v>
      </c>
      <c r="B12" s="48" t="s">
        <v>16</v>
      </c>
      <c r="C12" s="48" t="s">
        <v>27</v>
      </c>
      <c r="D12" s="48" t="s">
        <v>37</v>
      </c>
      <c r="E12" s="49">
        <v>190</v>
      </c>
      <c r="F12" s="48">
        <v>34</v>
      </c>
      <c r="G12" s="49">
        <v>267</v>
      </c>
      <c r="H12" s="48">
        <v>30</v>
      </c>
      <c r="I12" s="48">
        <f t="shared" si="0"/>
        <v>4</v>
      </c>
      <c r="J12" s="50">
        <f t="shared" si="1"/>
        <v>1068</v>
      </c>
    </row>
    <row r="13" spans="1:10" x14ac:dyDescent="0.25">
      <c r="A13" s="46">
        <v>11</v>
      </c>
      <c r="B13" s="5" t="s">
        <v>16</v>
      </c>
      <c r="C13" s="5" t="s">
        <v>33</v>
      </c>
      <c r="D13" s="5" t="s">
        <v>37</v>
      </c>
      <c r="E13" s="38">
        <v>265</v>
      </c>
      <c r="F13" s="5">
        <v>50</v>
      </c>
      <c r="G13" s="38">
        <v>320</v>
      </c>
      <c r="H13" s="5">
        <v>28</v>
      </c>
      <c r="I13" s="5">
        <f t="shared" si="0"/>
        <v>22</v>
      </c>
      <c r="J13" s="39">
        <f t="shared" si="1"/>
        <v>7040</v>
      </c>
    </row>
    <row r="14" spans="1:10" x14ac:dyDescent="0.25">
      <c r="A14" s="47">
        <v>12</v>
      </c>
      <c r="B14" s="48" t="s">
        <v>14</v>
      </c>
      <c r="C14" s="48" t="s">
        <v>25</v>
      </c>
      <c r="D14" s="48" t="s">
        <v>37</v>
      </c>
      <c r="E14" s="49">
        <v>210</v>
      </c>
      <c r="F14" s="48">
        <v>23</v>
      </c>
      <c r="G14" s="49">
        <v>281</v>
      </c>
      <c r="H14" s="48">
        <v>23</v>
      </c>
      <c r="I14" s="48">
        <f t="shared" si="0"/>
        <v>0</v>
      </c>
      <c r="J14" s="50">
        <f t="shared" si="1"/>
        <v>0</v>
      </c>
    </row>
    <row r="15" spans="1:10" x14ac:dyDescent="0.25">
      <c r="A15" s="46">
        <v>13</v>
      </c>
      <c r="B15" s="35" t="s">
        <v>14</v>
      </c>
      <c r="C15" s="35" t="s">
        <v>31</v>
      </c>
      <c r="D15" s="35" t="s">
        <v>37</v>
      </c>
      <c r="E15" s="36">
        <v>230</v>
      </c>
      <c r="F15" s="35">
        <v>56</v>
      </c>
      <c r="G15" s="36">
        <v>290</v>
      </c>
      <c r="H15" s="35">
        <v>56</v>
      </c>
      <c r="I15" s="35">
        <f t="shared" si="0"/>
        <v>0</v>
      </c>
      <c r="J15" s="51">
        <f t="shared" si="1"/>
        <v>0</v>
      </c>
    </row>
    <row r="16" spans="1:10" x14ac:dyDescent="0.25">
      <c r="A16" s="47">
        <v>14</v>
      </c>
      <c r="B16" s="48" t="s">
        <v>14</v>
      </c>
      <c r="C16" s="48" t="s">
        <v>20</v>
      </c>
      <c r="D16" s="48" t="s">
        <v>37</v>
      </c>
      <c r="E16" s="49">
        <v>220</v>
      </c>
      <c r="F16" s="48">
        <v>100</v>
      </c>
      <c r="G16" s="49">
        <v>300</v>
      </c>
      <c r="H16" s="48">
        <v>56</v>
      </c>
      <c r="I16" s="48">
        <f t="shared" si="0"/>
        <v>44</v>
      </c>
      <c r="J16" s="50">
        <f t="shared" si="1"/>
        <v>13200</v>
      </c>
    </row>
    <row r="17" spans="1:21" x14ac:dyDescent="0.25">
      <c r="A17" s="46">
        <v>15</v>
      </c>
      <c r="B17" s="5" t="s">
        <v>13</v>
      </c>
      <c r="C17" s="5" t="s">
        <v>22</v>
      </c>
      <c r="D17" s="5" t="s">
        <v>38</v>
      </c>
      <c r="E17" s="38">
        <v>1</v>
      </c>
      <c r="F17" s="5">
        <v>230</v>
      </c>
      <c r="G17" s="38">
        <v>3</v>
      </c>
      <c r="H17" s="5">
        <v>230</v>
      </c>
      <c r="I17" s="5">
        <f t="shared" si="0"/>
        <v>0</v>
      </c>
      <c r="J17" s="39">
        <f t="shared" si="1"/>
        <v>0</v>
      </c>
    </row>
    <row r="18" spans="1:21" x14ac:dyDescent="0.25">
      <c r="A18" s="47">
        <v>16</v>
      </c>
      <c r="B18" s="48" t="s">
        <v>13</v>
      </c>
      <c r="C18" s="48" t="s">
        <v>29</v>
      </c>
      <c r="D18" s="48" t="s">
        <v>39</v>
      </c>
      <c r="E18" s="49">
        <v>9.1999999999999993</v>
      </c>
      <c r="F18" s="48">
        <v>100</v>
      </c>
      <c r="G18" s="49">
        <v>12</v>
      </c>
      <c r="H18" s="48">
        <v>99</v>
      </c>
      <c r="I18" s="48">
        <f t="shared" si="0"/>
        <v>1</v>
      </c>
      <c r="J18" s="50">
        <f t="shared" si="1"/>
        <v>12</v>
      </c>
    </row>
    <row r="19" spans="1:21" x14ac:dyDescent="0.25">
      <c r="A19" s="52">
        <v>17</v>
      </c>
      <c r="B19" s="41" t="s">
        <v>13</v>
      </c>
      <c r="C19" s="41" t="s">
        <v>18</v>
      </c>
      <c r="D19" s="41" t="s">
        <v>35</v>
      </c>
      <c r="E19" s="42">
        <v>1000</v>
      </c>
      <c r="F19" s="41">
        <v>12</v>
      </c>
      <c r="G19" s="42">
        <v>1500</v>
      </c>
      <c r="H19" s="41">
        <v>3</v>
      </c>
      <c r="I19" s="41">
        <f t="shared" si="0"/>
        <v>9</v>
      </c>
      <c r="J19" s="43">
        <f t="shared" si="1"/>
        <v>13500</v>
      </c>
    </row>
    <row r="21" spans="1:21" ht="108.75" x14ac:dyDescent="0.25">
      <c r="A21" s="10" t="s">
        <v>3</v>
      </c>
      <c r="B21" s="10" t="s">
        <v>4</v>
      </c>
      <c r="C21" s="11" t="s">
        <v>5</v>
      </c>
      <c r="D21" s="11" t="s">
        <v>6</v>
      </c>
      <c r="E21" s="11" t="s">
        <v>7</v>
      </c>
      <c r="F21" s="11" t="s">
        <v>8</v>
      </c>
      <c r="G21" s="11" t="s">
        <v>9</v>
      </c>
      <c r="H21" s="11" t="s">
        <v>10</v>
      </c>
      <c r="I21" s="11" t="s">
        <v>2</v>
      </c>
      <c r="J21" s="11" t="s">
        <v>64</v>
      </c>
      <c r="L21" s="33"/>
      <c r="M21" s="33"/>
      <c r="N21" s="34"/>
      <c r="O21" s="34"/>
      <c r="P21" s="34"/>
      <c r="Q21" s="34"/>
      <c r="R21" s="34"/>
      <c r="S21" s="34"/>
      <c r="T21" s="34"/>
      <c r="U21" s="34"/>
    </row>
    <row r="22" spans="1:21" x14ac:dyDescent="0.25">
      <c r="A22" s="37"/>
      <c r="B22" s="5"/>
      <c r="C22" s="5"/>
      <c r="D22" s="5"/>
      <c r="E22" s="5"/>
      <c r="F22" s="5"/>
      <c r="G22" s="5"/>
      <c r="H22" s="5"/>
      <c r="I22" s="5"/>
      <c r="J22" s="58" t="b">
        <f>AND(J3&gt;1000,B3="Мясной")</f>
        <v>0</v>
      </c>
      <c r="L22" s="35"/>
      <c r="M22" s="35"/>
      <c r="N22" s="35"/>
      <c r="O22" s="35"/>
      <c r="P22" s="36"/>
      <c r="Q22" s="35"/>
      <c r="R22" s="36"/>
      <c r="S22" s="35"/>
      <c r="T22" s="35"/>
      <c r="U22" s="36"/>
    </row>
    <row r="23" spans="1:21" x14ac:dyDescent="0.25">
      <c r="A23" s="40"/>
      <c r="B23" s="41"/>
      <c r="C23" s="41"/>
      <c r="D23" s="41"/>
      <c r="E23" s="41"/>
      <c r="F23" s="41"/>
      <c r="G23" s="41"/>
      <c r="H23" s="41"/>
      <c r="I23" s="41"/>
      <c r="J23" s="45" t="b">
        <f>AND(H3&lt;=50,D3="кг")</f>
        <v>0</v>
      </c>
      <c r="L23" s="35"/>
      <c r="M23" s="35"/>
      <c r="N23" s="35"/>
      <c r="O23" s="35"/>
      <c r="P23" s="36"/>
      <c r="Q23" s="35"/>
      <c r="R23" s="36"/>
      <c r="S23" s="35"/>
      <c r="T23" s="35"/>
      <c r="U23" s="36"/>
    </row>
    <row r="24" spans="1:21" x14ac:dyDescent="0.25">
      <c r="L24" s="35"/>
      <c r="M24" s="35"/>
      <c r="N24" s="35"/>
      <c r="O24" s="35"/>
      <c r="P24" s="36"/>
      <c r="Q24" s="35"/>
      <c r="R24" s="36"/>
      <c r="S24" s="35"/>
      <c r="T24" s="35"/>
      <c r="U24" s="36"/>
    </row>
    <row r="25" spans="1:21" ht="108.75" x14ac:dyDescent="0.25">
      <c r="A25" s="12" t="s">
        <v>3</v>
      </c>
      <c r="B25" s="12" t="s">
        <v>4</v>
      </c>
      <c r="C25" s="13" t="s">
        <v>5</v>
      </c>
      <c r="D25" s="13" t="s">
        <v>6</v>
      </c>
      <c r="E25" s="13" t="s">
        <v>7</v>
      </c>
      <c r="F25" s="13" t="s">
        <v>8</v>
      </c>
      <c r="G25" s="13" t="s">
        <v>9</v>
      </c>
      <c r="H25" s="13" t="s">
        <v>10</v>
      </c>
      <c r="I25" s="13" t="s">
        <v>2</v>
      </c>
      <c r="J25" s="13" t="s">
        <v>11</v>
      </c>
      <c r="L25" s="35"/>
      <c r="M25" s="35"/>
      <c r="N25" s="35"/>
      <c r="O25" s="35"/>
      <c r="P25" s="36"/>
      <c r="Q25" s="35"/>
      <c r="R25" s="36"/>
      <c r="S25" s="35"/>
      <c r="T25" s="35"/>
      <c r="U25" s="36"/>
    </row>
    <row r="26" spans="1:21" x14ac:dyDescent="0.25">
      <c r="A26" s="37"/>
      <c r="B26" s="5" t="s">
        <v>40</v>
      </c>
      <c r="C26" s="5" t="s">
        <v>43</v>
      </c>
      <c r="D26" s="5"/>
      <c r="E26" s="5" t="s">
        <v>41</v>
      </c>
      <c r="F26" s="5"/>
      <c r="G26" s="5"/>
      <c r="H26" s="5"/>
      <c r="I26" s="5"/>
      <c r="J26" s="44"/>
      <c r="L26" s="35"/>
      <c r="M26" s="35"/>
      <c r="N26" s="35"/>
      <c r="O26" s="35"/>
      <c r="P26" s="36"/>
      <c r="Q26" s="35"/>
      <c r="R26" s="36"/>
      <c r="S26" s="35"/>
      <c r="T26" s="35"/>
      <c r="U26" s="36"/>
    </row>
    <row r="27" spans="1:21" x14ac:dyDescent="0.25">
      <c r="A27" s="40"/>
      <c r="B27" s="41" t="s">
        <v>16</v>
      </c>
      <c r="C27" s="41"/>
      <c r="D27" s="41"/>
      <c r="E27" s="41"/>
      <c r="F27" s="41"/>
      <c r="G27" s="41" t="s">
        <v>42</v>
      </c>
      <c r="H27" s="41"/>
      <c r="I27" s="41"/>
      <c r="J27" s="45"/>
      <c r="L27" s="35"/>
      <c r="M27" s="35"/>
      <c r="N27" s="35"/>
      <c r="O27" s="35"/>
      <c r="P27" s="36"/>
      <c r="Q27" s="35"/>
      <c r="R27" s="36"/>
      <c r="S27" s="35"/>
      <c r="T27" s="35"/>
      <c r="U27" s="36"/>
    </row>
    <row r="28" spans="1:21" x14ac:dyDescent="0.25">
      <c r="L28" s="35"/>
      <c r="M28" s="35"/>
      <c r="N28" s="35"/>
      <c r="O28" s="35"/>
      <c r="P28" s="36"/>
      <c r="Q28" s="35"/>
      <c r="R28" s="36"/>
      <c r="S28" s="35"/>
      <c r="T28" s="35"/>
      <c r="U28" s="36"/>
    </row>
    <row r="29" spans="1:21" x14ac:dyDescent="0.25">
      <c r="L29" s="35"/>
      <c r="M29" s="35"/>
      <c r="N29" s="35"/>
      <c r="O29" s="35"/>
      <c r="P29" s="36"/>
      <c r="Q29" s="35"/>
      <c r="R29" s="36"/>
      <c r="S29" s="35"/>
      <c r="T29" s="35"/>
      <c r="U29" s="36"/>
    </row>
    <row r="30" spans="1:21" ht="108.75" x14ac:dyDescent="0.25">
      <c r="A30" s="12" t="s">
        <v>3</v>
      </c>
      <c r="B30" s="12" t="s">
        <v>4</v>
      </c>
      <c r="C30" s="13" t="s">
        <v>5</v>
      </c>
      <c r="D30" s="13" t="s">
        <v>6</v>
      </c>
      <c r="E30" s="13" t="s">
        <v>7</v>
      </c>
      <c r="F30" s="13" t="s">
        <v>8</v>
      </c>
      <c r="G30" s="13" t="s">
        <v>9</v>
      </c>
      <c r="H30" s="13" t="s">
        <v>10</v>
      </c>
      <c r="I30" s="13" t="s">
        <v>2</v>
      </c>
      <c r="J30" s="13" t="s">
        <v>11</v>
      </c>
      <c r="K30" s="5"/>
      <c r="L30" s="35"/>
      <c r="M30" s="35"/>
      <c r="N30" s="35"/>
      <c r="O30" s="35"/>
      <c r="P30" s="36"/>
      <c r="Q30" s="35"/>
      <c r="R30" s="36"/>
      <c r="S30" s="35"/>
      <c r="T30" s="35"/>
      <c r="U30" s="36"/>
    </row>
    <row r="31" spans="1:21" x14ac:dyDescent="0.25">
      <c r="A31" s="37">
        <v>8</v>
      </c>
      <c r="B31" s="5" t="s">
        <v>16</v>
      </c>
      <c r="C31" s="5" t="s">
        <v>30</v>
      </c>
      <c r="D31" s="5" t="s">
        <v>37</v>
      </c>
      <c r="E31" s="38">
        <v>350</v>
      </c>
      <c r="F31" s="5">
        <v>30</v>
      </c>
      <c r="G31" s="38">
        <v>460</v>
      </c>
      <c r="H31" s="5">
        <v>29</v>
      </c>
      <c r="I31" s="5">
        <v>1</v>
      </c>
      <c r="J31" s="39">
        <v>460</v>
      </c>
      <c r="K31" s="5"/>
      <c r="L31" s="5"/>
    </row>
    <row r="32" spans="1:21" x14ac:dyDescent="0.25">
      <c r="A32" s="37">
        <v>9</v>
      </c>
      <c r="B32" s="5" t="s">
        <v>16</v>
      </c>
      <c r="C32" s="5" t="s">
        <v>32</v>
      </c>
      <c r="D32" s="5" t="s">
        <v>37</v>
      </c>
      <c r="E32" s="38">
        <v>300</v>
      </c>
      <c r="F32" s="5">
        <v>25</v>
      </c>
      <c r="G32" s="38">
        <v>450</v>
      </c>
      <c r="H32" s="5">
        <v>23</v>
      </c>
      <c r="I32" s="5">
        <v>2</v>
      </c>
      <c r="J32" s="39">
        <v>900</v>
      </c>
      <c r="K32" s="5"/>
      <c r="L32" s="5"/>
    </row>
    <row r="33" spans="1:12" x14ac:dyDescent="0.25">
      <c r="A33" s="37">
        <v>11</v>
      </c>
      <c r="B33" s="5" t="s">
        <v>16</v>
      </c>
      <c r="C33" s="5" t="s">
        <v>33</v>
      </c>
      <c r="D33" s="5" t="s">
        <v>37</v>
      </c>
      <c r="E33" s="38">
        <v>265</v>
      </c>
      <c r="F33" s="5">
        <v>50</v>
      </c>
      <c r="G33" s="38">
        <v>320</v>
      </c>
      <c r="H33" s="5">
        <v>28</v>
      </c>
      <c r="I33" s="5">
        <v>22</v>
      </c>
      <c r="J33" s="39">
        <v>7040</v>
      </c>
      <c r="K33" s="5"/>
      <c r="L33" s="5"/>
    </row>
    <row r="34" spans="1:12" x14ac:dyDescent="0.25">
      <c r="A34" s="40">
        <v>14</v>
      </c>
      <c r="B34" s="41" t="s">
        <v>14</v>
      </c>
      <c r="C34" s="41" t="s">
        <v>20</v>
      </c>
      <c r="D34" s="41" t="s">
        <v>37</v>
      </c>
      <c r="E34" s="42">
        <v>220</v>
      </c>
      <c r="F34" s="41">
        <v>100</v>
      </c>
      <c r="G34" s="42">
        <v>300</v>
      </c>
      <c r="H34" s="41">
        <v>56</v>
      </c>
      <c r="I34" s="41">
        <v>44</v>
      </c>
      <c r="J34" s="43">
        <v>13200</v>
      </c>
    </row>
    <row r="37" spans="1:12" ht="108.75" x14ac:dyDescent="0.25">
      <c r="A37" s="10" t="s">
        <v>3</v>
      </c>
      <c r="B37" s="10" t="s">
        <v>4</v>
      </c>
      <c r="C37" s="11" t="s">
        <v>5</v>
      </c>
      <c r="D37" s="11" t="s">
        <v>6</v>
      </c>
      <c r="E37" s="11" t="s">
        <v>7</v>
      </c>
      <c r="F37" s="11" t="s">
        <v>8</v>
      </c>
      <c r="G37" s="11" t="s">
        <v>9</v>
      </c>
      <c r="H37" s="11" t="s">
        <v>10</v>
      </c>
      <c r="I37" s="11" t="s">
        <v>2</v>
      </c>
      <c r="J37" s="11" t="s">
        <v>11</v>
      </c>
    </row>
    <row r="38" spans="1:12" x14ac:dyDescent="0.25">
      <c r="A38" s="53">
        <v>3</v>
      </c>
      <c r="B38" s="35" t="s">
        <v>12</v>
      </c>
      <c r="C38" s="35" t="s">
        <v>21</v>
      </c>
      <c r="D38" s="35" t="s">
        <v>37</v>
      </c>
      <c r="E38" s="36">
        <v>30</v>
      </c>
      <c r="F38" s="35">
        <v>50</v>
      </c>
      <c r="G38" s="36">
        <v>37</v>
      </c>
      <c r="H38" s="35">
        <v>45</v>
      </c>
      <c r="I38" s="35">
        <v>5</v>
      </c>
      <c r="J38" s="51">
        <v>185</v>
      </c>
    </row>
    <row r="39" spans="1:12" x14ac:dyDescent="0.25">
      <c r="A39" s="53">
        <v>5</v>
      </c>
      <c r="B39" s="35" t="s">
        <v>15</v>
      </c>
      <c r="C39" s="35" t="s">
        <v>24</v>
      </c>
      <c r="D39" s="35" t="s">
        <v>37</v>
      </c>
      <c r="E39" s="36">
        <v>80</v>
      </c>
      <c r="F39" s="35">
        <v>5</v>
      </c>
      <c r="G39" s="36">
        <v>90</v>
      </c>
      <c r="H39" s="35">
        <v>3</v>
      </c>
      <c r="I39" s="35">
        <v>2</v>
      </c>
      <c r="J39" s="51">
        <v>180</v>
      </c>
    </row>
    <row r="40" spans="1:12" x14ac:dyDescent="0.25">
      <c r="A40" s="53">
        <v>6</v>
      </c>
      <c r="B40" s="35" t="s">
        <v>15</v>
      </c>
      <c r="C40" s="35" t="s">
        <v>26</v>
      </c>
      <c r="D40" s="35" t="s">
        <v>37</v>
      </c>
      <c r="E40" s="36">
        <v>104</v>
      </c>
      <c r="F40" s="35">
        <v>20</v>
      </c>
      <c r="G40" s="36">
        <v>149</v>
      </c>
      <c r="H40" s="35">
        <v>15</v>
      </c>
      <c r="I40" s="35">
        <v>5</v>
      </c>
      <c r="J40" s="51">
        <v>745</v>
      </c>
    </row>
    <row r="41" spans="1:12" x14ac:dyDescent="0.25">
      <c r="A41" s="53">
        <v>7</v>
      </c>
      <c r="B41" s="35" t="s">
        <v>15</v>
      </c>
      <c r="C41" s="35" t="s">
        <v>28</v>
      </c>
      <c r="D41" s="35" t="s">
        <v>37</v>
      </c>
      <c r="E41" s="36">
        <v>197.8</v>
      </c>
      <c r="F41" s="35">
        <v>10</v>
      </c>
      <c r="G41" s="36">
        <v>256</v>
      </c>
      <c r="H41" s="35">
        <v>8</v>
      </c>
      <c r="I41" s="35">
        <v>2</v>
      </c>
      <c r="J41" s="51">
        <v>512</v>
      </c>
    </row>
    <row r="42" spans="1:12" x14ac:dyDescent="0.25">
      <c r="A42" s="53">
        <v>8</v>
      </c>
      <c r="B42" s="35" t="s">
        <v>16</v>
      </c>
      <c r="C42" s="35" t="s">
        <v>30</v>
      </c>
      <c r="D42" s="35" t="s">
        <v>37</v>
      </c>
      <c r="E42" s="36">
        <v>350</v>
      </c>
      <c r="F42" s="35">
        <v>30</v>
      </c>
      <c r="G42" s="36">
        <v>460</v>
      </c>
      <c r="H42" s="35">
        <v>29</v>
      </c>
      <c r="I42" s="35">
        <v>1</v>
      </c>
      <c r="J42" s="51">
        <v>460</v>
      </c>
    </row>
    <row r="43" spans="1:12" x14ac:dyDescent="0.25">
      <c r="A43" s="53">
        <v>9</v>
      </c>
      <c r="B43" s="35" t="s">
        <v>16</v>
      </c>
      <c r="C43" s="35" t="s">
        <v>32</v>
      </c>
      <c r="D43" s="35" t="s">
        <v>37</v>
      </c>
      <c r="E43" s="36">
        <v>300</v>
      </c>
      <c r="F43" s="35">
        <v>25</v>
      </c>
      <c r="G43" s="36">
        <v>450</v>
      </c>
      <c r="H43" s="35">
        <v>23</v>
      </c>
      <c r="I43" s="35">
        <v>2</v>
      </c>
      <c r="J43" s="51">
        <v>900</v>
      </c>
    </row>
    <row r="44" spans="1:12" x14ac:dyDescent="0.25">
      <c r="A44" s="59">
        <v>10</v>
      </c>
      <c r="B44" s="60" t="s">
        <v>16</v>
      </c>
      <c r="C44" s="60" t="s">
        <v>27</v>
      </c>
      <c r="D44" s="60" t="s">
        <v>37</v>
      </c>
      <c r="E44" s="61">
        <v>190</v>
      </c>
      <c r="F44" s="60">
        <v>34</v>
      </c>
      <c r="G44" s="61">
        <v>267</v>
      </c>
      <c r="H44" s="60">
        <v>30</v>
      </c>
      <c r="I44" s="60">
        <v>4</v>
      </c>
      <c r="J44" s="62">
        <v>1068</v>
      </c>
    </row>
    <row r="45" spans="1:12" x14ac:dyDescent="0.25">
      <c r="A45" s="59">
        <v>11</v>
      </c>
      <c r="B45" s="60" t="s">
        <v>16</v>
      </c>
      <c r="C45" s="60" t="s">
        <v>33</v>
      </c>
      <c r="D45" s="60" t="s">
        <v>37</v>
      </c>
      <c r="E45" s="61">
        <v>265</v>
      </c>
      <c r="F45" s="60">
        <v>50</v>
      </c>
      <c r="G45" s="61">
        <v>320</v>
      </c>
      <c r="H45" s="60">
        <v>28</v>
      </c>
      <c r="I45" s="60">
        <v>22</v>
      </c>
      <c r="J45" s="62">
        <v>7040</v>
      </c>
    </row>
    <row r="46" spans="1:12" x14ac:dyDescent="0.25">
      <c r="A46" s="54">
        <v>12</v>
      </c>
      <c r="B46" s="55" t="s">
        <v>14</v>
      </c>
      <c r="C46" s="55" t="s">
        <v>25</v>
      </c>
      <c r="D46" s="55" t="s">
        <v>37</v>
      </c>
      <c r="E46" s="56">
        <v>210</v>
      </c>
      <c r="F46" s="55">
        <v>23</v>
      </c>
      <c r="G46" s="56">
        <v>281</v>
      </c>
      <c r="H46" s="55">
        <v>23</v>
      </c>
      <c r="I46" s="55">
        <v>0</v>
      </c>
      <c r="J46" s="57">
        <v>0</v>
      </c>
    </row>
  </sheetData>
  <sortState ref="B3:J19">
    <sortCondition ref="B3:B19"/>
    <sortCondition ref="C3:C19"/>
  </sortState>
  <mergeCells count="3">
    <mergeCell ref="I1:J1"/>
    <mergeCell ref="G1:H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32" sqref="D32"/>
    </sheetView>
  </sheetViews>
  <sheetFormatPr defaultRowHeight="15" x14ac:dyDescent="0.25"/>
  <cols>
    <col min="2" max="2" width="14.42578125" bestFit="1" customWidth="1"/>
    <col min="3" max="3" width="3.7109375" bestFit="1" customWidth="1"/>
    <col min="4" max="4" width="11.85546875" customWidth="1"/>
    <col min="5" max="5" width="9.42578125" bestFit="1" customWidth="1"/>
    <col min="6" max="6" width="11.5703125" bestFit="1" customWidth="1"/>
    <col min="7" max="8" width="10.5703125" bestFit="1" customWidth="1"/>
    <col min="9" max="9" width="11.5703125" bestFit="1" customWidth="1"/>
  </cols>
  <sheetData>
    <row r="1" spans="1:10" x14ac:dyDescent="0.25">
      <c r="A1" s="31" t="s">
        <v>44</v>
      </c>
      <c r="B1" s="31"/>
      <c r="C1" s="31"/>
      <c r="D1" s="31"/>
      <c r="E1" s="31"/>
      <c r="F1" s="31"/>
      <c r="G1" s="31"/>
      <c r="H1" s="31"/>
      <c r="I1" s="31"/>
      <c r="J1" s="1"/>
    </row>
    <row r="2" spans="1:10" ht="87.75" customHeight="1" x14ac:dyDescent="0.25">
      <c r="A2" s="12" t="s">
        <v>3</v>
      </c>
      <c r="B2" s="12" t="s">
        <v>45</v>
      </c>
      <c r="C2" s="15" t="s">
        <v>46</v>
      </c>
      <c r="D2" s="16" t="s">
        <v>47</v>
      </c>
      <c r="E2" s="13" t="s">
        <v>48</v>
      </c>
      <c r="F2" s="12" t="s">
        <v>49</v>
      </c>
      <c r="G2" s="13" t="s">
        <v>50</v>
      </c>
      <c r="H2" s="13" t="s">
        <v>51</v>
      </c>
      <c r="I2" s="16" t="s">
        <v>52</v>
      </c>
      <c r="J2" s="1"/>
    </row>
    <row r="3" spans="1:10" x14ac:dyDescent="0.25">
      <c r="A3" s="19">
        <v>1</v>
      </c>
      <c r="B3" s="19" t="s">
        <v>53</v>
      </c>
      <c r="C3" s="17">
        <v>3</v>
      </c>
      <c r="D3" s="18">
        <v>220</v>
      </c>
      <c r="E3" s="17">
        <v>160</v>
      </c>
      <c r="F3" s="18">
        <f>D3*E3</f>
        <v>35200</v>
      </c>
      <c r="G3" s="18">
        <f>F3*0.15</f>
        <v>5280</v>
      </c>
      <c r="H3" s="18">
        <f>(F3+G3)*0.13</f>
        <v>5262.4000000000005</v>
      </c>
      <c r="I3" s="18">
        <f>F3+G3-H3</f>
        <v>35217.599999999999</v>
      </c>
    </row>
    <row r="4" spans="1:10" x14ac:dyDescent="0.25">
      <c r="A4" s="2">
        <v>2</v>
      </c>
      <c r="B4" s="2" t="s">
        <v>54</v>
      </c>
      <c r="C4" s="2">
        <v>4</v>
      </c>
      <c r="D4" s="7">
        <v>230</v>
      </c>
      <c r="E4" s="2">
        <v>152</v>
      </c>
      <c r="F4" s="7">
        <f t="shared" ref="F4:F12" si="0">D4*E4</f>
        <v>34960</v>
      </c>
      <c r="G4" s="7">
        <f t="shared" ref="G4:G12" si="1">F4*0.15</f>
        <v>5244</v>
      </c>
      <c r="H4" s="7">
        <f t="shared" ref="H4:H12" si="2">(F4+G4)*0.13</f>
        <v>5226.5200000000004</v>
      </c>
      <c r="I4" s="7">
        <f t="shared" ref="I4:I12" si="3">F4+G4-H4</f>
        <v>34977.479999999996</v>
      </c>
    </row>
    <row r="5" spans="1:10" x14ac:dyDescent="0.25">
      <c r="A5" s="19">
        <v>3</v>
      </c>
      <c r="B5" s="19" t="s">
        <v>55</v>
      </c>
      <c r="C5" s="17">
        <v>5</v>
      </c>
      <c r="D5" s="18">
        <v>300</v>
      </c>
      <c r="E5" s="17">
        <v>160</v>
      </c>
      <c r="F5" s="18">
        <f t="shared" si="0"/>
        <v>48000</v>
      </c>
      <c r="G5" s="18">
        <f t="shared" si="1"/>
        <v>7200</v>
      </c>
      <c r="H5" s="18">
        <f t="shared" si="2"/>
        <v>7176</v>
      </c>
      <c r="I5" s="18">
        <f t="shared" si="3"/>
        <v>48024</v>
      </c>
    </row>
    <row r="6" spans="1:10" x14ac:dyDescent="0.25">
      <c r="A6" s="2">
        <v>4</v>
      </c>
      <c r="B6" s="2" t="s">
        <v>56</v>
      </c>
      <c r="C6" s="2">
        <v>4</v>
      </c>
      <c r="D6" s="7">
        <v>230</v>
      </c>
      <c r="E6" s="2">
        <v>168</v>
      </c>
      <c r="F6" s="7">
        <f t="shared" si="0"/>
        <v>38640</v>
      </c>
      <c r="G6" s="7">
        <f t="shared" si="1"/>
        <v>5796</v>
      </c>
      <c r="H6" s="7">
        <f t="shared" si="2"/>
        <v>5776.68</v>
      </c>
      <c r="I6" s="7">
        <f t="shared" si="3"/>
        <v>38659.32</v>
      </c>
    </row>
    <row r="7" spans="1:10" x14ac:dyDescent="0.25">
      <c r="A7" s="19">
        <v>5</v>
      </c>
      <c r="B7" s="19" t="s">
        <v>57</v>
      </c>
      <c r="C7" s="17">
        <v>4</v>
      </c>
      <c r="D7" s="18">
        <v>230</v>
      </c>
      <c r="E7" s="17">
        <v>152</v>
      </c>
      <c r="F7" s="18">
        <f t="shared" si="0"/>
        <v>34960</v>
      </c>
      <c r="G7" s="18">
        <f t="shared" si="1"/>
        <v>5244</v>
      </c>
      <c r="H7" s="18">
        <f t="shared" si="2"/>
        <v>5226.5200000000004</v>
      </c>
      <c r="I7" s="18">
        <f t="shared" si="3"/>
        <v>34977.479999999996</v>
      </c>
    </row>
    <row r="8" spans="1:10" x14ac:dyDescent="0.25">
      <c r="A8" s="2">
        <v>6</v>
      </c>
      <c r="B8" s="2" t="s">
        <v>63</v>
      </c>
      <c r="C8" s="2">
        <v>3</v>
      </c>
      <c r="D8" s="7">
        <v>250</v>
      </c>
      <c r="E8" s="2">
        <v>144</v>
      </c>
      <c r="F8" s="7">
        <f t="shared" si="0"/>
        <v>36000</v>
      </c>
      <c r="G8" s="7">
        <f t="shared" si="1"/>
        <v>5400</v>
      </c>
      <c r="H8" s="7">
        <f t="shared" si="2"/>
        <v>5382</v>
      </c>
      <c r="I8" s="7">
        <f t="shared" si="3"/>
        <v>36018</v>
      </c>
    </row>
    <row r="9" spans="1:10" x14ac:dyDescent="0.25">
      <c r="A9" s="19">
        <v>7</v>
      </c>
      <c r="B9" s="19" t="s">
        <v>58</v>
      </c>
      <c r="C9" s="17">
        <v>3</v>
      </c>
      <c r="D9" s="18">
        <v>220</v>
      </c>
      <c r="E9" s="17">
        <v>72</v>
      </c>
      <c r="F9" s="18">
        <f t="shared" si="0"/>
        <v>15840</v>
      </c>
      <c r="G9" s="18">
        <f t="shared" si="1"/>
        <v>2376</v>
      </c>
      <c r="H9" s="18">
        <f t="shared" si="2"/>
        <v>2368.08</v>
      </c>
      <c r="I9" s="18">
        <f t="shared" si="3"/>
        <v>15847.92</v>
      </c>
    </row>
    <row r="10" spans="1:10" x14ac:dyDescent="0.25">
      <c r="A10" s="2">
        <v>8</v>
      </c>
      <c r="B10" s="2" t="s">
        <v>59</v>
      </c>
      <c r="C10" s="2">
        <v>3</v>
      </c>
      <c r="D10" s="7">
        <v>220</v>
      </c>
      <c r="E10" s="2">
        <v>160</v>
      </c>
      <c r="F10" s="7">
        <f t="shared" si="0"/>
        <v>35200</v>
      </c>
      <c r="G10" s="7">
        <f t="shared" si="1"/>
        <v>5280</v>
      </c>
      <c r="H10" s="7">
        <f t="shared" si="2"/>
        <v>5262.4000000000005</v>
      </c>
      <c r="I10" s="7">
        <f t="shared" si="3"/>
        <v>35217.599999999999</v>
      </c>
    </row>
    <row r="11" spans="1:10" x14ac:dyDescent="0.25">
      <c r="A11" s="19">
        <v>9</v>
      </c>
      <c r="B11" s="19" t="s">
        <v>60</v>
      </c>
      <c r="C11" s="17">
        <v>6</v>
      </c>
      <c r="D11" s="18">
        <v>400</v>
      </c>
      <c r="E11" s="17">
        <v>152</v>
      </c>
      <c r="F11" s="18">
        <f t="shared" si="0"/>
        <v>60800</v>
      </c>
      <c r="G11" s="18">
        <f t="shared" si="1"/>
        <v>9120</v>
      </c>
      <c r="H11" s="18">
        <f t="shared" si="2"/>
        <v>9089.6</v>
      </c>
      <c r="I11" s="18">
        <f t="shared" si="3"/>
        <v>60830.400000000001</v>
      </c>
    </row>
    <row r="12" spans="1:10" x14ac:dyDescent="0.25">
      <c r="A12" s="2">
        <v>10</v>
      </c>
      <c r="B12" s="2" t="s">
        <v>61</v>
      </c>
      <c r="C12" s="2">
        <v>5</v>
      </c>
      <c r="D12" s="7">
        <v>300</v>
      </c>
      <c r="E12" s="2">
        <v>168</v>
      </c>
      <c r="F12" s="7">
        <f t="shared" si="0"/>
        <v>50400</v>
      </c>
      <c r="G12" s="7">
        <f t="shared" si="1"/>
        <v>7560</v>
      </c>
      <c r="H12" s="7">
        <f t="shared" si="2"/>
        <v>7534.8</v>
      </c>
      <c r="I12" s="7">
        <f t="shared" si="3"/>
        <v>50425.2</v>
      </c>
    </row>
    <row r="13" spans="1:10" x14ac:dyDescent="0.25">
      <c r="A13" s="32" t="s">
        <v>62</v>
      </c>
      <c r="B13" s="32"/>
      <c r="C13" s="32"/>
      <c r="D13" s="32"/>
      <c r="E13" s="32"/>
      <c r="F13" s="20">
        <f>SUM(F3:F12)</f>
        <v>390000</v>
      </c>
      <c r="G13" s="20">
        <f t="shared" ref="G13:I13" si="4">SUM(G3:G12)</f>
        <v>58500</v>
      </c>
      <c r="H13" s="20">
        <f t="shared" si="4"/>
        <v>58305.000000000007</v>
      </c>
      <c r="I13" s="20">
        <f t="shared" si="4"/>
        <v>390195.00000000006</v>
      </c>
    </row>
  </sheetData>
  <mergeCells count="2">
    <mergeCell ref="A1:I1"/>
    <mergeCell ref="A13:E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6" sqref="G16"/>
    </sheetView>
  </sheetViews>
  <sheetFormatPr defaultRowHeight="15" x14ac:dyDescent="0.25"/>
  <cols>
    <col min="4" max="4" width="14.140625" bestFit="1" customWidth="1"/>
  </cols>
  <sheetData>
    <row r="1" spans="1:4" x14ac:dyDescent="0.25">
      <c r="A1" s="3" t="s">
        <v>65</v>
      </c>
      <c r="B1" s="3">
        <v>10</v>
      </c>
      <c r="C1" s="3" t="s">
        <v>66</v>
      </c>
      <c r="D1" s="3" t="s">
        <v>67</v>
      </c>
    </row>
    <row r="2" spans="1:4" x14ac:dyDescent="0.25">
      <c r="A2" s="2"/>
      <c r="B2" s="2"/>
      <c r="C2" s="2">
        <f>2000-75*Цена</f>
        <v>1250</v>
      </c>
      <c r="D2" s="2">
        <f>740+65*Цена</f>
        <v>1390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I12" sqref="I12"/>
    </sheetView>
  </sheetViews>
  <sheetFormatPr defaultRowHeight="15" x14ac:dyDescent="0.25"/>
  <cols>
    <col min="4" max="4" width="14.140625" bestFit="1" customWidth="1"/>
    <col min="5" max="5" width="15.5703125" customWidth="1"/>
  </cols>
  <sheetData>
    <row r="1" spans="2:5" x14ac:dyDescent="0.25">
      <c r="B1" s="22" t="s">
        <v>68</v>
      </c>
      <c r="C1" s="22" t="s">
        <v>66</v>
      </c>
      <c r="D1" s="22" t="s">
        <v>67</v>
      </c>
      <c r="E1" s="22" t="s">
        <v>70</v>
      </c>
    </row>
    <row r="2" spans="2:5" x14ac:dyDescent="0.25">
      <c r="B2" s="25">
        <v>0</v>
      </c>
      <c r="C2" s="27">
        <f>2000-75*B2</f>
        <v>2000</v>
      </c>
      <c r="D2" s="27">
        <f>740+65*B2</f>
        <v>740</v>
      </c>
      <c r="E2" s="25"/>
    </row>
    <row r="3" spans="2:5" x14ac:dyDescent="0.25">
      <c r="B3" s="23">
        <v>1</v>
      </c>
      <c r="C3" s="28">
        <f t="dataTable" ref="C3:D14" dt2D="0" dtr="0" r1="B2"/>
        <v>1925</v>
      </c>
      <c r="D3" s="28">
        <v>805</v>
      </c>
      <c r="E3" s="6" t="str">
        <f>IF(C3=D3,"Равновестные спрос и предложение", " ")</f>
        <v xml:space="preserve"> </v>
      </c>
    </row>
    <row r="4" spans="2:5" x14ac:dyDescent="0.25">
      <c r="B4" s="24">
        <v>2</v>
      </c>
      <c r="C4" s="27">
        <v>1850</v>
      </c>
      <c r="D4" s="27">
        <v>870</v>
      </c>
      <c r="E4" s="26" t="str">
        <f t="shared" ref="E4:E14" si="0">IF(C4=D4,"Равновестные спрос и предложение", " ")</f>
        <v xml:space="preserve"> </v>
      </c>
    </row>
    <row r="5" spans="2:5" x14ac:dyDescent="0.25">
      <c r="B5" s="23">
        <v>3</v>
      </c>
      <c r="C5" s="28">
        <v>1775</v>
      </c>
      <c r="D5" s="28">
        <v>935</v>
      </c>
      <c r="E5" s="6" t="str">
        <f t="shared" si="0"/>
        <v xml:space="preserve"> </v>
      </c>
    </row>
    <row r="6" spans="2:5" x14ac:dyDescent="0.25">
      <c r="B6" s="24">
        <v>4</v>
      </c>
      <c r="C6" s="27">
        <v>1700</v>
      </c>
      <c r="D6" s="27">
        <v>1000</v>
      </c>
      <c r="E6" s="26" t="str">
        <f t="shared" si="0"/>
        <v xml:space="preserve"> </v>
      </c>
    </row>
    <row r="7" spans="2:5" x14ac:dyDescent="0.25">
      <c r="B7" s="23">
        <v>5</v>
      </c>
      <c r="C7" s="28">
        <v>1625</v>
      </c>
      <c r="D7" s="28">
        <v>1065</v>
      </c>
      <c r="E7" s="6" t="str">
        <f t="shared" si="0"/>
        <v xml:space="preserve"> </v>
      </c>
    </row>
    <row r="8" spans="2:5" x14ac:dyDescent="0.25">
      <c r="B8" s="24">
        <v>6</v>
      </c>
      <c r="C8" s="27">
        <v>1550</v>
      </c>
      <c r="D8" s="27">
        <v>1130</v>
      </c>
      <c r="E8" s="26" t="str">
        <f t="shared" si="0"/>
        <v xml:space="preserve"> </v>
      </c>
    </row>
    <row r="9" spans="2:5" x14ac:dyDescent="0.25">
      <c r="B9" s="23">
        <v>7</v>
      </c>
      <c r="C9" s="28">
        <v>1475</v>
      </c>
      <c r="D9" s="28">
        <v>1195</v>
      </c>
      <c r="E9" s="6" t="str">
        <f t="shared" si="0"/>
        <v xml:space="preserve"> </v>
      </c>
    </row>
    <row r="10" spans="2:5" x14ac:dyDescent="0.25">
      <c r="B10" s="24">
        <v>8</v>
      </c>
      <c r="C10" s="27">
        <v>1400</v>
      </c>
      <c r="D10" s="27">
        <v>1260</v>
      </c>
      <c r="E10" s="26" t="str">
        <f t="shared" si="0"/>
        <v xml:space="preserve"> </v>
      </c>
    </row>
    <row r="11" spans="2:5" ht="45" x14ac:dyDescent="0.25">
      <c r="B11" s="23">
        <v>9</v>
      </c>
      <c r="C11" s="28">
        <v>1325</v>
      </c>
      <c r="D11" s="28">
        <v>1325</v>
      </c>
      <c r="E11" s="6" t="str">
        <f t="shared" si="0"/>
        <v>Равновестные спрос и предложение</v>
      </c>
    </row>
    <row r="12" spans="2:5" x14ac:dyDescent="0.25">
      <c r="B12" s="24">
        <v>10</v>
      </c>
      <c r="C12" s="27">
        <v>1250</v>
      </c>
      <c r="D12" s="27">
        <v>1390</v>
      </c>
      <c r="E12" s="26" t="str">
        <f t="shared" si="0"/>
        <v xml:space="preserve"> </v>
      </c>
    </row>
    <row r="13" spans="2:5" x14ac:dyDescent="0.25">
      <c r="B13" s="23">
        <v>11</v>
      </c>
      <c r="C13" s="28">
        <v>1175</v>
      </c>
      <c r="D13" s="28">
        <v>1455</v>
      </c>
      <c r="E13" s="6" t="str">
        <f t="shared" si="0"/>
        <v xml:space="preserve"> </v>
      </c>
    </row>
    <row r="14" spans="2:5" x14ac:dyDescent="0.25">
      <c r="B14" s="24">
        <v>12</v>
      </c>
      <c r="C14" s="27">
        <v>1100</v>
      </c>
      <c r="D14" s="27">
        <v>1520</v>
      </c>
      <c r="E14" s="26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K19" sqref="K19"/>
    </sheetView>
  </sheetViews>
  <sheetFormatPr defaultRowHeight="15" x14ac:dyDescent="0.25"/>
  <cols>
    <col min="1" max="1" width="22.28515625" bestFit="1" customWidth="1"/>
  </cols>
  <sheetData>
    <row r="1" spans="1:8" x14ac:dyDescent="0.25">
      <c r="A1" s="14" t="s">
        <v>69</v>
      </c>
    </row>
    <row r="2" spans="1:8" x14ac:dyDescent="0.25">
      <c r="A2" t="s">
        <v>71</v>
      </c>
      <c r="B2" s="29">
        <v>10</v>
      </c>
    </row>
    <row r="3" spans="1:8" x14ac:dyDescent="0.25">
      <c r="A3" t="s">
        <v>72</v>
      </c>
      <c r="B3" s="4">
        <v>6</v>
      </c>
    </row>
    <row r="4" spans="1:8" x14ac:dyDescent="0.25">
      <c r="A4" t="s">
        <v>73</v>
      </c>
      <c r="B4">
        <v>5</v>
      </c>
    </row>
    <row r="5" spans="1:8" x14ac:dyDescent="0.25">
      <c r="A5" t="s">
        <v>74</v>
      </c>
      <c r="B5" s="4">
        <v>26</v>
      </c>
    </row>
    <row r="6" spans="1:8" x14ac:dyDescent="0.25">
      <c r="A6" s="14" t="s">
        <v>75</v>
      </c>
    </row>
    <row r="7" spans="1:8" x14ac:dyDescent="0.25">
      <c r="A7" t="s">
        <v>76</v>
      </c>
      <c r="B7" s="4">
        <f>Стоимость_материала*Количество_материала+Количество_часов*Оплата_одного_часа</f>
        <v>190</v>
      </c>
    </row>
    <row r="8" spans="1:8" x14ac:dyDescent="0.25">
      <c r="A8" t="s">
        <v>9</v>
      </c>
      <c r="B8" s="4">
        <v>220</v>
      </c>
    </row>
    <row r="9" spans="1:8" x14ac:dyDescent="0.25">
      <c r="A9" t="s">
        <v>77</v>
      </c>
      <c r="B9" s="7">
        <f>Отпускная_цена-Себестоимость</f>
        <v>30</v>
      </c>
      <c r="C9" s="65">
        <v>6</v>
      </c>
      <c r="D9" s="68">
        <v>7</v>
      </c>
      <c r="E9" s="65">
        <v>8</v>
      </c>
      <c r="F9" s="68">
        <v>9</v>
      </c>
      <c r="G9" s="65">
        <v>10</v>
      </c>
      <c r="H9" s="71">
        <v>11</v>
      </c>
    </row>
    <row r="10" spans="1:8" x14ac:dyDescent="0.25">
      <c r="B10" s="66">
        <v>25</v>
      </c>
      <c r="C10" s="63">
        <f t="dataTable" ref="C10:H20" dt2D="1" dtr="1" r1="B3" r2="B5"/>
        <v>35</v>
      </c>
      <c r="D10" s="69">
        <v>25</v>
      </c>
      <c r="E10" s="63">
        <v>15</v>
      </c>
      <c r="F10" s="69">
        <v>5</v>
      </c>
      <c r="G10" s="63">
        <v>-5</v>
      </c>
      <c r="H10" s="72">
        <v>-15</v>
      </c>
    </row>
    <row r="11" spans="1:8" x14ac:dyDescent="0.25">
      <c r="B11" s="74">
        <v>26</v>
      </c>
      <c r="C11" s="75">
        <v>30</v>
      </c>
      <c r="D11" s="75">
        <v>20</v>
      </c>
      <c r="E11" s="75">
        <v>10</v>
      </c>
      <c r="F11" s="75">
        <v>0</v>
      </c>
      <c r="G11" s="75">
        <v>-10</v>
      </c>
      <c r="H11" s="76">
        <v>-20</v>
      </c>
    </row>
    <row r="12" spans="1:8" x14ac:dyDescent="0.25">
      <c r="B12" s="66">
        <v>27</v>
      </c>
      <c r="C12" s="63">
        <v>25</v>
      </c>
      <c r="D12" s="69">
        <v>15</v>
      </c>
      <c r="E12" s="63">
        <v>5</v>
      </c>
      <c r="F12" s="69">
        <v>-5</v>
      </c>
      <c r="G12" s="63">
        <v>-15</v>
      </c>
      <c r="H12" s="72">
        <v>-25</v>
      </c>
    </row>
    <row r="13" spans="1:8" x14ac:dyDescent="0.25">
      <c r="B13" s="74">
        <v>28</v>
      </c>
      <c r="C13" s="75">
        <v>20</v>
      </c>
      <c r="D13" s="75">
        <v>10</v>
      </c>
      <c r="E13" s="75">
        <v>0</v>
      </c>
      <c r="F13" s="75">
        <v>-10</v>
      </c>
      <c r="G13" s="75">
        <v>-20</v>
      </c>
      <c r="H13" s="76">
        <v>-30</v>
      </c>
    </row>
    <row r="14" spans="1:8" x14ac:dyDescent="0.25">
      <c r="B14" s="66">
        <v>29</v>
      </c>
      <c r="C14" s="63">
        <v>15</v>
      </c>
      <c r="D14" s="69">
        <v>5</v>
      </c>
      <c r="E14" s="63">
        <v>-5</v>
      </c>
      <c r="F14" s="69">
        <v>-15</v>
      </c>
      <c r="G14" s="63">
        <v>-25</v>
      </c>
      <c r="H14" s="72">
        <v>-35</v>
      </c>
    </row>
    <row r="15" spans="1:8" x14ac:dyDescent="0.25">
      <c r="B15" s="74">
        <v>30</v>
      </c>
      <c r="C15" s="75">
        <v>10</v>
      </c>
      <c r="D15" s="75">
        <v>0</v>
      </c>
      <c r="E15" s="75">
        <v>-10</v>
      </c>
      <c r="F15" s="75">
        <v>-20</v>
      </c>
      <c r="G15" s="75">
        <v>-30</v>
      </c>
      <c r="H15" s="76">
        <v>-40</v>
      </c>
    </row>
    <row r="16" spans="1:8" x14ac:dyDescent="0.25">
      <c r="B16" s="66">
        <v>31</v>
      </c>
      <c r="C16" s="63">
        <v>5</v>
      </c>
      <c r="D16" s="69">
        <v>-5</v>
      </c>
      <c r="E16" s="63">
        <v>-15</v>
      </c>
      <c r="F16" s="69">
        <v>-25</v>
      </c>
      <c r="G16" s="63">
        <v>-35</v>
      </c>
      <c r="H16" s="72">
        <v>-45</v>
      </c>
    </row>
    <row r="17" spans="2:8" x14ac:dyDescent="0.25">
      <c r="B17" s="74">
        <v>32</v>
      </c>
      <c r="C17" s="75">
        <v>0</v>
      </c>
      <c r="D17" s="75">
        <v>-10</v>
      </c>
      <c r="E17" s="75">
        <v>-20</v>
      </c>
      <c r="F17" s="75">
        <v>-30</v>
      </c>
      <c r="G17" s="75">
        <v>-40</v>
      </c>
      <c r="H17" s="76">
        <v>-50</v>
      </c>
    </row>
    <row r="18" spans="2:8" x14ac:dyDescent="0.25">
      <c r="B18" s="66">
        <v>33</v>
      </c>
      <c r="C18" s="63">
        <v>-5</v>
      </c>
      <c r="D18" s="69">
        <v>-15</v>
      </c>
      <c r="E18" s="63">
        <v>-25</v>
      </c>
      <c r="F18" s="69">
        <v>-35</v>
      </c>
      <c r="G18" s="63">
        <v>-45</v>
      </c>
      <c r="H18" s="72">
        <v>-55</v>
      </c>
    </row>
    <row r="19" spans="2:8" x14ac:dyDescent="0.25">
      <c r="B19" s="74">
        <v>34</v>
      </c>
      <c r="C19" s="75">
        <v>-10</v>
      </c>
      <c r="D19" s="75">
        <v>-20</v>
      </c>
      <c r="E19" s="75">
        <v>-30</v>
      </c>
      <c r="F19" s="75">
        <v>-40</v>
      </c>
      <c r="G19" s="75">
        <v>-50</v>
      </c>
      <c r="H19" s="76">
        <v>-60</v>
      </c>
    </row>
    <row r="20" spans="2:8" x14ac:dyDescent="0.25">
      <c r="B20" s="67">
        <v>35</v>
      </c>
      <c r="C20" s="64">
        <v>-15</v>
      </c>
      <c r="D20" s="70">
        <v>-25</v>
      </c>
      <c r="E20" s="64">
        <v>-35</v>
      </c>
      <c r="F20" s="70">
        <v>-45</v>
      </c>
      <c r="G20" s="64">
        <v>-55</v>
      </c>
      <c r="H20" s="73">
        <v>-65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4" sqref="D24"/>
    </sheetView>
  </sheetViews>
  <sheetFormatPr defaultRowHeight="15" x14ac:dyDescent="0.25"/>
  <cols>
    <col min="1" max="1" width="29" customWidth="1"/>
    <col min="2" max="3" width="13.140625" bestFit="1" customWidth="1"/>
    <col min="4" max="4" width="11.5703125" bestFit="1" customWidth="1"/>
    <col min="5" max="5" width="18.140625" bestFit="1" customWidth="1"/>
  </cols>
  <sheetData>
    <row r="1" spans="1:6" x14ac:dyDescent="0.25">
      <c r="A1" s="77" t="s">
        <v>78</v>
      </c>
    </row>
    <row r="2" spans="1:6" x14ac:dyDescent="0.25">
      <c r="A2" t="s">
        <v>79</v>
      </c>
    </row>
    <row r="4" spans="1:6" x14ac:dyDescent="0.25">
      <c r="A4" s="94" t="s">
        <v>80</v>
      </c>
      <c r="B4" s="95" t="s">
        <v>81</v>
      </c>
      <c r="C4" s="95" t="s">
        <v>82</v>
      </c>
      <c r="D4" s="95" t="s">
        <v>77</v>
      </c>
      <c r="E4" s="95" t="s">
        <v>83</v>
      </c>
      <c r="F4" s="96" t="s">
        <v>84</v>
      </c>
    </row>
    <row r="5" spans="1:6" x14ac:dyDescent="0.25">
      <c r="A5" s="98" t="s">
        <v>85</v>
      </c>
      <c r="B5" s="38">
        <v>98105</v>
      </c>
      <c r="C5" s="38">
        <v>72033</v>
      </c>
      <c r="D5" s="38">
        <f>Хлебобулочные_продажи-Хлебобулочные_расходы</f>
        <v>26072</v>
      </c>
      <c r="E5" s="92">
        <f>D5/Хлебобулочные_продажи</f>
        <v>0.26575607767188214</v>
      </c>
      <c r="F5" s="93">
        <f>D5/D16</f>
        <v>4.2506293122562641E-2</v>
      </c>
    </row>
    <row r="6" spans="1:6" x14ac:dyDescent="0.25">
      <c r="A6" s="97" t="s">
        <v>86</v>
      </c>
      <c r="B6" s="99">
        <v>35082</v>
      </c>
      <c r="C6" s="99">
        <v>18032</v>
      </c>
      <c r="D6" s="99">
        <f>Плоды_продажи-Плоды_расходы</f>
        <v>17050</v>
      </c>
      <c r="E6" s="100">
        <f>D6/Плоды_продажи</f>
        <v>0.48600421868764609</v>
      </c>
      <c r="F6" s="101">
        <f>D6/D16</f>
        <v>2.7797341889371472E-2</v>
      </c>
    </row>
    <row r="7" spans="1:6" x14ac:dyDescent="0.25">
      <c r="A7" s="98" t="s">
        <v>87</v>
      </c>
      <c r="B7" s="38">
        <v>369963</v>
      </c>
      <c r="C7" s="38">
        <v>250238</v>
      </c>
      <c r="D7" s="38">
        <f>Молочные_продажи-Молочные_расходы</f>
        <v>119725</v>
      </c>
      <c r="E7" s="92">
        <f>D7/Молочные_продажи</f>
        <v>0.32361344242532364</v>
      </c>
      <c r="F7" s="93">
        <f>D7/$D$16</f>
        <v>0.1951927717129032</v>
      </c>
    </row>
    <row r="8" spans="1:6" x14ac:dyDescent="0.25">
      <c r="A8" s="97" t="s">
        <v>88</v>
      </c>
      <c r="B8" s="99">
        <v>244893</v>
      </c>
      <c r="C8" s="99">
        <v>210238</v>
      </c>
      <c r="D8" s="99">
        <f>Кондитерские_продажи-Кондитерские_расходы</f>
        <v>34655</v>
      </c>
      <c r="E8" s="100">
        <f>D8/Кондитерские_продажи</f>
        <v>0.14151078226000743</v>
      </c>
      <c r="F8" s="101">
        <f t="shared" ref="F8:F15" si="0">D8/$D$16</f>
        <v>5.6499523939951217E-2</v>
      </c>
    </row>
    <row r="9" spans="1:6" x14ac:dyDescent="0.25">
      <c r="A9" s="98" t="s">
        <v>89</v>
      </c>
      <c r="B9" s="38">
        <v>405829</v>
      </c>
      <c r="C9" s="38">
        <v>301253</v>
      </c>
      <c r="D9" s="38">
        <f>Мясные_продажи-Мясные_расходы</f>
        <v>104576</v>
      </c>
      <c r="E9" s="92">
        <f>D9/Мясные_продажи</f>
        <v>0.25768488698441955</v>
      </c>
      <c r="F9" s="93">
        <f t="shared" si="0"/>
        <v>0.17049471116849918</v>
      </c>
    </row>
    <row r="10" spans="1:6" x14ac:dyDescent="0.25">
      <c r="A10" s="97" t="s">
        <v>90</v>
      </c>
      <c r="B10" s="99">
        <v>381737</v>
      </c>
      <c r="C10" s="99">
        <v>240839</v>
      </c>
      <c r="D10" s="99">
        <f>Рыбные_продажи-Рыбные_расходы</f>
        <v>140898</v>
      </c>
      <c r="E10" s="100">
        <f>D10/Рыбные_продажи</f>
        <v>0.36909704849150071</v>
      </c>
      <c r="F10" s="101">
        <f t="shared" si="0"/>
        <v>0.22971201627734084</v>
      </c>
    </row>
    <row r="11" spans="1:6" x14ac:dyDescent="0.25">
      <c r="A11" s="98" t="s">
        <v>91</v>
      </c>
      <c r="B11" s="38">
        <v>58365</v>
      </c>
      <c r="C11" s="38">
        <v>27983</v>
      </c>
      <c r="D11" s="38">
        <f>Яичные_продажи-Яичные_расходы</f>
        <v>30382</v>
      </c>
      <c r="E11" s="92">
        <f>D11/Яичные_продажи</f>
        <v>0.52055170050543986</v>
      </c>
      <c r="F11" s="93">
        <f t="shared" si="0"/>
        <v>4.9533069869963871E-2</v>
      </c>
    </row>
    <row r="12" spans="1:6" x14ac:dyDescent="0.25">
      <c r="A12" s="97" t="s">
        <v>92</v>
      </c>
      <c r="B12" s="99">
        <v>20763</v>
      </c>
      <c r="C12" s="99">
        <v>10587</v>
      </c>
      <c r="D12" s="99">
        <f>Пищевые_продажи-Пищевые_расходы</f>
        <v>10176</v>
      </c>
      <c r="E12" s="100">
        <f>D12/Пищевые_продажи</f>
        <v>0.49010258633145498</v>
      </c>
      <c r="F12" s="101">
        <f t="shared" si="0"/>
        <v>1.6590366631451265E-2</v>
      </c>
    </row>
    <row r="13" spans="1:6" x14ac:dyDescent="0.25">
      <c r="A13" s="98" t="s">
        <v>93</v>
      </c>
      <c r="B13" s="38">
        <v>50225</v>
      </c>
      <c r="C13" s="38">
        <v>37862</v>
      </c>
      <c r="D13" s="38">
        <f>Безалкогольные_продажи-Безалкогольные_расходы</f>
        <v>12363</v>
      </c>
      <c r="E13" s="92">
        <f>D13/Безалкогольные_продажи</f>
        <v>0.24615231458437034</v>
      </c>
      <c r="F13" s="93">
        <f t="shared" si="0"/>
        <v>2.0155925969401731E-2</v>
      </c>
    </row>
    <row r="14" spans="1:6" x14ac:dyDescent="0.25">
      <c r="A14" s="97" t="s">
        <v>94</v>
      </c>
      <c r="B14" s="99">
        <v>357812</v>
      </c>
      <c r="C14" s="99">
        <v>250784</v>
      </c>
      <c r="D14" s="99">
        <f>Вино_водочная_продажи-Вино_водочные_расходы</f>
        <v>107028</v>
      </c>
      <c r="E14" s="100">
        <f>D14/Вино_водочная_продажи</f>
        <v>0.29911797256659922</v>
      </c>
      <c r="F14" s="101">
        <f t="shared" si="0"/>
        <v>0.17449231130414367</v>
      </c>
    </row>
    <row r="15" spans="1:6" x14ac:dyDescent="0.25">
      <c r="A15" s="98" t="s">
        <v>95</v>
      </c>
      <c r="B15" s="38">
        <v>50726</v>
      </c>
      <c r="C15" s="38">
        <v>40283</v>
      </c>
      <c r="D15" s="38">
        <f>Табачные_продажи-Табачные_расходы</f>
        <v>10443</v>
      </c>
      <c r="E15" s="92">
        <f>D15/Табачные_продажи</f>
        <v>0.20587075661396523</v>
      </c>
      <c r="F15" s="93">
        <f t="shared" si="0"/>
        <v>1.7025668114410926E-2</v>
      </c>
    </row>
    <row r="16" spans="1:6" x14ac:dyDescent="0.25">
      <c r="A16" s="105"/>
      <c r="B16" s="102">
        <f>SUM(B5:B15)</f>
        <v>2073500</v>
      </c>
      <c r="C16" s="102">
        <f>SUM(C5:C15)</f>
        <v>1460132</v>
      </c>
      <c r="D16" s="102">
        <f>SUM(D5:D15)</f>
        <v>613368</v>
      </c>
      <c r="E16" s="103">
        <f>D16/B16</f>
        <v>0.29581287677839402</v>
      </c>
      <c r="F16" s="104">
        <f>SUM(F5:F15)</f>
        <v>1</v>
      </c>
    </row>
  </sheetData>
  <scenarios current="0" show="1" sqref="E5 F5 D16">
    <scenario name="Стартовый сценарий" locked="1" count="11" user="Kurone" comment="Автор: Kurone , 17.11.2019">
      <inputCells r="B5" val="98105" numFmtId="164"/>
      <inputCells r="B6" val="35082" numFmtId="164"/>
      <inputCells r="B7" val="369963" numFmtId="164"/>
      <inputCells r="B8" val="244893" numFmtId="164"/>
      <inputCells r="B9" val="405829" numFmtId="164"/>
      <inputCells r="B10" val="381737" numFmtId="164"/>
      <inputCells r="B11" val="58365" numFmtId="164"/>
      <inputCells r="B12" val="20763" numFmtId="164"/>
      <inputCells r="B13" val="50225" numFmtId="164"/>
      <inputCells r="B14" val="357812" numFmtId="164"/>
      <inputCells r="B15" val="50726" numFmtId="164"/>
    </scenario>
    <scenario name="Сценарий №1" locked="1" count="11" user="Kurone" comment="Автор: Kurone , 17.11.2019">
      <inputCells r="B5" val="73578,75" numFmtId="164"/>
      <inputCells r="B6" val="26311,5" numFmtId="164"/>
      <inputCells r="B7" val="277472,25" numFmtId="164"/>
      <inputCells r="B8" val="183669,75" numFmtId="164"/>
      <inputCells r="B9" val="304371,75" numFmtId="164"/>
      <inputCells r="B10" val="286302,75" numFmtId="164"/>
      <inputCells r="B11" val="43773,75" numFmtId="164"/>
      <inputCells r="B12" val="15572,25" numFmtId="164"/>
      <inputCells r="B13" val="37668,75" numFmtId="164"/>
      <inputCells r="B14" val="268359" numFmtId="164"/>
      <inputCells r="B15" val="38044,5" numFmtId="164"/>
    </scenario>
  </scenarios>
  <pageMargins left="0.7" right="0.7" top="0.75" bottom="0.75" header="0.3" footer="0.3"/>
  <ignoredErrors>
    <ignoredError sqref="E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3"/>
  <sheetViews>
    <sheetView showGridLines="0" workbookViewId="0"/>
  </sheetViews>
  <sheetFormatPr defaultRowHeight="15" outlineLevelRow="1" outlineLevelCol="1" x14ac:dyDescent="0.25"/>
  <cols>
    <col min="3" max="3" width="26.28515625" bestFit="1" customWidth="1"/>
    <col min="4" max="6" width="18" bestFit="1" customWidth="1" outlineLevel="1"/>
  </cols>
  <sheetData>
    <row r="1" spans="2:6" ht="15.75" thickBot="1" x14ac:dyDescent="0.3"/>
    <row r="2" spans="2:6" ht="15.75" x14ac:dyDescent="0.25">
      <c r="B2" s="83" t="s">
        <v>113</v>
      </c>
      <c r="C2" s="83"/>
      <c r="D2" s="88"/>
      <c r="E2" s="88"/>
      <c r="F2" s="88"/>
    </row>
    <row r="3" spans="2:6" ht="15.75" collapsed="1" x14ac:dyDescent="0.25">
      <c r="B3" s="82"/>
      <c r="C3" s="82"/>
      <c r="D3" s="89" t="s">
        <v>115</v>
      </c>
      <c r="E3" s="89" t="s">
        <v>110</v>
      </c>
      <c r="F3" s="89" t="s">
        <v>112</v>
      </c>
    </row>
    <row r="4" spans="2:6" ht="22.5" hidden="1" outlineLevel="1" x14ac:dyDescent="0.25">
      <c r="B4" s="85"/>
      <c r="C4" s="85"/>
      <c r="D4" s="78"/>
      <c r="E4" s="91" t="s">
        <v>111</v>
      </c>
      <c r="F4" s="91" t="s">
        <v>111</v>
      </c>
    </row>
    <row r="5" spans="2:6" x14ac:dyDescent="0.25">
      <c r="B5" s="86" t="s">
        <v>114</v>
      </c>
      <c r="C5" s="86"/>
      <c r="D5" s="84"/>
      <c r="E5" s="84"/>
      <c r="F5" s="84"/>
    </row>
    <row r="6" spans="2:6" outlineLevel="1" x14ac:dyDescent="0.25">
      <c r="B6" s="85"/>
      <c r="C6" s="85" t="s">
        <v>96</v>
      </c>
      <c r="D6" s="79">
        <v>98105</v>
      </c>
      <c r="E6" s="90">
        <v>98105</v>
      </c>
      <c r="F6" s="90">
        <v>73578.75</v>
      </c>
    </row>
    <row r="7" spans="2:6" outlineLevel="1" x14ac:dyDescent="0.25">
      <c r="B7" s="85"/>
      <c r="C7" s="85" t="s">
        <v>97</v>
      </c>
      <c r="D7" s="79">
        <v>35082</v>
      </c>
      <c r="E7" s="90">
        <v>35082</v>
      </c>
      <c r="F7" s="90">
        <v>26311.5</v>
      </c>
    </row>
    <row r="8" spans="2:6" outlineLevel="1" x14ac:dyDescent="0.25">
      <c r="B8" s="85"/>
      <c r="C8" s="85" t="s">
        <v>98</v>
      </c>
      <c r="D8" s="79">
        <v>369963</v>
      </c>
      <c r="E8" s="90">
        <v>369963</v>
      </c>
      <c r="F8" s="90">
        <v>277472.25</v>
      </c>
    </row>
    <row r="9" spans="2:6" outlineLevel="1" x14ac:dyDescent="0.25">
      <c r="B9" s="85"/>
      <c r="C9" s="85" t="s">
        <v>99</v>
      </c>
      <c r="D9" s="79">
        <v>244893</v>
      </c>
      <c r="E9" s="90">
        <v>244893</v>
      </c>
      <c r="F9" s="90">
        <v>183669.75</v>
      </c>
    </row>
    <row r="10" spans="2:6" outlineLevel="1" x14ac:dyDescent="0.25">
      <c r="B10" s="85"/>
      <c r="C10" s="85" t="s">
        <v>100</v>
      </c>
      <c r="D10" s="79">
        <v>405829</v>
      </c>
      <c r="E10" s="90">
        <v>405829</v>
      </c>
      <c r="F10" s="90">
        <v>304371.75</v>
      </c>
    </row>
    <row r="11" spans="2:6" outlineLevel="1" x14ac:dyDescent="0.25">
      <c r="B11" s="85"/>
      <c r="C11" s="85" t="s">
        <v>101</v>
      </c>
      <c r="D11" s="79">
        <v>381737</v>
      </c>
      <c r="E11" s="90">
        <v>381737</v>
      </c>
      <c r="F11" s="90">
        <v>286302.75</v>
      </c>
    </row>
    <row r="12" spans="2:6" outlineLevel="1" x14ac:dyDescent="0.25">
      <c r="B12" s="85"/>
      <c r="C12" s="85" t="s">
        <v>102</v>
      </c>
      <c r="D12" s="79">
        <v>58365</v>
      </c>
      <c r="E12" s="90">
        <v>58365</v>
      </c>
      <c r="F12" s="90">
        <v>43773.75</v>
      </c>
    </row>
    <row r="13" spans="2:6" outlineLevel="1" x14ac:dyDescent="0.25">
      <c r="B13" s="85"/>
      <c r="C13" s="85" t="s">
        <v>103</v>
      </c>
      <c r="D13" s="79">
        <v>20763</v>
      </c>
      <c r="E13" s="90">
        <v>20763</v>
      </c>
      <c r="F13" s="90">
        <v>15572.25</v>
      </c>
    </row>
    <row r="14" spans="2:6" outlineLevel="1" x14ac:dyDescent="0.25">
      <c r="B14" s="85"/>
      <c r="C14" s="85" t="s">
        <v>104</v>
      </c>
      <c r="D14" s="79">
        <v>50225</v>
      </c>
      <c r="E14" s="90">
        <v>50225</v>
      </c>
      <c r="F14" s="90">
        <v>37668.75</v>
      </c>
    </row>
    <row r="15" spans="2:6" outlineLevel="1" x14ac:dyDescent="0.25">
      <c r="B15" s="85"/>
      <c r="C15" s="85" t="s">
        <v>105</v>
      </c>
      <c r="D15" s="79">
        <v>357812</v>
      </c>
      <c r="E15" s="90">
        <v>357812</v>
      </c>
      <c r="F15" s="90">
        <v>268359</v>
      </c>
    </row>
    <row r="16" spans="2:6" outlineLevel="1" x14ac:dyDescent="0.25">
      <c r="B16" s="85"/>
      <c r="C16" s="85" t="s">
        <v>106</v>
      </c>
      <c r="D16" s="79">
        <v>50726</v>
      </c>
      <c r="E16" s="90">
        <v>50726</v>
      </c>
      <c r="F16" s="90">
        <v>38044.5</v>
      </c>
    </row>
    <row r="17" spans="2:6" x14ac:dyDescent="0.25">
      <c r="B17" s="86" t="s">
        <v>116</v>
      </c>
      <c r="C17" s="86"/>
      <c r="D17" s="84"/>
      <c r="E17" s="84"/>
      <c r="F17" s="84"/>
    </row>
    <row r="18" spans="2:6" outlineLevel="1" x14ac:dyDescent="0.25">
      <c r="B18" s="85"/>
      <c r="C18" s="85" t="s">
        <v>107</v>
      </c>
      <c r="D18" s="80">
        <v>0.26575607767188197</v>
      </c>
      <c r="E18" s="80">
        <v>0.26575607767188197</v>
      </c>
      <c r="F18" s="80">
        <v>2.1008103562509602E-2</v>
      </c>
    </row>
    <row r="19" spans="2:6" outlineLevel="1" x14ac:dyDescent="0.25">
      <c r="B19" s="85"/>
      <c r="C19" s="85" t="s">
        <v>108</v>
      </c>
      <c r="D19" s="80">
        <v>4.25062931225626E-2</v>
      </c>
      <c r="E19" s="80">
        <v>4.25062931225626E-2</v>
      </c>
      <c r="F19" s="80">
        <v>1.62722516395945E-2</v>
      </c>
    </row>
    <row r="20" spans="2:6" ht="15.75" outlineLevel="1" thickBot="1" x14ac:dyDescent="0.3">
      <c r="B20" s="87"/>
      <c r="C20" s="87" t="s">
        <v>109</v>
      </c>
      <c r="D20" s="81">
        <v>613368</v>
      </c>
      <c r="E20" s="81">
        <v>613368</v>
      </c>
      <c r="F20" s="81">
        <v>94993</v>
      </c>
    </row>
    <row r="21" spans="2:6" x14ac:dyDescent="0.25">
      <c r="B21" t="s">
        <v>117</v>
      </c>
    </row>
    <row r="22" spans="2:6" x14ac:dyDescent="0.25">
      <c r="B22" t="s">
        <v>118</v>
      </c>
    </row>
    <row r="23" spans="2:6" x14ac:dyDescent="0.25">
      <c r="B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36</vt:i4>
      </vt:variant>
    </vt:vector>
  </HeadingPairs>
  <TitlesOfParts>
    <vt:vector size="43" baseType="lpstr">
      <vt:lpstr>4 -Книга учета</vt:lpstr>
      <vt:lpstr>4 -Платежная ведомость</vt:lpstr>
      <vt:lpstr>5 - 1</vt:lpstr>
      <vt:lpstr>5 -2</vt:lpstr>
      <vt:lpstr>5 -3</vt:lpstr>
      <vt:lpstr>5 -4</vt:lpstr>
      <vt:lpstr>Структура сценария</vt:lpstr>
      <vt:lpstr>Безалкогольные_продажи</vt:lpstr>
      <vt:lpstr>Безалкогольные_расходы</vt:lpstr>
      <vt:lpstr>Вино_водочная_продажи</vt:lpstr>
      <vt:lpstr>Вино_водочные_расходы</vt:lpstr>
      <vt:lpstr>'4 -Книга учета'!Извлечь</vt:lpstr>
      <vt:lpstr>Исходные_данные</vt:lpstr>
      <vt:lpstr>Количество_материала</vt:lpstr>
      <vt:lpstr>Количество_часов</vt:lpstr>
      <vt:lpstr>Кондитерские_продажи</vt:lpstr>
      <vt:lpstr>Кондитерские_расходы</vt:lpstr>
      <vt:lpstr>'4 -Книга учета'!Критерии</vt:lpstr>
      <vt:lpstr>Молочные_продажи</vt:lpstr>
      <vt:lpstr>Молочные_расходы</vt:lpstr>
      <vt:lpstr>Мясные_продажи</vt:lpstr>
      <vt:lpstr>Мясные_расходы</vt:lpstr>
      <vt:lpstr>Оплата_одного_часа</vt:lpstr>
      <vt:lpstr>Оплата_часа</vt:lpstr>
      <vt:lpstr>Отпускная_цена</vt:lpstr>
      <vt:lpstr>Пищевые_продажи</vt:lpstr>
      <vt:lpstr>Пищевые_расходы</vt:lpstr>
      <vt:lpstr>Плоды_продажи</vt:lpstr>
      <vt:lpstr>Плоды_расходы</vt:lpstr>
      <vt:lpstr>Предложение</vt:lpstr>
      <vt:lpstr>Прибыль</vt:lpstr>
      <vt:lpstr>Рыбные_продажи</vt:lpstr>
      <vt:lpstr>Рыбные_расходы</vt:lpstr>
      <vt:lpstr>Себестоимость</vt:lpstr>
      <vt:lpstr>Спрос</vt:lpstr>
      <vt:lpstr>Стоимость_материала</vt:lpstr>
      <vt:lpstr>Табачные_продажи</vt:lpstr>
      <vt:lpstr>Табачные_расходы</vt:lpstr>
      <vt:lpstr>Хлебобулочные_продажи</vt:lpstr>
      <vt:lpstr>Хлебобулочные_расходы</vt:lpstr>
      <vt:lpstr>Цена</vt:lpstr>
      <vt:lpstr>Яичные_продажи</vt:lpstr>
      <vt:lpstr>Яичные_расходы</vt:lpstr>
    </vt:vector>
  </TitlesOfParts>
  <Company>НИУ ВШЭ Пермь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LocalUser.512.13</dc:creator>
  <cp:lastModifiedBy>Kurone</cp:lastModifiedBy>
  <dcterms:created xsi:type="dcterms:W3CDTF">2019-11-16T07:45:00Z</dcterms:created>
  <dcterms:modified xsi:type="dcterms:W3CDTF">2019-11-17T10:32:31Z</dcterms:modified>
</cp:coreProperties>
</file>