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980" yWindow="3675" windowWidth="14805" windowHeight="8010" activeTab="3"/>
  </bookViews>
  <sheets>
    <sheet name="5.1." sheetId="1" r:id="rId1"/>
    <sheet name="5.2. " sheetId="2" r:id="rId2"/>
    <sheet name="5.3." sheetId="3" r:id="rId3"/>
    <sheet name="5.4." sheetId="7" r:id="rId4"/>
    <sheet name="Структура сценария" sheetId="8" r:id="rId5"/>
  </sheets>
  <externalReferences>
    <externalReference r:id="rId6"/>
  </externalReferences>
  <definedNames>
    <definedName name="Безалкогольные_продажи" localSheetId="3">'5.4.'!$B$13</definedName>
    <definedName name="Безалкогольные_продажи" localSheetId="4">'5.4.'!$B$13</definedName>
    <definedName name="Безалкогольные_Продажи">#REF!</definedName>
    <definedName name="Безалкогольные_расходы" localSheetId="3">'5.4.'!$C$13</definedName>
    <definedName name="Безалкогольные_расходы" localSheetId="4">'5.4.'!$C$13</definedName>
    <definedName name="Безалкогольные_Расходы">#REF!</definedName>
    <definedName name="Вино_водочная_продажи" localSheetId="3">'5.4.'!$B$14</definedName>
    <definedName name="Вино_водочная_продажи" localSheetId="4">'5.4.'!$B$14</definedName>
    <definedName name="Вино_водочная_продажи">#REF!</definedName>
    <definedName name="Вино_водочные_расходы" localSheetId="3">'5.4.'!$C$14</definedName>
    <definedName name="Вино_водочные_расходы" localSheetId="4">'5.4.'!$C$14</definedName>
    <definedName name="Вино_водочные_расходы">#REF!</definedName>
    <definedName name="Вино_Продажи">#REF!</definedName>
    <definedName name="Вино_Расходы">#REF!</definedName>
    <definedName name="Количество_материала" localSheetId="3">'[1]5 -3'!$B$2</definedName>
    <definedName name="Количество_материала" localSheetId="4">'[1]5 -3'!$B$2</definedName>
    <definedName name="Количество_материала">'5.3.'!$B$2</definedName>
    <definedName name="Количество_часов" localSheetId="3">'[1]5 -3'!$B$4</definedName>
    <definedName name="Количество_часов" localSheetId="4">'[1]5 -3'!$B$4</definedName>
    <definedName name="Количество_часов">'5.3.'!$B$4</definedName>
    <definedName name="Кондитерские_продажи" localSheetId="3">'5.4.'!$B$8</definedName>
    <definedName name="Кондитерские_продажи" localSheetId="4">'5.4.'!$B$8</definedName>
    <definedName name="Кондитерские_Продажи">#REF!</definedName>
    <definedName name="Кондитерские_расходы" localSheetId="3">'5.4.'!$C$8</definedName>
    <definedName name="Кондитерские_расходы" localSheetId="4">'5.4.'!$C$8</definedName>
    <definedName name="Кондитерские_Расходы">#REF!</definedName>
    <definedName name="Молочно_Продажи">#REF!</definedName>
    <definedName name="Молочно_Расходы">#REF!</definedName>
    <definedName name="Молочные_продажи" localSheetId="3">'5.4.'!$B$7</definedName>
    <definedName name="Молочные_продажи" localSheetId="4">'5.4.'!$B$7</definedName>
    <definedName name="Молочные_продажи">#REF!</definedName>
    <definedName name="Молочные_расходы" localSheetId="3">'5.4.'!$C$7</definedName>
    <definedName name="Молочные_расходы" localSheetId="4">'5.4.'!$C$7</definedName>
    <definedName name="Молочные_расходы">#REF!</definedName>
    <definedName name="Мясные_продажи" localSheetId="3">'5.4.'!$B$9</definedName>
    <definedName name="Мясные_продажи" localSheetId="4">'5.4.'!$B$9</definedName>
    <definedName name="Мясные_Продажи">#REF!</definedName>
    <definedName name="Мясные_расходы" localSheetId="3">'5.4.'!$C$9</definedName>
    <definedName name="Мясные_расходы" localSheetId="4">'5.4.'!$C$9</definedName>
    <definedName name="Мясные_Расходы">#REF!</definedName>
    <definedName name="Оплата_одного_часа">'[1]5 -3'!$B$5</definedName>
    <definedName name="Оплата_часа">'5.3.'!$B$5</definedName>
    <definedName name="Отпускная_цена" localSheetId="3">'[1]5 -3'!$B$8</definedName>
    <definedName name="Отпускная_цена" localSheetId="4">'[1]5 -3'!$B$8</definedName>
    <definedName name="Отпускная_цена">'5.3.'!$B$8</definedName>
    <definedName name="Пищевые_продажи" localSheetId="3">'5.4.'!$B$12</definedName>
    <definedName name="Пищевые_продажи" localSheetId="4">'5.4.'!$B$12</definedName>
    <definedName name="Пищевые_Продажи">#REF!</definedName>
    <definedName name="Пищевые_расходы" localSheetId="3">'5.4.'!$C$12</definedName>
    <definedName name="Пищевые_расходы" localSheetId="4">'5.4.'!$C$12</definedName>
    <definedName name="Пищевые_Расходы">#REF!</definedName>
    <definedName name="Плоды_продажи" localSheetId="3">'5.4.'!$B$6</definedName>
    <definedName name="Плоды_продажи" localSheetId="4">'5.4.'!$B$6</definedName>
    <definedName name="Плоды_Продажи">#REF!</definedName>
    <definedName name="Плоды_расходы" localSheetId="3">'5.4.'!$C$6</definedName>
    <definedName name="Плоды_расходы" localSheetId="4">'5.4.'!$C$6</definedName>
    <definedName name="Плоды_Расходы">#REF!</definedName>
    <definedName name="Предложение">'5.1.'!$D$2</definedName>
    <definedName name="Прибыль">'5.3.'!$B$9</definedName>
    <definedName name="Рыба_Продажи">#REF!</definedName>
    <definedName name="Рыба_Расходы">#REF!</definedName>
    <definedName name="Рыбные_продажи" localSheetId="3">'5.4.'!$B$10</definedName>
    <definedName name="Рыбные_продажи" localSheetId="4">'5.4.'!$B$10</definedName>
    <definedName name="Рыбные_продажи">#REF!</definedName>
    <definedName name="Рыбные_расходы" localSheetId="3">'5.4.'!$C$10</definedName>
    <definedName name="Рыбные_расходы" localSheetId="4">'5.4.'!$C$10</definedName>
    <definedName name="Рыбные_расходы">#REF!</definedName>
    <definedName name="Себестоимость" localSheetId="3">'[1]5 -3'!$B$7</definedName>
    <definedName name="Себестоимость" localSheetId="4">'[1]5 -3'!$B$7</definedName>
    <definedName name="Себестоимость">'5.3.'!$B$7</definedName>
    <definedName name="Спрос">'5.1.'!$C$2</definedName>
    <definedName name="Стоимость_материала" localSheetId="3">'[1]5 -3'!$B$3</definedName>
    <definedName name="Стоимость_материала" localSheetId="4">'[1]5 -3'!$B$3</definedName>
    <definedName name="Стоимость_материала">'5.3.'!$B$3</definedName>
    <definedName name="Табачные_продажи" localSheetId="3">'5.4.'!$B$15</definedName>
    <definedName name="Табачные_продажи" localSheetId="4">'5.4.'!$B$15</definedName>
    <definedName name="Табачные_Продажи">#REF!</definedName>
    <definedName name="Табачные_расходы" localSheetId="3">'5.4.'!$C$15</definedName>
    <definedName name="Табачные_расходы" localSheetId="4">'5.4.'!$C$15</definedName>
    <definedName name="Табачные_Расходы">#REF!</definedName>
    <definedName name="Хлебобулочные_продажи" localSheetId="3">'5.4.'!$B$5</definedName>
    <definedName name="Хлебобулочные_продажи" localSheetId="4">'5.4.'!$B$5</definedName>
    <definedName name="Хлебобулочные_Продажи">#REF!</definedName>
    <definedName name="Хлебобулочные_расходы" localSheetId="3">'5.4.'!$C$5</definedName>
    <definedName name="Хлебобулочные_расходы" localSheetId="4">'5.4.'!$C$5</definedName>
    <definedName name="Хлебобулочные_Расходы">#REF!</definedName>
    <definedName name="Цена" localSheetId="3">'[1]5 - 1'!$B$1</definedName>
    <definedName name="Цена" localSheetId="4">'[1]5 - 1'!$B$1</definedName>
    <definedName name="Цена">'5.1.'!$B$1</definedName>
    <definedName name="Яичные_продажи" localSheetId="3">'5.4.'!$B$11</definedName>
    <definedName name="Яичные_продажи" localSheetId="4">'5.4.'!$B$11</definedName>
    <definedName name="Яичные_Продажи">#REF!</definedName>
    <definedName name="Яичные_расходы" localSheetId="3">'5.4.'!$C$11</definedName>
    <definedName name="Яичные_расходы" localSheetId="4">'5.4.'!$C$11</definedName>
    <definedName name="Яичные_Расходы">#REF!</definedName>
  </definedNames>
  <calcPr calcId="145621"/>
</workbook>
</file>

<file path=xl/calcChain.xml><?xml version="1.0" encoding="utf-8"?>
<calcChain xmlns="http://schemas.openxmlformats.org/spreadsheetml/2006/main">
  <c r="D5" i="7" l="1"/>
  <c r="E5" i="7" s="1"/>
  <c r="D6" i="7"/>
  <c r="E6" i="7"/>
  <c r="D7" i="7"/>
  <c r="E7" i="7" s="1"/>
  <c r="D8" i="7"/>
  <c r="E8" i="7" s="1"/>
  <c r="D9" i="7"/>
  <c r="E9" i="7" s="1"/>
  <c r="D10" i="7"/>
  <c r="E10" i="7" s="1"/>
  <c r="D11" i="7"/>
  <c r="E11" i="7" s="1"/>
  <c r="D12" i="7"/>
  <c r="E12" i="7" s="1"/>
  <c r="D13" i="7"/>
  <c r="E13" i="7" s="1"/>
  <c r="D14" i="7"/>
  <c r="E14" i="7" s="1"/>
  <c r="D15" i="7"/>
  <c r="E15" i="7" s="1"/>
  <c r="B16" i="7"/>
  <c r="C16" i="7"/>
  <c r="D16" i="7"/>
  <c r="F5" i="7" s="1"/>
  <c r="E16" i="7" l="1"/>
  <c r="F14" i="7"/>
  <c r="F12" i="7"/>
  <c r="F10" i="7"/>
  <c r="F8" i="7"/>
  <c r="F6" i="7"/>
  <c r="F15" i="7"/>
  <c r="F13" i="7"/>
  <c r="F11" i="7"/>
  <c r="F9" i="7"/>
  <c r="F7" i="7"/>
  <c r="F16" i="7" l="1"/>
  <c r="B7" i="3" l="1"/>
  <c r="B9" i="3" s="1"/>
  <c r="E4" i="2" l="1"/>
  <c r="E5" i="2"/>
  <c r="E6" i="2"/>
  <c r="E7" i="2"/>
  <c r="E8" i="2"/>
  <c r="E9" i="2"/>
  <c r="E10" i="2"/>
  <c r="E11" i="2"/>
  <c r="E12" i="2"/>
  <c r="E13" i="2"/>
  <c r="E14" i="2"/>
  <c r="E3" i="2"/>
  <c r="D2" i="2"/>
  <c r="C2" i="2"/>
  <c r="D2" i="1"/>
  <c r="C2" i="1"/>
</calcChain>
</file>

<file path=xl/sharedStrings.xml><?xml version="1.0" encoding="utf-8"?>
<sst xmlns="http://schemas.openxmlformats.org/spreadsheetml/2006/main" count="59" uniqueCount="55">
  <si>
    <t>Цена=</t>
  </si>
  <si>
    <t>Предложение</t>
  </si>
  <si>
    <t>Спрос</t>
  </si>
  <si>
    <t>Цена</t>
  </si>
  <si>
    <t>Исходные данные</t>
  </si>
  <si>
    <t>Количество материала</t>
  </si>
  <si>
    <t>Стоимость материала</t>
  </si>
  <si>
    <t>Количество часов</t>
  </si>
  <si>
    <t>Оплата одного часа</t>
  </si>
  <si>
    <t>Расчет прибыли</t>
  </si>
  <si>
    <t>Себестоимость</t>
  </si>
  <si>
    <t>Отпускная цена</t>
  </si>
  <si>
    <t>Прибыль</t>
  </si>
  <si>
    <t>Категория</t>
  </si>
  <si>
    <t>Продажи</t>
  </si>
  <si>
    <t>Расходы</t>
  </si>
  <si>
    <t>Рентабельность</t>
  </si>
  <si>
    <t>Доля</t>
  </si>
  <si>
    <t>Хлебобулочные изделия</t>
  </si>
  <si>
    <t>Плоды и овощи</t>
  </si>
  <si>
    <t>Молочно-масляная продукция</t>
  </si>
  <si>
    <t>Кондитерские изделия</t>
  </si>
  <si>
    <t>Мясные и колбасные изделия</t>
  </si>
  <si>
    <t>Рыба и рыбные изделия</t>
  </si>
  <si>
    <t>Яичные изделия</t>
  </si>
  <si>
    <t>Пищевые жиры</t>
  </si>
  <si>
    <t>Безалкогольные напитки</t>
  </si>
  <si>
    <t>Вино-водочная продукция</t>
  </si>
  <si>
    <t>Табачные изделия</t>
  </si>
  <si>
    <t>Продажи расходы, прибыль, рентабельность и доля по категориям продуктов</t>
  </si>
  <si>
    <t>Сводка</t>
  </si>
  <si>
    <t>сценария выделены серым цветом.</t>
  </si>
  <si>
    <t>момент создания Итогового отчета по Сценарию. Изменяемые ячейки для каждого</t>
  </si>
  <si>
    <t xml:space="preserve">Примечания: столбец ''Текущие значения'' представляет значения изменяемых ячеек в </t>
  </si>
  <si>
    <t>$D$16</t>
  </si>
  <si>
    <t>$F$5</t>
  </si>
  <si>
    <t>$E$5</t>
  </si>
  <si>
    <t>Результат:</t>
  </si>
  <si>
    <t>Табачные_продажи</t>
  </si>
  <si>
    <t>Вино_водочная_продажи</t>
  </si>
  <si>
    <t>Безалкогольные_продажи</t>
  </si>
  <si>
    <t>Пищевые_продажи</t>
  </si>
  <si>
    <t>Яичные_продажи</t>
  </si>
  <si>
    <t>Рыбные_продажи</t>
  </si>
  <si>
    <t>Мясные_продажи</t>
  </si>
  <si>
    <t>Кондитерские_продажи</t>
  </si>
  <si>
    <t>Молочные_продажи</t>
  </si>
  <si>
    <t>Плоды_продажи</t>
  </si>
  <si>
    <t>Хлебобулочные_продажи</t>
  </si>
  <si>
    <t>Изменяемые:</t>
  </si>
  <si>
    <t>Автор: Kurone , 17.11.2019</t>
  </si>
  <si>
    <t>Сценарий №1</t>
  </si>
  <si>
    <t>Стартовый сценарий</t>
  </si>
  <si>
    <t>Текущие значения:</t>
  </si>
  <si>
    <t>Структура сценария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</si>
</sst>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5" formatCode="##&quot; м.&quot;"/>
    <numFmt numFmtId="166" formatCode="#,##0.00&quot;₽&quot;;[Red]\-#,##0.00&quot;₽&quot;;[Blue]#,##0.00&quot;₽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0" xfId="0" applyAlignment="1">
      <alignment horizontal="right"/>
    </xf>
    <xf numFmtId="166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164" fontId="0" fillId="0" borderId="16" xfId="0" applyNumberFormat="1" applyBorder="1"/>
    <xf numFmtId="0" fontId="0" fillId="0" borderId="11" xfId="0" applyBorder="1"/>
    <xf numFmtId="165" fontId="0" fillId="0" borderId="12" xfId="0" applyNumberFormat="1" applyBorder="1"/>
    <xf numFmtId="164" fontId="0" fillId="0" borderId="12" xfId="0" applyNumberFormat="1" applyBorder="1"/>
    <xf numFmtId="0" fontId="0" fillId="0" borderId="12" xfId="0" applyBorder="1"/>
    <xf numFmtId="0" fontId="0" fillId="0" borderId="21" xfId="0" applyBorder="1"/>
    <xf numFmtId="164" fontId="0" fillId="0" borderId="22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0" borderId="0" xfId="1"/>
    <xf numFmtId="0" fontId="2" fillId="0" borderId="0" xfId="1" applyFont="1"/>
    <xf numFmtId="164" fontId="1" fillId="0" borderId="28" xfId="1" applyNumberFormat="1" applyFill="1" applyBorder="1" applyAlignment="1"/>
    <xf numFmtId="0" fontId="3" fillId="3" borderId="28" xfId="1" applyFont="1" applyFill="1" applyBorder="1" applyAlignment="1">
      <alignment horizontal="left"/>
    </xf>
    <xf numFmtId="9" fontId="1" fillId="0" borderId="0" xfId="1" applyNumberFormat="1" applyFill="1" applyBorder="1" applyAlignment="1"/>
    <xf numFmtId="0" fontId="3" fillId="3" borderId="0" xfId="1" applyFont="1" applyFill="1" applyBorder="1" applyAlignment="1">
      <alignment horizontal="left"/>
    </xf>
    <xf numFmtId="0" fontId="1" fillId="0" borderId="24" xfId="1" applyFill="1" applyBorder="1" applyAlignment="1"/>
    <xf numFmtId="0" fontId="4" fillId="3" borderId="24" xfId="1" applyFont="1" applyFill="1" applyBorder="1" applyAlignment="1">
      <alignment horizontal="left"/>
    </xf>
    <xf numFmtId="164" fontId="1" fillId="0" borderId="0" xfId="1" applyNumberFormat="1" applyFill="1" applyBorder="1" applyAlignment="1"/>
    <xf numFmtId="0" fontId="6" fillId="4" borderId="29" xfId="1" applyFont="1" applyFill="1" applyBorder="1" applyAlignment="1">
      <alignment horizontal="right"/>
    </xf>
    <xf numFmtId="0" fontId="7" fillId="4" borderId="29" xfId="1" applyFont="1" applyFill="1" applyBorder="1" applyAlignment="1">
      <alignment horizontal="left"/>
    </xf>
    <xf numFmtId="164" fontId="1" fillId="5" borderId="0" xfId="1" applyNumberFormat="1" applyFill="1" applyBorder="1" applyAlignment="1"/>
    <xf numFmtId="0" fontId="5" fillId="0" borderId="0" xfId="1" applyFont="1" applyFill="1" applyBorder="1" applyAlignment="1">
      <alignment vertical="top" wrapText="1"/>
    </xf>
    <xf numFmtId="0" fontId="1" fillId="0" borderId="0" xfId="1" applyFill="1" applyBorder="1" applyAlignment="1"/>
    <xf numFmtId="0" fontId="2" fillId="6" borderId="1" xfId="1" applyFont="1" applyFill="1" applyBorder="1" applyAlignment="1">
      <alignment horizontal="center" vertical="center"/>
    </xf>
    <xf numFmtId="0" fontId="2" fillId="6" borderId="24" xfId="1" applyFont="1" applyFill="1" applyBorder="1" applyAlignment="1">
      <alignment horizontal="center" vertical="center"/>
    </xf>
    <xf numFmtId="0" fontId="2" fillId="6" borderId="23" xfId="1" applyFont="1" applyFill="1" applyBorder="1" applyAlignment="1">
      <alignment horizontal="center" vertical="center"/>
    </xf>
    <xf numFmtId="0" fontId="1" fillId="6" borderId="27" xfId="1" applyFill="1" applyBorder="1"/>
    <xf numFmtId="164" fontId="1" fillId="6" borderId="0" xfId="1" applyNumberFormat="1" applyFill="1" applyBorder="1"/>
    <xf numFmtId="0" fontId="1" fillId="6" borderId="25" xfId="1" applyFill="1" applyBorder="1"/>
    <xf numFmtId="164" fontId="1" fillId="6" borderId="24" xfId="1" applyNumberFormat="1" applyFill="1" applyBorder="1"/>
    <xf numFmtId="9" fontId="1" fillId="6" borderId="0" xfId="1" applyNumberFormat="1" applyFill="1" applyBorder="1" applyAlignment="1">
      <alignment horizontal="center"/>
    </xf>
    <xf numFmtId="9" fontId="1" fillId="6" borderId="26" xfId="1" applyNumberFormat="1" applyFill="1" applyBorder="1" applyAlignment="1">
      <alignment horizontal="center"/>
    </xf>
    <xf numFmtId="9" fontId="1" fillId="6" borderId="24" xfId="1" applyNumberFormat="1" applyFill="1" applyBorder="1" applyAlignment="1">
      <alignment horizontal="center"/>
    </xf>
    <xf numFmtId="9" fontId="1" fillId="6" borderId="23" xfId="1" applyNumberFormat="1" applyFill="1" applyBorder="1" applyAlignment="1">
      <alignment horizontal="center"/>
    </xf>
    <xf numFmtId="0" fontId="7" fillId="4" borderId="30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86;&#1088;&#1080;&#1089;&#1086;&#1074;&#1072;%20-%20&#1088;&#1072;&#1073;&#1086;&#1090;&#1072;%20&#1089;%20&#1090;&#1072;&#1073;&#1083;&#1080;&#1094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 -Книга учета"/>
      <sheetName val="4 -Платежная ведомость"/>
      <sheetName val="5 - 1"/>
      <sheetName val="5 -2"/>
      <sheetName val="5 -3"/>
    </sheetNames>
    <sheetDataSet>
      <sheetData sheetId="0" refreshError="1"/>
      <sheetData sheetId="1" refreshError="1"/>
      <sheetData sheetId="2">
        <row r="1">
          <cell r="B1">
            <v>10</v>
          </cell>
        </row>
      </sheetData>
      <sheetData sheetId="3" refreshError="1"/>
      <sheetData sheetId="4">
        <row r="2">
          <cell r="B2">
            <v>10</v>
          </cell>
        </row>
        <row r="3">
          <cell r="B3">
            <v>6</v>
          </cell>
        </row>
        <row r="4">
          <cell r="B4">
            <v>5</v>
          </cell>
        </row>
        <row r="5">
          <cell r="B5">
            <v>26</v>
          </cell>
        </row>
        <row r="7">
          <cell r="B7">
            <v>190</v>
          </cell>
        </row>
        <row r="8">
          <cell r="B8">
            <v>220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235" zoomScaleNormal="235" workbookViewId="0">
      <selection activeCell="B14" sqref="B14"/>
    </sheetView>
  </sheetViews>
  <sheetFormatPr defaultRowHeight="15" x14ac:dyDescent="0.25"/>
  <cols>
    <col min="4" max="4" width="14.140625" bestFit="1" customWidth="1"/>
  </cols>
  <sheetData>
    <row r="1" spans="1:4" x14ac:dyDescent="0.25">
      <c r="A1" s="1" t="s">
        <v>0</v>
      </c>
      <c r="B1">
        <v>15</v>
      </c>
      <c r="C1" t="s">
        <v>2</v>
      </c>
      <c r="D1" t="s">
        <v>1</v>
      </c>
    </row>
    <row r="2" spans="1:4" x14ac:dyDescent="0.25">
      <c r="C2">
        <f>2000-75*Цена</f>
        <v>875</v>
      </c>
      <c r="D2">
        <f>740+65*Цена</f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zoomScale="130" zoomScaleNormal="130" workbookViewId="0">
      <selection activeCell="E4" sqref="E4"/>
    </sheetView>
  </sheetViews>
  <sheetFormatPr defaultRowHeight="15" x14ac:dyDescent="0.25"/>
  <cols>
    <col min="4" max="4" width="14.140625" bestFit="1" customWidth="1"/>
    <col min="5" max="5" width="34.42578125" bestFit="1" customWidth="1"/>
  </cols>
  <sheetData>
    <row r="1" spans="2:5" x14ac:dyDescent="0.25">
      <c r="B1" s="25" t="s">
        <v>3</v>
      </c>
      <c r="C1" s="25" t="s">
        <v>2</v>
      </c>
      <c r="D1" s="25" t="s">
        <v>1</v>
      </c>
      <c r="E1" s="24"/>
    </row>
    <row r="2" spans="2:5" x14ac:dyDescent="0.25">
      <c r="B2" s="24"/>
      <c r="C2" s="24">
        <f>2000-75*B2</f>
        <v>2000</v>
      </c>
      <c r="D2" s="24">
        <f>740+65*B2</f>
        <v>740</v>
      </c>
      <c r="E2" s="24"/>
    </row>
    <row r="3" spans="2:5" x14ac:dyDescent="0.25">
      <c r="B3" s="24">
        <v>1</v>
      </c>
      <c r="C3" s="24">
        <f t="dataTable" ref="C3:D14" dt2D="0" dtr="0" r1="B2"/>
        <v>1925</v>
      </c>
      <c r="D3" s="24">
        <v>805</v>
      </c>
      <c r="E3" s="24" t="str">
        <f>IF(C3=D3,"равновесные спрос и предложение","")</f>
        <v/>
      </c>
    </row>
    <row r="4" spans="2:5" x14ac:dyDescent="0.25">
      <c r="B4" s="24">
        <v>2</v>
      </c>
      <c r="C4" s="24">
        <v>1850</v>
      </c>
      <c r="D4" s="24">
        <v>870</v>
      </c>
      <c r="E4" s="24" t="str">
        <f t="shared" ref="E4:E14" si="0">IF(C4=D4,"равновесные спрос и предложение","")</f>
        <v/>
      </c>
    </row>
    <row r="5" spans="2:5" x14ac:dyDescent="0.25">
      <c r="B5" s="24">
        <v>3</v>
      </c>
      <c r="C5" s="24">
        <v>1775</v>
      </c>
      <c r="D5" s="24">
        <v>935</v>
      </c>
      <c r="E5" s="24" t="str">
        <f t="shared" si="0"/>
        <v/>
      </c>
    </row>
    <row r="6" spans="2:5" x14ac:dyDescent="0.25">
      <c r="B6" s="24">
        <v>4</v>
      </c>
      <c r="C6" s="24">
        <v>1700</v>
      </c>
      <c r="D6" s="24">
        <v>1000</v>
      </c>
      <c r="E6" s="24" t="str">
        <f t="shared" si="0"/>
        <v/>
      </c>
    </row>
    <row r="7" spans="2:5" x14ac:dyDescent="0.25">
      <c r="B7" s="24">
        <v>5</v>
      </c>
      <c r="C7" s="24">
        <v>1625</v>
      </c>
      <c r="D7" s="24">
        <v>1065</v>
      </c>
      <c r="E7" s="24" t="str">
        <f t="shared" si="0"/>
        <v/>
      </c>
    </row>
    <row r="8" spans="2:5" x14ac:dyDescent="0.25">
      <c r="B8" s="24">
        <v>6</v>
      </c>
      <c r="C8" s="24">
        <v>1550</v>
      </c>
      <c r="D8" s="24">
        <v>1130</v>
      </c>
      <c r="E8" s="24" t="str">
        <f t="shared" si="0"/>
        <v/>
      </c>
    </row>
    <row r="9" spans="2:5" x14ac:dyDescent="0.25">
      <c r="B9" s="24">
        <v>7</v>
      </c>
      <c r="C9" s="24">
        <v>1475</v>
      </c>
      <c r="D9" s="24">
        <v>1195</v>
      </c>
      <c r="E9" s="24" t="str">
        <f t="shared" si="0"/>
        <v/>
      </c>
    </row>
    <row r="10" spans="2:5" x14ac:dyDescent="0.25">
      <c r="B10" s="24">
        <v>8</v>
      </c>
      <c r="C10" s="24">
        <v>1400</v>
      </c>
      <c r="D10" s="24">
        <v>1260</v>
      </c>
      <c r="E10" s="24" t="str">
        <f t="shared" si="0"/>
        <v/>
      </c>
    </row>
    <row r="11" spans="2:5" x14ac:dyDescent="0.25">
      <c r="B11" s="24">
        <v>9</v>
      </c>
      <c r="C11" s="24">
        <v>1325</v>
      </c>
      <c r="D11" s="24">
        <v>1325</v>
      </c>
      <c r="E11" s="24" t="str">
        <f t="shared" si="0"/>
        <v>равновесные спрос и предложение</v>
      </c>
    </row>
    <row r="12" spans="2:5" x14ac:dyDescent="0.25">
      <c r="B12" s="24">
        <v>10</v>
      </c>
      <c r="C12" s="24">
        <v>1250</v>
      </c>
      <c r="D12" s="24">
        <v>1390</v>
      </c>
      <c r="E12" s="24" t="str">
        <f t="shared" si="0"/>
        <v/>
      </c>
    </row>
    <row r="13" spans="2:5" x14ac:dyDescent="0.25">
      <c r="B13" s="24">
        <v>11</v>
      </c>
      <c r="C13" s="24">
        <v>1175</v>
      </c>
      <c r="D13" s="24">
        <v>1455</v>
      </c>
      <c r="E13" s="24" t="str">
        <f t="shared" si="0"/>
        <v/>
      </c>
    </row>
    <row r="14" spans="2:5" x14ac:dyDescent="0.25">
      <c r="B14" s="24">
        <v>12</v>
      </c>
      <c r="C14" s="24">
        <v>1100</v>
      </c>
      <c r="D14" s="24">
        <v>1520</v>
      </c>
      <c r="E14" s="24" t="str">
        <f t="shared" si="0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30" zoomScaleNormal="130" workbookViewId="0">
      <selection activeCell="A22" sqref="A22"/>
    </sheetView>
  </sheetViews>
  <sheetFormatPr defaultRowHeight="15" x14ac:dyDescent="0.25"/>
  <cols>
    <col min="1" max="1" width="20.85546875" bestFit="1" customWidth="1"/>
  </cols>
  <sheetData>
    <row r="1" spans="1:8" x14ac:dyDescent="0.25">
      <c r="A1" s="26" t="s">
        <v>4</v>
      </c>
      <c r="B1" s="27"/>
    </row>
    <row r="2" spans="1:8" x14ac:dyDescent="0.25">
      <c r="A2" s="18" t="s">
        <v>5</v>
      </c>
      <c r="B2" s="19">
        <v>10</v>
      </c>
    </row>
    <row r="3" spans="1:8" x14ac:dyDescent="0.25">
      <c r="A3" s="18" t="s">
        <v>6</v>
      </c>
      <c r="B3" s="20">
        <v>6</v>
      </c>
    </row>
    <row r="4" spans="1:8" x14ac:dyDescent="0.25">
      <c r="A4" s="18" t="s">
        <v>7</v>
      </c>
      <c r="B4" s="21">
        <v>5</v>
      </c>
    </row>
    <row r="5" spans="1:8" x14ac:dyDescent="0.25">
      <c r="A5" s="18" t="s">
        <v>8</v>
      </c>
      <c r="B5" s="20">
        <v>26</v>
      </c>
    </row>
    <row r="6" spans="1:8" x14ac:dyDescent="0.25">
      <c r="A6" s="28" t="s">
        <v>9</v>
      </c>
      <c r="B6" s="29"/>
    </row>
    <row r="7" spans="1:8" x14ac:dyDescent="0.25">
      <c r="A7" s="18" t="s">
        <v>10</v>
      </c>
      <c r="B7" s="20">
        <f>Количество_материала*Стоимость_материала+Количество_часов*Оплата_часа</f>
        <v>190</v>
      </c>
    </row>
    <row r="8" spans="1:8" ht="15.75" thickBot="1" x14ac:dyDescent="0.3">
      <c r="A8" s="18" t="s">
        <v>11</v>
      </c>
      <c r="B8" s="23">
        <v>220</v>
      </c>
    </row>
    <row r="9" spans="1:8" ht="15.75" thickBot="1" x14ac:dyDescent="0.3">
      <c r="A9" s="22" t="s">
        <v>12</v>
      </c>
      <c r="B9" s="5">
        <f>Отпускная_цена-Себестоимость</f>
        <v>30</v>
      </c>
      <c r="C9" s="6">
        <v>6</v>
      </c>
      <c r="D9" s="7">
        <v>7</v>
      </c>
      <c r="E9" s="7">
        <v>8</v>
      </c>
      <c r="F9" s="7">
        <v>9</v>
      </c>
      <c r="G9" s="7">
        <v>10</v>
      </c>
      <c r="H9" s="8">
        <v>11</v>
      </c>
    </row>
    <row r="10" spans="1:8" x14ac:dyDescent="0.25">
      <c r="B10" s="17">
        <v>25</v>
      </c>
      <c r="C10" s="9">
        <f t="dataTable" ref="C10:H20" dt2D="1" dtr="1" r1="B3" r2="B5"/>
        <v>35</v>
      </c>
      <c r="D10" s="10">
        <v>25</v>
      </c>
      <c r="E10" s="10">
        <v>15</v>
      </c>
      <c r="F10" s="10">
        <v>5</v>
      </c>
      <c r="G10" s="10">
        <v>-5</v>
      </c>
      <c r="H10" s="11">
        <v>-15</v>
      </c>
    </row>
    <row r="11" spans="1:8" x14ac:dyDescent="0.25">
      <c r="B11" s="3">
        <v>26</v>
      </c>
      <c r="C11" s="12">
        <v>30</v>
      </c>
      <c r="D11" s="2">
        <v>20</v>
      </c>
      <c r="E11" s="2">
        <v>10</v>
      </c>
      <c r="F11" s="2">
        <v>0</v>
      </c>
      <c r="G11" s="2">
        <v>-10</v>
      </c>
      <c r="H11" s="13">
        <v>-20</v>
      </c>
    </row>
    <row r="12" spans="1:8" x14ac:dyDescent="0.25">
      <c r="B12" s="3">
        <v>27</v>
      </c>
      <c r="C12" s="12">
        <v>25</v>
      </c>
      <c r="D12" s="2">
        <v>15</v>
      </c>
      <c r="E12" s="2">
        <v>5</v>
      </c>
      <c r="F12" s="2">
        <v>-5</v>
      </c>
      <c r="G12" s="2">
        <v>-15</v>
      </c>
      <c r="H12" s="13">
        <v>-25</v>
      </c>
    </row>
    <row r="13" spans="1:8" x14ac:dyDescent="0.25">
      <c r="B13" s="3">
        <v>28</v>
      </c>
      <c r="C13" s="12">
        <v>20</v>
      </c>
      <c r="D13" s="2">
        <v>10</v>
      </c>
      <c r="E13" s="2">
        <v>0</v>
      </c>
      <c r="F13" s="2">
        <v>-10</v>
      </c>
      <c r="G13" s="2">
        <v>-20</v>
      </c>
      <c r="H13" s="13">
        <v>-30</v>
      </c>
    </row>
    <row r="14" spans="1:8" x14ac:dyDescent="0.25">
      <c r="B14" s="3">
        <v>29</v>
      </c>
      <c r="C14" s="12">
        <v>15</v>
      </c>
      <c r="D14" s="2">
        <v>5</v>
      </c>
      <c r="E14" s="2">
        <v>-5</v>
      </c>
      <c r="F14" s="2">
        <v>-15</v>
      </c>
      <c r="G14" s="2">
        <v>-25</v>
      </c>
      <c r="H14" s="13">
        <v>-35</v>
      </c>
    </row>
    <row r="15" spans="1:8" x14ac:dyDescent="0.25">
      <c r="B15" s="3">
        <v>30</v>
      </c>
      <c r="C15" s="12">
        <v>10</v>
      </c>
      <c r="D15" s="2">
        <v>0</v>
      </c>
      <c r="E15" s="2">
        <v>-10</v>
      </c>
      <c r="F15" s="2">
        <v>-20</v>
      </c>
      <c r="G15" s="2">
        <v>-30</v>
      </c>
      <c r="H15" s="13">
        <v>-40</v>
      </c>
    </row>
    <row r="16" spans="1:8" x14ac:dyDescent="0.25">
      <c r="B16" s="3">
        <v>31</v>
      </c>
      <c r="C16" s="12">
        <v>5</v>
      </c>
      <c r="D16" s="2">
        <v>-5</v>
      </c>
      <c r="E16" s="2">
        <v>-15</v>
      </c>
      <c r="F16" s="2">
        <v>-25</v>
      </c>
      <c r="G16" s="2">
        <v>-35</v>
      </c>
      <c r="H16" s="13">
        <v>-45</v>
      </c>
    </row>
    <row r="17" spans="2:8" x14ac:dyDescent="0.25">
      <c r="B17" s="3">
        <v>32</v>
      </c>
      <c r="C17" s="12">
        <v>0</v>
      </c>
      <c r="D17" s="2">
        <v>-10</v>
      </c>
      <c r="E17" s="2">
        <v>-20</v>
      </c>
      <c r="F17" s="2">
        <v>-30</v>
      </c>
      <c r="G17" s="2">
        <v>-40</v>
      </c>
      <c r="H17" s="13">
        <v>-50</v>
      </c>
    </row>
    <row r="18" spans="2:8" x14ac:dyDescent="0.25">
      <c r="B18" s="3">
        <v>33</v>
      </c>
      <c r="C18" s="12">
        <v>-5</v>
      </c>
      <c r="D18" s="2">
        <v>-15</v>
      </c>
      <c r="E18" s="2">
        <v>-25</v>
      </c>
      <c r="F18" s="2">
        <v>-35</v>
      </c>
      <c r="G18" s="2">
        <v>-45</v>
      </c>
      <c r="H18" s="13">
        <v>-55</v>
      </c>
    </row>
    <row r="19" spans="2:8" x14ac:dyDescent="0.25">
      <c r="B19" s="3">
        <v>34</v>
      </c>
      <c r="C19" s="12">
        <v>-10</v>
      </c>
      <c r="D19" s="2">
        <v>-20</v>
      </c>
      <c r="E19" s="2">
        <v>-30</v>
      </c>
      <c r="F19" s="2">
        <v>-40</v>
      </c>
      <c r="G19" s="2">
        <v>-50</v>
      </c>
      <c r="H19" s="13">
        <v>-60</v>
      </c>
    </row>
    <row r="20" spans="2:8" ht="15.75" thickBot="1" x14ac:dyDescent="0.3">
      <c r="B20" s="4">
        <v>35</v>
      </c>
      <c r="C20" s="14">
        <v>-15</v>
      </c>
      <c r="D20" s="15">
        <v>-25</v>
      </c>
      <c r="E20" s="15">
        <v>-35</v>
      </c>
      <c r="F20" s="15">
        <v>-45</v>
      </c>
      <c r="G20" s="15">
        <v>-55</v>
      </c>
      <c r="H20" s="16">
        <v>-65</v>
      </c>
    </row>
  </sheetData>
  <mergeCells count="2">
    <mergeCell ref="A1:B1"/>
    <mergeCell ref="A6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5" zoomScaleNormal="145" workbookViewId="0">
      <selection activeCell="J16" sqref="J16"/>
    </sheetView>
  </sheetViews>
  <sheetFormatPr defaultRowHeight="15" x14ac:dyDescent="0.25"/>
  <cols>
    <col min="1" max="1" width="29" style="30" customWidth="1"/>
    <col min="2" max="3" width="13.7109375" style="30" bestFit="1" customWidth="1"/>
    <col min="4" max="4" width="12.140625" style="30" bestFit="1" customWidth="1"/>
    <col min="5" max="5" width="18.140625" style="30" bestFit="1" customWidth="1"/>
    <col min="6" max="16384" width="9.140625" style="30"/>
  </cols>
  <sheetData>
    <row r="1" spans="1:6" x14ac:dyDescent="0.25">
      <c r="A1" s="31" t="s">
        <v>30</v>
      </c>
    </row>
    <row r="2" spans="1:6" x14ac:dyDescent="0.25">
      <c r="A2" s="30" t="s">
        <v>29</v>
      </c>
    </row>
    <row r="4" spans="1:6" x14ac:dyDescent="0.25">
      <c r="A4" s="44" t="s">
        <v>13</v>
      </c>
      <c r="B4" s="45" t="s">
        <v>14</v>
      </c>
      <c r="C4" s="45" t="s">
        <v>15</v>
      </c>
      <c r="D4" s="45" t="s">
        <v>12</v>
      </c>
      <c r="E4" s="45" t="s">
        <v>16</v>
      </c>
      <c r="F4" s="46" t="s">
        <v>17</v>
      </c>
    </row>
    <row r="5" spans="1:6" x14ac:dyDescent="0.25">
      <c r="A5" s="47" t="s">
        <v>18</v>
      </c>
      <c r="B5" s="48">
        <v>98105</v>
      </c>
      <c r="C5" s="48">
        <v>72033</v>
      </c>
      <c r="D5" s="48">
        <f>Хлебобулочные_продажи-Хлебобулочные_расходы</f>
        <v>26072</v>
      </c>
      <c r="E5" s="51">
        <f>D5/Хлебобулочные_продажи</f>
        <v>0.26575607767188214</v>
      </c>
      <c r="F5" s="52">
        <f>D5/D16</f>
        <v>4.2506293122562641E-2</v>
      </c>
    </row>
    <row r="6" spans="1:6" x14ac:dyDescent="0.25">
      <c r="A6" s="47" t="s">
        <v>19</v>
      </c>
      <c r="B6" s="48">
        <v>35082</v>
      </c>
      <c r="C6" s="48">
        <v>18032</v>
      </c>
      <c r="D6" s="48">
        <f>Плоды_продажи-Плоды_расходы</f>
        <v>17050</v>
      </c>
      <c r="E6" s="51">
        <f>D6/Плоды_продажи</f>
        <v>0.48600421868764609</v>
      </c>
      <c r="F6" s="52">
        <f>D6/D16</f>
        <v>2.7797341889371472E-2</v>
      </c>
    </row>
    <row r="7" spans="1:6" x14ac:dyDescent="0.25">
      <c r="A7" s="47" t="s">
        <v>20</v>
      </c>
      <c r="B7" s="48">
        <v>369963</v>
      </c>
      <c r="C7" s="48">
        <v>250238</v>
      </c>
      <c r="D7" s="48">
        <f>Молочные_продажи-Молочные_расходы</f>
        <v>119725</v>
      </c>
      <c r="E7" s="51">
        <f>D7/Молочные_продажи</f>
        <v>0.32361344242532364</v>
      </c>
      <c r="F7" s="52">
        <f>D7/$D$16</f>
        <v>0.1951927717129032</v>
      </c>
    </row>
    <row r="8" spans="1:6" x14ac:dyDescent="0.25">
      <c r="A8" s="47" t="s">
        <v>21</v>
      </c>
      <c r="B8" s="48">
        <v>244893</v>
      </c>
      <c r="C8" s="48">
        <v>210238</v>
      </c>
      <c r="D8" s="48">
        <f>Кондитерские_продажи-Кондитерские_расходы</f>
        <v>34655</v>
      </c>
      <c r="E8" s="51">
        <f>D8/Кондитерские_продажи</f>
        <v>0.14151078226000743</v>
      </c>
      <c r="F8" s="52">
        <f>D8/$D$16</f>
        <v>5.6499523939951217E-2</v>
      </c>
    </row>
    <row r="9" spans="1:6" x14ac:dyDescent="0.25">
      <c r="A9" s="47" t="s">
        <v>22</v>
      </c>
      <c r="B9" s="48">
        <v>405829</v>
      </c>
      <c r="C9" s="48">
        <v>301253</v>
      </c>
      <c r="D9" s="48">
        <f>Мясные_продажи-Мясные_расходы</f>
        <v>104576</v>
      </c>
      <c r="E9" s="51">
        <f>D9/Мясные_продажи</f>
        <v>0.25768488698441955</v>
      </c>
      <c r="F9" s="52">
        <f>D9/$D$16</f>
        <v>0.17049471116849918</v>
      </c>
    </row>
    <row r="10" spans="1:6" x14ac:dyDescent="0.25">
      <c r="A10" s="47" t="s">
        <v>23</v>
      </c>
      <c r="B10" s="48">
        <v>381737</v>
      </c>
      <c r="C10" s="48">
        <v>240839</v>
      </c>
      <c r="D10" s="48">
        <f>Рыбные_продажи-Рыбные_расходы</f>
        <v>140898</v>
      </c>
      <c r="E10" s="51">
        <f>D10/Рыбные_продажи</f>
        <v>0.36909704849150071</v>
      </c>
      <c r="F10" s="52">
        <f>D10/$D$16</f>
        <v>0.22971201627734084</v>
      </c>
    </row>
    <row r="11" spans="1:6" x14ac:dyDescent="0.25">
      <c r="A11" s="47" t="s">
        <v>24</v>
      </c>
      <c r="B11" s="48">
        <v>58365</v>
      </c>
      <c r="C11" s="48">
        <v>27983</v>
      </c>
      <c r="D11" s="48">
        <f>Яичные_продажи-Яичные_расходы</f>
        <v>30382</v>
      </c>
      <c r="E11" s="51">
        <f>D11/Яичные_продажи</f>
        <v>0.52055170050543986</v>
      </c>
      <c r="F11" s="52">
        <f>D11/$D$16</f>
        <v>4.9533069869963871E-2</v>
      </c>
    </row>
    <row r="12" spans="1:6" x14ac:dyDescent="0.25">
      <c r="A12" s="47" t="s">
        <v>25</v>
      </c>
      <c r="B12" s="48">
        <v>20763</v>
      </c>
      <c r="C12" s="48">
        <v>10587</v>
      </c>
      <c r="D12" s="48">
        <f>Пищевые_продажи-Пищевые_расходы</f>
        <v>10176</v>
      </c>
      <c r="E12" s="51">
        <f>D12/Пищевые_продажи</f>
        <v>0.49010258633145498</v>
      </c>
      <c r="F12" s="52">
        <f>D12/$D$16</f>
        <v>1.6590366631451265E-2</v>
      </c>
    </row>
    <row r="13" spans="1:6" x14ac:dyDescent="0.25">
      <c r="A13" s="47" t="s">
        <v>26</v>
      </c>
      <c r="B13" s="48">
        <v>50225</v>
      </c>
      <c r="C13" s="48">
        <v>37862</v>
      </c>
      <c r="D13" s="48">
        <f>Безалкогольные_продажи-Безалкогольные_расходы</f>
        <v>12363</v>
      </c>
      <c r="E13" s="51">
        <f>D13/Безалкогольные_продажи</f>
        <v>0.24615231458437034</v>
      </c>
      <c r="F13" s="52">
        <f>D13/$D$16</f>
        <v>2.0155925969401731E-2</v>
      </c>
    </row>
    <row r="14" spans="1:6" x14ac:dyDescent="0.25">
      <c r="A14" s="47" t="s">
        <v>27</v>
      </c>
      <c r="B14" s="48">
        <v>357812</v>
      </c>
      <c r="C14" s="48">
        <v>250784</v>
      </c>
      <c r="D14" s="48">
        <f>Вино_водочная_продажи-Вино_водочные_расходы</f>
        <v>107028</v>
      </c>
      <c r="E14" s="51">
        <f>D14/Вино_водочная_продажи</f>
        <v>0.29911797256659922</v>
      </c>
      <c r="F14" s="52">
        <f>D14/$D$16</f>
        <v>0.17449231130414367</v>
      </c>
    </row>
    <row r="15" spans="1:6" x14ac:dyDescent="0.25">
      <c r="A15" s="47" t="s">
        <v>28</v>
      </c>
      <c r="B15" s="48">
        <v>50726</v>
      </c>
      <c r="C15" s="48">
        <v>40283</v>
      </c>
      <c r="D15" s="48">
        <f>Табачные_продажи-Табачные_расходы</f>
        <v>10443</v>
      </c>
      <c r="E15" s="51">
        <f>D15/Табачные_продажи</f>
        <v>0.20587075661396523</v>
      </c>
      <c r="F15" s="52">
        <f>D15/$D$16</f>
        <v>1.7025668114410926E-2</v>
      </c>
    </row>
    <row r="16" spans="1:6" x14ac:dyDescent="0.25">
      <c r="A16" s="49"/>
      <c r="B16" s="50">
        <f>SUM(B5:B15)</f>
        <v>2073500</v>
      </c>
      <c r="C16" s="50">
        <f>SUM(C5:C15)</f>
        <v>1460132</v>
      </c>
      <c r="D16" s="50">
        <f>SUM(D5:D15)</f>
        <v>613368</v>
      </c>
      <c r="E16" s="53">
        <f>D16/B16</f>
        <v>0.29581287677839402</v>
      </c>
      <c r="F16" s="54">
        <f>SUM(F5:F15)</f>
        <v>1</v>
      </c>
    </row>
  </sheetData>
  <scenarios current="0" show="1" sqref="E5 F5 D16">
    <scenario name="Стартовый сценарий" locked="1" count="11" user="Автор" comment="Автор: Автор , 17.11.2019">
      <inputCells r="B5" val="98105" numFmtId="164"/>
      <inputCells r="B6" val="35082" numFmtId="164"/>
      <inputCells r="B7" val="369963" numFmtId="164"/>
      <inputCells r="B8" val="244893" numFmtId="164"/>
      <inputCells r="B9" val="405829" numFmtId="164"/>
      <inputCells r="B10" val="381737" numFmtId="164"/>
      <inputCells r="B11" val="58365" numFmtId="164"/>
      <inputCells r="B12" val="20763" numFmtId="164"/>
      <inputCells r="B13" val="50225" numFmtId="164"/>
      <inputCells r="B14" val="357812" numFmtId="164"/>
      <inputCells r="B15" val="50726" numFmtId="164"/>
    </scenario>
    <scenario name="Сценарий №1" locked="1" count="11" user="Автор" comment="Автор: Автор , 17.11.2019">
      <inputCells r="B5" val="73578,75" numFmtId="164"/>
      <inputCells r="B6" val="26311,5" numFmtId="164"/>
      <inputCells r="B7" val="277472,25" numFmtId="164"/>
      <inputCells r="B8" val="183669,75" numFmtId="164"/>
      <inputCells r="B9" val="304371,75" numFmtId="164"/>
      <inputCells r="B10" val="286302,75" numFmtId="164"/>
      <inputCells r="B11" val="43773,75" numFmtId="164"/>
      <inputCells r="B12" val="15572,25" numFmtId="164"/>
      <inputCells r="B13" val="37668,75" numFmtId="164"/>
      <inputCells r="B14" val="268359" numFmtId="164"/>
      <inputCells r="B15" val="38044,5" numFmtId="164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3"/>
  <sheetViews>
    <sheetView showGridLines="0" workbookViewId="0">
      <selection activeCell="H6" sqref="H6"/>
    </sheetView>
  </sheetViews>
  <sheetFormatPr defaultRowHeight="15" outlineLevelRow="1" outlineLevelCol="1" x14ac:dyDescent="0.25"/>
  <cols>
    <col min="1" max="2" width="9.140625" style="30"/>
    <col min="3" max="3" width="26.28515625" style="30" bestFit="1" customWidth="1"/>
    <col min="4" max="6" width="18" style="30" bestFit="1" customWidth="1" outlineLevel="1"/>
    <col min="7" max="16384" width="9.140625" style="30"/>
  </cols>
  <sheetData>
    <row r="1" spans="2:6" ht="15.75" thickBot="1" x14ac:dyDescent="0.3"/>
    <row r="2" spans="2:6" ht="15.75" x14ac:dyDescent="0.25">
      <c r="B2" s="55" t="s">
        <v>54</v>
      </c>
      <c r="C2" s="55"/>
      <c r="D2" s="55"/>
      <c r="E2" s="55"/>
      <c r="F2" s="55"/>
    </row>
    <row r="3" spans="2:6" ht="15.75" collapsed="1" x14ac:dyDescent="0.25">
      <c r="B3" s="40"/>
      <c r="C3" s="40"/>
      <c r="D3" s="39" t="s">
        <v>53</v>
      </c>
      <c r="E3" s="39" t="s">
        <v>52</v>
      </c>
      <c r="F3" s="39" t="s">
        <v>51</v>
      </c>
    </row>
    <row r="4" spans="2:6" ht="22.5" hidden="1" outlineLevel="1" x14ac:dyDescent="0.25">
      <c r="B4" s="35"/>
      <c r="C4" s="35"/>
      <c r="D4" s="43"/>
      <c r="E4" s="42" t="s">
        <v>50</v>
      </c>
      <c r="F4" s="42" t="s">
        <v>50</v>
      </c>
    </row>
    <row r="5" spans="2:6" x14ac:dyDescent="0.25">
      <c r="B5" s="37" t="s">
        <v>49</v>
      </c>
      <c r="C5" s="37"/>
      <c r="D5" s="36"/>
      <c r="E5" s="36"/>
      <c r="F5" s="36"/>
    </row>
    <row r="6" spans="2:6" outlineLevel="1" x14ac:dyDescent="0.25">
      <c r="B6" s="35"/>
      <c r="C6" s="35" t="s">
        <v>48</v>
      </c>
      <c r="D6" s="38">
        <v>98105</v>
      </c>
      <c r="E6" s="41">
        <v>98105</v>
      </c>
      <c r="F6" s="41">
        <v>73578.75</v>
      </c>
    </row>
    <row r="7" spans="2:6" outlineLevel="1" x14ac:dyDescent="0.25">
      <c r="B7" s="35"/>
      <c r="C7" s="35" t="s">
        <v>47</v>
      </c>
      <c r="D7" s="38">
        <v>35082</v>
      </c>
      <c r="E7" s="41">
        <v>35082</v>
      </c>
      <c r="F7" s="41">
        <v>26311.5</v>
      </c>
    </row>
    <row r="8" spans="2:6" outlineLevel="1" x14ac:dyDescent="0.25">
      <c r="B8" s="35"/>
      <c r="C8" s="35" t="s">
        <v>46</v>
      </c>
      <c r="D8" s="38">
        <v>369963</v>
      </c>
      <c r="E8" s="41">
        <v>369963</v>
      </c>
      <c r="F8" s="41">
        <v>277472.25</v>
      </c>
    </row>
    <row r="9" spans="2:6" outlineLevel="1" x14ac:dyDescent="0.25">
      <c r="B9" s="35"/>
      <c r="C9" s="35" t="s">
        <v>45</v>
      </c>
      <c r="D9" s="38">
        <v>244893</v>
      </c>
      <c r="E9" s="41">
        <v>244893</v>
      </c>
      <c r="F9" s="41">
        <v>183669.75</v>
      </c>
    </row>
    <row r="10" spans="2:6" outlineLevel="1" x14ac:dyDescent="0.25">
      <c r="B10" s="35"/>
      <c r="C10" s="35" t="s">
        <v>44</v>
      </c>
      <c r="D10" s="38">
        <v>405829</v>
      </c>
      <c r="E10" s="41">
        <v>405829</v>
      </c>
      <c r="F10" s="41">
        <v>304371.75</v>
      </c>
    </row>
    <row r="11" spans="2:6" outlineLevel="1" x14ac:dyDescent="0.25">
      <c r="B11" s="35"/>
      <c r="C11" s="35" t="s">
        <v>43</v>
      </c>
      <c r="D11" s="38">
        <v>381737</v>
      </c>
      <c r="E11" s="41">
        <v>381737</v>
      </c>
      <c r="F11" s="41">
        <v>286302.75</v>
      </c>
    </row>
    <row r="12" spans="2:6" outlineLevel="1" x14ac:dyDescent="0.25">
      <c r="B12" s="35"/>
      <c r="C12" s="35" t="s">
        <v>42</v>
      </c>
      <c r="D12" s="38">
        <v>58365</v>
      </c>
      <c r="E12" s="41">
        <v>58365</v>
      </c>
      <c r="F12" s="41">
        <v>43773.75</v>
      </c>
    </row>
    <row r="13" spans="2:6" outlineLevel="1" x14ac:dyDescent="0.25">
      <c r="B13" s="35"/>
      <c r="C13" s="35" t="s">
        <v>41</v>
      </c>
      <c r="D13" s="38">
        <v>20763</v>
      </c>
      <c r="E13" s="41">
        <v>20763</v>
      </c>
      <c r="F13" s="41">
        <v>15572.25</v>
      </c>
    </row>
    <row r="14" spans="2:6" outlineLevel="1" x14ac:dyDescent="0.25">
      <c r="B14" s="35"/>
      <c r="C14" s="35" t="s">
        <v>40</v>
      </c>
      <c r="D14" s="38">
        <v>50225</v>
      </c>
      <c r="E14" s="41">
        <v>50225</v>
      </c>
      <c r="F14" s="41">
        <v>37668.75</v>
      </c>
    </row>
    <row r="15" spans="2:6" outlineLevel="1" x14ac:dyDescent="0.25">
      <c r="B15" s="35"/>
      <c r="C15" s="35" t="s">
        <v>39</v>
      </c>
      <c r="D15" s="38">
        <v>357812</v>
      </c>
      <c r="E15" s="41">
        <v>357812</v>
      </c>
      <c r="F15" s="41">
        <v>268359</v>
      </c>
    </row>
    <row r="16" spans="2:6" outlineLevel="1" x14ac:dyDescent="0.25">
      <c r="B16" s="35"/>
      <c r="C16" s="35" t="s">
        <v>38</v>
      </c>
      <c r="D16" s="38">
        <v>50726</v>
      </c>
      <c r="E16" s="41">
        <v>50726</v>
      </c>
      <c r="F16" s="41">
        <v>38044.5</v>
      </c>
    </row>
    <row r="17" spans="2:6" x14ac:dyDescent="0.25">
      <c r="B17" s="37" t="s">
        <v>37</v>
      </c>
      <c r="C17" s="37"/>
      <c r="D17" s="36"/>
      <c r="E17" s="36"/>
      <c r="F17" s="36"/>
    </row>
    <row r="18" spans="2:6" outlineLevel="1" x14ac:dyDescent="0.25">
      <c r="B18" s="35"/>
      <c r="C18" s="35" t="s">
        <v>36</v>
      </c>
      <c r="D18" s="34">
        <v>0.26575607767188197</v>
      </c>
      <c r="E18" s="34">
        <v>0.26575607767188197</v>
      </c>
      <c r="F18" s="34">
        <v>2.1008103562509602E-2</v>
      </c>
    </row>
    <row r="19" spans="2:6" outlineLevel="1" x14ac:dyDescent="0.25">
      <c r="B19" s="35"/>
      <c r="C19" s="35" t="s">
        <v>35</v>
      </c>
      <c r="D19" s="34">
        <v>4.25062931225626E-2</v>
      </c>
      <c r="E19" s="34">
        <v>4.25062931225626E-2</v>
      </c>
      <c r="F19" s="34">
        <v>1.62722516395945E-2</v>
      </c>
    </row>
    <row r="20" spans="2:6" ht="15.75" outlineLevel="1" thickBot="1" x14ac:dyDescent="0.3">
      <c r="B20" s="33"/>
      <c r="C20" s="33" t="s">
        <v>34</v>
      </c>
      <c r="D20" s="32">
        <v>613368</v>
      </c>
      <c r="E20" s="32">
        <v>613368</v>
      </c>
      <c r="F20" s="32">
        <v>94993</v>
      </c>
    </row>
    <row r="21" spans="2:6" x14ac:dyDescent="0.25">
      <c r="B21" s="30" t="s">
        <v>33</v>
      </c>
    </row>
    <row r="22" spans="2:6" x14ac:dyDescent="0.25">
      <c r="B22" s="30" t="s">
        <v>32</v>
      </c>
    </row>
    <row r="23" spans="2:6" x14ac:dyDescent="0.25">
      <c r="B23" s="30" t="s">
        <v>31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54</vt:i4>
      </vt:variant>
    </vt:vector>
  </HeadingPairs>
  <TitlesOfParts>
    <vt:vector size="59" baseType="lpstr">
      <vt:lpstr>5.1.</vt:lpstr>
      <vt:lpstr>5.2. </vt:lpstr>
      <vt:lpstr>5.3.</vt:lpstr>
      <vt:lpstr>5.4.</vt:lpstr>
      <vt:lpstr>Структура сценария</vt:lpstr>
      <vt:lpstr>'5.4.'!Безалкогольные_продажи</vt:lpstr>
      <vt:lpstr>'Структура сценария'!Безалкогольные_продажи</vt:lpstr>
      <vt:lpstr>'5.4.'!Безалкогольные_расходы</vt:lpstr>
      <vt:lpstr>'Структура сценария'!Безалкогольные_расходы</vt:lpstr>
      <vt:lpstr>'5.4.'!Вино_водочная_продажи</vt:lpstr>
      <vt:lpstr>'Структура сценария'!Вино_водочная_продажи</vt:lpstr>
      <vt:lpstr>'5.4.'!Вино_водочные_расходы</vt:lpstr>
      <vt:lpstr>'Структура сценария'!Вино_водочные_расходы</vt:lpstr>
      <vt:lpstr>Количество_материала</vt:lpstr>
      <vt:lpstr>Количество_часов</vt:lpstr>
      <vt:lpstr>'5.4.'!Кондитерские_продажи</vt:lpstr>
      <vt:lpstr>'Структура сценария'!Кондитерские_продажи</vt:lpstr>
      <vt:lpstr>'5.4.'!Кондитерские_расходы</vt:lpstr>
      <vt:lpstr>'Структура сценария'!Кондитерские_расходы</vt:lpstr>
      <vt:lpstr>'5.4.'!Молочные_продажи</vt:lpstr>
      <vt:lpstr>'Структура сценария'!Молочные_продажи</vt:lpstr>
      <vt:lpstr>'5.4.'!Молочные_расходы</vt:lpstr>
      <vt:lpstr>'Структура сценария'!Молочные_расходы</vt:lpstr>
      <vt:lpstr>'5.4.'!Мясные_продажи</vt:lpstr>
      <vt:lpstr>'Структура сценария'!Мясные_продажи</vt:lpstr>
      <vt:lpstr>'5.4.'!Мясные_расходы</vt:lpstr>
      <vt:lpstr>'Структура сценария'!Мясные_расходы</vt:lpstr>
      <vt:lpstr>Оплата_часа</vt:lpstr>
      <vt:lpstr>Отпускная_цена</vt:lpstr>
      <vt:lpstr>'5.4.'!Пищевые_продажи</vt:lpstr>
      <vt:lpstr>'Структура сценария'!Пищевые_продажи</vt:lpstr>
      <vt:lpstr>'5.4.'!Пищевые_расходы</vt:lpstr>
      <vt:lpstr>'Структура сценария'!Пищевые_расходы</vt:lpstr>
      <vt:lpstr>'5.4.'!Плоды_продажи</vt:lpstr>
      <vt:lpstr>'Структура сценария'!Плоды_продажи</vt:lpstr>
      <vt:lpstr>'5.4.'!Плоды_расходы</vt:lpstr>
      <vt:lpstr>'Структура сценария'!Плоды_расходы</vt:lpstr>
      <vt:lpstr>Предложение</vt:lpstr>
      <vt:lpstr>Прибыль</vt:lpstr>
      <vt:lpstr>'5.4.'!Рыбные_продажи</vt:lpstr>
      <vt:lpstr>'Структура сценария'!Рыбные_продажи</vt:lpstr>
      <vt:lpstr>'5.4.'!Рыбные_расходы</vt:lpstr>
      <vt:lpstr>'Структура сценария'!Рыбные_расходы</vt:lpstr>
      <vt:lpstr>Себестоимость</vt:lpstr>
      <vt:lpstr>Спрос</vt:lpstr>
      <vt:lpstr>Стоимость_материала</vt:lpstr>
      <vt:lpstr>'5.4.'!Табачные_продажи</vt:lpstr>
      <vt:lpstr>'Структура сценария'!Табачные_продажи</vt:lpstr>
      <vt:lpstr>'5.4.'!Табачные_расходы</vt:lpstr>
      <vt:lpstr>'Структура сценария'!Табачные_расходы</vt:lpstr>
      <vt:lpstr>'5.4.'!Хлебобулочные_продажи</vt:lpstr>
      <vt:lpstr>'Структура сценария'!Хлебобулочные_продажи</vt:lpstr>
      <vt:lpstr>'5.4.'!Хлебобулочные_расходы</vt:lpstr>
      <vt:lpstr>'Структура сценария'!Хлебобулочные_расходы</vt:lpstr>
      <vt:lpstr>Цена</vt:lpstr>
      <vt:lpstr>'5.4.'!Яичные_продажи</vt:lpstr>
      <vt:lpstr>'Структура сценария'!Яичные_продажи</vt:lpstr>
      <vt:lpstr>'5.4.'!Яичные_расходы</vt:lpstr>
      <vt:lpstr>'Структура сценария'!Яичные_расходы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2019-11-30T07:55:13Z</dcterms:modified>
</cp:coreProperties>
</file>